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5.xml" ContentType="application/vnd.openxmlformats-officedocument.spreadsheetml.queryTable+xml"/>
  <Override PartName="/xl/tables/table19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2.xml" ContentType="application/vnd.openxmlformats-officedocument.drawing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ver\GL-REFIT\workbooks\"/>
    </mc:Choice>
  </mc:AlternateContent>
  <xr:revisionPtr revIDLastSave="0" documentId="13_ncr:1_{4A4D166F-58F2-402A-BE3E-F87A1F8EE7A7}" xr6:coauthVersionLast="47" xr6:coauthVersionMax="47" xr10:uidLastSave="{00000000-0000-0000-0000-000000000000}"/>
  <bookViews>
    <workbookView xWindow="-108" yWindow="-108" windowWidth="23256" windowHeight="13896" firstSheet="11" activeTab="12" xr2:uid="{48E22C12-A4F6-4BC9-8514-F95070CDC04D}"/>
  </bookViews>
  <sheets>
    <sheet name="qry_Static_Season_Config" sheetId="79" r:id="rId1"/>
    <sheet name="qry_Settings_System" sheetId="78" r:id="rId2"/>
    <sheet name="Settings_System" sheetId="77" r:id="rId3"/>
    <sheet name="Static_Season_Config" sheetId="76" r:id="rId4"/>
    <sheet name="Settings" sheetId="55" r:id="rId5"/>
    <sheet name="Settings Documentation" sheetId="56" r:id="rId6"/>
    <sheet name="Summary_New__Weekly_Stats" sheetId="74" r:id="rId7"/>
    <sheet name="DEPRECATED - Summary_New__Team_" sheetId="73" r:id="rId8"/>
    <sheet name="Summary_New__Player_Stats" sheetId="72" r:id="rId9"/>
    <sheet name="Summary_New__Matches" sheetId="71" r:id="rId10"/>
    <sheet name="Summary_New__Handicaps" sheetId="70" r:id="rId11"/>
    <sheet name="Summary_New__Players" sheetId="69" r:id="rId12"/>
    <sheet name="Summary_New__Teams" sheetId="68" r:id="rId13"/>
    <sheet name="Summary_New__Season" sheetId="80" r:id="rId14"/>
    <sheet name="Indiv_Results_Holes (2)" sheetId="64" r:id="rId15"/>
    <sheet name="Indiv_Results_Staging" sheetId="60" r:id="rId16"/>
    <sheet name="Upload_Indiv_Raw" sheetId="66" r:id="rId17"/>
    <sheet name="Indiv_Results_Holes" sheetId="63" r:id="rId18"/>
    <sheet name="Upload_Team_Raw" sheetId="58" r:id="rId19"/>
    <sheet name="Team_Results_Staging" sheetId="61" r:id="rId20"/>
    <sheet name="Dependency_Report" sheetId="59" r:id="rId21"/>
    <sheet name="NamedRangesReport" sheetId="62" r:id="rId22"/>
    <sheet name="Standings" sheetId="24" r:id="rId23"/>
    <sheet name="Summary" sheetId="17" r:id="rId24"/>
    <sheet name="Weekly Leaderboard" sheetId="16" r:id="rId25"/>
    <sheet name="Season Leaderboard" sheetId="19" r:id="rId26"/>
    <sheet name="Birdies by Player" sheetId="40" r:id="rId27"/>
    <sheet name="Eagles by Player" sheetId="45" r:id="rId28"/>
    <sheet name="League Birdies &amp; Eagles" sheetId="41" r:id="rId29"/>
    <sheet name="Top Perfs" sheetId="49" r:id="rId30"/>
    <sheet name="2025 Schedule" sheetId="52" r:id="rId31"/>
    <sheet name="Subs" sheetId="3" r:id="rId32"/>
    <sheet name="1-Aceholes" sheetId="12" r:id="rId33"/>
    <sheet name="2-Metheads" sheetId="6" r:id="rId34"/>
    <sheet name="3-Mickey Mouse Club" sheetId="8" r:id="rId35"/>
    <sheet name="4-Stymies" sheetId="10" r:id="rId36"/>
    <sheet name="5-Four Puttz" sheetId="14" r:id="rId37"/>
    <sheet name="6-Who's Your Caddy" sheetId="9" r:id="rId38"/>
    <sheet name="7-Hack Squad" sheetId="46" r:id="rId39"/>
    <sheet name="8-Blind Draw" sheetId="13" r:id="rId40"/>
    <sheet name="league roster" sheetId="18" r:id="rId41"/>
    <sheet name="Prior Season Scores" sheetId="54" r:id="rId42"/>
    <sheet name="Uploaded_Indiv_Data" sheetId="36" r:id="rId43"/>
    <sheet name="Uploaded_Team_Data" sheetId="38" r:id="rId44"/>
    <sheet name="Opp Low Net" sheetId="42" r:id="rId45"/>
    <sheet name="Net Rel to Par" sheetId="43" r:id="rId46"/>
    <sheet name="Indiv Stroke Detail" sheetId="44" r:id="rId47"/>
  </sheets>
  <externalReferences>
    <externalReference r:id="rId48"/>
  </externalReferences>
  <definedNames>
    <definedName name="_xlnm._FilterDatabase" localSheetId="20" hidden="1">Dependency_Report!$A$1:$E$1</definedName>
    <definedName name="_xlnm._FilterDatabase" localSheetId="40" hidden="1">'league roster'!$A$2:$E$127</definedName>
    <definedName name="_xlnm._FilterDatabase" localSheetId="5" hidden="1">'Settings Documentation'!$A$1:$M$68</definedName>
    <definedName name="_xlnm._FilterDatabase" localSheetId="23" hidden="1">Summary!$A$6:$IL$86</definedName>
    <definedName name="_xlnm._FilterDatabase" localSheetId="24" hidden="1">'Weekly Leaderboard'!$A$7:$BW$40</definedName>
    <definedName name="allowUnderParBlindDrawGross">Settings!$B$46</definedName>
    <definedName name="allowWeekReuse">Settings!$B$27</definedName>
    <definedName name="autoExpandScorecard">Settings!$B$55</definedName>
    <definedName name="birdies">OFFSET(Summary!$EB$7,0,0,COUNTA(Summary[range]),19)</definedName>
    <definedName name="blindDrawBirdieMode">Settings!$B$45</definedName>
    <definedName name="blindDrawForfeitScore">Settings!$B$42</definedName>
    <definedName name="blindDrawFullScore">Settings!$B$41</definedName>
    <definedName name="blindDrawHandicap">Settings!$B$43</definedName>
    <definedName name="blindDrawScoreMode">Settings!$B$44</definedName>
    <definedName name="blindDrawTeamNumber">Settings!$B$6</definedName>
    <definedName name="courseName">Settings!$B$48</definedName>
    <definedName name="eagles">OFFSET(Summary!$EV$7,0,0,COUNTA(Summary[range]),19)</definedName>
    <definedName name="eligibility_MinPctRounds">Static_Season_Config!$G1</definedName>
    <definedName name="enable18HoleExpansion">Settings!$B$53</definedName>
    <definedName name="enableImportChecks">Settings!$B$37</definedName>
    <definedName name="enableMaxHoleScoreCap">Settings!$B$16</definedName>
    <definedName name="enableVerboseErrorLogging">Settings!$B$38</definedName>
    <definedName name="ExternalData_1" localSheetId="15" hidden="1">Indiv_Results_Staging!$A$1:$U$9</definedName>
    <definedName name="ExternalData_1" localSheetId="2" hidden="1">Settings_System!$A$1:$H$24</definedName>
    <definedName name="ExternalData_1" localSheetId="13" hidden="1">Summary_New__Season!$A$1:$G$2</definedName>
    <definedName name="ExternalData_1" localSheetId="16" hidden="1">Upload_Indiv_Raw!$A$1:$FE$9</definedName>
    <definedName name="ExternalData_1" localSheetId="18" hidden="1">Upload_Team_Raw!$A$1:$L$3</definedName>
    <definedName name="ExternalData_1" localSheetId="42" hidden="1">Uploaded_Indiv_Data!$A$1:$BH$529</definedName>
    <definedName name="ExternalData_1" localSheetId="43" hidden="1">Uploaded_Team_Data!$A$1:$I$133</definedName>
    <definedName name="ExternalData_2" localSheetId="14" hidden="1">'Indiv_Results_Holes (2)'!$A$1:$U$145</definedName>
    <definedName name="ExternalData_2" localSheetId="1" hidden="1">qry_Settings_System!$A$1:$H$24</definedName>
    <definedName name="ExternalData_2" localSheetId="12" hidden="1">Summary_New__Teams!$A$1:$K$3</definedName>
    <definedName name="ExternalData_2" localSheetId="19" hidden="1">Team_Results_Staging!$A$1:$N$3</definedName>
    <definedName name="ExternalData_3" localSheetId="0" hidden="1">qry_Static_Season_Config!$A$1:$H$46</definedName>
    <definedName name="ExternalData_3" localSheetId="11" hidden="1">Summary_New__Players!$A$1:$K$9</definedName>
    <definedName name="ExternalData_4" localSheetId="10" hidden="1">Summary_New__Handicaps!$A$1:$H$2</definedName>
    <definedName name="ExternalData_5" localSheetId="9" hidden="1">Summary_New__Matches!$A$1:$U$9</definedName>
    <definedName name="ExternalData_6" localSheetId="8" hidden="1">Summary_New__Player_Stats!$A$1:$O$9</definedName>
    <definedName name="ExternalData_7" localSheetId="7" hidden="1">'DEPRECATED - Summary_New__Team_'!$A$1:$A$2</definedName>
    <definedName name="ExternalData_8" localSheetId="6" hidden="1">Summary_New__Weekly_Stats!$A$1:$L$9</definedName>
    <definedName name="firstWeekDate">Settings!$B$28</definedName>
    <definedName name="handicapCalcMethod">Settings!$B$22</definedName>
    <definedName name="handicapPercent">Settings!$B$18</definedName>
    <definedName name="handicapRoundingMethod">Settings!$B$23</definedName>
    <definedName name="handicapRoundsLookback">Settings!$B$20</definedName>
    <definedName name="handicapRoundsUsed">Settings!$B$21</definedName>
    <definedName name="hcpBack">Settings!$B$52</definedName>
    <definedName name="hcpFront">Settings!$B$51</definedName>
    <definedName name="hdcprds">Summary[Hdcp
Rounds]</definedName>
    <definedName name="ids">Summary[id]</definedName>
    <definedName name="leagueName">Static_Season_Config!$C1</definedName>
    <definedName name="leagueroster">'league roster'!$A$2:$C$130</definedName>
    <definedName name="lowgross">Summary[Low Gross]</definedName>
    <definedName name="lownet">Summary[Low Net]</definedName>
    <definedName name="makeUpWeekMode">Settings!$B$26</definedName>
    <definedName name="matchReportFilenamePattern" localSheetId="5">[1]Settings!$B$38</definedName>
    <definedName name="matchReportFilenamePattern">Settings!$B$33</definedName>
    <definedName name="matchReportsFolderPath">Settings!$B$31</definedName>
    <definedName name="maxHoleScoreOverPar">Settings!$B$15</definedName>
    <definedName name="maxPlayerHandicap">Settings!$B$19</definedName>
    <definedName name="netscores">OFFSET(Summary!$CN$7,0,0,COUNTA(Summary[range]),19)</definedName>
    <definedName name="numberOfTeams" localSheetId="5">[1]Settings!$B$4</definedName>
    <definedName name="numberOfTeams">Settings!$B$4</definedName>
    <definedName name="oneDriveReportsFolder">Settings!$B$32</definedName>
    <definedName name="parBack">Settings!$B$50</definedName>
    <definedName name="parFront">Settings!$B$49</definedName>
    <definedName name="points">OFFSET(Summary!$DH$7,0,0,COUNTA(Summary[range]),19)</definedName>
    <definedName name="pointsIndivNetTie">Settings!$B$12</definedName>
    <definedName name="pointsIndivNetWin">Settings!$B$11</definedName>
    <definedName name="pointsPerHoleTie">Settings!$B$10</definedName>
    <definedName name="pointsPerHoleWin">Settings!$B$9</definedName>
    <definedName name="pointsTeamNetTie">Settings!$B$14</definedName>
    <definedName name="pointsTeamNetWin">Settings!$B$13</definedName>
    <definedName name="_xlnm.Print_Area" localSheetId="30">'2025 Schedule'!$A$1:$K$48</definedName>
    <definedName name="_xlnm.Print_Area" localSheetId="25">'Season Leaderboard'!$A$1:$AQ$79</definedName>
    <definedName name="_xlnm.Print_Area" localSheetId="22">Standings!$A$1:$Q$22</definedName>
    <definedName name="_xlnm.Print_Area" localSheetId="23">Summary!$A$1:$AD$86</definedName>
    <definedName name="_xlnm.Print_Area" localSheetId="24">'Weekly Leaderboard'!$A$1:$AG$41</definedName>
    <definedName name="_xlnm.Print_Titles" localSheetId="23">Summary!$1:$6</definedName>
    <definedName name="qualifier">'Season Leaderboard'!$A$5</definedName>
    <definedName name="refreshAllMode">Settings!$B$39</definedName>
    <definedName name="roundsPerSeason">Settings!$B$7</definedName>
    <definedName name="scores">OFFSET(Summary!$AP$7,0,0,COUNTA(Summary[range]),19)</definedName>
    <definedName name="seasonbirds">Summary[Total Birdies]</definedName>
    <definedName name="seasoneagles">Summary[Total Eagles]</definedName>
    <definedName name="seasongross">Summary[Avg Gross]</definedName>
    <definedName name="seasonnet">Summary[Avg Net]</definedName>
    <definedName name="seasonpts">Summary[Total Pts]</definedName>
    <definedName name="seasonptsavg">Summary[Avg Pts]</definedName>
    <definedName name="seasonrds">Summary[Season
Rounds]</definedName>
    <definedName name="seasonRoundsPlanned">Static_Season_Config!$D1</definedName>
    <definedName name="seasonStatus">Settings!$B$59</definedName>
    <definedName name="seasonYear">Static_Season_Config!#REF!</definedName>
    <definedName name="stagingFolderPath" localSheetId="5">[1]Settings!$B$40</definedName>
    <definedName name="stagingFolderPath">Settings!$B$35</definedName>
    <definedName name="strokeAllocationMethod">Settings!$B$24</definedName>
    <definedName name="subs">Subs!$A$1:$AA$236</definedName>
    <definedName name="team1">'1-Aceholes'!$A$1:$AA$46</definedName>
    <definedName name="team2">'2-Metheads'!$A$1:$AA$46</definedName>
    <definedName name="team3">'3-Mickey Mouse Club'!$A$1:$AA$46</definedName>
    <definedName name="team4">'4-Stymies'!$A$1:$AA$46</definedName>
    <definedName name="team5">'5-Four Puttz'!$A$1:$AA$46</definedName>
    <definedName name="team6">'6-Who''s Your Caddy'!$A$1:$AA$46</definedName>
    <definedName name="team7">'7-Hack Squad'!$A$1:$AA$46</definedName>
    <definedName name="team8">'8-Blind Draw'!$A$1:$AA$46</definedName>
    <definedName name="teamhighpoints">OFFSET(Summary!$HY$7,0,0,COUNTA(Summary[range]),1)</definedName>
    <definedName name="teamlownet">OFFSET(Summary!$HC$7,0,0,COUNTA(Summary[range]),1)</definedName>
    <definedName name="teamnet">OFFSET(Summary!$GJ$7,0,0,COUNTA(Summary[range]),19)</definedName>
    <definedName name="teampts">OFFSET(Summary!$HF$7,0,0,COUNTA(Summary[range]),19)</definedName>
    <definedName name="Upload_Data_Indiv">Uploaded_Indiv_Data!$BK$1:$FI$2</definedName>
    <definedName name="Upload_Indiv_Date" localSheetId="38">Upload_Indiv[Date]</definedName>
    <definedName name="Upload_Indiv_Date" localSheetId="27">Upload_Indiv[Date]</definedName>
    <definedName name="Upload_Indiv_Date" localSheetId="46">Upload_Indiv[Date]</definedName>
    <definedName name="Upload_Indiv_Date">Upload_Indiv[Date]</definedName>
    <definedName name="Upload_Indiv_Excl_Score" localSheetId="38">Upload_Indiv[Excl Score]</definedName>
    <definedName name="Upload_Indiv_Excl_Score" localSheetId="27">Upload_Indiv[Excl Score]</definedName>
    <definedName name="Upload_Indiv_Excl_Score" localSheetId="46">Upload_Indiv[Excl Score]</definedName>
    <definedName name="Upload_Indiv_Excl_Score">Upload_Indiv[Excl Score]</definedName>
    <definedName name="Upload_Indiv_Gross" localSheetId="38">Upload_Indiv[Gross]</definedName>
    <definedName name="Upload_Indiv_Gross" localSheetId="27">Upload_Indiv[Gross]</definedName>
    <definedName name="Upload_Indiv_Gross" localSheetId="46">Upload_Indiv[Gross]</definedName>
    <definedName name="Upload_Indiv_Gross">Upload_Indiv[Gross]</definedName>
    <definedName name="Upload_Indiv_Net" localSheetId="38">Upload_Indiv[Net]</definedName>
    <definedName name="Upload_Indiv_Net" localSheetId="27">Upload_Indiv[Net]</definedName>
    <definedName name="Upload_Indiv_Net" localSheetId="46">Upload_Indiv[Net]</definedName>
    <definedName name="Upload_Indiv_Net">Upload_Indiv[Net]</definedName>
    <definedName name="Upload_Indiv_Player" localSheetId="38">Upload_Indiv[Player]</definedName>
    <definedName name="Upload_Indiv_Player" localSheetId="27">Upload_Indiv[Player]</definedName>
    <definedName name="Upload_Indiv_Player" localSheetId="46">Upload_Indiv[Player]</definedName>
    <definedName name="Upload_Indiv_Player">Upload_Indiv[Player]</definedName>
    <definedName name="Upload_Indiv_PointsTot" localSheetId="38">Upload_Indiv[PointsTot]</definedName>
    <definedName name="Upload_Indiv_PointsTot" localSheetId="27">Upload_Indiv[PointsTot]</definedName>
    <definedName name="Upload_Indiv_PointsTot" localSheetId="46">Upload_Indiv[PointsTot]</definedName>
    <definedName name="Upload_Indiv_PointsTot">Upload_Indiv[PointsTot]</definedName>
    <definedName name="Upload_Indiv_Team" localSheetId="38">Upload_Indiv[Team]</definedName>
    <definedName name="Upload_Indiv_Team" localSheetId="27">Upload_Indiv[Team]</definedName>
    <definedName name="Upload_Indiv_Team" localSheetId="46">Upload_Indiv[Team]</definedName>
    <definedName name="Upload_Indiv_Team">Upload_Indiv[Team]</definedName>
    <definedName name="Upload_Indiv_Tot_Birds" localSheetId="38">Upload_Indiv[Tot_Birds]</definedName>
    <definedName name="Upload_Indiv_Tot_Birds" localSheetId="27">Upload_Indiv[Tot_Birds]</definedName>
    <definedName name="Upload_Indiv_Tot_Birds" localSheetId="46">Upload_Indiv[Tot_Birds]</definedName>
    <definedName name="Upload_Indiv_Tot_Birds">Upload_Indiv[Tot_Birds]</definedName>
    <definedName name="Upload_Indiv_Tot_Eagles" localSheetId="38">Upload_Indiv[Tot_Eagles]</definedName>
    <definedName name="Upload_Indiv_Tot_Eagles" localSheetId="27">Upload_Indiv[Tot_Eagles]</definedName>
    <definedName name="Upload_Indiv_Tot_Eagles" localSheetId="46">Upload_Indiv[Tot_Eagles]</definedName>
    <definedName name="Upload_Indiv_Tot_Eagles">Upload_Indiv[Tot_Eagles]</definedName>
    <definedName name="Upload_Team_Date" localSheetId="38">Upload_Team[Date]</definedName>
    <definedName name="Upload_Team_Date" localSheetId="27">Upload_Team[Date]</definedName>
    <definedName name="Upload_Team_Date" localSheetId="46">Upload_Team[Date]</definedName>
    <definedName name="Upload_Team_Date">Upload_Team[Date]</definedName>
    <definedName name="Upload_Team_Team" localSheetId="38">Upload_Team[Team]</definedName>
    <definedName name="Upload_Team_Team" localSheetId="27">Upload_Team[Team]</definedName>
    <definedName name="Upload_Team_Team" localSheetId="46">Upload_Team[Team]</definedName>
    <definedName name="Upload_Team_Team">Upload_Team[Team]</definedName>
    <definedName name="Upload_Team_Tm_Net" localSheetId="38">Upload_Team[Tm Net]</definedName>
    <definedName name="Upload_Team_Tm_Net" localSheetId="27">Upload_Team[Tm Net]</definedName>
    <definedName name="Upload_Team_Tm_Net" localSheetId="46">Upload_Team[Tm Net]</definedName>
    <definedName name="Upload_Team_Tm_Net">Upload_Team[Tm Net]</definedName>
    <definedName name="Upload_Team_Tm_Tot_Points" localSheetId="38">Upload_Team[Tm Tot Points]</definedName>
    <definedName name="Upload_Team_Tm_Tot_Points" localSheetId="27">Upload_Team[Tm Tot Points]</definedName>
    <definedName name="Upload_Team_Tm_Tot_Points" localSheetId="46">Upload_Team[Tm Tot Points]</definedName>
    <definedName name="Upload_Team_Tm_Tot_Points">Upload_Team[Tm Tot Points]</definedName>
    <definedName name="useAutoSchedule">Settings!$B$29</definedName>
    <definedName name="useBlindDraw" localSheetId="5">[1]Settings!$B$5</definedName>
    <definedName name="useBlindDraw">Settings!$B$5</definedName>
    <definedName name="useHybridMapping">Settings!$B$56</definedName>
    <definedName name="useLocalStagingFolder" localSheetId="5">[1]Settings!$B$39</definedName>
    <definedName name="useLocalStagingFolder">Settings!$B$34</definedName>
    <definedName name="weeks">Summary!$AP$6:$BH$6</definedName>
    <definedName name="weeks2">Summary!$AU$6:$CR$6</definedName>
  </definedNames>
  <calcPr calcId="191028"/>
  <pivotCaches>
    <pivotCache cacheId="12" r:id="rId4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56" l="1"/>
  <c r="E3" i="62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36" i="62"/>
  <c r="E37" i="62"/>
  <c r="E38" i="62"/>
  <c r="E39" i="62"/>
  <c r="E40" i="62"/>
  <c r="E41" i="62"/>
  <c r="E42" i="62"/>
  <c r="E43" i="62"/>
  <c r="E44" i="62"/>
  <c r="E45" i="62"/>
  <c r="E46" i="62"/>
  <c r="E47" i="62"/>
  <c r="E48" i="62"/>
  <c r="E49" i="62"/>
  <c r="E50" i="62"/>
  <c r="E51" i="62"/>
  <c r="E52" i="62"/>
  <c r="E53" i="62"/>
  <c r="E54" i="62"/>
  <c r="E55" i="62"/>
  <c r="E56" i="62"/>
  <c r="E57" i="62"/>
  <c r="E58" i="62"/>
  <c r="E59" i="62"/>
  <c r="E60" i="62"/>
  <c r="E61" i="62"/>
  <c r="E62" i="62"/>
  <c r="E63" i="62"/>
  <c r="E64" i="62"/>
  <c r="E65" i="62"/>
  <c r="E66" i="62"/>
  <c r="E67" i="62"/>
  <c r="E68" i="62"/>
  <c r="E69" i="62"/>
  <c r="E70" i="62"/>
  <c r="E71" i="62"/>
  <c r="E72" i="62"/>
  <c r="E73" i="62"/>
  <c r="E74" i="62"/>
  <c r="E75" i="62"/>
  <c r="E76" i="62"/>
  <c r="E77" i="62"/>
  <c r="E78" i="62"/>
  <c r="E79" i="62"/>
  <c r="E80" i="62"/>
  <c r="E81" i="62"/>
  <c r="E82" i="62"/>
  <c r="E83" i="62"/>
  <c r="E84" i="62"/>
  <c r="E85" i="62"/>
  <c r="E86" i="62"/>
  <c r="E87" i="62"/>
  <c r="E88" i="62"/>
  <c r="E89" i="62"/>
  <c r="E90" i="62"/>
  <c r="E91" i="62"/>
  <c r="E92" i="62"/>
  <c r="E93" i="62"/>
  <c r="E94" i="62"/>
  <c r="E95" i="62"/>
  <c r="E96" i="62"/>
  <c r="E97" i="62"/>
  <c r="E98" i="62"/>
  <c r="E99" i="62"/>
  <c r="E100" i="62"/>
  <c r="E101" i="62"/>
  <c r="E102" i="62"/>
  <c r="E103" i="62"/>
  <c r="E104" i="62"/>
  <c r="E105" i="62"/>
  <c r="E106" i="62"/>
  <c r="E107" i="62"/>
  <c r="E108" i="62"/>
  <c r="E109" i="62"/>
  <c r="E110" i="62"/>
  <c r="E111" i="62"/>
  <c r="E112" i="62"/>
  <c r="E113" i="62"/>
  <c r="E114" i="62"/>
  <c r="E115" i="62"/>
  <c r="E116" i="62"/>
  <c r="E117" i="62"/>
  <c r="E118" i="62"/>
  <c r="E119" i="62"/>
  <c r="E120" i="62"/>
  <c r="E121" i="62"/>
  <c r="E122" i="62"/>
  <c r="E123" i="62"/>
  <c r="E124" i="62"/>
  <c r="E125" i="62"/>
  <c r="E126" i="62"/>
  <c r="E127" i="62"/>
  <c r="E128" i="62"/>
  <c r="E129" i="62"/>
  <c r="E130" i="62"/>
  <c r="E131" i="62"/>
  <c r="E132" i="62"/>
  <c r="E133" i="62"/>
  <c r="E134" i="62"/>
  <c r="E135" i="62"/>
  <c r="E136" i="62"/>
  <c r="E137" i="62"/>
  <c r="E138" i="62"/>
  <c r="E139" i="62"/>
  <c r="E140" i="62"/>
  <c r="E141" i="62"/>
  <c r="E142" i="62"/>
  <c r="E143" i="62"/>
  <c r="E144" i="62"/>
  <c r="E145" i="62"/>
  <c r="E146" i="62"/>
  <c r="E147" i="62"/>
  <c r="E148" i="62"/>
  <c r="E149" i="62"/>
  <c r="E150" i="62"/>
  <c r="E151" i="62"/>
  <c r="E152" i="62"/>
  <c r="E153" i="62"/>
  <c r="E154" i="62"/>
  <c r="E155" i="62"/>
  <c r="E156" i="62"/>
  <c r="E157" i="62"/>
  <c r="E158" i="62"/>
  <c r="E159" i="62"/>
  <c r="E160" i="62"/>
  <c r="E161" i="62"/>
  <c r="E162" i="62"/>
  <c r="E163" i="62"/>
  <c r="E164" i="62"/>
  <c r="E165" i="62"/>
  <c r="E2" i="62"/>
  <c r="O24" i="56"/>
  <c r="O25" i="56"/>
  <c r="O26" i="56"/>
  <c r="O27" i="56"/>
  <c r="O30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3" i="56"/>
  <c r="O4" i="56"/>
  <c r="O5" i="56"/>
  <c r="O6" i="56"/>
  <c r="O7" i="56"/>
  <c r="O8" i="56"/>
  <c r="O9" i="56"/>
  <c r="O10" i="56"/>
  <c r="O11" i="56"/>
  <c r="O12" i="56"/>
  <c r="O13" i="56"/>
  <c r="O14" i="56"/>
  <c r="O15" i="56"/>
  <c r="O23" i="56"/>
  <c r="O2" i="56"/>
  <c r="E1783" i="59"/>
  <c r="E1782" i="59"/>
  <c r="E1781" i="59"/>
  <c r="E1780" i="59"/>
  <c r="E1779" i="59"/>
  <c r="E1778" i="59"/>
  <c r="E1777" i="59"/>
  <c r="E1776" i="59"/>
  <c r="E1775" i="59"/>
  <c r="E1774" i="59"/>
  <c r="E1773" i="59"/>
  <c r="E1772" i="59"/>
  <c r="E1771" i="59"/>
  <c r="E1770" i="59"/>
  <c r="E1769" i="59"/>
  <c r="E1768" i="59"/>
  <c r="E1767" i="59"/>
  <c r="E1766" i="59"/>
  <c r="E1765" i="59"/>
  <c r="E1764" i="59"/>
  <c r="E1763" i="59"/>
  <c r="E1762" i="59"/>
  <c r="E1761" i="59"/>
  <c r="E1760" i="59"/>
  <c r="E1759" i="59"/>
  <c r="E1758" i="59"/>
  <c r="E1757" i="59"/>
  <c r="E1756" i="59"/>
  <c r="E1755" i="59"/>
  <c r="E1754" i="59"/>
  <c r="E1753" i="59"/>
  <c r="E1752" i="59"/>
  <c r="E1751" i="59"/>
  <c r="E1750" i="59"/>
  <c r="E1749" i="59"/>
  <c r="E1748" i="59"/>
  <c r="E1747" i="59"/>
  <c r="E1746" i="59"/>
  <c r="E1745" i="59"/>
  <c r="E1744" i="59"/>
  <c r="E1743" i="59"/>
  <c r="E1742" i="59"/>
  <c r="E1741" i="59"/>
  <c r="E1740" i="59"/>
  <c r="E1739" i="59"/>
  <c r="E1738" i="59"/>
  <c r="E1737" i="59"/>
  <c r="E1736" i="59"/>
  <c r="E1735" i="59"/>
  <c r="E1734" i="59"/>
  <c r="E1733" i="59"/>
  <c r="E1732" i="59"/>
  <c r="E1731" i="59"/>
  <c r="E1730" i="59"/>
  <c r="E1729" i="59"/>
  <c r="E1728" i="59"/>
  <c r="E1727" i="59"/>
  <c r="E1726" i="59"/>
  <c r="E1725" i="59"/>
  <c r="E1724" i="59"/>
  <c r="E1723" i="59"/>
  <c r="E1722" i="59"/>
  <c r="E1721" i="59"/>
  <c r="E1720" i="59"/>
  <c r="E1719" i="59"/>
  <c r="E1718" i="59"/>
  <c r="E1717" i="59"/>
  <c r="E1716" i="59"/>
  <c r="E1715" i="59"/>
  <c r="E1714" i="59"/>
  <c r="E1713" i="59"/>
  <c r="E1712" i="59"/>
  <c r="E1711" i="59"/>
  <c r="E1710" i="59"/>
  <c r="E1709" i="59"/>
  <c r="E1708" i="59"/>
  <c r="E1707" i="59"/>
  <c r="E1706" i="59"/>
  <c r="E1705" i="59"/>
  <c r="E1704" i="59"/>
  <c r="E1703" i="59"/>
  <c r="E1702" i="59"/>
  <c r="E1701" i="59"/>
  <c r="E1700" i="59"/>
  <c r="E1699" i="59"/>
  <c r="E1698" i="59"/>
  <c r="E1697" i="59"/>
  <c r="E1696" i="59"/>
  <c r="E1695" i="59"/>
  <c r="E1694" i="59"/>
  <c r="E1693" i="59"/>
  <c r="E1692" i="59"/>
  <c r="E1691" i="59"/>
  <c r="E1690" i="59"/>
  <c r="E1689" i="59"/>
  <c r="E1688" i="59"/>
  <c r="E1687" i="59"/>
  <c r="E1686" i="59"/>
  <c r="E1685" i="59"/>
  <c r="E1684" i="59"/>
  <c r="E1683" i="59"/>
  <c r="E1682" i="59"/>
  <c r="E1681" i="59"/>
  <c r="E1680" i="59"/>
  <c r="E1679" i="59"/>
  <c r="E1678" i="59"/>
  <c r="E1677" i="59"/>
  <c r="E1676" i="59"/>
  <c r="E1675" i="59"/>
  <c r="E1674" i="59"/>
  <c r="E1673" i="59"/>
  <c r="E1672" i="59"/>
  <c r="E1671" i="59"/>
  <c r="E1670" i="59"/>
  <c r="E1669" i="59"/>
  <c r="E1668" i="59"/>
  <c r="E1667" i="59"/>
  <c r="E1666" i="59"/>
  <c r="E1665" i="59"/>
  <c r="E1664" i="59"/>
  <c r="E1663" i="59"/>
  <c r="E1662" i="59"/>
  <c r="E1661" i="59"/>
  <c r="E1660" i="59"/>
  <c r="E1659" i="59"/>
  <c r="E1658" i="59"/>
  <c r="E1657" i="59"/>
  <c r="E1656" i="59"/>
  <c r="E1655" i="59"/>
  <c r="E1654" i="59"/>
  <c r="E1653" i="59"/>
  <c r="E1652" i="59"/>
  <c r="E1651" i="59"/>
  <c r="E1650" i="59"/>
  <c r="E1649" i="59"/>
  <c r="E1648" i="59"/>
  <c r="E1647" i="59"/>
  <c r="E1646" i="59"/>
  <c r="E1645" i="59"/>
  <c r="E1644" i="59"/>
  <c r="E1643" i="59"/>
  <c r="E1642" i="59"/>
  <c r="E1641" i="59"/>
  <c r="E1640" i="59"/>
  <c r="E1639" i="59"/>
  <c r="E1638" i="59"/>
  <c r="E1637" i="59"/>
  <c r="E1636" i="59"/>
  <c r="E1635" i="59"/>
  <c r="E1634" i="59"/>
  <c r="E1633" i="59"/>
  <c r="E1632" i="59"/>
  <c r="E1631" i="59"/>
  <c r="E1630" i="59"/>
  <c r="E1629" i="59"/>
  <c r="E1628" i="59"/>
  <c r="E1627" i="59"/>
  <c r="E1626" i="59"/>
  <c r="E1625" i="59"/>
  <c r="E1624" i="59"/>
  <c r="E1623" i="59"/>
  <c r="E1622" i="59"/>
  <c r="E1621" i="59"/>
  <c r="E1620" i="59"/>
  <c r="E1619" i="59"/>
  <c r="E1618" i="59"/>
  <c r="E1617" i="59"/>
  <c r="E1616" i="59"/>
  <c r="E1615" i="59"/>
  <c r="E1614" i="59"/>
  <c r="E1613" i="59"/>
  <c r="E1612" i="59"/>
  <c r="E1611" i="59"/>
  <c r="E1610" i="59"/>
  <c r="E1609" i="59"/>
  <c r="E1608" i="59"/>
  <c r="E1607" i="59"/>
  <c r="E1606" i="59"/>
  <c r="E1605" i="59"/>
  <c r="E1604" i="59"/>
  <c r="E1603" i="59"/>
  <c r="E1602" i="59"/>
  <c r="E1601" i="59"/>
  <c r="E1600" i="59"/>
  <c r="E1599" i="59"/>
  <c r="E1598" i="59"/>
  <c r="E1597" i="59"/>
  <c r="E1596" i="59"/>
  <c r="E1595" i="59"/>
  <c r="E1594" i="59"/>
  <c r="E1593" i="59"/>
  <c r="E1592" i="59"/>
  <c r="E1591" i="59"/>
  <c r="E1590" i="59"/>
  <c r="E1589" i="59"/>
  <c r="E1588" i="59"/>
  <c r="E1587" i="59"/>
  <c r="E1586" i="59"/>
  <c r="E1585" i="59"/>
  <c r="E1584" i="59"/>
  <c r="E1583" i="59"/>
  <c r="E1582" i="59"/>
  <c r="E1581" i="59"/>
  <c r="E1580" i="59"/>
  <c r="E1579" i="59"/>
  <c r="E1578" i="59"/>
  <c r="E1577" i="59"/>
  <c r="E1576" i="59"/>
  <c r="E1575" i="59"/>
  <c r="E1574" i="59"/>
  <c r="E1573" i="59"/>
  <c r="E1572" i="59"/>
  <c r="E1571" i="59"/>
  <c r="E1570" i="59"/>
  <c r="E1569" i="59"/>
  <c r="E1568" i="59"/>
  <c r="E1567" i="59"/>
  <c r="E1566" i="59"/>
  <c r="E1565" i="59"/>
  <c r="E1564" i="59"/>
  <c r="E1563" i="59"/>
  <c r="E1562" i="59"/>
  <c r="E1561" i="59"/>
  <c r="E1560" i="59"/>
  <c r="E1559" i="59"/>
  <c r="E1558" i="59"/>
  <c r="E1557" i="59"/>
  <c r="E1556" i="59"/>
  <c r="E1555" i="59"/>
  <c r="E1554" i="59"/>
  <c r="E1553" i="59"/>
  <c r="E1552" i="59"/>
  <c r="E1551" i="59"/>
  <c r="E1550" i="59"/>
  <c r="E1549" i="59"/>
  <c r="E1548" i="59"/>
  <c r="E1547" i="59"/>
  <c r="E1546" i="59"/>
  <c r="E1545" i="59"/>
  <c r="E1544" i="59"/>
  <c r="E1543" i="59"/>
  <c r="E1542" i="59"/>
  <c r="E1541" i="59"/>
  <c r="E1540" i="59"/>
  <c r="E1539" i="59"/>
  <c r="E1538" i="59"/>
  <c r="E1537" i="59"/>
  <c r="E1536" i="59"/>
  <c r="E1535" i="59"/>
  <c r="E1534" i="59"/>
  <c r="E1533" i="59"/>
  <c r="E1532" i="59"/>
  <c r="E1531" i="59"/>
  <c r="E1530" i="59"/>
  <c r="E1529" i="59"/>
  <c r="E1528" i="59"/>
  <c r="E1527" i="59"/>
  <c r="E1526" i="59"/>
  <c r="E1525" i="59"/>
  <c r="E1524" i="59"/>
  <c r="E1523" i="59"/>
  <c r="E1522" i="59"/>
  <c r="E1521" i="59"/>
  <c r="E1520" i="59"/>
  <c r="E1519" i="59"/>
  <c r="E1518" i="59"/>
  <c r="E1517" i="59"/>
  <c r="E1516" i="59"/>
  <c r="E1515" i="59"/>
  <c r="E1514" i="59"/>
  <c r="E1513" i="59"/>
  <c r="E1512" i="59"/>
  <c r="E1511" i="59"/>
  <c r="E1510" i="59"/>
  <c r="E1509" i="59"/>
  <c r="E1508" i="59"/>
  <c r="E1507" i="59"/>
  <c r="E1506" i="59"/>
  <c r="E1505" i="59"/>
  <c r="E1504" i="59"/>
  <c r="E1503" i="59"/>
  <c r="E1502" i="59"/>
  <c r="E1501" i="59"/>
  <c r="E1500" i="59"/>
  <c r="E1499" i="59"/>
  <c r="E1498" i="59"/>
  <c r="E1497" i="59"/>
  <c r="E1496" i="59"/>
  <c r="E1495" i="59"/>
  <c r="E1494" i="59"/>
  <c r="E1493" i="59"/>
  <c r="E1492" i="59"/>
  <c r="E1491" i="59"/>
  <c r="E1490" i="59"/>
  <c r="E1489" i="59"/>
  <c r="E1488" i="59"/>
  <c r="E1487" i="59"/>
  <c r="E1486" i="59"/>
  <c r="E1485" i="59"/>
  <c r="E1484" i="59"/>
  <c r="E1483" i="59"/>
  <c r="E1482" i="59"/>
  <c r="E1481" i="59"/>
  <c r="E1480" i="59"/>
  <c r="E1479" i="59"/>
  <c r="E1478" i="59"/>
  <c r="E1477" i="59"/>
  <c r="E1476" i="59"/>
  <c r="E1475" i="59"/>
  <c r="E1474" i="59"/>
  <c r="E1473" i="59"/>
  <c r="E1472" i="59"/>
  <c r="E1471" i="59"/>
  <c r="E1470" i="59"/>
  <c r="E1469" i="59"/>
  <c r="E1468" i="59"/>
  <c r="E1467" i="59"/>
  <c r="E1466" i="59"/>
  <c r="E1465" i="59"/>
  <c r="E1464" i="59"/>
  <c r="E1463" i="59"/>
  <c r="E1462" i="59"/>
  <c r="E1461" i="59"/>
  <c r="E1460" i="59"/>
  <c r="E1459" i="59"/>
  <c r="E1458" i="59"/>
  <c r="E1457" i="59"/>
  <c r="E1456" i="59"/>
  <c r="E1455" i="59"/>
  <c r="E1454" i="59"/>
  <c r="E1453" i="59"/>
  <c r="E1452" i="59"/>
  <c r="E1451" i="59"/>
  <c r="E1450" i="59"/>
  <c r="E1449" i="59"/>
  <c r="E1448" i="59"/>
  <c r="E1447" i="59"/>
  <c r="E1446" i="59"/>
  <c r="E1445" i="59"/>
  <c r="E1444" i="59"/>
  <c r="E1443" i="59"/>
  <c r="E1442" i="59"/>
  <c r="E1441" i="59"/>
  <c r="E1440" i="59"/>
  <c r="E1439" i="59"/>
  <c r="E1438" i="59"/>
  <c r="E1437" i="59"/>
  <c r="E1436" i="59"/>
  <c r="E1435" i="59"/>
  <c r="E1434" i="59"/>
  <c r="E1433" i="59"/>
  <c r="E1432" i="59"/>
  <c r="E1431" i="59"/>
  <c r="E1430" i="59"/>
  <c r="E1429" i="59"/>
  <c r="E1428" i="59"/>
  <c r="E1427" i="59"/>
  <c r="E1426" i="59"/>
  <c r="E1425" i="59"/>
  <c r="E1424" i="59"/>
  <c r="E1423" i="59"/>
  <c r="E1422" i="59"/>
  <c r="E1421" i="59"/>
  <c r="E1420" i="59"/>
  <c r="E1419" i="59"/>
  <c r="E1418" i="59"/>
  <c r="E1417" i="59"/>
  <c r="E1416" i="59"/>
  <c r="E1415" i="59"/>
  <c r="E1414" i="59"/>
  <c r="E1413" i="59"/>
  <c r="E1412" i="59"/>
  <c r="E1411" i="59"/>
  <c r="E1410" i="59"/>
  <c r="E1409" i="59"/>
  <c r="E1408" i="59"/>
  <c r="E1407" i="59"/>
  <c r="E1406" i="59"/>
  <c r="E1405" i="59"/>
  <c r="E1404" i="59"/>
  <c r="E1403" i="59"/>
  <c r="E1402" i="59"/>
  <c r="E1401" i="59"/>
  <c r="E1400" i="59"/>
  <c r="E1399" i="59"/>
  <c r="E1398" i="59"/>
  <c r="E1397" i="59"/>
  <c r="E1396" i="59"/>
  <c r="E1395" i="59"/>
  <c r="E1394" i="59"/>
  <c r="E1393" i="59"/>
  <c r="E1392" i="59"/>
  <c r="E1391" i="59"/>
  <c r="E1390" i="59"/>
  <c r="E1389" i="59"/>
  <c r="E1388" i="59"/>
  <c r="E1387" i="59"/>
  <c r="E1386" i="59"/>
  <c r="E1385" i="59"/>
  <c r="E1384" i="59"/>
  <c r="E1383" i="59"/>
  <c r="E1382" i="59"/>
  <c r="E1381" i="59"/>
  <c r="E1380" i="59"/>
  <c r="E1379" i="59"/>
  <c r="E1378" i="59"/>
  <c r="E1377" i="59"/>
  <c r="E1376" i="59"/>
  <c r="E1375" i="59"/>
  <c r="E1374" i="59"/>
  <c r="E1373" i="59"/>
  <c r="E1372" i="59"/>
  <c r="E1371" i="59"/>
  <c r="E1370" i="59"/>
  <c r="E1369" i="59"/>
  <c r="E1368" i="59"/>
  <c r="E1367" i="59"/>
  <c r="E1366" i="59"/>
  <c r="E1365" i="59"/>
  <c r="E1364" i="59"/>
  <c r="E1363" i="59"/>
  <c r="E1362" i="59"/>
  <c r="E1361" i="59"/>
  <c r="E1360" i="59"/>
  <c r="E1359" i="59"/>
  <c r="E1358" i="59"/>
  <c r="E1357" i="59"/>
  <c r="E1356" i="59"/>
  <c r="E1355" i="59"/>
  <c r="E1354" i="59"/>
  <c r="E1353" i="59"/>
  <c r="E1352" i="59"/>
  <c r="E1351" i="59"/>
  <c r="E1350" i="59"/>
  <c r="E1349" i="59"/>
  <c r="E1348" i="59"/>
  <c r="E1347" i="59"/>
  <c r="E1346" i="59"/>
  <c r="E1345" i="59"/>
  <c r="E1344" i="59"/>
  <c r="E1343" i="59"/>
  <c r="E1342" i="59"/>
  <c r="E1341" i="59"/>
  <c r="E1340" i="59"/>
  <c r="E1339" i="59"/>
  <c r="E1338" i="59"/>
  <c r="E1337" i="59"/>
  <c r="E1336" i="59"/>
  <c r="E1335" i="59"/>
  <c r="E1334" i="59"/>
  <c r="E1333" i="59"/>
  <c r="E1332" i="59"/>
  <c r="E1331" i="59"/>
  <c r="E1330" i="59"/>
  <c r="E1329" i="59"/>
  <c r="E1328" i="59"/>
  <c r="E1327" i="59"/>
  <c r="E1326" i="59"/>
  <c r="E1325" i="59"/>
  <c r="E1324" i="59"/>
  <c r="E1323" i="59"/>
  <c r="E1322" i="59"/>
  <c r="E1321" i="59"/>
  <c r="E1320" i="59"/>
  <c r="E1319" i="59"/>
  <c r="E1318" i="59"/>
  <c r="E1317" i="59"/>
  <c r="E1316" i="59"/>
  <c r="E1315" i="59"/>
  <c r="E1314" i="59"/>
  <c r="E1313" i="59"/>
  <c r="E1312" i="59"/>
  <c r="E1311" i="59"/>
  <c r="E1310" i="59"/>
  <c r="E1309" i="59"/>
  <c r="E1308" i="59"/>
  <c r="E1307" i="59"/>
  <c r="E1306" i="59"/>
  <c r="E1305" i="59"/>
  <c r="E1304" i="59"/>
  <c r="E1303" i="59"/>
  <c r="E1302" i="59"/>
  <c r="E1301" i="59"/>
  <c r="E1300" i="59"/>
  <c r="E1299" i="59"/>
  <c r="E1298" i="59"/>
  <c r="E1297" i="59"/>
  <c r="E1296" i="59"/>
  <c r="E1295" i="59"/>
  <c r="E1294" i="59"/>
  <c r="E1293" i="59"/>
  <c r="E1292" i="59"/>
  <c r="E1291" i="59"/>
  <c r="E1290" i="59"/>
  <c r="E1289" i="59"/>
  <c r="E1288" i="59"/>
  <c r="E1287" i="59"/>
  <c r="E1286" i="59"/>
  <c r="E1285" i="59"/>
  <c r="E1284" i="59"/>
  <c r="E1283" i="59"/>
  <c r="E1282" i="59"/>
  <c r="E1281" i="59"/>
  <c r="E1280" i="59"/>
  <c r="E1279" i="59"/>
  <c r="E1278" i="59"/>
  <c r="E1277" i="59"/>
  <c r="E1276" i="59"/>
  <c r="E1275" i="59"/>
  <c r="E1274" i="59"/>
  <c r="E1273" i="59"/>
  <c r="E1272" i="59"/>
  <c r="E1271" i="59"/>
  <c r="E1270" i="59"/>
  <c r="E1269" i="59"/>
  <c r="E1268" i="59"/>
  <c r="E1267" i="59"/>
  <c r="E1266" i="59"/>
  <c r="E1265" i="59"/>
  <c r="E1264" i="59"/>
  <c r="E1263" i="59"/>
  <c r="E1262" i="59"/>
  <c r="E1261" i="59"/>
  <c r="E1260" i="59"/>
  <c r="E1259" i="59"/>
  <c r="E1258" i="59"/>
  <c r="E1257" i="59"/>
  <c r="E1256" i="59"/>
  <c r="E1255" i="59"/>
  <c r="E1254" i="59"/>
  <c r="E1253" i="59"/>
  <c r="E1252" i="59"/>
  <c r="E1251" i="59"/>
  <c r="E1250" i="59"/>
  <c r="E1249" i="59"/>
  <c r="E1248" i="59"/>
  <c r="E1247" i="59"/>
  <c r="E1246" i="59"/>
  <c r="E1245" i="59"/>
  <c r="E1244" i="59"/>
  <c r="E1243" i="59"/>
  <c r="E1242" i="59"/>
  <c r="E1241" i="59"/>
  <c r="E1240" i="59"/>
  <c r="E1239" i="59"/>
  <c r="E1238" i="59"/>
  <c r="E1237" i="59"/>
  <c r="E1236" i="59"/>
  <c r="E1235" i="59"/>
  <c r="E1234" i="59"/>
  <c r="E1233" i="59"/>
  <c r="E1232" i="59"/>
  <c r="E1231" i="59"/>
  <c r="E1230" i="59"/>
  <c r="E1229" i="59"/>
  <c r="E1228" i="59"/>
  <c r="E1227" i="59"/>
  <c r="E1226" i="59"/>
  <c r="E1225" i="59"/>
  <c r="E1224" i="59"/>
  <c r="E1223" i="59"/>
  <c r="E1222" i="59"/>
  <c r="E1221" i="59"/>
  <c r="E1220" i="59"/>
  <c r="E1219" i="59"/>
  <c r="E1218" i="59"/>
  <c r="E1217" i="59"/>
  <c r="E1216" i="59"/>
  <c r="E1215" i="59"/>
  <c r="E1214" i="59"/>
  <c r="E1213" i="59"/>
  <c r="E1212" i="59"/>
  <c r="E1211" i="59"/>
  <c r="E1210" i="59"/>
  <c r="E1209" i="59"/>
  <c r="E1208" i="59"/>
  <c r="E1207" i="59"/>
  <c r="E1206" i="59"/>
  <c r="E1205" i="59"/>
  <c r="E1204" i="59"/>
  <c r="E1203" i="59"/>
  <c r="E1202" i="59"/>
  <c r="E1201" i="59"/>
  <c r="E1200" i="59"/>
  <c r="E1199" i="59"/>
  <c r="E1198" i="59"/>
  <c r="E1197" i="59"/>
  <c r="E1196" i="59"/>
  <c r="E1195" i="59"/>
  <c r="E1194" i="59"/>
  <c r="E1193" i="59"/>
  <c r="E1192" i="59"/>
  <c r="E1191" i="59"/>
  <c r="E1190" i="59"/>
  <c r="E1189" i="59"/>
  <c r="E1188" i="59"/>
  <c r="E1187" i="59"/>
  <c r="E1186" i="59"/>
  <c r="E1185" i="59"/>
  <c r="E1184" i="59"/>
  <c r="E1183" i="59"/>
  <c r="E1182" i="59"/>
  <c r="E1181" i="59"/>
  <c r="E1180" i="59"/>
  <c r="E1179" i="59"/>
  <c r="E1178" i="59"/>
  <c r="E1177" i="59"/>
  <c r="E1176" i="59"/>
  <c r="E1175" i="59"/>
  <c r="E1174" i="59"/>
  <c r="E1173" i="59"/>
  <c r="E1172" i="59"/>
  <c r="E1171" i="59"/>
  <c r="E1170" i="59"/>
  <c r="E1169" i="59"/>
  <c r="E1168" i="59"/>
  <c r="E1167" i="59"/>
  <c r="E1166" i="59"/>
  <c r="E1165" i="59"/>
  <c r="E1164" i="59"/>
  <c r="E1163" i="59"/>
  <c r="E1162" i="59"/>
  <c r="E1161" i="59"/>
  <c r="E1160" i="59"/>
  <c r="E1159" i="59"/>
  <c r="E1158" i="59"/>
  <c r="E1157" i="59"/>
  <c r="E1156" i="59"/>
  <c r="E1155" i="59"/>
  <c r="E1154" i="59"/>
  <c r="E1153" i="59"/>
  <c r="E1152" i="59"/>
  <c r="E1151" i="59"/>
  <c r="E1150" i="59"/>
  <c r="E1149" i="59"/>
  <c r="E1148" i="59"/>
  <c r="E1147" i="59"/>
  <c r="E1146" i="59"/>
  <c r="E1145" i="59"/>
  <c r="E1144" i="59"/>
  <c r="E1143" i="59"/>
  <c r="E1142" i="59"/>
  <c r="E1141" i="59"/>
  <c r="E1140" i="59"/>
  <c r="E1139" i="59"/>
  <c r="E1138" i="59"/>
  <c r="E1137" i="59"/>
  <c r="E1136" i="59"/>
  <c r="E1135" i="59"/>
  <c r="E1134" i="59"/>
  <c r="E1133" i="59"/>
  <c r="E1132" i="59"/>
  <c r="E1131" i="59"/>
  <c r="E1130" i="59"/>
  <c r="E1129" i="59"/>
  <c r="E1128" i="59"/>
  <c r="E1127" i="59"/>
  <c r="E1126" i="59"/>
  <c r="E1125" i="59"/>
  <c r="E1124" i="59"/>
  <c r="E1123" i="59"/>
  <c r="E1122" i="59"/>
  <c r="E1121" i="59"/>
  <c r="E1120" i="59"/>
  <c r="E1119" i="59"/>
  <c r="E1118" i="59"/>
  <c r="E1117" i="59"/>
  <c r="E1116" i="59"/>
  <c r="E1115" i="59"/>
  <c r="E1114" i="59"/>
  <c r="E1113" i="59"/>
  <c r="E1112" i="59"/>
  <c r="E1111" i="59"/>
  <c r="E1110" i="59"/>
  <c r="E1109" i="59"/>
  <c r="E1108" i="59"/>
  <c r="E1107" i="59"/>
  <c r="E1106" i="59"/>
  <c r="E1105" i="59"/>
  <c r="E1104" i="59"/>
  <c r="E1103" i="59"/>
  <c r="E1102" i="59"/>
  <c r="E1101" i="59"/>
  <c r="E1100" i="59"/>
  <c r="E1099" i="59"/>
  <c r="E1098" i="59"/>
  <c r="E1097" i="59"/>
  <c r="E1096" i="59"/>
  <c r="E1095" i="59"/>
  <c r="E1094" i="59"/>
  <c r="E1093" i="59"/>
  <c r="E1092" i="59"/>
  <c r="E1091" i="59"/>
  <c r="E1090" i="59"/>
  <c r="E1089" i="59"/>
  <c r="E1088" i="59"/>
  <c r="E1087" i="59"/>
  <c r="E1086" i="59"/>
  <c r="E1085" i="59"/>
  <c r="E1084" i="59"/>
  <c r="E1083" i="59"/>
  <c r="E1082" i="59"/>
  <c r="E1081" i="59"/>
  <c r="E1080" i="59"/>
  <c r="E1079" i="59"/>
  <c r="E1078" i="59"/>
  <c r="E1077" i="59"/>
  <c r="E1076" i="59"/>
  <c r="E1075" i="59"/>
  <c r="E1074" i="59"/>
  <c r="E1073" i="59"/>
  <c r="E1072" i="59"/>
  <c r="E1071" i="59"/>
  <c r="E1070" i="59"/>
  <c r="E1069" i="59"/>
  <c r="E1068" i="59"/>
  <c r="E1067" i="59"/>
  <c r="E1066" i="59"/>
  <c r="E1065" i="59"/>
  <c r="E1064" i="59"/>
  <c r="E1063" i="59"/>
  <c r="E1062" i="59"/>
  <c r="E1061" i="59"/>
  <c r="E1060" i="59"/>
  <c r="E1059" i="59"/>
  <c r="E1058" i="59"/>
  <c r="E1057" i="59"/>
  <c r="E1056" i="59"/>
  <c r="E1055" i="59"/>
  <c r="E1054" i="59"/>
  <c r="E1053" i="59"/>
  <c r="E1052" i="59"/>
  <c r="E1051" i="59"/>
  <c r="E1050" i="59"/>
  <c r="E1049" i="59"/>
  <c r="E1048" i="59"/>
  <c r="E1047" i="59"/>
  <c r="E1046" i="59"/>
  <c r="E1045" i="59"/>
  <c r="E1044" i="59"/>
  <c r="E1043" i="59"/>
  <c r="E1042" i="59"/>
  <c r="E1041" i="59"/>
  <c r="E1040" i="59"/>
  <c r="E1039" i="59"/>
  <c r="E1038" i="59"/>
  <c r="E1037" i="59"/>
  <c r="E1036" i="59"/>
  <c r="E1035" i="59"/>
  <c r="E1034" i="59"/>
  <c r="E1033" i="59"/>
  <c r="E1032" i="59"/>
  <c r="E1031" i="59"/>
  <c r="E1030" i="59"/>
  <c r="E1029" i="59"/>
  <c r="E1028" i="59"/>
  <c r="E1027" i="59"/>
  <c r="E1026" i="59"/>
  <c r="E1025" i="59"/>
  <c r="E1024" i="59"/>
  <c r="E1023" i="59"/>
  <c r="E1022" i="59"/>
  <c r="E1021" i="59"/>
  <c r="E1020" i="59"/>
  <c r="E1019" i="59"/>
  <c r="E1018" i="59"/>
  <c r="E1017" i="59"/>
  <c r="E1016" i="59"/>
  <c r="E1015" i="59"/>
  <c r="E1014" i="59"/>
  <c r="E1013" i="59"/>
  <c r="E1012" i="59"/>
  <c r="E1011" i="59"/>
  <c r="E1010" i="59"/>
  <c r="E1009" i="59"/>
  <c r="E1008" i="59"/>
  <c r="E1007" i="59"/>
  <c r="E1006" i="59"/>
  <c r="E1005" i="59"/>
  <c r="E1004" i="59"/>
  <c r="E1003" i="59"/>
  <c r="E1002" i="59"/>
  <c r="E1001" i="59"/>
  <c r="E1000" i="59"/>
  <c r="E999" i="59"/>
  <c r="E998" i="59"/>
  <c r="E997" i="59"/>
  <c r="E996" i="59"/>
  <c r="E995" i="59"/>
  <c r="E994" i="59"/>
  <c r="E993" i="59"/>
  <c r="E992" i="59"/>
  <c r="E991" i="59"/>
  <c r="E990" i="59"/>
  <c r="E989" i="59"/>
  <c r="E988" i="59"/>
  <c r="E987" i="59"/>
  <c r="E986" i="59"/>
  <c r="E985" i="59"/>
  <c r="E984" i="59"/>
  <c r="E983" i="59"/>
  <c r="E982" i="59"/>
  <c r="E981" i="59"/>
  <c r="E980" i="59"/>
  <c r="E979" i="59"/>
  <c r="E978" i="59"/>
  <c r="E977" i="59"/>
  <c r="E976" i="59"/>
  <c r="E975" i="59"/>
  <c r="E974" i="59"/>
  <c r="E973" i="59"/>
  <c r="E972" i="59"/>
  <c r="E971" i="59"/>
  <c r="E970" i="59"/>
  <c r="E969" i="59"/>
  <c r="E968" i="59"/>
  <c r="E967" i="59"/>
  <c r="E966" i="59"/>
  <c r="E965" i="59"/>
  <c r="E964" i="59"/>
  <c r="E963" i="59"/>
  <c r="E962" i="59"/>
  <c r="E961" i="59"/>
  <c r="E960" i="59"/>
  <c r="E959" i="59"/>
  <c r="E958" i="59"/>
  <c r="E957" i="59"/>
  <c r="E956" i="59"/>
  <c r="E955" i="59"/>
  <c r="E954" i="59"/>
  <c r="E953" i="59"/>
  <c r="E952" i="59"/>
  <c r="E951" i="59"/>
  <c r="E950" i="59"/>
  <c r="E949" i="59"/>
  <c r="E948" i="59"/>
  <c r="E947" i="59"/>
  <c r="E946" i="59"/>
  <c r="E945" i="59"/>
  <c r="E944" i="59"/>
  <c r="E943" i="59"/>
  <c r="E942" i="59"/>
  <c r="E941" i="59"/>
  <c r="E940" i="59"/>
  <c r="E939" i="59"/>
  <c r="E938" i="59"/>
  <c r="E937" i="59"/>
  <c r="E936" i="59"/>
  <c r="E935" i="59"/>
  <c r="E934" i="59"/>
  <c r="E933" i="59"/>
  <c r="E932" i="59"/>
  <c r="E931" i="59"/>
  <c r="E930" i="59"/>
  <c r="E929" i="59"/>
  <c r="E928" i="59"/>
  <c r="E927" i="59"/>
  <c r="E926" i="59"/>
  <c r="E925" i="59"/>
  <c r="E924" i="59"/>
  <c r="E923" i="59"/>
  <c r="E922" i="59"/>
  <c r="E921" i="59"/>
  <c r="E920" i="59"/>
  <c r="E919" i="59"/>
  <c r="E918" i="59"/>
  <c r="E917" i="59"/>
  <c r="E916" i="59"/>
  <c r="E915" i="59"/>
  <c r="E914" i="59"/>
  <c r="E913" i="59"/>
  <c r="E912" i="59"/>
  <c r="E911" i="59"/>
  <c r="E910" i="59"/>
  <c r="E909" i="59"/>
  <c r="E908" i="59"/>
  <c r="E907" i="59"/>
  <c r="E906" i="59"/>
  <c r="E905" i="59"/>
  <c r="E904" i="59"/>
  <c r="E903" i="59"/>
  <c r="E902" i="59"/>
  <c r="E901" i="59"/>
  <c r="E900" i="59"/>
  <c r="E899" i="59"/>
  <c r="E898" i="59"/>
  <c r="E897" i="59"/>
  <c r="E896" i="59"/>
  <c r="E895" i="59"/>
  <c r="E894" i="59"/>
  <c r="E893" i="59"/>
  <c r="E892" i="59"/>
  <c r="E891" i="59"/>
  <c r="E890" i="59"/>
  <c r="E889" i="59"/>
  <c r="E888" i="59"/>
  <c r="E887" i="59"/>
  <c r="E886" i="59"/>
  <c r="E885" i="59"/>
  <c r="E884" i="59"/>
  <c r="E883" i="59"/>
  <c r="E882" i="59"/>
  <c r="E881" i="59"/>
  <c r="E880" i="59"/>
  <c r="E879" i="59"/>
  <c r="E878" i="59"/>
  <c r="E877" i="59"/>
  <c r="E876" i="59"/>
  <c r="E875" i="59"/>
  <c r="E874" i="59"/>
  <c r="E873" i="59"/>
  <c r="E872" i="59"/>
  <c r="E871" i="59"/>
  <c r="E870" i="59"/>
  <c r="E869" i="59"/>
  <c r="E868" i="59"/>
  <c r="E867" i="59"/>
  <c r="E866" i="59"/>
  <c r="E865" i="59"/>
  <c r="E864" i="59"/>
  <c r="E863" i="59"/>
  <c r="E862" i="59"/>
  <c r="E861" i="59"/>
  <c r="E860" i="59"/>
  <c r="E859" i="59"/>
  <c r="E858" i="59"/>
  <c r="E857" i="59"/>
  <c r="E856" i="59"/>
  <c r="E855" i="59"/>
  <c r="E854" i="59"/>
  <c r="E853" i="59"/>
  <c r="E852" i="59"/>
  <c r="E851" i="59"/>
  <c r="E850" i="59"/>
  <c r="E849" i="59"/>
  <c r="E848" i="59"/>
  <c r="E847" i="59"/>
  <c r="E846" i="59"/>
  <c r="E845" i="59"/>
  <c r="E844" i="59"/>
  <c r="E843" i="59"/>
  <c r="E842" i="59"/>
  <c r="E841" i="59"/>
  <c r="E840" i="59"/>
  <c r="E839" i="59"/>
  <c r="E838" i="59"/>
  <c r="E837" i="59"/>
  <c r="E836" i="59"/>
  <c r="E835" i="59"/>
  <c r="E834" i="59"/>
  <c r="E833" i="59"/>
  <c r="E832" i="59"/>
  <c r="E831" i="59"/>
  <c r="E830" i="59"/>
  <c r="E829" i="59"/>
  <c r="E828" i="59"/>
  <c r="E827" i="59"/>
  <c r="E826" i="59"/>
  <c r="E825" i="59"/>
  <c r="E824" i="59"/>
  <c r="E823" i="59"/>
  <c r="E822" i="59"/>
  <c r="E821" i="59"/>
  <c r="E820" i="59"/>
  <c r="E819" i="59"/>
  <c r="E818" i="59"/>
  <c r="E817" i="59"/>
  <c r="E816" i="59"/>
  <c r="E815" i="59"/>
  <c r="E814" i="59"/>
  <c r="E813" i="59"/>
  <c r="E812" i="59"/>
  <c r="E811" i="59"/>
  <c r="E810" i="59"/>
  <c r="E809" i="59"/>
  <c r="E808" i="59"/>
  <c r="E807" i="59"/>
  <c r="E806" i="59"/>
  <c r="E805" i="59"/>
  <c r="E804" i="59"/>
  <c r="E803" i="59"/>
  <c r="E802" i="59"/>
  <c r="E801" i="59"/>
  <c r="E800" i="59"/>
  <c r="E799" i="59"/>
  <c r="E798" i="59"/>
  <c r="E797" i="59"/>
  <c r="E796" i="59"/>
  <c r="E795" i="59"/>
  <c r="E794" i="59"/>
  <c r="E793" i="59"/>
  <c r="E792" i="59"/>
  <c r="E791" i="59"/>
  <c r="E790" i="59"/>
  <c r="E789" i="59"/>
  <c r="E788" i="59"/>
  <c r="E787" i="59"/>
  <c r="E786" i="59"/>
  <c r="E785" i="59"/>
  <c r="E784" i="59"/>
  <c r="E783" i="59"/>
  <c r="E782" i="59"/>
  <c r="E781" i="59"/>
  <c r="E780" i="59"/>
  <c r="E779" i="59"/>
  <c r="E778" i="59"/>
  <c r="E777" i="59"/>
  <c r="E776" i="59"/>
  <c r="E775" i="59"/>
  <c r="E774" i="59"/>
  <c r="E773" i="59"/>
  <c r="E772" i="59"/>
  <c r="E771" i="59"/>
  <c r="E770" i="59"/>
  <c r="E769" i="59"/>
  <c r="E768" i="59"/>
  <c r="E767" i="59"/>
  <c r="E766" i="59"/>
  <c r="E765" i="59"/>
  <c r="E764" i="59"/>
  <c r="E763" i="59"/>
  <c r="E762" i="59"/>
  <c r="E761" i="59"/>
  <c r="E760" i="59"/>
  <c r="E759" i="59"/>
  <c r="E758" i="59"/>
  <c r="E757" i="59"/>
  <c r="E756" i="59"/>
  <c r="E755" i="59"/>
  <c r="E754" i="59"/>
  <c r="E753" i="59"/>
  <c r="E752" i="59"/>
  <c r="E751" i="59"/>
  <c r="E750" i="59"/>
  <c r="E749" i="59"/>
  <c r="E748" i="59"/>
  <c r="E747" i="59"/>
  <c r="E746" i="59"/>
  <c r="E745" i="59"/>
  <c r="E744" i="59"/>
  <c r="E743" i="59"/>
  <c r="E742" i="59"/>
  <c r="E741" i="59"/>
  <c r="E740" i="59"/>
  <c r="E739" i="59"/>
  <c r="E738" i="59"/>
  <c r="E737" i="59"/>
  <c r="E736" i="59"/>
  <c r="E735" i="59"/>
  <c r="E734" i="59"/>
  <c r="E733" i="59"/>
  <c r="E732" i="59"/>
  <c r="E731" i="59"/>
  <c r="E730" i="59"/>
  <c r="E729" i="59"/>
  <c r="E728" i="59"/>
  <c r="E727" i="59"/>
  <c r="E726" i="59"/>
  <c r="E725" i="59"/>
  <c r="E724" i="59"/>
  <c r="E723" i="59"/>
  <c r="E722" i="59"/>
  <c r="E721" i="59"/>
  <c r="E720" i="59"/>
  <c r="E719" i="59"/>
  <c r="E718" i="59"/>
  <c r="E717" i="59"/>
  <c r="E716" i="59"/>
  <c r="E715" i="59"/>
  <c r="E714" i="59"/>
  <c r="E713" i="59"/>
  <c r="E712" i="59"/>
  <c r="E711" i="59"/>
  <c r="E710" i="59"/>
  <c r="E709" i="59"/>
  <c r="E708" i="59"/>
  <c r="E707" i="59"/>
  <c r="E706" i="59"/>
  <c r="E705" i="59"/>
  <c r="E704" i="59"/>
  <c r="E703" i="59"/>
  <c r="E702" i="59"/>
  <c r="E701" i="59"/>
  <c r="E700" i="59"/>
  <c r="E699" i="59"/>
  <c r="E698" i="59"/>
  <c r="E697" i="59"/>
  <c r="E696" i="59"/>
  <c r="E695" i="59"/>
  <c r="E694" i="59"/>
  <c r="E693" i="59"/>
  <c r="E692" i="59"/>
  <c r="E691" i="59"/>
  <c r="E690" i="59"/>
  <c r="E689" i="59"/>
  <c r="E688" i="59"/>
  <c r="E687" i="59"/>
  <c r="E686" i="59"/>
  <c r="E685" i="59"/>
  <c r="E684" i="59"/>
  <c r="E683" i="59"/>
  <c r="E682" i="59"/>
  <c r="E681" i="59"/>
  <c r="E680" i="59"/>
  <c r="E679" i="59"/>
  <c r="E678" i="59"/>
  <c r="E677" i="59"/>
  <c r="E676" i="59"/>
  <c r="E675" i="59"/>
  <c r="E674" i="59"/>
  <c r="E673" i="59"/>
  <c r="E672" i="59"/>
  <c r="E671" i="59"/>
  <c r="E670" i="59"/>
  <c r="E669" i="59"/>
  <c r="E668" i="59"/>
  <c r="E667" i="59"/>
  <c r="E666" i="59"/>
  <c r="E665" i="59"/>
  <c r="E664" i="59"/>
  <c r="E663" i="59"/>
  <c r="E662" i="59"/>
  <c r="E661" i="59"/>
  <c r="E660" i="59"/>
  <c r="E659" i="59"/>
  <c r="E658" i="59"/>
  <c r="E657" i="59"/>
  <c r="E656" i="59"/>
  <c r="E655" i="59"/>
  <c r="E654" i="59"/>
  <c r="E653" i="59"/>
  <c r="E652" i="59"/>
  <c r="E651" i="59"/>
  <c r="E650" i="59"/>
  <c r="E649" i="59"/>
  <c r="E648" i="59"/>
  <c r="E647" i="59"/>
  <c r="E646" i="59"/>
  <c r="E645" i="59"/>
  <c r="E644" i="59"/>
  <c r="E643" i="59"/>
  <c r="E642" i="59"/>
  <c r="E641" i="59"/>
  <c r="E640" i="59"/>
  <c r="E639" i="59"/>
  <c r="E638" i="59"/>
  <c r="E637" i="59"/>
  <c r="E636" i="59"/>
  <c r="E635" i="59"/>
  <c r="E634" i="59"/>
  <c r="E633" i="59"/>
  <c r="E632" i="59"/>
  <c r="E631" i="59"/>
  <c r="E630" i="59"/>
  <c r="E629" i="59"/>
  <c r="E628" i="59"/>
  <c r="E627" i="59"/>
  <c r="E626" i="59"/>
  <c r="E625" i="59"/>
  <c r="E624" i="59"/>
  <c r="E623" i="59"/>
  <c r="E622" i="59"/>
  <c r="E621" i="59"/>
  <c r="E620" i="59"/>
  <c r="E619" i="59"/>
  <c r="E618" i="59"/>
  <c r="E617" i="59"/>
  <c r="E616" i="59"/>
  <c r="E615" i="59"/>
  <c r="E614" i="59"/>
  <c r="E613" i="59"/>
  <c r="E612" i="59"/>
  <c r="E611" i="59"/>
  <c r="E610" i="59"/>
  <c r="E609" i="59"/>
  <c r="E608" i="59"/>
  <c r="E607" i="59"/>
  <c r="E606" i="59"/>
  <c r="E605" i="59"/>
  <c r="E604" i="59"/>
  <c r="E603" i="59"/>
  <c r="E602" i="59"/>
  <c r="E601" i="59"/>
  <c r="E600" i="59"/>
  <c r="E599" i="59"/>
  <c r="E598" i="59"/>
  <c r="E597" i="59"/>
  <c r="E596" i="59"/>
  <c r="E595" i="59"/>
  <c r="E594" i="59"/>
  <c r="E593" i="59"/>
  <c r="E592" i="59"/>
  <c r="E591" i="59"/>
  <c r="E590" i="59"/>
  <c r="E589" i="59"/>
  <c r="E588" i="59"/>
  <c r="E587" i="59"/>
  <c r="E586" i="59"/>
  <c r="E585" i="59"/>
  <c r="E584" i="59"/>
  <c r="E583" i="59"/>
  <c r="E582" i="59"/>
  <c r="E581" i="59"/>
  <c r="E580" i="59"/>
  <c r="E579" i="59"/>
  <c r="E578" i="59"/>
  <c r="E577" i="59"/>
  <c r="E576" i="59"/>
  <c r="E575" i="59"/>
  <c r="E574" i="59"/>
  <c r="E573" i="59"/>
  <c r="E572" i="59"/>
  <c r="E571" i="59"/>
  <c r="E570" i="59"/>
  <c r="E569" i="59"/>
  <c r="E568" i="59"/>
  <c r="E567" i="59"/>
  <c r="E566" i="59"/>
  <c r="E565" i="59"/>
  <c r="E564" i="59"/>
  <c r="E563" i="59"/>
  <c r="E562" i="59"/>
  <c r="E561" i="59"/>
  <c r="E560" i="59"/>
  <c r="E559" i="59"/>
  <c r="E558" i="59"/>
  <c r="E557" i="59"/>
  <c r="E556" i="59"/>
  <c r="E555" i="59"/>
  <c r="E554" i="59"/>
  <c r="E553" i="59"/>
  <c r="E552" i="59"/>
  <c r="E551" i="59"/>
  <c r="E550" i="59"/>
  <c r="E549" i="59"/>
  <c r="E548" i="59"/>
  <c r="E547" i="59"/>
  <c r="E546" i="59"/>
  <c r="E545" i="59"/>
  <c r="E544" i="59"/>
  <c r="E543" i="59"/>
  <c r="E542" i="59"/>
  <c r="E541" i="59"/>
  <c r="E540" i="59"/>
  <c r="E539" i="59"/>
  <c r="E538" i="59"/>
  <c r="E537" i="59"/>
  <c r="E536" i="59"/>
  <c r="E535" i="59"/>
  <c r="E534" i="59"/>
  <c r="E533" i="59"/>
  <c r="E532" i="59"/>
  <c r="E531" i="59"/>
  <c r="E530" i="59"/>
  <c r="E529" i="59"/>
  <c r="E528" i="59"/>
  <c r="E527" i="59"/>
  <c r="E526" i="59"/>
  <c r="E525" i="59"/>
  <c r="E524" i="59"/>
  <c r="E523" i="59"/>
  <c r="E522" i="59"/>
  <c r="E521" i="59"/>
  <c r="E520" i="59"/>
  <c r="E519" i="59"/>
  <c r="E518" i="59"/>
  <c r="E517" i="59"/>
  <c r="E516" i="59"/>
  <c r="E515" i="59"/>
  <c r="E514" i="59"/>
  <c r="E513" i="59"/>
  <c r="E512" i="59"/>
  <c r="E511" i="59"/>
  <c r="E510" i="59"/>
  <c r="E509" i="59"/>
  <c r="E508" i="59"/>
  <c r="E507" i="59"/>
  <c r="E506" i="59"/>
  <c r="E505" i="59"/>
  <c r="E504" i="59"/>
  <c r="E503" i="59"/>
  <c r="E502" i="59"/>
  <c r="E501" i="59"/>
  <c r="E500" i="59"/>
  <c r="E499" i="59"/>
  <c r="E498" i="59"/>
  <c r="E497" i="59"/>
  <c r="E496" i="59"/>
  <c r="E495" i="59"/>
  <c r="E494" i="59"/>
  <c r="E493" i="59"/>
  <c r="E492" i="59"/>
  <c r="E491" i="59"/>
  <c r="E490" i="59"/>
  <c r="E489" i="59"/>
  <c r="E488" i="59"/>
  <c r="E487" i="59"/>
  <c r="E486" i="59"/>
  <c r="E485" i="59"/>
  <c r="E484" i="59"/>
  <c r="E483" i="59"/>
  <c r="E482" i="59"/>
  <c r="E481" i="59"/>
  <c r="E480" i="59"/>
  <c r="E479" i="59"/>
  <c r="E478" i="59"/>
  <c r="E477" i="59"/>
  <c r="E476" i="59"/>
  <c r="E475" i="59"/>
  <c r="E474" i="59"/>
  <c r="E473" i="59"/>
  <c r="E472" i="59"/>
  <c r="E471" i="59"/>
  <c r="E470" i="59"/>
  <c r="E469" i="59"/>
  <c r="E468" i="59"/>
  <c r="E467" i="59"/>
  <c r="E466" i="59"/>
  <c r="E465" i="59"/>
  <c r="E464" i="59"/>
  <c r="E463" i="59"/>
  <c r="E462" i="59"/>
  <c r="E461" i="59"/>
  <c r="E460" i="59"/>
  <c r="E459" i="59"/>
  <c r="E458" i="59"/>
  <c r="E457" i="59"/>
  <c r="E456" i="59"/>
  <c r="E455" i="59"/>
  <c r="E454" i="59"/>
  <c r="E453" i="59"/>
  <c r="E452" i="59"/>
  <c r="E451" i="59"/>
  <c r="E450" i="59"/>
  <c r="E449" i="59"/>
  <c r="E448" i="59"/>
  <c r="E447" i="59"/>
  <c r="E446" i="59"/>
  <c r="E445" i="59"/>
  <c r="E444" i="59"/>
  <c r="E443" i="59"/>
  <c r="E442" i="59"/>
  <c r="E441" i="59"/>
  <c r="E440" i="59"/>
  <c r="E439" i="59"/>
  <c r="E438" i="59"/>
  <c r="E437" i="59"/>
  <c r="E436" i="59"/>
  <c r="E435" i="59"/>
  <c r="E434" i="59"/>
  <c r="E433" i="59"/>
  <c r="E432" i="59"/>
  <c r="E431" i="59"/>
  <c r="E430" i="59"/>
  <c r="E429" i="59"/>
  <c r="E428" i="59"/>
  <c r="E427" i="59"/>
  <c r="E426" i="59"/>
  <c r="E425" i="59"/>
  <c r="E424" i="59"/>
  <c r="E423" i="59"/>
  <c r="E422" i="59"/>
  <c r="E421" i="59"/>
  <c r="E420" i="59"/>
  <c r="E419" i="59"/>
  <c r="E418" i="59"/>
  <c r="E417" i="59"/>
  <c r="E416" i="59"/>
  <c r="E415" i="59"/>
  <c r="E414" i="59"/>
  <c r="E413" i="59"/>
  <c r="E412" i="59"/>
  <c r="E411" i="59"/>
  <c r="E410" i="59"/>
  <c r="E409" i="59"/>
  <c r="E408" i="59"/>
  <c r="E407" i="59"/>
  <c r="E406" i="59"/>
  <c r="E405" i="59"/>
  <c r="E404" i="59"/>
  <c r="E403" i="59"/>
  <c r="E402" i="59"/>
  <c r="E401" i="59"/>
  <c r="E400" i="59"/>
  <c r="E399" i="59"/>
  <c r="E398" i="59"/>
  <c r="E397" i="59"/>
  <c r="E396" i="59"/>
  <c r="E395" i="59"/>
  <c r="E394" i="59"/>
  <c r="E393" i="59"/>
  <c r="E392" i="59"/>
  <c r="E391" i="59"/>
  <c r="E390" i="59"/>
  <c r="E389" i="59"/>
  <c r="E388" i="59"/>
  <c r="E387" i="59"/>
  <c r="E386" i="59"/>
  <c r="E385" i="59"/>
  <c r="E384" i="59"/>
  <c r="E383" i="59"/>
  <c r="E382" i="59"/>
  <c r="E381" i="59"/>
  <c r="E380" i="59"/>
  <c r="E379" i="59"/>
  <c r="E378" i="59"/>
  <c r="E377" i="59"/>
  <c r="E376" i="59"/>
  <c r="E375" i="59"/>
  <c r="E374" i="59"/>
  <c r="E373" i="59"/>
  <c r="E372" i="59"/>
  <c r="E371" i="59"/>
  <c r="E370" i="59"/>
  <c r="E369" i="59"/>
  <c r="E368" i="59"/>
  <c r="E367" i="59"/>
  <c r="E366" i="59"/>
  <c r="E365" i="59"/>
  <c r="E364" i="59"/>
  <c r="E363" i="59"/>
  <c r="E362" i="59"/>
  <c r="E361" i="59"/>
  <c r="E360" i="59"/>
  <c r="E359" i="59"/>
  <c r="E358" i="59"/>
  <c r="E357" i="59"/>
  <c r="E356" i="59"/>
  <c r="E355" i="59"/>
  <c r="E354" i="59"/>
  <c r="E353" i="59"/>
  <c r="E352" i="59"/>
  <c r="E351" i="59"/>
  <c r="E350" i="59"/>
  <c r="E349" i="59"/>
  <c r="E348" i="59"/>
  <c r="E347" i="59"/>
  <c r="E346" i="59"/>
  <c r="E345" i="59"/>
  <c r="E344" i="59"/>
  <c r="E343" i="59"/>
  <c r="E342" i="59"/>
  <c r="E341" i="59"/>
  <c r="E340" i="59"/>
  <c r="E339" i="59"/>
  <c r="E338" i="59"/>
  <c r="E337" i="59"/>
  <c r="E336" i="59"/>
  <c r="E335" i="59"/>
  <c r="E334" i="59"/>
  <c r="E333" i="59"/>
  <c r="E332" i="59"/>
  <c r="E331" i="59"/>
  <c r="E330" i="59"/>
  <c r="E329" i="59"/>
  <c r="E328" i="59"/>
  <c r="E327" i="59"/>
  <c r="E326" i="59"/>
  <c r="E325" i="59"/>
  <c r="E324" i="59"/>
  <c r="E323" i="59"/>
  <c r="E322" i="59"/>
  <c r="E321" i="59"/>
  <c r="E320" i="59"/>
  <c r="E319" i="59"/>
  <c r="E318" i="59"/>
  <c r="E317" i="59"/>
  <c r="E316" i="59"/>
  <c r="E315" i="59"/>
  <c r="E314" i="59"/>
  <c r="E313" i="59"/>
  <c r="E312" i="59"/>
  <c r="E311" i="59"/>
  <c r="E310" i="59"/>
  <c r="E309" i="59"/>
  <c r="E308" i="59"/>
  <c r="E307" i="59"/>
  <c r="E306" i="59"/>
  <c r="E305" i="59"/>
  <c r="E304" i="59"/>
  <c r="E303" i="59"/>
  <c r="E302" i="59"/>
  <c r="E301" i="59"/>
  <c r="E300" i="59"/>
  <c r="E299" i="59"/>
  <c r="E298" i="59"/>
  <c r="E297" i="59"/>
  <c r="E296" i="59"/>
  <c r="E295" i="59"/>
  <c r="E294" i="59"/>
  <c r="E293" i="59"/>
  <c r="E292" i="59"/>
  <c r="E291" i="59"/>
  <c r="E290" i="59"/>
  <c r="E289" i="59"/>
  <c r="E288" i="59"/>
  <c r="E287" i="59"/>
  <c r="E286" i="59"/>
  <c r="E285" i="59"/>
  <c r="E284" i="59"/>
  <c r="E283" i="59"/>
  <c r="E282" i="59"/>
  <c r="E281" i="59"/>
  <c r="E280" i="59"/>
  <c r="E279" i="59"/>
  <c r="E278" i="59"/>
  <c r="E277" i="59"/>
  <c r="E276" i="59"/>
  <c r="E275" i="59"/>
  <c r="E274" i="59"/>
  <c r="E273" i="59"/>
  <c r="E272" i="59"/>
  <c r="E271" i="59"/>
  <c r="E270" i="59"/>
  <c r="E269" i="59"/>
  <c r="E268" i="59"/>
  <c r="E267" i="59"/>
  <c r="E266" i="59"/>
  <c r="E265" i="59"/>
  <c r="E264" i="59"/>
  <c r="E263" i="59"/>
  <c r="E262" i="59"/>
  <c r="E261" i="59"/>
  <c r="E260" i="59"/>
  <c r="E259" i="59"/>
  <c r="E258" i="59"/>
  <c r="E257" i="59"/>
  <c r="E256" i="59"/>
  <c r="E255" i="59"/>
  <c r="E254" i="59"/>
  <c r="E253" i="59"/>
  <c r="E252" i="59"/>
  <c r="E251" i="59"/>
  <c r="E250" i="59"/>
  <c r="E249" i="59"/>
  <c r="E248" i="59"/>
  <c r="E247" i="59"/>
  <c r="E246" i="59"/>
  <c r="E245" i="59"/>
  <c r="E244" i="59"/>
  <c r="E243" i="59"/>
  <c r="E242" i="59"/>
  <c r="E241" i="59"/>
  <c r="E240" i="59"/>
  <c r="E239" i="59"/>
  <c r="E238" i="59"/>
  <c r="E237" i="59"/>
  <c r="E236" i="59"/>
  <c r="E235" i="59"/>
  <c r="E234" i="59"/>
  <c r="E233" i="59"/>
  <c r="E232" i="59"/>
  <c r="E231" i="59"/>
  <c r="E230" i="59"/>
  <c r="E229" i="59"/>
  <c r="E228" i="59"/>
  <c r="E227" i="59"/>
  <c r="E226" i="59"/>
  <c r="E225" i="59"/>
  <c r="E224" i="59"/>
  <c r="E223" i="59"/>
  <c r="E222" i="59"/>
  <c r="E221" i="59"/>
  <c r="E220" i="59"/>
  <c r="E219" i="59"/>
  <c r="E218" i="59"/>
  <c r="E217" i="59"/>
  <c r="E216" i="59"/>
  <c r="E215" i="59"/>
  <c r="E214" i="59"/>
  <c r="E213" i="59"/>
  <c r="E212" i="59"/>
  <c r="E211" i="59"/>
  <c r="E210" i="59"/>
  <c r="E209" i="59"/>
  <c r="E208" i="59"/>
  <c r="E207" i="59"/>
  <c r="E206" i="59"/>
  <c r="E205" i="59"/>
  <c r="E204" i="59"/>
  <c r="E203" i="59"/>
  <c r="E202" i="59"/>
  <c r="E201" i="59"/>
  <c r="E200" i="59"/>
  <c r="E199" i="59"/>
  <c r="E198" i="59"/>
  <c r="E197" i="59"/>
  <c r="E196" i="59"/>
  <c r="E195" i="59"/>
  <c r="E194" i="59"/>
  <c r="E193" i="59"/>
  <c r="E192" i="59"/>
  <c r="E191" i="59"/>
  <c r="E190" i="59"/>
  <c r="E189" i="59"/>
  <c r="E188" i="59"/>
  <c r="E187" i="59"/>
  <c r="E186" i="59"/>
  <c r="E185" i="59"/>
  <c r="E184" i="59"/>
  <c r="E183" i="59"/>
  <c r="E182" i="59"/>
  <c r="E181" i="59"/>
  <c r="E180" i="59"/>
  <c r="E179" i="59"/>
  <c r="E178" i="59"/>
  <c r="E177" i="59"/>
  <c r="E176" i="59"/>
  <c r="E175" i="59"/>
  <c r="E174" i="59"/>
  <c r="E173" i="59"/>
  <c r="E172" i="59"/>
  <c r="E171" i="59"/>
  <c r="E170" i="59"/>
  <c r="E169" i="59"/>
  <c r="E168" i="59"/>
  <c r="E167" i="59"/>
  <c r="E166" i="59"/>
  <c r="E165" i="59"/>
  <c r="E164" i="59"/>
  <c r="E163" i="59"/>
  <c r="E162" i="59"/>
  <c r="E161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E116" i="59"/>
  <c r="E115" i="59"/>
  <c r="E114" i="59"/>
  <c r="E113" i="59"/>
  <c r="E112" i="59"/>
  <c r="E111" i="59"/>
  <c r="E110" i="59"/>
  <c r="E109" i="59"/>
  <c r="E108" i="59"/>
  <c r="E107" i="59"/>
  <c r="E106" i="59"/>
  <c r="E105" i="59"/>
  <c r="E104" i="59"/>
  <c r="E103" i="59"/>
  <c r="E102" i="59"/>
  <c r="E101" i="59"/>
  <c r="E100" i="59"/>
  <c r="E99" i="59"/>
  <c r="E98" i="59"/>
  <c r="E97" i="59"/>
  <c r="E96" i="59"/>
  <c r="E95" i="59"/>
  <c r="E94" i="59"/>
  <c r="E93" i="59"/>
  <c r="E92" i="59"/>
  <c r="E91" i="59"/>
  <c r="E90" i="59"/>
  <c r="E89" i="59"/>
  <c r="E88" i="59"/>
  <c r="E87" i="59"/>
  <c r="E86" i="59"/>
  <c r="E85" i="59"/>
  <c r="E84" i="59"/>
  <c r="E83" i="59"/>
  <c r="E82" i="59"/>
  <c r="E81" i="59"/>
  <c r="E80" i="59"/>
  <c r="E79" i="59"/>
  <c r="E78" i="59"/>
  <c r="E77" i="59"/>
  <c r="E76" i="59"/>
  <c r="E75" i="59"/>
  <c r="E74" i="59"/>
  <c r="E73" i="59"/>
  <c r="E72" i="59"/>
  <c r="E71" i="59"/>
  <c r="E70" i="59"/>
  <c r="E69" i="59"/>
  <c r="E68" i="59"/>
  <c r="E67" i="59"/>
  <c r="E66" i="59"/>
  <c r="E65" i="59"/>
  <c r="E64" i="59"/>
  <c r="E63" i="59"/>
  <c r="E62" i="59"/>
  <c r="E61" i="59"/>
  <c r="E60" i="59"/>
  <c r="E59" i="59"/>
  <c r="E58" i="59"/>
  <c r="E57" i="59"/>
  <c r="E56" i="59"/>
  <c r="E55" i="59"/>
  <c r="E54" i="59"/>
  <c r="E53" i="59"/>
  <c r="E52" i="59"/>
  <c r="E51" i="59"/>
  <c r="E50" i="59"/>
  <c r="E49" i="59"/>
  <c r="E48" i="59"/>
  <c r="E47" i="59"/>
  <c r="E46" i="59"/>
  <c r="E45" i="59"/>
  <c r="E44" i="59"/>
  <c r="E43" i="59"/>
  <c r="E42" i="59"/>
  <c r="E41" i="59"/>
  <c r="E40" i="59"/>
  <c r="E39" i="59"/>
  <c r="E38" i="59"/>
  <c r="E37" i="59"/>
  <c r="E36" i="59"/>
  <c r="E35" i="59"/>
  <c r="E34" i="59"/>
  <c r="E33" i="59"/>
  <c r="E32" i="59"/>
  <c r="E31" i="59"/>
  <c r="E30" i="59"/>
  <c r="E29" i="59"/>
  <c r="E28" i="59"/>
  <c r="E27" i="59"/>
  <c r="E26" i="59"/>
  <c r="E25" i="59"/>
  <c r="E24" i="59"/>
  <c r="E23" i="59"/>
  <c r="E22" i="59"/>
  <c r="E21" i="59"/>
  <c r="E20" i="59"/>
  <c r="E19" i="59"/>
  <c r="E18" i="59"/>
  <c r="E17" i="59"/>
  <c r="E16" i="59"/>
  <c r="E15" i="59"/>
  <c r="E14" i="59"/>
  <c r="E13" i="59"/>
  <c r="E12" i="59"/>
  <c r="E11" i="59"/>
  <c r="E10" i="59"/>
  <c r="E9" i="59"/>
  <c r="E8" i="59"/>
  <c r="E7" i="59"/>
  <c r="E6" i="59"/>
  <c r="E5" i="59"/>
  <c r="E4" i="59"/>
  <c r="E3" i="59"/>
  <c r="E2" i="59"/>
  <c r="E2" i="55"/>
  <c r="L26" i="56"/>
  <c r="L25" i="56"/>
  <c r="E5" i="55"/>
  <c r="B5" i="55"/>
  <c r="B6" i="55" s="1" a="1"/>
  <c r="B6" i="55" s="1"/>
  <c r="E4" i="55"/>
  <c r="E3" i="55"/>
  <c r="AY2" i="36" l="1"/>
  <c r="AY3" i="36"/>
  <c r="AY4" i="36"/>
  <c r="AY5" i="36"/>
  <c r="AY6" i="36"/>
  <c r="AY7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Y39" i="36"/>
  <c r="AY40" i="36"/>
  <c r="AY41" i="36"/>
  <c r="AY42" i="36"/>
  <c r="AY43" i="36"/>
  <c r="AY44" i="36"/>
  <c r="AY45" i="36"/>
  <c r="AY46" i="36"/>
  <c r="AY47" i="36"/>
  <c r="AY48" i="36"/>
  <c r="AY49" i="36"/>
  <c r="AY50" i="36"/>
  <c r="AY51" i="36"/>
  <c r="AY52" i="36"/>
  <c r="AY53" i="36"/>
  <c r="AY54" i="36"/>
  <c r="AY55" i="36"/>
  <c r="AY56" i="36"/>
  <c r="AY57" i="36"/>
  <c r="AY58" i="36"/>
  <c r="AY59" i="36"/>
  <c r="AY60" i="36"/>
  <c r="AY61" i="36"/>
  <c r="AY62" i="36"/>
  <c r="AY63" i="36"/>
  <c r="AY64" i="36"/>
  <c r="AY65" i="36"/>
  <c r="AY66" i="36"/>
  <c r="AY67" i="36"/>
  <c r="AY68" i="36"/>
  <c r="AY69" i="36"/>
  <c r="AY70" i="36"/>
  <c r="AY71" i="36"/>
  <c r="AY72" i="36"/>
  <c r="AY73" i="36"/>
  <c r="AY74" i="36"/>
  <c r="AY75" i="36"/>
  <c r="AY76" i="36"/>
  <c r="AY77" i="36"/>
  <c r="AY78" i="36"/>
  <c r="AY79" i="36"/>
  <c r="AY80" i="36"/>
  <c r="AY81" i="36"/>
  <c r="AY82" i="36"/>
  <c r="AY83" i="36"/>
  <c r="AY84" i="36"/>
  <c r="AY85" i="36"/>
  <c r="AY86" i="36"/>
  <c r="AY87" i="36"/>
  <c r="AY88" i="36"/>
  <c r="AY89" i="36"/>
  <c r="AY90" i="36"/>
  <c r="AY91" i="36"/>
  <c r="AY92" i="36"/>
  <c r="AY93" i="36"/>
  <c r="AY94" i="36"/>
  <c r="AY95" i="36"/>
  <c r="AY96" i="36"/>
  <c r="AY97" i="36"/>
  <c r="AY98" i="36"/>
  <c r="AY99" i="36"/>
  <c r="AY100" i="36"/>
  <c r="AY101" i="36"/>
  <c r="AY102" i="36"/>
  <c r="AY103" i="36"/>
  <c r="AY104" i="36"/>
  <c r="AY105" i="36"/>
  <c r="AY106" i="36"/>
  <c r="AY107" i="36"/>
  <c r="AY108" i="36"/>
  <c r="AY109" i="36"/>
  <c r="AY110" i="36"/>
  <c r="AY111" i="36"/>
  <c r="AY112" i="36"/>
  <c r="AY113" i="36"/>
  <c r="AY114" i="36"/>
  <c r="AY115" i="36"/>
  <c r="AY116" i="36"/>
  <c r="AY117" i="36"/>
  <c r="AY118" i="36"/>
  <c r="AY119" i="36"/>
  <c r="AY120" i="36"/>
  <c r="AY121" i="36"/>
  <c r="AY122" i="36"/>
  <c r="AY123" i="36"/>
  <c r="AY124" i="36"/>
  <c r="AY125" i="36"/>
  <c r="AY126" i="36"/>
  <c r="AY127" i="36"/>
  <c r="AY128" i="36"/>
  <c r="AY129" i="36"/>
  <c r="AY130" i="36"/>
  <c r="AY131" i="36"/>
  <c r="AY132" i="36"/>
  <c r="AY133" i="36"/>
  <c r="AY134" i="36"/>
  <c r="AY135" i="36"/>
  <c r="AY136" i="36"/>
  <c r="AY137" i="36"/>
  <c r="AY138" i="36"/>
  <c r="AY139" i="36"/>
  <c r="AY140" i="36"/>
  <c r="AY141" i="36"/>
  <c r="AY142" i="36"/>
  <c r="AY143" i="36"/>
  <c r="AY144" i="36"/>
  <c r="AY145" i="36"/>
  <c r="AY146" i="36"/>
  <c r="AY147" i="36"/>
  <c r="AY148" i="36"/>
  <c r="AY149" i="36"/>
  <c r="AY150" i="36"/>
  <c r="AY151" i="36"/>
  <c r="AY152" i="36"/>
  <c r="AY153" i="36"/>
  <c r="AY154" i="36"/>
  <c r="AY155" i="36"/>
  <c r="AY156" i="36"/>
  <c r="AY157" i="36"/>
  <c r="AY158" i="36"/>
  <c r="AY159" i="36"/>
  <c r="AY160" i="36"/>
  <c r="AY161" i="36"/>
  <c r="AY162" i="36"/>
  <c r="AY163" i="36"/>
  <c r="AY164" i="36"/>
  <c r="AY165" i="36"/>
  <c r="AY166" i="36"/>
  <c r="AY167" i="36"/>
  <c r="AY168" i="36"/>
  <c r="AY169" i="36"/>
  <c r="AY170" i="36"/>
  <c r="AY171" i="36"/>
  <c r="AY172" i="36"/>
  <c r="AY173" i="36"/>
  <c r="AY174" i="36"/>
  <c r="AY175" i="36"/>
  <c r="AY176" i="36"/>
  <c r="AY177" i="36"/>
  <c r="AY178" i="36"/>
  <c r="AY179" i="36"/>
  <c r="AY180" i="36"/>
  <c r="AY181" i="36"/>
  <c r="AY182" i="36"/>
  <c r="AY183" i="36"/>
  <c r="AY184" i="36"/>
  <c r="AY185" i="36"/>
  <c r="AY186" i="36"/>
  <c r="AY187" i="36"/>
  <c r="AY188" i="36"/>
  <c r="AY189" i="36"/>
  <c r="AY190" i="36"/>
  <c r="AY191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Y318" i="36"/>
  <c r="AY319" i="36"/>
  <c r="AY320" i="36"/>
  <c r="AY321" i="36"/>
  <c r="AY322" i="36"/>
  <c r="AY323" i="36"/>
  <c r="AY324" i="36"/>
  <c r="AY325" i="36"/>
  <c r="AY326" i="36"/>
  <c r="AY327" i="36"/>
  <c r="AY328" i="36"/>
  <c r="AY329" i="36"/>
  <c r="AY330" i="36"/>
  <c r="AY331" i="36"/>
  <c r="AY332" i="36"/>
  <c r="AY333" i="36"/>
  <c r="AY334" i="36"/>
  <c r="AY335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Y397" i="36"/>
  <c r="AY398" i="36"/>
  <c r="AY399" i="36"/>
  <c r="AY400" i="36"/>
  <c r="AY401" i="36"/>
  <c r="AY402" i="36"/>
  <c r="AY403" i="36"/>
  <c r="AY404" i="36"/>
  <c r="AY405" i="36"/>
  <c r="AY406" i="36"/>
  <c r="AY407" i="36"/>
  <c r="AY408" i="36"/>
  <c r="AY409" i="36"/>
  <c r="AY410" i="36"/>
  <c r="AY411" i="36"/>
  <c r="AY412" i="36"/>
  <c r="AY413" i="36"/>
  <c r="AY414" i="36"/>
  <c r="AY415" i="36"/>
  <c r="AY416" i="36"/>
  <c r="AY417" i="36"/>
  <c r="AY418" i="36"/>
  <c r="AY419" i="36"/>
  <c r="AY420" i="36"/>
  <c r="AY421" i="36"/>
  <c r="AY422" i="36"/>
  <c r="AY423" i="36"/>
  <c r="AY424" i="36"/>
  <c r="AY425" i="36"/>
  <c r="AY426" i="36"/>
  <c r="AY427" i="36"/>
  <c r="AY428" i="36"/>
  <c r="AY429" i="36"/>
  <c r="AY430" i="36"/>
  <c r="AY431" i="36"/>
  <c r="AY432" i="36"/>
  <c r="AY433" i="36"/>
  <c r="AY434" i="36"/>
  <c r="AY435" i="36"/>
  <c r="AY436" i="36"/>
  <c r="AY437" i="36"/>
  <c r="AY438" i="36"/>
  <c r="AY439" i="36"/>
  <c r="AY440" i="36"/>
  <c r="AY441" i="36"/>
  <c r="AY442" i="36"/>
  <c r="AY443" i="36"/>
  <c r="AY444" i="36"/>
  <c r="AY445" i="36"/>
  <c r="AY446" i="36"/>
  <c r="AY447" i="36"/>
  <c r="AY448" i="36"/>
  <c r="AY449" i="36"/>
  <c r="AY450" i="36"/>
  <c r="AY451" i="36"/>
  <c r="AY452" i="36"/>
  <c r="AY453" i="36"/>
  <c r="AY454" i="36"/>
  <c r="AY455" i="36"/>
  <c r="AY456" i="36"/>
  <c r="AY457" i="36"/>
  <c r="AY458" i="36"/>
  <c r="AY459" i="36"/>
  <c r="AY460" i="36"/>
  <c r="AY461" i="36"/>
  <c r="AY462" i="36"/>
  <c r="AY463" i="36"/>
  <c r="AY464" i="36"/>
  <c r="AY465" i="36"/>
  <c r="AY466" i="36"/>
  <c r="AY467" i="36"/>
  <c r="AY468" i="36"/>
  <c r="AY469" i="36"/>
  <c r="AY470" i="36"/>
  <c r="AY471" i="36"/>
  <c r="AY472" i="36"/>
  <c r="AY473" i="36"/>
  <c r="AY474" i="36"/>
  <c r="AY475" i="36"/>
  <c r="AY476" i="36"/>
  <c r="AY477" i="36"/>
  <c r="AY478" i="36"/>
  <c r="AY479" i="36"/>
  <c r="AY480" i="36"/>
  <c r="AY481" i="36"/>
  <c r="AY482" i="36"/>
  <c r="AY483" i="36"/>
  <c r="AY484" i="36"/>
  <c r="AY485" i="36"/>
  <c r="AY486" i="36"/>
  <c r="AY487" i="36"/>
  <c r="AY488" i="36"/>
  <c r="AY489" i="36"/>
  <c r="AY490" i="36"/>
  <c r="AY491" i="36"/>
  <c r="AY492" i="36"/>
  <c r="AY493" i="36"/>
  <c r="AY494" i="36"/>
  <c r="AY495" i="36"/>
  <c r="AY496" i="36"/>
  <c r="AY497" i="36"/>
  <c r="AY498" i="36"/>
  <c r="AY499" i="36"/>
  <c r="AY500" i="36"/>
  <c r="AY501" i="36"/>
  <c r="AY502" i="36"/>
  <c r="AY503" i="36"/>
  <c r="AY504" i="36"/>
  <c r="AY505" i="36"/>
  <c r="AY506" i="36"/>
  <c r="AY507" i="36"/>
  <c r="AY508" i="36"/>
  <c r="AY509" i="36"/>
  <c r="AY510" i="36"/>
  <c r="AY511" i="36"/>
  <c r="AY512" i="36"/>
  <c r="AY513" i="36"/>
  <c r="AY514" i="36"/>
  <c r="AY515" i="36"/>
  <c r="AY516" i="36"/>
  <c r="AY517" i="36"/>
  <c r="AY518" i="36"/>
  <c r="AY519" i="36"/>
  <c r="AY520" i="36"/>
  <c r="AY521" i="36"/>
  <c r="AY522" i="36"/>
  <c r="AY523" i="36"/>
  <c r="AY524" i="36"/>
  <c r="AY525" i="36"/>
  <c r="AY526" i="36"/>
  <c r="AY527" i="36"/>
  <c r="AY528" i="36"/>
  <c r="AY529" i="36"/>
  <c r="BI2" i="36"/>
  <c r="BI3" i="36"/>
  <c r="BI4" i="36"/>
  <c r="BI5" i="36"/>
  <c r="BI6" i="36"/>
  <c r="BI7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I39" i="36"/>
  <c r="BI40" i="36"/>
  <c r="BI41" i="36"/>
  <c r="BI42" i="36"/>
  <c r="BI43" i="36"/>
  <c r="BI44" i="36"/>
  <c r="BI45" i="36"/>
  <c r="BI46" i="36"/>
  <c r="BI47" i="36"/>
  <c r="BI48" i="36"/>
  <c r="BI49" i="36"/>
  <c r="BI50" i="36"/>
  <c r="BI51" i="36"/>
  <c r="BI52" i="36"/>
  <c r="BI53" i="36"/>
  <c r="BI54" i="36"/>
  <c r="BI55" i="36"/>
  <c r="BI56" i="36"/>
  <c r="BI57" i="36"/>
  <c r="BI58" i="36"/>
  <c r="BI59" i="36"/>
  <c r="BI60" i="36"/>
  <c r="BI61" i="36"/>
  <c r="BI62" i="36"/>
  <c r="BI63" i="36"/>
  <c r="BI64" i="36"/>
  <c r="BI65" i="36"/>
  <c r="BI66" i="36"/>
  <c r="BI67" i="36"/>
  <c r="BI68" i="36"/>
  <c r="BI69" i="36"/>
  <c r="BI70" i="36"/>
  <c r="BI71" i="36"/>
  <c r="BI72" i="36"/>
  <c r="BI73" i="36"/>
  <c r="BI74" i="36"/>
  <c r="BI75" i="36"/>
  <c r="BI76" i="36"/>
  <c r="BI77" i="36"/>
  <c r="BI78" i="36"/>
  <c r="BI79" i="36"/>
  <c r="BI80" i="36"/>
  <c r="BI81" i="36"/>
  <c r="BI82" i="36"/>
  <c r="BI83" i="36"/>
  <c r="BI84" i="36"/>
  <c r="BI85" i="36"/>
  <c r="BI86" i="36"/>
  <c r="BI87" i="36"/>
  <c r="BI88" i="36"/>
  <c r="BI89" i="36"/>
  <c r="BI90" i="36"/>
  <c r="BI91" i="36"/>
  <c r="BI92" i="36"/>
  <c r="BI93" i="36"/>
  <c r="BI94" i="36"/>
  <c r="BI95" i="36"/>
  <c r="BI96" i="36"/>
  <c r="BI97" i="36"/>
  <c r="BI98" i="36"/>
  <c r="BI99" i="36"/>
  <c r="BI100" i="36"/>
  <c r="BI101" i="36"/>
  <c r="BI102" i="36"/>
  <c r="BI103" i="36"/>
  <c r="BI104" i="36"/>
  <c r="BI105" i="36"/>
  <c r="BI106" i="36"/>
  <c r="BI107" i="36"/>
  <c r="BI108" i="36"/>
  <c r="BI109" i="36"/>
  <c r="BI110" i="36"/>
  <c r="BI111" i="36"/>
  <c r="BI112" i="36"/>
  <c r="BI113" i="36"/>
  <c r="BI114" i="36"/>
  <c r="BI115" i="36"/>
  <c r="BI116" i="36"/>
  <c r="BI117" i="36"/>
  <c r="BI118" i="36"/>
  <c r="BI119" i="36"/>
  <c r="BI120" i="36"/>
  <c r="BI121" i="36"/>
  <c r="BI122" i="36"/>
  <c r="BI123" i="36"/>
  <c r="BI124" i="36"/>
  <c r="BI125" i="36"/>
  <c r="BI126" i="36"/>
  <c r="BI127" i="36"/>
  <c r="BI128" i="36"/>
  <c r="BI129" i="36"/>
  <c r="BI130" i="36"/>
  <c r="BI131" i="36"/>
  <c r="BI132" i="36"/>
  <c r="BI133" i="36"/>
  <c r="BI134" i="36"/>
  <c r="BI135" i="36"/>
  <c r="BI136" i="36"/>
  <c r="BI137" i="36"/>
  <c r="BI138" i="36"/>
  <c r="BI139" i="36"/>
  <c r="BI140" i="36"/>
  <c r="BI141" i="36"/>
  <c r="BI142" i="36"/>
  <c r="BI143" i="36"/>
  <c r="BI144" i="36"/>
  <c r="BI145" i="36"/>
  <c r="BI146" i="36"/>
  <c r="BI147" i="36"/>
  <c r="BI148" i="36"/>
  <c r="BI149" i="36"/>
  <c r="BI150" i="36"/>
  <c r="BI151" i="36"/>
  <c r="BI152" i="36"/>
  <c r="BI153" i="36"/>
  <c r="BI154" i="36"/>
  <c r="BI155" i="36"/>
  <c r="BI156" i="36"/>
  <c r="BI157" i="36"/>
  <c r="BI158" i="36"/>
  <c r="BI159" i="36"/>
  <c r="BI160" i="36"/>
  <c r="BI161" i="36"/>
  <c r="BI162" i="36"/>
  <c r="BI163" i="36"/>
  <c r="BI164" i="36"/>
  <c r="BI165" i="36"/>
  <c r="BI166" i="36"/>
  <c r="BI167" i="36"/>
  <c r="BI168" i="36"/>
  <c r="BI169" i="36"/>
  <c r="BI170" i="36"/>
  <c r="BI171" i="36"/>
  <c r="BI172" i="36"/>
  <c r="BI173" i="36"/>
  <c r="BI174" i="36"/>
  <c r="BI175" i="36"/>
  <c r="BI176" i="36"/>
  <c r="BI177" i="36"/>
  <c r="BI178" i="36"/>
  <c r="BI179" i="36"/>
  <c r="BI180" i="36"/>
  <c r="BI181" i="36"/>
  <c r="BI182" i="36"/>
  <c r="BI183" i="36"/>
  <c r="BI184" i="36"/>
  <c r="BI185" i="36"/>
  <c r="BI186" i="36"/>
  <c r="BI187" i="36"/>
  <c r="BI188" i="36"/>
  <c r="BI189" i="36"/>
  <c r="BI190" i="36"/>
  <c r="BI191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I318" i="36"/>
  <c r="BI319" i="36"/>
  <c r="BI320" i="36"/>
  <c r="BI321" i="36"/>
  <c r="BI322" i="36"/>
  <c r="BI323" i="36"/>
  <c r="BI324" i="36"/>
  <c r="BI325" i="36"/>
  <c r="BI326" i="36"/>
  <c r="BI327" i="36"/>
  <c r="BI328" i="36"/>
  <c r="BI329" i="36"/>
  <c r="BI330" i="36"/>
  <c r="BI331" i="36"/>
  <c r="BI332" i="36"/>
  <c r="BI333" i="36"/>
  <c r="BI334" i="36"/>
  <c r="BI335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I397" i="36"/>
  <c r="BI398" i="36"/>
  <c r="BI399" i="36"/>
  <c r="BI400" i="36"/>
  <c r="BI401" i="36"/>
  <c r="BI402" i="36"/>
  <c r="BI403" i="36"/>
  <c r="BI404" i="36"/>
  <c r="BI405" i="36"/>
  <c r="BI406" i="36"/>
  <c r="BI407" i="36"/>
  <c r="BI408" i="36"/>
  <c r="BI409" i="36"/>
  <c r="BI410" i="36"/>
  <c r="BI411" i="36"/>
  <c r="BI412" i="36"/>
  <c r="BI413" i="36"/>
  <c r="BI414" i="36"/>
  <c r="BI415" i="36"/>
  <c r="BI416" i="36"/>
  <c r="BI417" i="36"/>
  <c r="BI418" i="36"/>
  <c r="BI419" i="36"/>
  <c r="BI420" i="36"/>
  <c r="BI421" i="36"/>
  <c r="BI422" i="36"/>
  <c r="BI423" i="36"/>
  <c r="BI424" i="36"/>
  <c r="BI425" i="36"/>
  <c r="BI426" i="36"/>
  <c r="BI427" i="36"/>
  <c r="BI428" i="36"/>
  <c r="BI429" i="36"/>
  <c r="BI430" i="36"/>
  <c r="BI431" i="36"/>
  <c r="BI432" i="36"/>
  <c r="BI433" i="36"/>
  <c r="BI434" i="36"/>
  <c r="BI435" i="36"/>
  <c r="BI436" i="36"/>
  <c r="BI437" i="36"/>
  <c r="BI438" i="36"/>
  <c r="BI439" i="36"/>
  <c r="BI440" i="36"/>
  <c r="BI441" i="36"/>
  <c r="BI442" i="36"/>
  <c r="BI443" i="36"/>
  <c r="BI444" i="36"/>
  <c r="BI445" i="36"/>
  <c r="BI446" i="36"/>
  <c r="BI447" i="36"/>
  <c r="BI448" i="36"/>
  <c r="BI449" i="36"/>
  <c r="BI450" i="36"/>
  <c r="BI451" i="36"/>
  <c r="BI452" i="36"/>
  <c r="BI453" i="36"/>
  <c r="BI454" i="36"/>
  <c r="BI455" i="36"/>
  <c r="BI456" i="36"/>
  <c r="BI457" i="36"/>
  <c r="BI458" i="36"/>
  <c r="BI459" i="36"/>
  <c r="BI460" i="36"/>
  <c r="BI461" i="36"/>
  <c r="BI462" i="36"/>
  <c r="BI463" i="36"/>
  <c r="BI464" i="36"/>
  <c r="BI465" i="36"/>
  <c r="BI466" i="36"/>
  <c r="BI467" i="36"/>
  <c r="BI468" i="36"/>
  <c r="BI469" i="36"/>
  <c r="BI470" i="36"/>
  <c r="BI471" i="36"/>
  <c r="BI472" i="36"/>
  <c r="BI473" i="36"/>
  <c r="BI474" i="36"/>
  <c r="BI475" i="36"/>
  <c r="BI476" i="36"/>
  <c r="BI477" i="36"/>
  <c r="BI478" i="36"/>
  <c r="BI479" i="36"/>
  <c r="BI480" i="36"/>
  <c r="BI481" i="36"/>
  <c r="BI482" i="36"/>
  <c r="BI483" i="36"/>
  <c r="BI484" i="36"/>
  <c r="BI485" i="36"/>
  <c r="BI486" i="36"/>
  <c r="BI487" i="36"/>
  <c r="BI488" i="36"/>
  <c r="BI489" i="36"/>
  <c r="BI490" i="36"/>
  <c r="BI491" i="36"/>
  <c r="BI492" i="36"/>
  <c r="BI493" i="36"/>
  <c r="BI494" i="36"/>
  <c r="BI495" i="36"/>
  <c r="BI496" i="36"/>
  <c r="BI497" i="36"/>
  <c r="BI498" i="36"/>
  <c r="BI499" i="36"/>
  <c r="BI500" i="36"/>
  <c r="BI501" i="36"/>
  <c r="BI502" i="36"/>
  <c r="BI503" i="36"/>
  <c r="BI504" i="36"/>
  <c r="BI505" i="36"/>
  <c r="BI506" i="36"/>
  <c r="BI507" i="36"/>
  <c r="BI508" i="36"/>
  <c r="BI509" i="36"/>
  <c r="BI510" i="36"/>
  <c r="BI511" i="36"/>
  <c r="BI512" i="36"/>
  <c r="BI513" i="36"/>
  <c r="BI514" i="36"/>
  <c r="BI515" i="36"/>
  <c r="BI516" i="36"/>
  <c r="BI517" i="36"/>
  <c r="BI518" i="36"/>
  <c r="BI519" i="36"/>
  <c r="BI520" i="36"/>
  <c r="BI521" i="36"/>
  <c r="BI522" i="36"/>
  <c r="BI523" i="36"/>
  <c r="BI524" i="36"/>
  <c r="BI525" i="36"/>
  <c r="BI526" i="36"/>
  <c r="BI527" i="36"/>
  <c r="BI528" i="36"/>
  <c r="BI529" i="36"/>
  <c r="V32" i="52" l="1"/>
  <c r="V35" i="52"/>
  <c r="V37" i="52"/>
  <c r="V31" i="52"/>
  <c r="V36" i="52"/>
  <c r="V33" i="52"/>
  <c r="V34" i="52"/>
  <c r="V21" i="52" l="1"/>
  <c r="V24" i="52"/>
  <c r="V25" i="52"/>
  <c r="V26" i="52"/>
  <c r="V27" i="52"/>
  <c r="V28" i="52"/>
  <c r="V22" i="52"/>
  <c r="V23" i="52"/>
  <c r="B92" i="17" l="1"/>
  <c r="C19" i="3" a="1"/>
  <c r="C19" i="3" s="1"/>
  <c r="C18" i="3" a="1"/>
  <c r="C18" i="3" s="1"/>
  <c r="C15" i="3" a="1"/>
  <c r="C15" i="3" s="1"/>
  <c r="C14" i="3" a="1"/>
  <c r="C14" i="3" s="1"/>
  <c r="C13" i="3" a="1"/>
  <c r="C13" i="3" s="1"/>
  <c r="C20" i="3" s="1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4" i="18"/>
  <c r="D92" i="17"/>
  <c r="C17" i="3" l="1" a="1"/>
  <c r="C17" i="3" s="1"/>
  <c r="C16" i="3" a="1"/>
  <c r="C16" i="3" s="1"/>
  <c r="C92" i="17"/>
  <c r="IA92" i="17"/>
  <c r="AF92" i="17"/>
  <c r="B91" i="17"/>
  <c r="C203" i="3" a="1"/>
  <c r="C203" i="3" s="1"/>
  <c r="C202" i="3" a="1"/>
  <c r="C202" i="3" s="1"/>
  <c r="C201" i="3" a="1"/>
  <c r="C201" i="3" s="1"/>
  <c r="C200" i="3" a="1"/>
  <c r="C200" i="3" s="1"/>
  <c r="C199" i="3" a="1"/>
  <c r="C199" i="3" s="1"/>
  <c r="C198" i="3" a="1"/>
  <c r="C198" i="3" s="1"/>
  <c r="C197" i="3" a="1"/>
  <c r="C197" i="3" s="1"/>
  <c r="C204" i="3" s="1"/>
  <c r="AD92" i="17"/>
  <c r="D91" i="17"/>
  <c r="AC92" i="17"/>
  <c r="AH91" i="17" l="1"/>
  <c r="AL91" i="17"/>
  <c r="AG91" i="17"/>
  <c r="AI91" i="17"/>
  <c r="AM91" i="17"/>
  <c r="IA91" i="17"/>
  <c r="AF91" i="17"/>
  <c r="AJ91" i="17"/>
  <c r="AK91" i="17"/>
  <c r="AC91" i="17"/>
  <c r="AD91" i="17"/>
  <c r="B90" i="17" l="1"/>
  <c r="C11" i="3" a="1"/>
  <c r="C11" i="3" s="1"/>
  <c r="C10" i="3" a="1"/>
  <c r="C10" i="3" s="1"/>
  <c r="C7" i="3" a="1"/>
  <c r="C7" i="3" s="1"/>
  <c r="C6" i="3" a="1"/>
  <c r="C6" i="3" s="1"/>
  <c r="C5" i="3" a="1"/>
  <c r="C5" i="3" s="1"/>
  <c r="C12" i="3" s="1"/>
  <c r="C91" i="17"/>
  <c r="B3" i="18"/>
  <c r="B89" i="17"/>
  <c r="C107" i="3" a="1"/>
  <c r="C107" i="3" s="1"/>
  <c r="C106" i="3" a="1"/>
  <c r="C106" i="3" s="1"/>
  <c r="C103" i="3" a="1"/>
  <c r="C103" i="3" s="1"/>
  <c r="C102" i="3" a="1"/>
  <c r="C102" i="3" s="1"/>
  <c r="C101" i="3" a="1"/>
  <c r="C101" i="3" s="1"/>
  <c r="C108" i="3" s="1"/>
  <c r="O18" i="24"/>
  <c r="B88" i="17"/>
  <c r="C187" i="3" a="1"/>
  <c r="C187" i="3" s="1"/>
  <c r="C186" i="3" a="1"/>
  <c r="C186" i="3" s="1"/>
  <c r="C184" i="3" a="1"/>
  <c r="C184" i="3" s="1"/>
  <c r="C183" i="3" a="1"/>
  <c r="C183" i="3" s="1"/>
  <c r="C182" i="3" a="1"/>
  <c r="C182" i="3" s="1"/>
  <c r="C181" i="3" a="1"/>
  <c r="C181" i="3" s="1"/>
  <c r="C188" i="3" s="1"/>
  <c r="DM1" i="17" a="1"/>
  <c r="DM1" i="17" s="1"/>
  <c r="C7" i="8" a="1"/>
  <c r="C7" i="8" s="1"/>
  <c r="C227" i="3" a="1"/>
  <c r="C227" i="3" s="1"/>
  <c r="C219" i="3" a="1"/>
  <c r="C219" i="3" s="1"/>
  <c r="C211" i="3" a="1"/>
  <c r="C211" i="3" s="1"/>
  <c r="C179" i="3" a="1"/>
  <c r="C179" i="3" s="1"/>
  <c r="C171" i="3" a="1"/>
  <c r="C171" i="3" s="1"/>
  <c r="C163" i="3" a="1"/>
  <c r="C163" i="3" s="1"/>
  <c r="C155" i="3" a="1"/>
  <c r="C155" i="3" s="1"/>
  <c r="C147" i="3" a="1"/>
  <c r="C147" i="3" s="1"/>
  <c r="C139" i="3" a="1"/>
  <c r="C139" i="3" s="1"/>
  <c r="C131" i="3" a="1"/>
  <c r="C131" i="3" s="1"/>
  <c r="C123" i="3" a="1"/>
  <c r="C123" i="3" s="1"/>
  <c r="C115" i="3" a="1"/>
  <c r="C115" i="3" s="1"/>
  <c r="C99" i="3" a="1"/>
  <c r="C99" i="3" s="1"/>
  <c r="C91" i="3" a="1"/>
  <c r="C91" i="3" s="1"/>
  <c r="C83" i="3" a="1"/>
  <c r="C83" i="3" s="1"/>
  <c r="C75" i="3" a="1"/>
  <c r="C75" i="3" s="1"/>
  <c r="C67" i="3" a="1"/>
  <c r="C67" i="3" s="1"/>
  <c r="C59" i="3" a="1"/>
  <c r="C59" i="3" s="1"/>
  <c r="C51" i="3" a="1"/>
  <c r="C51" i="3" s="1"/>
  <c r="C43" i="3" a="1"/>
  <c r="C43" i="3" s="1"/>
  <c r="C35" i="3" a="1"/>
  <c r="C35" i="3" s="1"/>
  <c r="C27" i="3" a="1"/>
  <c r="C27" i="3" s="1"/>
  <c r="C195" i="3" a="1"/>
  <c r="C195" i="3" s="1"/>
  <c r="C235" i="3" a="1"/>
  <c r="C235" i="3" s="1"/>
  <c r="C194" i="3" a="1"/>
  <c r="C194" i="3" s="1"/>
  <c r="C191" i="3" a="1"/>
  <c r="C191" i="3" s="1"/>
  <c r="C190" i="3" a="1"/>
  <c r="C190" i="3" s="1"/>
  <c r="C189" i="3" a="1"/>
  <c r="C189" i="3" s="1"/>
  <c r="S60" i="17"/>
  <c r="S59" i="17"/>
  <c r="S58" i="17"/>
  <c r="S57" i="17"/>
  <c r="AF54" i="17"/>
  <c r="AG54" i="17"/>
  <c r="AH54" i="17"/>
  <c r="AI54" i="17"/>
  <c r="AJ54" i="17"/>
  <c r="AK54" i="17"/>
  <c r="AL54" i="17"/>
  <c r="AM54" i="17"/>
  <c r="AN54" i="17"/>
  <c r="AO54" i="17"/>
  <c r="AF61" i="17"/>
  <c r="AG61" i="17"/>
  <c r="AH61" i="17"/>
  <c r="AI61" i="17"/>
  <c r="AJ61" i="17"/>
  <c r="AK61" i="17"/>
  <c r="AL61" i="17"/>
  <c r="AM61" i="17"/>
  <c r="AN61" i="17"/>
  <c r="AO61" i="17"/>
  <c r="AF62" i="17"/>
  <c r="AG62" i="17"/>
  <c r="AH62" i="17"/>
  <c r="AI62" i="17"/>
  <c r="AJ62" i="17"/>
  <c r="AK62" i="17"/>
  <c r="AL62" i="17"/>
  <c r="AM62" i="17"/>
  <c r="AN62" i="17"/>
  <c r="AO62" i="17"/>
  <c r="C178" i="3" a="1"/>
  <c r="C178" i="3" s="1"/>
  <c r="C175" i="3" a="1"/>
  <c r="C175" i="3" s="1"/>
  <c r="C174" i="3" a="1"/>
  <c r="C174" i="3" s="1"/>
  <c r="C173" i="3" a="1"/>
  <c r="C173" i="3" s="1"/>
  <c r="C66" i="3" a="1"/>
  <c r="C66" i="3" s="1"/>
  <c r="C63" i="3" a="1"/>
  <c r="C63" i="3" s="1"/>
  <c r="C62" i="3" a="1"/>
  <c r="C62" i="3" s="1"/>
  <c r="C61" i="3" a="1"/>
  <c r="C61" i="3" s="1"/>
  <c r="C146" i="3" a="1"/>
  <c r="C146" i="3" s="1"/>
  <c r="C143" i="3" a="1"/>
  <c r="C143" i="3" s="1"/>
  <c r="C142" i="3" a="1"/>
  <c r="C142" i="3" s="1"/>
  <c r="C141" i="3" a="1"/>
  <c r="C141" i="3" s="1"/>
  <c r="AB54" i="17"/>
  <c r="E54" i="17"/>
  <c r="E62" i="17"/>
  <c r="E61" i="17"/>
  <c r="G54" i="17"/>
  <c r="F54" i="17"/>
  <c r="IY54" i="17"/>
  <c r="IX54" i="17"/>
  <c r="JK54" i="17"/>
  <c r="JJ54" i="17"/>
  <c r="JI54" i="17"/>
  <c r="JH54" i="17"/>
  <c r="JG54" i="17"/>
  <c r="JF54" i="17"/>
  <c r="JE54" i="17"/>
  <c r="JD54" i="17"/>
  <c r="JC54" i="17"/>
  <c r="JB54" i="17"/>
  <c r="JA54" i="17"/>
  <c r="E29" i="40"/>
  <c r="F29" i="40"/>
  <c r="G29" i="40"/>
  <c r="H29" i="40"/>
  <c r="I29" i="40"/>
  <c r="J29" i="40"/>
  <c r="K29" i="40"/>
  <c r="L29" i="40"/>
  <c r="M29" i="40"/>
  <c r="N29" i="40"/>
  <c r="O29" i="40"/>
  <c r="P29" i="40"/>
  <c r="Q29" i="40"/>
  <c r="R29" i="40"/>
  <c r="S29" i="40"/>
  <c r="T29" i="40"/>
  <c r="U29" i="40"/>
  <c r="V29" i="40"/>
  <c r="C34" i="3" a="1"/>
  <c r="C34" i="3" s="1"/>
  <c r="C31" i="3" a="1"/>
  <c r="C31" i="3" s="1"/>
  <c r="C30" i="3" a="1"/>
  <c r="C30" i="3" s="1"/>
  <c r="C29" i="3" a="1"/>
  <c r="C29" i="3" s="1"/>
  <c r="E25" i="40"/>
  <c r="F25" i="40"/>
  <c r="G25" i="40"/>
  <c r="H25" i="40"/>
  <c r="I25" i="40"/>
  <c r="J25" i="40"/>
  <c r="K25" i="40"/>
  <c r="L25" i="40"/>
  <c r="M25" i="40"/>
  <c r="N25" i="40"/>
  <c r="O25" i="40"/>
  <c r="P25" i="40"/>
  <c r="Q25" i="40"/>
  <c r="R25" i="40"/>
  <c r="S25" i="40"/>
  <c r="T25" i="40"/>
  <c r="U25" i="40"/>
  <c r="V25" i="40"/>
  <c r="E26" i="40"/>
  <c r="F26" i="40"/>
  <c r="G26" i="40"/>
  <c r="H26" i="40"/>
  <c r="I26" i="40"/>
  <c r="J26" i="40"/>
  <c r="K26" i="40"/>
  <c r="L26" i="40"/>
  <c r="M26" i="40"/>
  <c r="N26" i="40"/>
  <c r="O26" i="40"/>
  <c r="P26" i="40"/>
  <c r="Q26" i="40"/>
  <c r="R26" i="40"/>
  <c r="S26" i="40"/>
  <c r="T26" i="40"/>
  <c r="U26" i="40"/>
  <c r="V26" i="40"/>
  <c r="E27" i="40"/>
  <c r="F27" i="40"/>
  <c r="G27" i="40"/>
  <c r="H27" i="40"/>
  <c r="I27" i="40"/>
  <c r="J27" i="40"/>
  <c r="K27" i="40"/>
  <c r="L27" i="40"/>
  <c r="M27" i="40"/>
  <c r="N27" i="40"/>
  <c r="O27" i="40"/>
  <c r="P27" i="40"/>
  <c r="Q27" i="40"/>
  <c r="R27" i="40"/>
  <c r="S27" i="40"/>
  <c r="T27" i="40"/>
  <c r="U27" i="40"/>
  <c r="V27" i="40"/>
  <c r="E28" i="40"/>
  <c r="F28" i="40"/>
  <c r="G28" i="40"/>
  <c r="H28" i="40"/>
  <c r="I28" i="40"/>
  <c r="J28" i="40"/>
  <c r="K28" i="40"/>
  <c r="L28" i="40"/>
  <c r="M28" i="40"/>
  <c r="N28" i="40"/>
  <c r="O28" i="40"/>
  <c r="P28" i="40"/>
  <c r="Q28" i="40"/>
  <c r="R28" i="40"/>
  <c r="S28" i="40"/>
  <c r="T28" i="40"/>
  <c r="U28" i="40"/>
  <c r="V28" i="40"/>
  <c r="C170" i="3" a="1"/>
  <c r="C170" i="3" s="1"/>
  <c r="C167" i="3" a="1"/>
  <c r="C167" i="3" s="1"/>
  <c r="C166" i="3" a="1"/>
  <c r="C166" i="3" s="1"/>
  <c r="C165" i="3" a="1"/>
  <c r="C165" i="3" s="1"/>
  <c r="C226" i="3" a="1"/>
  <c r="C226" i="3" s="1"/>
  <c r="C225" i="3" a="1"/>
  <c r="C225" i="3" s="1"/>
  <c r="C223" i="3" a="1"/>
  <c r="C223" i="3" s="1"/>
  <c r="C222" i="3" a="1"/>
  <c r="C222" i="3" s="1"/>
  <c r="C221" i="3" a="1"/>
  <c r="C221" i="3" s="1"/>
  <c r="FP91" i="17"/>
  <c r="D89" i="17"/>
  <c r="FP89" i="17"/>
  <c r="FP92" i="17"/>
  <c r="FP90" i="17"/>
  <c r="D88" i="17"/>
  <c r="HB63" i="17"/>
  <c r="FP88" i="17"/>
  <c r="D90" i="17"/>
  <c r="C33" i="3" l="1" a="1"/>
  <c r="C33" i="3" s="1"/>
  <c r="C64" i="3" a="1"/>
  <c r="C64" i="3" s="1"/>
  <c r="C192" i="3" a="1"/>
  <c r="C192" i="3" s="1"/>
  <c r="C105" i="3" a="1"/>
  <c r="C105" i="3" s="1"/>
  <c r="C65" i="3" a="1"/>
  <c r="C65" i="3" s="1"/>
  <c r="C144" i="3" a="1"/>
  <c r="C144" i="3" s="1"/>
  <c r="C176" i="3" a="1"/>
  <c r="C176" i="3" s="1"/>
  <c r="C193" i="3" a="1"/>
  <c r="C193" i="3" s="1"/>
  <c r="C185" i="3" a="1"/>
  <c r="C185" i="3" s="1"/>
  <c r="C104" i="3" a="1"/>
  <c r="C104" i="3" s="1"/>
  <c r="C169" i="3" a="1"/>
  <c r="C169" i="3" s="1"/>
  <c r="C145" i="3" a="1"/>
  <c r="C145" i="3" s="1"/>
  <c r="C9" i="3" a="1"/>
  <c r="C9" i="3" s="1"/>
  <c r="C8" i="3" a="1"/>
  <c r="C8" i="3" s="1"/>
  <c r="AF90" i="17"/>
  <c r="AJ90" i="17"/>
  <c r="AL90" i="17"/>
  <c r="AO90" i="17"/>
  <c r="AH90" i="17"/>
  <c r="AM90" i="17"/>
  <c r="C90" i="17"/>
  <c r="AG90" i="17"/>
  <c r="AI90" i="17"/>
  <c r="AK90" i="17"/>
  <c r="AN90" i="17"/>
  <c r="IA90" i="17"/>
  <c r="AO89" i="17"/>
  <c r="AL89" i="17"/>
  <c r="AI89" i="17"/>
  <c r="IA89" i="17"/>
  <c r="AN89" i="17"/>
  <c r="AK89" i="17"/>
  <c r="AH89" i="17"/>
  <c r="AG89" i="17"/>
  <c r="C89" i="17"/>
  <c r="AM89" i="17"/>
  <c r="AJ89" i="17"/>
  <c r="AF89" i="17"/>
  <c r="AN88" i="17"/>
  <c r="AJ88" i="17"/>
  <c r="IA88" i="17"/>
  <c r="AM88" i="17"/>
  <c r="AK88" i="17"/>
  <c r="AI88" i="17"/>
  <c r="AH88" i="17"/>
  <c r="AF88" i="17"/>
  <c r="C88" i="17"/>
  <c r="AO88" i="17"/>
  <c r="AL88" i="17"/>
  <c r="AG88" i="17"/>
  <c r="C177" i="3" a="1"/>
  <c r="C177" i="3" s="1"/>
  <c r="C196" i="3"/>
  <c r="C180" i="3"/>
  <c r="C68" i="3"/>
  <c r="C148" i="3"/>
  <c r="C36" i="3"/>
  <c r="C224" i="3" a="1"/>
  <c r="C224" i="3" s="1"/>
  <c r="C168" i="3" a="1"/>
  <c r="C168" i="3" s="1"/>
  <c r="C32" i="3" a="1"/>
  <c r="C32" i="3" s="1"/>
  <c r="C172" i="3"/>
  <c r="C228" i="3"/>
  <c r="F19" i="40"/>
  <c r="G19" i="40"/>
  <c r="H19" i="40"/>
  <c r="I19" i="40"/>
  <c r="J19" i="40"/>
  <c r="K19" i="40"/>
  <c r="L19" i="40"/>
  <c r="M19" i="40"/>
  <c r="N19" i="40"/>
  <c r="O19" i="40"/>
  <c r="P19" i="40"/>
  <c r="Q19" i="40"/>
  <c r="R19" i="40"/>
  <c r="S19" i="40"/>
  <c r="T19" i="40"/>
  <c r="U19" i="40"/>
  <c r="V19" i="40"/>
  <c r="F20" i="40"/>
  <c r="G20" i="40"/>
  <c r="H20" i="40"/>
  <c r="I20" i="40"/>
  <c r="J20" i="40"/>
  <c r="K20" i="40"/>
  <c r="L20" i="40"/>
  <c r="M20" i="40"/>
  <c r="N20" i="40"/>
  <c r="O20" i="40"/>
  <c r="P20" i="40"/>
  <c r="Q20" i="40"/>
  <c r="R20" i="40"/>
  <c r="S20" i="40"/>
  <c r="T20" i="40"/>
  <c r="U20" i="40"/>
  <c r="V20" i="40"/>
  <c r="E18" i="40"/>
  <c r="F18" i="40"/>
  <c r="G18" i="40"/>
  <c r="H18" i="40"/>
  <c r="I18" i="40"/>
  <c r="J18" i="40"/>
  <c r="K18" i="40"/>
  <c r="L18" i="40"/>
  <c r="M18" i="40"/>
  <c r="N18" i="40"/>
  <c r="O18" i="40"/>
  <c r="P18" i="40"/>
  <c r="Q18" i="40"/>
  <c r="R18" i="40"/>
  <c r="S18" i="40"/>
  <c r="T18" i="40"/>
  <c r="U18" i="40"/>
  <c r="V18" i="40"/>
  <c r="AD88" i="17"/>
  <c r="AC88" i="17"/>
  <c r="AC89" i="17"/>
  <c r="AC90" i="17"/>
  <c r="AD90" i="17"/>
  <c r="AD89" i="17"/>
  <c r="C130" i="3" l="1" a="1"/>
  <c r="C130" i="3" s="1"/>
  <c r="C129" i="3" a="1"/>
  <c r="C129" i="3" s="1"/>
  <c r="C128" i="3" a="1"/>
  <c r="C128" i="3" s="1"/>
  <c r="C127" i="3" a="1"/>
  <c r="C127" i="3" s="1"/>
  <c r="C126" i="3" a="1"/>
  <c r="C126" i="3" s="1"/>
  <c r="C125" i="3" a="1"/>
  <c r="C125" i="3" s="1"/>
  <c r="C132" i="3" l="1"/>
  <c r="C42" i="3" l="1" a="1"/>
  <c r="C42" i="3" s="1"/>
  <c r="C41" i="3" a="1"/>
  <c r="C41" i="3" s="1"/>
  <c r="C40" i="3" a="1"/>
  <c r="C40" i="3" s="1"/>
  <c r="C39" i="3" a="1"/>
  <c r="C39" i="3" s="1"/>
  <c r="C38" i="3" a="1"/>
  <c r="C38" i="3" s="1"/>
  <c r="C37" i="3" a="1"/>
  <c r="C37" i="3" s="1"/>
  <c r="C44" i="3" l="1"/>
  <c r="C210" i="3" l="1" a="1"/>
  <c r="C210" i="3" s="1"/>
  <c r="C209" i="3" a="1"/>
  <c r="C209" i="3" s="1"/>
  <c r="C208" i="3" a="1"/>
  <c r="C208" i="3" s="1"/>
  <c r="C207" i="3" a="1"/>
  <c r="C207" i="3" s="1"/>
  <c r="C206" i="3" a="1"/>
  <c r="C206" i="3" s="1"/>
  <c r="C205" i="3" a="1"/>
  <c r="C205" i="3" s="1"/>
  <c r="C138" i="3" a="1"/>
  <c r="C138" i="3" s="1"/>
  <c r="C137" i="3" a="1"/>
  <c r="C137" i="3" s="1"/>
  <c r="C136" i="3" a="1"/>
  <c r="C136" i="3" s="1"/>
  <c r="C135" i="3" a="1"/>
  <c r="C135" i="3" s="1"/>
  <c r="C134" i="3" a="1"/>
  <c r="C134" i="3" s="1"/>
  <c r="C133" i="3" a="1"/>
  <c r="C133" i="3" s="1"/>
  <c r="C140" i="3" l="1"/>
  <c r="C212" i="3"/>
  <c r="C7" i="13" a="1"/>
  <c r="C7" i="13" s="1"/>
  <c r="C7" i="46" a="1"/>
  <c r="C7" i="46" s="1"/>
  <c r="C7" i="12" a="1"/>
  <c r="C7" i="12" s="1"/>
  <c r="C7" i="9" a="1"/>
  <c r="C7" i="9" s="1"/>
  <c r="C7" i="14" a="1"/>
  <c r="C7" i="14" s="1"/>
  <c r="C7" i="10" a="1"/>
  <c r="C7" i="10" s="1"/>
  <c r="C12" i="10" l="1" a="1"/>
  <c r="C12" i="10" s="1"/>
  <c r="C56" i="3" l="1" a="1"/>
  <c r="C56" i="3" s="1"/>
  <c r="C57" i="3" a="1"/>
  <c r="C57" i="3" s="1"/>
  <c r="S9" i="52"/>
  <c r="S10" i="52"/>
  <c r="S11" i="52"/>
  <c r="S12" i="52"/>
  <c r="S13" i="52"/>
  <c r="S14" i="52"/>
  <c r="S15" i="52"/>
  <c r="S8" i="52"/>
  <c r="R9" i="52"/>
  <c r="R10" i="52"/>
  <c r="R11" i="52"/>
  <c r="R12" i="52"/>
  <c r="R13" i="52"/>
  <c r="R14" i="52"/>
  <c r="R15" i="52"/>
  <c r="R8" i="52"/>
  <c r="Q9" i="52"/>
  <c r="Q10" i="52"/>
  <c r="Q11" i="52"/>
  <c r="Q12" i="52"/>
  <c r="Q13" i="52"/>
  <c r="Q14" i="52"/>
  <c r="Q15" i="52"/>
  <c r="Q8" i="52"/>
  <c r="P15" i="52"/>
  <c r="P9" i="52"/>
  <c r="P10" i="52"/>
  <c r="P11" i="52"/>
  <c r="P12" i="52"/>
  <c r="P13" i="52"/>
  <c r="P14" i="52"/>
  <c r="P8" i="52"/>
  <c r="C58" i="3" a="1"/>
  <c r="C58" i="3" s="1"/>
  <c r="C55" i="3" a="1"/>
  <c r="C55" i="3" s="1"/>
  <c r="C54" i="3" a="1"/>
  <c r="C54" i="3" s="1"/>
  <c r="C53" i="3" a="1"/>
  <c r="C53" i="3" s="1"/>
  <c r="C60" i="3" l="1"/>
  <c r="C218" i="3" l="1" a="1"/>
  <c r="C218" i="3" s="1"/>
  <c r="C217" i="3" a="1"/>
  <c r="C217" i="3" s="1"/>
  <c r="C216" i="3" a="1"/>
  <c r="C216" i="3" s="1"/>
  <c r="C215" i="3" a="1"/>
  <c r="C215" i="3" s="1"/>
  <c r="C214" i="3" a="1"/>
  <c r="C214" i="3" s="1"/>
  <c r="C213" i="3" a="1"/>
  <c r="C213" i="3" s="1"/>
  <c r="D2" i="6"/>
  <c r="E2" i="6" s="1"/>
  <c r="F2" i="6" s="1"/>
  <c r="G2" i="6" s="1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D2" i="14"/>
  <c r="E2" i="14" s="1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D2" i="9"/>
  <c r="E2" i="9" s="1"/>
  <c r="F2" i="9" s="1"/>
  <c r="G2" i="9" s="1"/>
  <c r="H2" i="9" s="1"/>
  <c r="I2" i="9" s="1"/>
  <c r="J2" i="9" s="1"/>
  <c r="K2" i="9" s="1"/>
  <c r="L2" i="9" s="1"/>
  <c r="M2" i="9" s="1"/>
  <c r="N2" i="9" s="1"/>
  <c r="O2" i="9" s="1"/>
  <c r="P2" i="9" s="1"/>
  <c r="Q2" i="9" s="1"/>
  <c r="R2" i="9" s="1"/>
  <c r="S2" i="9" s="1"/>
  <c r="T2" i="9" s="1"/>
  <c r="D2" i="12"/>
  <c r="E2" i="12" s="1"/>
  <c r="F2" i="12" s="1"/>
  <c r="G2" i="12" s="1"/>
  <c r="H2" i="12" s="1"/>
  <c r="I2" i="12" s="1"/>
  <c r="J2" i="12" s="1"/>
  <c r="K2" i="12" s="1"/>
  <c r="L2" i="12" s="1"/>
  <c r="M2" i="12" s="1"/>
  <c r="N2" i="12" s="1"/>
  <c r="O2" i="12" s="1"/>
  <c r="P2" i="12" s="1"/>
  <c r="Q2" i="12" s="1"/>
  <c r="R2" i="12" s="1"/>
  <c r="S2" i="12" s="1"/>
  <c r="T2" i="12" s="1"/>
  <c r="D2" i="46"/>
  <c r="E2" i="46" s="1"/>
  <c r="F2" i="46" s="1"/>
  <c r="G2" i="46" s="1"/>
  <c r="H2" i="46" s="1"/>
  <c r="I2" i="46" s="1"/>
  <c r="J2" i="46" s="1"/>
  <c r="K2" i="46" s="1"/>
  <c r="L2" i="46" s="1"/>
  <c r="M2" i="46" s="1"/>
  <c r="N2" i="46" s="1"/>
  <c r="O2" i="46" s="1"/>
  <c r="P2" i="46" s="1"/>
  <c r="Q2" i="46" s="1"/>
  <c r="R2" i="46" s="1"/>
  <c r="S2" i="46" s="1"/>
  <c r="T2" i="46" s="1"/>
  <c r="D2" i="13"/>
  <c r="E2" i="13" s="1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D2" i="10"/>
  <c r="E2" i="10" s="1"/>
  <c r="F2" i="10" s="1"/>
  <c r="G2" i="10" s="1"/>
  <c r="H2" i="10" s="1"/>
  <c r="I2" i="10" s="1"/>
  <c r="J2" i="10" s="1"/>
  <c r="K2" i="10" s="1"/>
  <c r="L2" i="10" s="1"/>
  <c r="M2" i="10" s="1"/>
  <c r="N2" i="10" s="1"/>
  <c r="O2" i="10" s="1"/>
  <c r="P2" i="10" s="1"/>
  <c r="Q2" i="10" s="1"/>
  <c r="R2" i="10" s="1"/>
  <c r="S2" i="10" s="1"/>
  <c r="T2" i="10" s="1"/>
  <c r="D2" i="8"/>
  <c r="E2" i="8" s="1"/>
  <c r="F2" i="8" s="1"/>
  <c r="G2" i="8" s="1"/>
  <c r="H2" i="8" s="1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B9" i="52"/>
  <c r="B10" i="52" s="1"/>
  <c r="B11" i="52" s="1"/>
  <c r="B12" i="52" s="1"/>
  <c r="B13" i="52" s="1"/>
  <c r="B14" i="52" l="1"/>
  <c r="U2" i="13"/>
  <c r="T30" i="13" a="1"/>
  <c r="T30" i="13" s="1"/>
  <c r="T40" i="13" a="1"/>
  <c r="T40" i="13" s="1"/>
  <c r="T46" i="13" s="1"/>
  <c r="T45" i="13" a="1"/>
  <c r="T45" i="13" s="1"/>
  <c r="T34" i="13" a="1"/>
  <c r="T34" i="13" s="1"/>
  <c r="T6" i="13" a="1"/>
  <c r="T6" i="13" s="1"/>
  <c r="T37" i="13" a="1"/>
  <c r="T37" i="13" s="1"/>
  <c r="T29" i="13" a="1"/>
  <c r="T29" i="13" s="1"/>
  <c r="T27" i="13" a="1"/>
  <c r="T27" i="13" s="1"/>
  <c r="T10" i="13" a="1"/>
  <c r="T10" i="13" s="1"/>
  <c r="T22" i="13" a="1"/>
  <c r="T22" i="13" s="1"/>
  <c r="T41" i="13" a="1"/>
  <c r="T41" i="13" s="1"/>
  <c r="T20" i="13" a="1"/>
  <c r="T20" i="13" s="1"/>
  <c r="T33" i="13" a="1"/>
  <c r="T33" i="13" s="1"/>
  <c r="T39" i="13" s="1"/>
  <c r="T19" i="13" a="1"/>
  <c r="T19" i="13" s="1"/>
  <c r="T36" i="13" a="1"/>
  <c r="T36" i="13" s="1"/>
  <c r="T13" i="13" a="1"/>
  <c r="T13" i="13" s="1"/>
  <c r="T26" i="13" a="1"/>
  <c r="T26" i="13" s="1"/>
  <c r="T16" i="13" a="1"/>
  <c r="T16" i="13" s="1"/>
  <c r="T24" i="13" a="1"/>
  <c r="T24" i="13" s="1"/>
  <c r="T14" i="13" a="1"/>
  <c r="T14" i="13" s="1"/>
  <c r="T17" i="13" a="1"/>
  <c r="T17" i="13" s="1"/>
  <c r="T5" i="13" a="1"/>
  <c r="T5" i="13" s="1"/>
  <c r="T42" i="13" a="1"/>
  <c r="T42" i="13" s="1"/>
  <c r="T35" i="13" a="1"/>
  <c r="T35" i="13" s="1"/>
  <c r="T38" i="13" a="1"/>
  <c r="T38" i="13" s="1"/>
  <c r="T28" i="13" a="1"/>
  <c r="T28" i="13" s="1"/>
  <c r="T31" i="13" a="1"/>
  <c r="T31" i="13" s="1"/>
  <c r="T7" i="13" a="1"/>
  <c r="T7" i="13" s="1"/>
  <c r="T21" i="13" a="1"/>
  <c r="T21" i="13" s="1"/>
  <c r="T23" i="13" a="1"/>
  <c r="T23" i="13" s="1"/>
  <c r="T12" i="13" a="1"/>
  <c r="T12" i="13" s="1"/>
  <c r="T15" i="13" a="1"/>
  <c r="T15" i="13" s="1"/>
  <c r="T43" i="13" a="1"/>
  <c r="T43" i="13" s="1"/>
  <c r="T9" i="13" a="1"/>
  <c r="T9" i="13" s="1"/>
  <c r="T8" i="13" a="1"/>
  <c r="T8" i="13" s="1"/>
  <c r="T44" i="13" a="1"/>
  <c r="T44" i="13" s="1"/>
  <c r="U2" i="46"/>
  <c r="T8" i="46" a="1"/>
  <c r="T8" i="46" s="1"/>
  <c r="T41" i="46" a="1"/>
  <c r="T41" i="46" s="1"/>
  <c r="T33" i="46" a="1"/>
  <c r="T33" i="46" s="1"/>
  <c r="T39" i="46" s="1"/>
  <c r="T9" i="46" a="1"/>
  <c r="T9" i="46" s="1"/>
  <c r="T38" i="46" a="1"/>
  <c r="T38" i="46" s="1"/>
  <c r="T7" i="46" a="1"/>
  <c r="T7" i="46" s="1"/>
  <c r="T10" i="46" a="1"/>
  <c r="T10" i="46" s="1"/>
  <c r="T30" i="46" a="1"/>
  <c r="T30" i="46" s="1"/>
  <c r="T42" i="46" a="1"/>
  <c r="T42" i="46" s="1"/>
  <c r="T17" i="46" a="1"/>
  <c r="T17" i="46" s="1"/>
  <c r="T35" i="46" a="1"/>
  <c r="T35" i="46" s="1"/>
  <c r="T27" i="46" a="1"/>
  <c r="T27" i="46" s="1"/>
  <c r="T24" i="46" a="1"/>
  <c r="T24" i="46" s="1"/>
  <c r="T28" i="46" a="1"/>
  <c r="T28" i="46" s="1"/>
  <c r="T14" i="46" a="1"/>
  <c r="T14" i="46" s="1"/>
  <c r="T31" i="46" a="1"/>
  <c r="T31" i="46" s="1"/>
  <c r="T5" i="46" a="1"/>
  <c r="T5" i="46" s="1"/>
  <c r="T20" i="46" a="1"/>
  <c r="T20" i="46" s="1"/>
  <c r="T21" i="46" a="1"/>
  <c r="T21" i="46" s="1"/>
  <c r="T23" i="46" a="1"/>
  <c r="T23" i="46" s="1"/>
  <c r="T12" i="46" a="1"/>
  <c r="T12" i="46" s="1"/>
  <c r="T18" i="46" s="1"/>
  <c r="T40" i="46" a="1"/>
  <c r="T40" i="46" s="1"/>
  <c r="T46" i="46" s="1"/>
  <c r="T45" i="46" a="1"/>
  <c r="T45" i="46" s="1"/>
  <c r="T34" i="46" a="1"/>
  <c r="T34" i="46" s="1"/>
  <c r="T15" i="46" a="1"/>
  <c r="T15" i="46" s="1"/>
  <c r="T26" i="46" a="1"/>
  <c r="T26" i="46" s="1"/>
  <c r="T32" i="46" s="1"/>
  <c r="T16" i="46" a="1"/>
  <c r="T16" i="46" s="1"/>
  <c r="T29" i="46" a="1"/>
  <c r="T29" i="46" s="1"/>
  <c r="T6" i="46" a="1"/>
  <c r="T6" i="46" s="1"/>
  <c r="T19" i="46" a="1"/>
  <c r="T19" i="46" s="1"/>
  <c r="T25" i="46" s="1"/>
  <c r="T37" i="46" a="1"/>
  <c r="T37" i="46" s="1"/>
  <c r="T22" i="46" a="1"/>
  <c r="T22" i="46" s="1"/>
  <c r="T44" i="46" a="1"/>
  <c r="T44" i="46" s="1"/>
  <c r="T13" i="46" a="1"/>
  <c r="T13" i="46" s="1"/>
  <c r="T36" i="46" a="1"/>
  <c r="T36" i="46" s="1"/>
  <c r="T43" i="46" a="1"/>
  <c r="T43" i="46" s="1"/>
  <c r="U2" i="9"/>
  <c r="T31" i="9" a="1"/>
  <c r="T31" i="9" s="1"/>
  <c r="T10" i="9" a="1"/>
  <c r="T10" i="9" s="1"/>
  <c r="T45" i="9" a="1"/>
  <c r="T45" i="9" s="1"/>
  <c r="T19" i="9" a="1"/>
  <c r="T19" i="9" s="1"/>
  <c r="T35" i="9" a="1"/>
  <c r="T35" i="9" s="1"/>
  <c r="T40" i="9" a="1"/>
  <c r="T40" i="9" s="1"/>
  <c r="T46" i="9" s="1"/>
  <c r="T27" i="9" a="1"/>
  <c r="T27" i="9" s="1"/>
  <c r="T42" i="9" a="1"/>
  <c r="T42" i="9" s="1"/>
  <c r="T30" i="9" a="1"/>
  <c r="T30" i="9" s="1"/>
  <c r="T8" i="9" a="1"/>
  <c r="T8" i="9" s="1"/>
  <c r="T20" i="9" a="1"/>
  <c r="T20" i="9" s="1"/>
  <c r="T34" i="9" a="1"/>
  <c r="T34" i="9" s="1"/>
  <c r="T23" i="9" a="1"/>
  <c r="T23" i="9" s="1"/>
  <c r="T13" i="9" a="1"/>
  <c r="T13" i="9" s="1"/>
  <c r="T12" i="9" a="1"/>
  <c r="T12" i="9" s="1"/>
  <c r="T33" i="9" a="1"/>
  <c r="T33" i="9" s="1"/>
  <c r="T15" i="9" a="1"/>
  <c r="T15" i="9" s="1"/>
  <c r="T28" i="9" a="1"/>
  <c r="T28" i="9" s="1"/>
  <c r="T22" i="9" a="1"/>
  <c r="T22" i="9" s="1"/>
  <c r="T7" i="9" a="1"/>
  <c r="T7" i="9" s="1"/>
  <c r="T16" i="9" a="1"/>
  <c r="T16" i="9" s="1"/>
  <c r="T6" i="9" a="1"/>
  <c r="T6" i="9" s="1"/>
  <c r="T9" i="9" a="1"/>
  <c r="T9" i="9" s="1"/>
  <c r="T41" i="9" a="1"/>
  <c r="T41" i="9" s="1"/>
  <c r="T38" i="9" a="1"/>
  <c r="T38" i="9" s="1"/>
  <c r="T26" i="9" a="1"/>
  <c r="T26" i="9" s="1"/>
  <c r="T32" i="9" s="1"/>
  <c r="T29" i="9" a="1"/>
  <c r="T29" i="9" s="1"/>
  <c r="T21" i="9" a="1"/>
  <c r="T21" i="9" s="1"/>
  <c r="T24" i="9" a="1"/>
  <c r="T24" i="9" s="1"/>
  <c r="T14" i="9" a="1"/>
  <c r="T14" i="9" s="1"/>
  <c r="T17" i="9" a="1"/>
  <c r="T17" i="9" s="1"/>
  <c r="T5" i="9" a="1"/>
  <c r="T5" i="9" s="1"/>
  <c r="T36" i="9" a="1"/>
  <c r="T36" i="9" s="1"/>
  <c r="T43" i="9" a="1"/>
  <c r="T43" i="9" s="1"/>
  <c r="T44" i="9" a="1"/>
  <c r="T44" i="9" s="1"/>
  <c r="T37" i="9" a="1"/>
  <c r="T37" i="9" s="1"/>
  <c r="U2" i="14"/>
  <c r="T6" i="14" a="1"/>
  <c r="T6" i="14" s="1"/>
  <c r="T7" i="14" a="1"/>
  <c r="T7" i="14" s="1"/>
  <c r="T42" i="14" a="1"/>
  <c r="T42" i="14" s="1"/>
  <c r="T8" i="14" a="1"/>
  <c r="T8" i="14" s="1"/>
  <c r="T35" i="14" a="1"/>
  <c r="T35" i="14" s="1"/>
  <c r="T10" i="14" a="1"/>
  <c r="T10" i="14" s="1"/>
  <c r="T26" i="14" a="1"/>
  <c r="T26" i="14" s="1"/>
  <c r="T32" i="14" s="1"/>
  <c r="T20" i="14" a="1"/>
  <c r="T20" i="14" s="1"/>
  <c r="T29" i="14" a="1"/>
  <c r="T29" i="14" s="1"/>
  <c r="T9" i="14" a="1"/>
  <c r="T9" i="14" s="1"/>
  <c r="T40" i="14" a="1"/>
  <c r="T40" i="14" s="1"/>
  <c r="T46" i="14" s="1"/>
  <c r="T45" i="14" a="1"/>
  <c r="T45" i="14" s="1"/>
  <c r="T34" i="14" a="1"/>
  <c r="T34" i="14" s="1"/>
  <c r="T12" i="14" a="1"/>
  <c r="T12" i="14" s="1"/>
  <c r="T13" i="14" a="1"/>
  <c r="T13" i="14" s="1"/>
  <c r="T33" i="14" a="1"/>
  <c r="T33" i="14" s="1"/>
  <c r="T23" i="14" a="1"/>
  <c r="T23" i="14" s="1"/>
  <c r="T30" i="14" a="1"/>
  <c r="T30" i="14" s="1"/>
  <c r="T31" i="14" a="1"/>
  <c r="T31" i="14" s="1"/>
  <c r="T16" i="14" a="1"/>
  <c r="T16" i="14" s="1"/>
  <c r="T5" i="14" a="1"/>
  <c r="T5" i="14" s="1"/>
  <c r="T41" i="14" a="1"/>
  <c r="T41" i="14" s="1"/>
  <c r="T38" i="14" a="1"/>
  <c r="T38" i="14" s="1"/>
  <c r="T27" i="14" a="1"/>
  <c r="T27" i="14" s="1"/>
  <c r="T28" i="14" a="1"/>
  <c r="T28" i="14" s="1"/>
  <c r="T19" i="14" a="1"/>
  <c r="T19" i="14" s="1"/>
  <c r="T25" i="14" s="1"/>
  <c r="T21" i="14" a="1"/>
  <c r="T21" i="14" s="1"/>
  <c r="T22" i="14" a="1"/>
  <c r="T22" i="14" s="1"/>
  <c r="T24" i="14" a="1"/>
  <c r="T24" i="14" s="1"/>
  <c r="T14" i="14" a="1"/>
  <c r="T14" i="14" s="1"/>
  <c r="T15" i="14" a="1"/>
  <c r="T15" i="14" s="1"/>
  <c r="T17" i="14" a="1"/>
  <c r="T17" i="14" s="1"/>
  <c r="T37" i="14" a="1"/>
  <c r="T37" i="14" s="1"/>
  <c r="T36" i="14" a="1"/>
  <c r="T36" i="14" s="1"/>
  <c r="T43" i="14" a="1"/>
  <c r="T43" i="14" s="1"/>
  <c r="T44" i="14" a="1"/>
  <c r="T44" i="14" s="1"/>
  <c r="U2" i="10"/>
  <c r="T31" i="10" a="1"/>
  <c r="T31" i="10" s="1"/>
  <c r="T37" i="10" a="1"/>
  <c r="T37" i="10" s="1"/>
  <c r="T42" i="10" a="1"/>
  <c r="T42" i="10" s="1"/>
  <c r="T16" i="10" a="1"/>
  <c r="T16" i="10" s="1"/>
  <c r="T35" i="10" a="1"/>
  <c r="T35" i="10" s="1"/>
  <c r="T38" i="10" a="1"/>
  <c r="T38" i="10" s="1"/>
  <c r="T27" i="10" a="1"/>
  <c r="T27" i="10" s="1"/>
  <c r="T5" i="10" a="1"/>
  <c r="T5" i="10" s="1"/>
  <c r="T9" i="10" a="1"/>
  <c r="T9" i="10" s="1"/>
  <c r="T33" i="10" a="1"/>
  <c r="T33" i="10" s="1"/>
  <c r="T39" i="10" s="1"/>
  <c r="T20" i="10" a="1"/>
  <c r="T20" i="10" s="1"/>
  <c r="T41" i="10" a="1"/>
  <c r="T41" i="10" s="1"/>
  <c r="T23" i="10" a="1"/>
  <c r="T23" i="10" s="1"/>
  <c r="T28" i="10" a="1"/>
  <c r="T28" i="10" s="1"/>
  <c r="T13" i="10" a="1"/>
  <c r="T13" i="10" s="1"/>
  <c r="T14" i="10" a="1"/>
  <c r="T14" i="10" s="1"/>
  <c r="T30" i="10" a="1"/>
  <c r="T30" i="10" s="1"/>
  <c r="T21" i="10" a="1"/>
  <c r="T21" i="10" s="1"/>
  <c r="T24" i="10" a="1"/>
  <c r="T24" i="10" s="1"/>
  <c r="T12" i="10" a="1"/>
  <c r="T12" i="10" s="1"/>
  <c r="T18" i="10" s="1"/>
  <c r="T8" i="10" a="1"/>
  <c r="T8" i="10" s="1"/>
  <c r="T15" i="10" a="1"/>
  <c r="T15" i="10" s="1"/>
  <c r="T17" i="10" a="1"/>
  <c r="T17" i="10" s="1"/>
  <c r="T40" i="10" a="1"/>
  <c r="T40" i="10" s="1"/>
  <c r="T46" i="10" s="1"/>
  <c r="T45" i="10" a="1"/>
  <c r="T45" i="10" s="1"/>
  <c r="T34" i="10" a="1"/>
  <c r="T34" i="10" s="1"/>
  <c r="T6" i="10" a="1"/>
  <c r="T6" i="10" s="1"/>
  <c r="T26" i="10" a="1"/>
  <c r="T26" i="10" s="1"/>
  <c r="T7" i="10" a="1"/>
  <c r="T7" i="10" s="1"/>
  <c r="T29" i="10" a="1"/>
  <c r="T29" i="10" s="1"/>
  <c r="T10" i="10" a="1"/>
  <c r="T10" i="10" s="1"/>
  <c r="T19" i="10" a="1"/>
  <c r="T19" i="10" s="1"/>
  <c r="T36" i="10" a="1"/>
  <c r="T36" i="10" s="1"/>
  <c r="T22" i="10" a="1"/>
  <c r="T22" i="10" s="1"/>
  <c r="T44" i="10" a="1"/>
  <c r="T44" i="10" s="1"/>
  <c r="T43" i="10" a="1"/>
  <c r="T43" i="10" s="1"/>
  <c r="U2" i="8"/>
  <c r="T29" i="8" a="1"/>
  <c r="T29" i="8" s="1"/>
  <c r="T8" i="8" a="1"/>
  <c r="T8" i="8" s="1"/>
  <c r="T42" i="8" a="1"/>
  <c r="T42" i="8" s="1"/>
  <c r="T10" i="8" a="1"/>
  <c r="T10" i="8" s="1"/>
  <c r="T35" i="8" a="1"/>
  <c r="T35" i="8" s="1"/>
  <c r="T21" i="8" a="1"/>
  <c r="T21" i="8" s="1"/>
  <c r="T27" i="8" a="1"/>
  <c r="T27" i="8" s="1"/>
  <c r="T41" i="8" a="1"/>
  <c r="T41" i="8" s="1"/>
  <c r="T30" i="8" a="1"/>
  <c r="T30" i="8" s="1"/>
  <c r="T14" i="8" a="1"/>
  <c r="T14" i="8" s="1"/>
  <c r="T20" i="8" a="1"/>
  <c r="T20" i="8" s="1"/>
  <c r="T45" i="8" a="1"/>
  <c r="T45" i="8" s="1"/>
  <c r="T23" i="8" a="1"/>
  <c r="T23" i="8" s="1"/>
  <c r="T24" i="8" a="1"/>
  <c r="T24" i="8" s="1"/>
  <c r="T13" i="8" a="1"/>
  <c r="T13" i="8" s="1"/>
  <c r="T38" i="8" a="1"/>
  <c r="T38" i="8" s="1"/>
  <c r="T26" i="8" a="1"/>
  <c r="T26" i="8" s="1"/>
  <c r="T32" i="8" s="1"/>
  <c r="T17" i="8" a="1"/>
  <c r="T17" i="8" s="1"/>
  <c r="T28" i="8" a="1"/>
  <c r="T28" i="8" s="1"/>
  <c r="T16" i="8" a="1"/>
  <c r="T16" i="8" s="1"/>
  <c r="T5" i="8" a="1"/>
  <c r="T5" i="8" s="1"/>
  <c r="T7" i="8" a="1"/>
  <c r="T7" i="8" s="1"/>
  <c r="T40" i="8" a="1"/>
  <c r="T40" i="8" s="1"/>
  <c r="T46" i="8" s="1"/>
  <c r="T33" i="8" a="1"/>
  <c r="T33" i="8" s="1"/>
  <c r="T39" i="8" s="1"/>
  <c r="T34" i="8" a="1"/>
  <c r="T34" i="8" s="1"/>
  <c r="T31" i="8" a="1"/>
  <c r="T31" i="8" s="1"/>
  <c r="T19" i="8" a="1"/>
  <c r="T19" i="8" s="1"/>
  <c r="T25" i="8" s="1"/>
  <c r="T9" i="8" a="1"/>
  <c r="T9" i="8" s="1"/>
  <c r="T22" i="8" a="1"/>
  <c r="T22" i="8" s="1"/>
  <c r="T12" i="8" a="1"/>
  <c r="T12" i="8" s="1"/>
  <c r="T18" i="8" s="1"/>
  <c r="T15" i="8" a="1"/>
  <c r="T15" i="8" s="1"/>
  <c r="T6" i="8" a="1"/>
  <c r="T6" i="8" s="1"/>
  <c r="T36" i="8" a="1"/>
  <c r="T36" i="8" s="1"/>
  <c r="T44" i="8" a="1"/>
  <c r="T44" i="8" s="1"/>
  <c r="T37" i="8" a="1"/>
  <c r="T37" i="8" s="1"/>
  <c r="T43" i="8" a="1"/>
  <c r="T43" i="8" s="1"/>
  <c r="U2" i="6"/>
  <c r="T19" i="6" a="1"/>
  <c r="T19" i="6" s="1"/>
  <c r="T25" i="6" s="1"/>
  <c r="T13" i="6" a="1"/>
  <c r="T13" i="6" s="1"/>
  <c r="T45" i="6" a="1"/>
  <c r="T45" i="6" s="1"/>
  <c r="T34" i="6" a="1"/>
  <c r="T34" i="6" s="1"/>
  <c r="T8" i="6" a="1"/>
  <c r="T8" i="6" s="1"/>
  <c r="T26" i="6" a="1"/>
  <c r="T26" i="6" s="1"/>
  <c r="T32" i="6" s="1"/>
  <c r="T28" i="6" a="1"/>
  <c r="T28" i="6" s="1"/>
  <c r="T29" i="6" a="1"/>
  <c r="T29" i="6" s="1"/>
  <c r="T23" i="6" a="1"/>
  <c r="T23" i="6" s="1"/>
  <c r="T17" i="6" a="1"/>
  <c r="T17" i="6" s="1"/>
  <c r="T31" i="6" a="1"/>
  <c r="T31" i="6" s="1"/>
  <c r="T22" i="6" a="1"/>
  <c r="T22" i="6" s="1"/>
  <c r="T33" i="6" a="1"/>
  <c r="T33" i="6" s="1"/>
  <c r="T39" i="6" s="1"/>
  <c r="T24" i="6" a="1"/>
  <c r="T24" i="6" s="1"/>
  <c r="T38" i="6" a="1"/>
  <c r="T38" i="6" s="1"/>
  <c r="T15" i="6" a="1"/>
  <c r="T15" i="6" s="1"/>
  <c r="T16" i="6" a="1"/>
  <c r="T16" i="6" s="1"/>
  <c r="T5" i="6" a="1"/>
  <c r="T5" i="6" s="1"/>
  <c r="T7" i="6" a="1"/>
  <c r="T7" i="6" s="1"/>
  <c r="T10" i="6" a="1"/>
  <c r="T10" i="6" s="1"/>
  <c r="T40" i="6" a="1"/>
  <c r="T40" i="6" s="1"/>
  <c r="T46" i="6" s="1"/>
  <c r="T41" i="6" a="1"/>
  <c r="T41" i="6" s="1"/>
  <c r="T42" i="6" a="1"/>
  <c r="T42" i="6" s="1"/>
  <c r="T35" i="6" a="1"/>
  <c r="T35" i="6" s="1"/>
  <c r="T27" i="6" a="1"/>
  <c r="T27" i="6" s="1"/>
  <c r="T30" i="6" a="1"/>
  <c r="T30" i="6" s="1"/>
  <c r="T20" i="6" a="1"/>
  <c r="T20" i="6" s="1"/>
  <c r="T21" i="6" a="1"/>
  <c r="T21" i="6" s="1"/>
  <c r="T9" i="6" a="1"/>
  <c r="T9" i="6" s="1"/>
  <c r="T12" i="6" a="1"/>
  <c r="T12" i="6" s="1"/>
  <c r="T18" i="6" s="1"/>
  <c r="T14" i="6" a="1"/>
  <c r="T14" i="6" s="1"/>
  <c r="T6" i="6" a="1"/>
  <c r="T6" i="6" s="1"/>
  <c r="T43" i="6" a="1"/>
  <c r="T43" i="6" s="1"/>
  <c r="T36" i="6" a="1"/>
  <c r="T36" i="6" s="1"/>
  <c r="T37" i="6" a="1"/>
  <c r="T37" i="6" s="1"/>
  <c r="T44" i="6" a="1"/>
  <c r="T44" i="6" s="1"/>
  <c r="U2" i="12"/>
  <c r="T6" i="12" a="1"/>
  <c r="T6" i="12" s="1"/>
  <c r="T37" i="12" a="1"/>
  <c r="T37" i="12" s="1"/>
  <c r="T33" i="12" a="1"/>
  <c r="T33" i="12" s="1"/>
  <c r="T12" i="12" a="1"/>
  <c r="T12" i="12" s="1"/>
  <c r="T36" i="12" a="1"/>
  <c r="T36" i="12" s="1"/>
  <c r="T27" i="12" a="1"/>
  <c r="T27" i="12" s="1"/>
  <c r="T26" i="12" a="1"/>
  <c r="T26" i="12" s="1"/>
  <c r="T32" i="12" s="1"/>
  <c r="T20" i="12" a="1"/>
  <c r="T20" i="12" s="1"/>
  <c r="T29" i="12" a="1"/>
  <c r="T29" i="12" s="1"/>
  <c r="T30" i="12" a="1"/>
  <c r="T30" i="12" s="1"/>
  <c r="T19" i="12" a="1"/>
  <c r="T19" i="12" s="1"/>
  <c r="T21" i="12" a="1"/>
  <c r="T21" i="12" s="1"/>
  <c r="T22" i="12" a="1"/>
  <c r="T22" i="12" s="1"/>
  <c r="T45" i="12" a="1"/>
  <c r="T45" i="12" s="1"/>
  <c r="T34" i="12" a="1"/>
  <c r="T34" i="12" s="1"/>
  <c r="T14" i="12" a="1"/>
  <c r="T14" i="12" s="1"/>
  <c r="T23" i="12" a="1"/>
  <c r="T23" i="12" s="1"/>
  <c r="T17" i="12" a="1"/>
  <c r="T17" i="12" s="1"/>
  <c r="T15" i="12" a="1"/>
  <c r="T15" i="12" s="1"/>
  <c r="T5" i="12" a="1"/>
  <c r="T5" i="12" s="1"/>
  <c r="T40" i="12" a="1"/>
  <c r="T40" i="12" s="1"/>
  <c r="T46" i="12" s="1"/>
  <c r="T41" i="12" a="1"/>
  <c r="T41" i="12" s="1"/>
  <c r="T42" i="12" a="1"/>
  <c r="T42" i="12" s="1"/>
  <c r="T35" i="12" a="1"/>
  <c r="T35" i="12" s="1"/>
  <c r="T38" i="12" a="1"/>
  <c r="T38" i="12" s="1"/>
  <c r="T28" i="12" a="1"/>
  <c r="T28" i="12" s="1"/>
  <c r="T31" i="12" a="1"/>
  <c r="T31" i="12" s="1"/>
  <c r="T7" i="12" a="1"/>
  <c r="T7" i="12" s="1"/>
  <c r="T24" i="12" a="1"/>
  <c r="T24" i="12" s="1"/>
  <c r="T13" i="12" a="1"/>
  <c r="T13" i="12" s="1"/>
  <c r="T16" i="12" a="1"/>
  <c r="T16" i="12" s="1"/>
  <c r="T10" i="12" a="1"/>
  <c r="T10" i="12" s="1"/>
  <c r="T8" i="12" a="1"/>
  <c r="T8" i="12" s="1"/>
  <c r="T43" i="12" a="1"/>
  <c r="T43" i="12" s="1"/>
  <c r="T44" i="12" a="1"/>
  <c r="T44" i="12" s="1"/>
  <c r="T9" i="12" a="1"/>
  <c r="T9" i="12" s="1"/>
  <c r="U4" i="6" a="1"/>
  <c r="U4" i="6" s="1"/>
  <c r="U3" i="6" a="1"/>
  <c r="U3" i="6" s="1"/>
  <c r="U4" i="14" a="1"/>
  <c r="U4" i="14" s="1"/>
  <c r="U3" i="14" a="1"/>
  <c r="U3" i="14" s="1"/>
  <c r="U4" i="9" a="1"/>
  <c r="U4" i="9" s="1"/>
  <c r="U3" i="9" a="1"/>
  <c r="U3" i="9" s="1"/>
  <c r="U3" i="12" a="1"/>
  <c r="U3" i="12" s="1"/>
  <c r="U4" i="12" a="1"/>
  <c r="U4" i="12" s="1"/>
  <c r="U4" i="46" a="1"/>
  <c r="U4" i="46" s="1"/>
  <c r="U3" i="46" a="1"/>
  <c r="U3" i="46" s="1"/>
  <c r="U3" i="13" a="1"/>
  <c r="U3" i="13" s="1"/>
  <c r="U4" i="13" a="1"/>
  <c r="U4" i="13" s="1"/>
  <c r="U4" i="10" a="1"/>
  <c r="U4" i="10" s="1"/>
  <c r="U3" i="10" a="1"/>
  <c r="U3" i="10" s="1"/>
  <c r="U4" i="8" a="1"/>
  <c r="U4" i="8" s="1"/>
  <c r="U3" i="8" a="1"/>
  <c r="U3" i="8" s="1"/>
  <c r="C220" i="3"/>
  <c r="E9" i="45"/>
  <c r="F9" i="45"/>
  <c r="G9" i="45"/>
  <c r="H9" i="45"/>
  <c r="I9" i="45"/>
  <c r="J9" i="45"/>
  <c r="K9" i="45"/>
  <c r="L9" i="45"/>
  <c r="M9" i="45"/>
  <c r="N9" i="45"/>
  <c r="O9" i="45"/>
  <c r="P9" i="45"/>
  <c r="Q9" i="45"/>
  <c r="R9" i="45"/>
  <c r="S9" i="45"/>
  <c r="T9" i="45"/>
  <c r="U9" i="45"/>
  <c r="V9" i="45"/>
  <c r="C122" i="3" a="1"/>
  <c r="C122" i="3" s="1"/>
  <c r="C119" i="3" a="1"/>
  <c r="C119" i="3" s="1"/>
  <c r="C118" i="3" a="1"/>
  <c r="C118" i="3" s="1"/>
  <c r="C117" i="3" a="1"/>
  <c r="C117" i="3" s="1"/>
  <c r="V8" i="45"/>
  <c r="U8" i="45"/>
  <c r="T8" i="45"/>
  <c r="S8" i="45"/>
  <c r="R8" i="45"/>
  <c r="Q8" i="45"/>
  <c r="P8" i="45"/>
  <c r="O8" i="45"/>
  <c r="N8" i="45"/>
  <c r="M8" i="45"/>
  <c r="L8" i="45"/>
  <c r="K8" i="45"/>
  <c r="J8" i="45"/>
  <c r="I8" i="45"/>
  <c r="H8" i="45"/>
  <c r="G8" i="45"/>
  <c r="F8" i="45"/>
  <c r="E8" i="45"/>
  <c r="ES29" i="17"/>
  <c r="DY8" i="17"/>
  <c r="CK57" i="17"/>
  <c r="FM43" i="17"/>
  <c r="CK43" i="17"/>
  <c r="DE43" i="17"/>
  <c r="HB14" i="17"/>
  <c r="DE29" i="17"/>
  <c r="CK50" i="17"/>
  <c r="HB42" i="17"/>
  <c r="HB21" i="17"/>
  <c r="FM50" i="17"/>
  <c r="DE57" i="17"/>
  <c r="DE36" i="17"/>
  <c r="FM29" i="17"/>
  <c r="DY22" i="17"/>
  <c r="ES50" i="17"/>
  <c r="CK36" i="17"/>
  <c r="ES15" i="17"/>
  <c r="HB35" i="17"/>
  <c r="HB7" i="17"/>
  <c r="HB56" i="17"/>
  <c r="ES57" i="17"/>
  <c r="CK22" i="17"/>
  <c r="CK8" i="17"/>
  <c r="FM8" i="17"/>
  <c r="HB49" i="17"/>
  <c r="ES36" i="17"/>
  <c r="FM22" i="17"/>
  <c r="FM36" i="17"/>
  <c r="DE50" i="17"/>
  <c r="DE15" i="17"/>
  <c r="DE22" i="17"/>
  <c r="DY43" i="17"/>
  <c r="FM57" i="17"/>
  <c r="HB28" i="17"/>
  <c r="DY29" i="17"/>
  <c r="DE8" i="17"/>
  <c r="DY50" i="17"/>
  <c r="DY15" i="17"/>
  <c r="DY57" i="17"/>
  <c r="FM15" i="17"/>
  <c r="ES43" i="17"/>
  <c r="ES22" i="17"/>
  <c r="CK15" i="17"/>
  <c r="ES8" i="17"/>
  <c r="DY36" i="17"/>
  <c r="CK29" i="17"/>
  <c r="B15" i="52" l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B28" i="52" s="1"/>
  <c r="B29" i="52" s="1"/>
  <c r="B30" i="52" s="1"/>
  <c r="B31" i="52" s="1"/>
  <c r="B32" i="52" s="1"/>
  <c r="B33" i="52" s="1"/>
  <c r="B34" i="52" s="1"/>
  <c r="AD9" i="52"/>
  <c r="AD8" i="52"/>
  <c r="AB8" i="52"/>
  <c r="Z9" i="52"/>
  <c r="AB9" i="52"/>
  <c r="AF9" i="52"/>
  <c r="AF8" i="52"/>
  <c r="Z8" i="52"/>
  <c r="T18" i="13"/>
  <c r="T39" i="9"/>
  <c r="T25" i="10"/>
  <c r="T32" i="10"/>
  <c r="T25" i="9"/>
  <c r="T18" i="9"/>
  <c r="T39" i="14"/>
  <c r="T18" i="14"/>
  <c r="T25" i="12"/>
  <c r="T39" i="12"/>
  <c r="T25" i="13"/>
  <c r="T32" i="13"/>
  <c r="T18" i="12"/>
  <c r="U44" i="13" a="1"/>
  <c r="U44" i="13" s="1"/>
  <c r="U8" i="13" a="1"/>
  <c r="U8" i="13" s="1"/>
  <c r="U9" i="13" a="1"/>
  <c r="U9" i="13" s="1"/>
  <c r="U20" i="13" a="1"/>
  <c r="U20" i="13" s="1"/>
  <c r="U31" i="13" a="1"/>
  <c r="U31" i="13" s="1"/>
  <c r="U27" i="13" a="1"/>
  <c r="U27" i="13" s="1"/>
  <c r="U34" i="13" a="1"/>
  <c r="U34" i="13" s="1"/>
  <c r="U43" i="13" a="1"/>
  <c r="U43" i="13" s="1"/>
  <c r="U10" i="13" a="1"/>
  <c r="U10" i="13" s="1"/>
  <c r="U19" i="13" a="1"/>
  <c r="U19" i="13" s="1"/>
  <c r="U25" i="13" s="1"/>
  <c r="U5" i="13" a="1"/>
  <c r="U5" i="13" s="1"/>
  <c r="U11" i="13" s="1"/>
  <c r="U16" i="13" a="1"/>
  <c r="U16" i="13" s="1"/>
  <c r="U40" i="13" a="1"/>
  <c r="U40" i="13" s="1"/>
  <c r="U46" i="13" s="1"/>
  <c r="U13" i="13" a="1"/>
  <c r="U13" i="13" s="1"/>
  <c r="U6" i="13" a="1"/>
  <c r="U6" i="13" s="1"/>
  <c r="U24" i="13" a="1"/>
  <c r="U24" i="13" s="1"/>
  <c r="U17" i="13" a="1"/>
  <c r="U17" i="13" s="1"/>
  <c r="U14" i="13" a="1"/>
  <c r="U14" i="13" s="1"/>
  <c r="U12" i="13" a="1"/>
  <c r="U12" i="13" s="1"/>
  <c r="U18" i="13" s="1"/>
  <c r="U23" i="13" a="1"/>
  <c r="U23" i="13" s="1"/>
  <c r="U29" i="13" a="1"/>
  <c r="U29" i="13" s="1"/>
  <c r="U22" i="13" a="1"/>
  <c r="U22" i="13" s="1"/>
  <c r="U26" i="13" a="1"/>
  <c r="U26" i="13" s="1"/>
  <c r="U32" i="13" s="1"/>
  <c r="U21" i="13" a="1"/>
  <c r="U21" i="13" s="1"/>
  <c r="U36" i="13" a="1"/>
  <c r="U36" i="13" s="1"/>
  <c r="U30" i="13" a="1"/>
  <c r="U30" i="13" s="1"/>
  <c r="U33" i="13" a="1"/>
  <c r="U33" i="13" s="1"/>
  <c r="U39" i="13" s="1"/>
  <c r="U42" i="13" a="1"/>
  <c r="U42" i="13" s="1"/>
  <c r="U45" i="13" a="1"/>
  <c r="U45" i="13" s="1"/>
  <c r="U41" i="13" a="1"/>
  <c r="U41" i="13" s="1"/>
  <c r="U7" i="13" a="1"/>
  <c r="U7" i="13" s="1"/>
  <c r="U28" i="13" a="1"/>
  <c r="U28" i="13" s="1"/>
  <c r="U38" i="13" a="1"/>
  <c r="U38" i="13" s="1"/>
  <c r="U15" i="13" a="1"/>
  <c r="U15" i="13" s="1"/>
  <c r="U35" i="13" a="1"/>
  <c r="U35" i="13" s="1"/>
  <c r="U37" i="13" a="1"/>
  <c r="U37" i="13" s="1"/>
  <c r="T11" i="13"/>
  <c r="U24" i="46" a="1"/>
  <c r="U24" i="46" s="1"/>
  <c r="U38" i="46" a="1"/>
  <c r="U38" i="46" s="1"/>
  <c r="U37" i="46" a="1"/>
  <c r="U37" i="46" s="1"/>
  <c r="U5" i="46" a="1"/>
  <c r="U5" i="46" s="1"/>
  <c r="U11" i="46" s="1"/>
  <c r="U43" i="46" a="1"/>
  <c r="U43" i="46" s="1"/>
  <c r="U33" i="46" a="1"/>
  <c r="U33" i="46" s="1"/>
  <c r="U39" i="46" s="1"/>
  <c r="U44" i="46" a="1"/>
  <c r="U44" i="46" s="1"/>
  <c r="U36" i="46" a="1"/>
  <c r="U36" i="46" s="1"/>
  <c r="U10" i="46" a="1"/>
  <c r="U10" i="46" s="1"/>
  <c r="U41" i="46" a="1"/>
  <c r="U41" i="46" s="1"/>
  <c r="U7" i="46" a="1"/>
  <c r="U7" i="46" s="1"/>
  <c r="U8" i="46" a="1"/>
  <c r="U8" i="46" s="1"/>
  <c r="U17" i="46" a="1"/>
  <c r="U17" i="46" s="1"/>
  <c r="U29" i="46" a="1"/>
  <c r="U29" i="46" s="1"/>
  <c r="U45" i="46" a="1"/>
  <c r="U45" i="46" s="1"/>
  <c r="U13" i="46" a="1"/>
  <c r="U13" i="46" s="1"/>
  <c r="U40" i="46" a="1"/>
  <c r="U40" i="46" s="1"/>
  <c r="U46" i="46" s="1"/>
  <c r="U15" i="46" a="1"/>
  <c r="U15" i="46" s="1"/>
  <c r="U14" i="46" a="1"/>
  <c r="U14" i="46" s="1"/>
  <c r="U23" i="46" a="1"/>
  <c r="U23" i="46" s="1"/>
  <c r="U20" i="46" a="1"/>
  <c r="U20" i="46" s="1"/>
  <c r="U30" i="46" a="1"/>
  <c r="U30" i="46" s="1"/>
  <c r="U27" i="46" a="1"/>
  <c r="U27" i="46" s="1"/>
  <c r="U35" i="46" a="1"/>
  <c r="U35" i="46" s="1"/>
  <c r="U42" i="46" a="1"/>
  <c r="U42" i="46" s="1"/>
  <c r="U9" i="46" a="1"/>
  <c r="U9" i="46" s="1"/>
  <c r="U19" i="46" a="1"/>
  <c r="U19" i="46" s="1"/>
  <c r="U25" i="46" s="1"/>
  <c r="U6" i="46" a="1"/>
  <c r="U6" i="46" s="1"/>
  <c r="U16" i="46" a="1"/>
  <c r="U16" i="46" s="1"/>
  <c r="U12" i="46" a="1"/>
  <c r="U12" i="46" s="1"/>
  <c r="U18" i="46" s="1"/>
  <c r="U22" i="46" a="1"/>
  <c r="U22" i="46" s="1"/>
  <c r="U21" i="46" a="1"/>
  <c r="U21" i="46" s="1"/>
  <c r="U31" i="46" a="1"/>
  <c r="U31" i="46" s="1"/>
  <c r="U28" i="46" a="1"/>
  <c r="U28" i="46" s="1"/>
  <c r="U26" i="46" a="1"/>
  <c r="U26" i="46" s="1"/>
  <c r="U32" i="46" s="1"/>
  <c r="U34" i="46" a="1"/>
  <c r="U34" i="46" s="1"/>
  <c r="T11" i="46"/>
  <c r="U23" i="9" a="1"/>
  <c r="U23" i="9" s="1"/>
  <c r="U37" i="9" a="1"/>
  <c r="U37" i="9" s="1"/>
  <c r="U43" i="9" a="1"/>
  <c r="U43" i="9" s="1"/>
  <c r="U20" i="9" a="1"/>
  <c r="U20" i="9" s="1"/>
  <c r="U29" i="9" a="1"/>
  <c r="U29" i="9" s="1"/>
  <c r="U44" i="9" a="1"/>
  <c r="U44" i="9" s="1"/>
  <c r="U36" i="9" a="1"/>
  <c r="U36" i="9" s="1"/>
  <c r="U35" i="9" a="1"/>
  <c r="U35" i="9" s="1"/>
  <c r="U9" i="9" a="1"/>
  <c r="U9" i="9" s="1"/>
  <c r="U26" i="9" a="1"/>
  <c r="U26" i="9" s="1"/>
  <c r="U32" i="9" s="1"/>
  <c r="U6" i="9" a="1"/>
  <c r="U6" i="9" s="1"/>
  <c r="U41" i="9" a="1"/>
  <c r="U41" i="9" s="1"/>
  <c r="U8" i="9" a="1"/>
  <c r="U8" i="9" s="1"/>
  <c r="U15" i="9" a="1"/>
  <c r="U15" i="9" s="1"/>
  <c r="U5" i="9" a="1"/>
  <c r="U5" i="9" s="1"/>
  <c r="U11" i="9" s="1"/>
  <c r="U12" i="9" a="1"/>
  <c r="U12" i="9" s="1"/>
  <c r="U18" i="9" s="1"/>
  <c r="U16" i="9" a="1"/>
  <c r="U16" i="9" s="1"/>
  <c r="U22" i="9" a="1"/>
  <c r="U22" i="9" s="1"/>
  <c r="U13" i="9" a="1"/>
  <c r="U13" i="9" s="1"/>
  <c r="U19" i="9" a="1"/>
  <c r="U19" i="9" s="1"/>
  <c r="U25" i="9" s="1"/>
  <c r="U30" i="9" a="1"/>
  <c r="U30" i="9" s="1"/>
  <c r="U24" i="9" a="1"/>
  <c r="U24" i="9" s="1"/>
  <c r="U27" i="9" a="1"/>
  <c r="U27" i="9" s="1"/>
  <c r="U21" i="9" a="1"/>
  <c r="U21" i="9" s="1"/>
  <c r="U28" i="9" a="1"/>
  <c r="U28" i="9" s="1"/>
  <c r="U34" i="9" a="1"/>
  <c r="U34" i="9" s="1"/>
  <c r="U14" i="9" a="1"/>
  <c r="U14" i="9" s="1"/>
  <c r="U38" i="9" a="1"/>
  <c r="U38" i="9" s="1"/>
  <c r="U40" i="9" a="1"/>
  <c r="U40" i="9" s="1"/>
  <c r="U46" i="9" s="1"/>
  <c r="U10" i="9" a="1"/>
  <c r="U10" i="9" s="1"/>
  <c r="U33" i="9" a="1"/>
  <c r="U33" i="9" s="1"/>
  <c r="U39" i="9" s="1"/>
  <c r="U7" i="9" a="1"/>
  <c r="U7" i="9" s="1"/>
  <c r="U45" i="9" a="1"/>
  <c r="U45" i="9" s="1"/>
  <c r="U17" i="9" a="1"/>
  <c r="U17" i="9" s="1"/>
  <c r="U42" i="9" a="1"/>
  <c r="U42" i="9" s="1"/>
  <c r="U31" i="9" a="1"/>
  <c r="U31" i="9" s="1"/>
  <c r="T11" i="9"/>
  <c r="U37" i="14" a="1"/>
  <c r="U37" i="14" s="1"/>
  <c r="U24" i="14" a="1"/>
  <c r="U24" i="14" s="1"/>
  <c r="U21" i="14" a="1"/>
  <c r="U21" i="14" s="1"/>
  <c r="U28" i="14" a="1"/>
  <c r="U28" i="14" s="1"/>
  <c r="U35" i="14" a="1"/>
  <c r="U35" i="14" s="1"/>
  <c r="U44" i="14" a="1"/>
  <c r="U44" i="14" s="1"/>
  <c r="U43" i="14" a="1"/>
  <c r="U43" i="14" s="1"/>
  <c r="U36" i="14" a="1"/>
  <c r="U36" i="14" s="1"/>
  <c r="U10" i="14" a="1"/>
  <c r="U10" i="14" s="1"/>
  <c r="U26" i="14" a="1"/>
  <c r="U26" i="14" s="1"/>
  <c r="U32" i="14" s="1"/>
  <c r="U7" i="14" a="1"/>
  <c r="U7" i="14" s="1"/>
  <c r="U5" i="14" a="1"/>
  <c r="U5" i="14" s="1"/>
  <c r="U11" i="14" s="1"/>
  <c r="U41" i="14" a="1"/>
  <c r="U41" i="14" s="1"/>
  <c r="U30" i="14" a="1"/>
  <c r="U30" i="14" s="1"/>
  <c r="U16" i="14" a="1"/>
  <c r="U16" i="14" s="1"/>
  <c r="U12" i="14" a="1"/>
  <c r="U12" i="14" s="1"/>
  <c r="U18" i="14" s="1"/>
  <c r="U15" i="14" a="1"/>
  <c r="U15" i="14" s="1"/>
  <c r="U14" i="14" a="1"/>
  <c r="U14" i="14" s="1"/>
  <c r="U23" i="14" a="1"/>
  <c r="U23" i="14" s="1"/>
  <c r="U22" i="14" a="1"/>
  <c r="U22" i="14" s="1"/>
  <c r="U31" i="14" a="1"/>
  <c r="U31" i="14" s="1"/>
  <c r="U29" i="14" a="1"/>
  <c r="U29" i="14" s="1"/>
  <c r="U20" i="14" a="1"/>
  <c r="U20" i="14" s="1"/>
  <c r="U19" i="14" a="1"/>
  <c r="U19" i="14" s="1"/>
  <c r="U25" i="14" s="1"/>
  <c r="U27" i="14" a="1"/>
  <c r="U27" i="14" s="1"/>
  <c r="U34" i="14" a="1"/>
  <c r="U34" i="14" s="1"/>
  <c r="U13" i="14" a="1"/>
  <c r="U13" i="14" s="1"/>
  <c r="U38" i="14" a="1"/>
  <c r="U38" i="14" s="1"/>
  <c r="U40" i="14" a="1"/>
  <c r="U40" i="14" s="1"/>
  <c r="U46" i="14" s="1"/>
  <c r="U9" i="14" a="1"/>
  <c r="U9" i="14" s="1"/>
  <c r="U8" i="14" a="1"/>
  <c r="U8" i="14" s="1"/>
  <c r="U6" i="14" a="1"/>
  <c r="U6" i="14" s="1"/>
  <c r="U33" i="14" a="1"/>
  <c r="U33" i="14" s="1"/>
  <c r="U39" i="14" s="1"/>
  <c r="U17" i="14" a="1"/>
  <c r="U17" i="14" s="1"/>
  <c r="U45" i="14" a="1"/>
  <c r="U45" i="14" s="1"/>
  <c r="U42" i="14" a="1"/>
  <c r="U42" i="14" s="1"/>
  <c r="T11" i="14"/>
  <c r="U8" i="10" a="1"/>
  <c r="U8" i="10" s="1"/>
  <c r="U40" i="10" a="1"/>
  <c r="U40" i="10" s="1"/>
  <c r="U46" i="10" s="1"/>
  <c r="U43" i="10" a="1"/>
  <c r="U43" i="10" s="1"/>
  <c r="U44" i="10" a="1"/>
  <c r="U44" i="10" s="1"/>
  <c r="U37" i="10" a="1"/>
  <c r="U37" i="10" s="1"/>
  <c r="U31" i="10" a="1"/>
  <c r="U31" i="10" s="1"/>
  <c r="U36" i="10" a="1"/>
  <c r="U36" i="10" s="1"/>
  <c r="U10" i="10" a="1"/>
  <c r="U10" i="10" s="1"/>
  <c r="U42" i="10" a="1"/>
  <c r="U42" i="10" s="1"/>
  <c r="U17" i="10" a="1"/>
  <c r="U17" i="10" s="1"/>
  <c r="U38" i="10" a="1"/>
  <c r="U38" i="10" s="1"/>
  <c r="U34" i="10" a="1"/>
  <c r="U34" i="10" s="1"/>
  <c r="U14" i="10" a="1"/>
  <c r="U14" i="10" s="1"/>
  <c r="U18" i="10" s="1"/>
  <c r="U7" i="10" a="1"/>
  <c r="U7" i="10" s="1"/>
  <c r="U23" i="10" a="1"/>
  <c r="U23" i="10" s="1"/>
  <c r="U30" i="10" a="1"/>
  <c r="U30" i="10" s="1"/>
  <c r="U35" i="10" a="1"/>
  <c r="U35" i="10" s="1"/>
  <c r="U41" i="10" a="1"/>
  <c r="U41" i="10" s="1"/>
  <c r="U9" i="10" a="1"/>
  <c r="U9" i="10" s="1"/>
  <c r="U6" i="10" a="1"/>
  <c r="U6" i="10" s="1"/>
  <c r="U5" i="10" a="1"/>
  <c r="U5" i="10" s="1"/>
  <c r="U11" i="10" s="1"/>
  <c r="U16" i="10" a="1"/>
  <c r="U16" i="10" s="1"/>
  <c r="U15" i="10" a="1"/>
  <c r="U15" i="10" s="1"/>
  <c r="U24" i="10" a="1"/>
  <c r="U24" i="10" s="1"/>
  <c r="U21" i="10" a="1"/>
  <c r="U21" i="10" s="1"/>
  <c r="U25" i="10" s="1"/>
  <c r="U29" i="10" a="1"/>
  <c r="U29" i="10" s="1"/>
  <c r="U28" i="10" a="1"/>
  <c r="U28" i="10" s="1"/>
  <c r="U32" i="10" s="1"/>
  <c r="U33" i="10" a="1"/>
  <c r="U33" i="10" s="1"/>
  <c r="U39" i="10" s="1"/>
  <c r="U45" i="10" a="1"/>
  <c r="U45" i="10" s="1"/>
  <c r="T11" i="10"/>
  <c r="U37" i="8" a="1"/>
  <c r="U37" i="8" s="1"/>
  <c r="U43" i="8" a="1"/>
  <c r="U43" i="8" s="1"/>
  <c r="U22" i="8" a="1"/>
  <c r="U22" i="8" s="1"/>
  <c r="U44" i="8" a="1"/>
  <c r="U44" i="8" s="1"/>
  <c r="U30" i="8" a="1"/>
  <c r="U30" i="8" s="1"/>
  <c r="U36" i="8" a="1"/>
  <c r="U36" i="8" s="1"/>
  <c r="U10" i="8" a="1"/>
  <c r="U10" i="8" s="1"/>
  <c r="U7" i="8" a="1"/>
  <c r="U7" i="8" s="1"/>
  <c r="U11" i="8" s="1"/>
  <c r="U34" i="8" a="1"/>
  <c r="U34" i="8" s="1"/>
  <c r="U16" i="8" a="1"/>
  <c r="U16" i="8" s="1"/>
  <c r="U41" i="8" a="1"/>
  <c r="U41" i="8" s="1"/>
  <c r="U23" i="8" a="1"/>
  <c r="U23" i="8" s="1"/>
  <c r="U15" i="8" a="1"/>
  <c r="U15" i="8" s="1"/>
  <c r="U14" i="8" a="1"/>
  <c r="U14" i="8" s="1"/>
  <c r="U18" i="8" s="1"/>
  <c r="U24" i="8" a="1"/>
  <c r="U24" i="8" s="1"/>
  <c r="U29" i="8" a="1"/>
  <c r="U29" i="8" s="1"/>
  <c r="U27" i="8" a="1"/>
  <c r="U27" i="8" s="1"/>
  <c r="U26" i="8" a="1"/>
  <c r="U26" i="8" s="1"/>
  <c r="U32" i="8" s="1"/>
  <c r="U35" i="8" a="1"/>
  <c r="U35" i="8" s="1"/>
  <c r="U21" i="8" a="1"/>
  <c r="U21" i="8" s="1"/>
  <c r="U25" i="8" s="1"/>
  <c r="U28" i="8" a="1"/>
  <c r="U28" i="8" s="1"/>
  <c r="U38" i="8" a="1"/>
  <c r="U38" i="8" s="1"/>
  <c r="U40" i="8" a="1"/>
  <c r="U40" i="8" s="1"/>
  <c r="U46" i="8" s="1"/>
  <c r="U9" i="8" a="1"/>
  <c r="U9" i="8" s="1"/>
  <c r="U8" i="8" a="1"/>
  <c r="U8" i="8" s="1"/>
  <c r="U33" i="8" a="1"/>
  <c r="U33" i="8" s="1"/>
  <c r="U39" i="8" s="1"/>
  <c r="U45" i="8" a="1"/>
  <c r="U45" i="8" s="1"/>
  <c r="U17" i="8" a="1"/>
  <c r="U17" i="8" s="1"/>
  <c r="U42" i="8" a="1"/>
  <c r="U42" i="8" s="1"/>
  <c r="U31" i="8" a="1"/>
  <c r="U31" i="8" s="1"/>
  <c r="T11" i="8"/>
  <c r="U37" i="6" a="1"/>
  <c r="U37" i="6" s="1"/>
  <c r="U44" i="6" a="1"/>
  <c r="U44" i="6" s="1"/>
  <c r="U21" i="6" a="1"/>
  <c r="U21" i="6" s="1"/>
  <c r="U25" i="6" s="1"/>
  <c r="U36" i="6" a="1"/>
  <c r="U36" i="6" s="1"/>
  <c r="U43" i="6" a="1"/>
  <c r="U43" i="6" s="1"/>
  <c r="U29" i="6" a="1"/>
  <c r="U29" i="6" s="1"/>
  <c r="U10" i="6" a="1"/>
  <c r="U10" i="6" s="1"/>
  <c r="U22" i="6" a="1"/>
  <c r="U22" i="6" s="1"/>
  <c r="U7" i="6" a="1"/>
  <c r="U7" i="6" s="1"/>
  <c r="U11" i="6" s="1"/>
  <c r="U26" i="6" a="1"/>
  <c r="U26" i="6" s="1"/>
  <c r="U32" i="6" s="1"/>
  <c r="U17" i="6" a="1"/>
  <c r="U17" i="6" s="1"/>
  <c r="U16" i="6" a="1"/>
  <c r="U16" i="6" s="1"/>
  <c r="U14" i="6" a="1"/>
  <c r="U14" i="6" s="1"/>
  <c r="U18" i="6" s="1"/>
  <c r="U45" i="6" a="1"/>
  <c r="U45" i="6" s="1"/>
  <c r="U24" i="6" a="1"/>
  <c r="U24" i="6" s="1"/>
  <c r="U40" i="6" a="1"/>
  <c r="U40" i="6" s="1"/>
  <c r="U46" i="6" s="1"/>
  <c r="U9" i="6" a="1"/>
  <c r="U9" i="6" s="1"/>
  <c r="U31" i="6" a="1"/>
  <c r="U31" i="6" s="1"/>
  <c r="U28" i="6" a="1"/>
  <c r="U28" i="6" s="1"/>
  <c r="U38" i="6" a="1"/>
  <c r="U38" i="6" s="1"/>
  <c r="U23" i="6" a="1"/>
  <c r="U23" i="6" s="1"/>
  <c r="U30" i="6" a="1"/>
  <c r="U30" i="6" s="1"/>
  <c r="U27" i="6" a="1"/>
  <c r="U27" i="6" s="1"/>
  <c r="U35" i="6" a="1"/>
  <c r="U35" i="6" s="1"/>
  <c r="U39" i="6" s="1"/>
  <c r="U8" i="6" a="1"/>
  <c r="U8" i="6" s="1"/>
  <c r="U42" i="6" a="1"/>
  <c r="U42" i="6" s="1"/>
  <c r="U41" i="6" a="1"/>
  <c r="U41" i="6" s="1"/>
  <c r="T11" i="6"/>
  <c r="U43" i="12" a="1"/>
  <c r="U43" i="12" s="1"/>
  <c r="U8" i="12" a="1"/>
  <c r="U8" i="12" s="1"/>
  <c r="U9" i="12" a="1"/>
  <c r="U9" i="12" s="1"/>
  <c r="U24" i="12" a="1"/>
  <c r="U24" i="12" s="1"/>
  <c r="U44" i="12" a="1"/>
  <c r="U44" i="12" s="1"/>
  <c r="U21" i="12" a="1"/>
  <c r="U21" i="12" s="1"/>
  <c r="U25" i="12" s="1"/>
  <c r="U31" i="12" a="1"/>
  <c r="U31" i="12" s="1"/>
  <c r="U28" i="12" a="1"/>
  <c r="U28" i="12" s="1"/>
  <c r="U32" i="12" s="1"/>
  <c r="U35" i="12" a="1"/>
  <c r="U35" i="12" s="1"/>
  <c r="U17" i="12" a="1"/>
  <c r="U17" i="12" s="1"/>
  <c r="U45" i="12" a="1"/>
  <c r="U45" i="12" s="1"/>
  <c r="U40" i="12" a="1"/>
  <c r="U40" i="12" s="1"/>
  <c r="U46" i="12" s="1"/>
  <c r="U10" i="12" a="1"/>
  <c r="U10" i="12" s="1"/>
  <c r="U22" i="12" a="1"/>
  <c r="U22" i="12" s="1"/>
  <c r="U30" i="12" a="1"/>
  <c r="U30" i="12" s="1"/>
  <c r="U36" i="12" a="1"/>
  <c r="U36" i="12" s="1"/>
  <c r="U23" i="12" a="1"/>
  <c r="U23" i="12" s="1"/>
  <c r="U33" i="12" a="1"/>
  <c r="U33" i="12" s="1"/>
  <c r="U39" i="12" s="1"/>
  <c r="U41" i="12" a="1"/>
  <c r="U41" i="12" s="1"/>
  <c r="U37" i="12" a="1"/>
  <c r="U37" i="12" s="1"/>
  <c r="U7" i="12" a="1"/>
  <c r="U7" i="12" s="1"/>
  <c r="U11" i="12" s="1"/>
  <c r="U34" i="12" a="1"/>
  <c r="U34" i="12" s="1"/>
  <c r="U16" i="12" a="1"/>
  <c r="U16" i="12" s="1"/>
  <c r="U42" i="12" a="1"/>
  <c r="U42" i="12" s="1"/>
  <c r="U14" i="12" a="1"/>
  <c r="U14" i="12" s="1"/>
  <c r="U18" i="12" s="1"/>
  <c r="U38" i="12" a="1"/>
  <c r="U38" i="12" s="1"/>
  <c r="T11" i="12"/>
  <c r="C121" i="3" a="1"/>
  <c r="C121" i="3" s="1"/>
  <c r="C120" i="3" a="1"/>
  <c r="C120" i="3" s="1"/>
  <c r="C124" i="3"/>
  <c r="B10" i="44"/>
  <c r="C10" i="44"/>
  <c r="D10" i="44"/>
  <c r="F10" i="44"/>
  <c r="G10" i="44"/>
  <c r="I10" i="44"/>
  <c r="J10" i="44"/>
  <c r="L10" i="44"/>
  <c r="M10" i="44"/>
  <c r="O10" i="44"/>
  <c r="P10" i="44"/>
  <c r="R10" i="44"/>
  <c r="S10" i="44"/>
  <c r="U10" i="44"/>
  <c r="V10" i="44"/>
  <c r="X10" i="44"/>
  <c r="Y10" i="44"/>
  <c r="AA10" i="44"/>
  <c r="AD10" i="44" s="1"/>
  <c r="AB10" i="44"/>
  <c r="AG10" i="44"/>
  <c r="AH10" i="44"/>
  <c r="AJ10" i="44"/>
  <c r="AK10" i="44"/>
  <c r="AM10" i="44"/>
  <c r="AN10" i="44"/>
  <c r="AP10" i="44"/>
  <c r="AQ10" i="44"/>
  <c r="AS10" i="44"/>
  <c r="AT10" i="44"/>
  <c r="AV10" i="44"/>
  <c r="AW10" i="44"/>
  <c r="AY10" i="44"/>
  <c r="AZ10" i="44"/>
  <c r="BB10" i="44"/>
  <c r="BC10" i="44"/>
  <c r="BE10" i="44"/>
  <c r="BH10" i="44" s="1"/>
  <c r="BF10" i="44"/>
  <c r="B11" i="44"/>
  <c r="C11" i="44"/>
  <c r="D11" i="44"/>
  <c r="F11" i="44"/>
  <c r="G11" i="44"/>
  <c r="I11" i="44"/>
  <c r="J11" i="44"/>
  <c r="L11" i="44"/>
  <c r="M11" i="44"/>
  <c r="O11" i="44"/>
  <c r="P11" i="44"/>
  <c r="R11" i="44"/>
  <c r="S11" i="44"/>
  <c r="U11" i="44"/>
  <c r="V11" i="44"/>
  <c r="X11" i="44"/>
  <c r="Y11" i="44"/>
  <c r="AA11" i="44"/>
  <c r="AD11" i="44" s="1"/>
  <c r="AB11" i="44"/>
  <c r="AG11" i="44"/>
  <c r="AH11" i="44"/>
  <c r="AJ11" i="44"/>
  <c r="AK11" i="44"/>
  <c r="AM11" i="44"/>
  <c r="AN11" i="44"/>
  <c r="AP11" i="44"/>
  <c r="AQ11" i="44"/>
  <c r="AS11" i="44"/>
  <c r="AT11" i="44"/>
  <c r="AV11" i="44"/>
  <c r="AW11" i="44"/>
  <c r="AY11" i="44"/>
  <c r="AZ11" i="44"/>
  <c r="BB11" i="44"/>
  <c r="BC11" i="44"/>
  <c r="BE11" i="44"/>
  <c r="BH11" i="44" s="1"/>
  <c r="BF11" i="44"/>
  <c r="B12" i="44"/>
  <c r="C12" i="44"/>
  <c r="D12" i="44"/>
  <c r="F12" i="44"/>
  <c r="G12" i="44"/>
  <c r="I12" i="44"/>
  <c r="J12" i="44"/>
  <c r="L12" i="44"/>
  <c r="M12" i="44"/>
  <c r="O12" i="44"/>
  <c r="P12" i="44"/>
  <c r="R12" i="44"/>
  <c r="S12" i="44"/>
  <c r="U12" i="44"/>
  <c r="V12" i="44"/>
  <c r="X12" i="44"/>
  <c r="Y12" i="44"/>
  <c r="AA12" i="44"/>
  <c r="AD12" i="44" s="1"/>
  <c r="AB12" i="44"/>
  <c r="AG12" i="44"/>
  <c r="AH12" i="44"/>
  <c r="AJ12" i="44"/>
  <c r="AK12" i="44"/>
  <c r="AM12" i="44"/>
  <c r="AN12" i="44"/>
  <c r="AP12" i="44"/>
  <c r="AQ12" i="44"/>
  <c r="AS12" i="44"/>
  <c r="AT12" i="44"/>
  <c r="AV12" i="44"/>
  <c r="AW12" i="44"/>
  <c r="AY12" i="44"/>
  <c r="AZ12" i="44"/>
  <c r="BB12" i="44"/>
  <c r="BC12" i="44"/>
  <c r="BE12" i="44"/>
  <c r="BH12" i="44" s="1"/>
  <c r="BF12" i="44"/>
  <c r="B13" i="44"/>
  <c r="C13" i="44"/>
  <c r="D13" i="44"/>
  <c r="F13" i="44"/>
  <c r="G13" i="44"/>
  <c r="I13" i="44"/>
  <c r="J13" i="44"/>
  <c r="L13" i="44"/>
  <c r="M13" i="44"/>
  <c r="O13" i="44"/>
  <c r="P13" i="44"/>
  <c r="R13" i="44"/>
  <c r="S13" i="44"/>
  <c r="U13" i="44"/>
  <c r="V13" i="44"/>
  <c r="X13" i="44"/>
  <c r="Y13" i="44"/>
  <c r="AA13" i="44"/>
  <c r="AD13" i="44" s="1"/>
  <c r="AB13" i="44"/>
  <c r="AG13" i="44"/>
  <c r="AH13" i="44"/>
  <c r="AJ13" i="44"/>
  <c r="AK13" i="44"/>
  <c r="AM13" i="44"/>
  <c r="AN13" i="44"/>
  <c r="AP13" i="44"/>
  <c r="AQ13" i="44"/>
  <c r="AS13" i="44"/>
  <c r="AT13" i="44"/>
  <c r="AV13" i="44"/>
  <c r="AW13" i="44"/>
  <c r="AY13" i="44"/>
  <c r="AZ13" i="44"/>
  <c r="BB13" i="44"/>
  <c r="BC13" i="44"/>
  <c r="BE13" i="44"/>
  <c r="BH13" i="44" s="1"/>
  <c r="BF13" i="44"/>
  <c r="B14" i="44"/>
  <c r="C14" i="44"/>
  <c r="D14" i="44"/>
  <c r="F14" i="44"/>
  <c r="G14" i="44"/>
  <c r="I14" i="44"/>
  <c r="J14" i="44"/>
  <c r="L14" i="44"/>
  <c r="M14" i="44"/>
  <c r="O14" i="44"/>
  <c r="P14" i="44"/>
  <c r="R14" i="44"/>
  <c r="S14" i="44"/>
  <c r="U14" i="44"/>
  <c r="V14" i="44"/>
  <c r="X14" i="44"/>
  <c r="Y14" i="44"/>
  <c r="AA14" i="44"/>
  <c r="AD14" i="44" s="1"/>
  <c r="AB14" i="44"/>
  <c r="AG14" i="44"/>
  <c r="AH14" i="44"/>
  <c r="AJ14" i="44"/>
  <c r="AK14" i="44"/>
  <c r="AM14" i="44"/>
  <c r="AN14" i="44"/>
  <c r="AP14" i="44"/>
  <c r="AQ14" i="44"/>
  <c r="AS14" i="44"/>
  <c r="AT14" i="44"/>
  <c r="AV14" i="44"/>
  <c r="AW14" i="44"/>
  <c r="AY14" i="44"/>
  <c r="AZ14" i="44"/>
  <c r="BB14" i="44"/>
  <c r="BC14" i="44"/>
  <c r="BE14" i="44"/>
  <c r="BH14" i="44" s="1"/>
  <c r="BF14" i="44"/>
  <c r="B15" i="44"/>
  <c r="C15" i="44"/>
  <c r="D15" i="44"/>
  <c r="F15" i="44"/>
  <c r="G15" i="44"/>
  <c r="I15" i="44"/>
  <c r="J15" i="44"/>
  <c r="L15" i="44"/>
  <c r="M15" i="44"/>
  <c r="O15" i="44"/>
  <c r="P15" i="44"/>
  <c r="R15" i="44"/>
  <c r="S15" i="44"/>
  <c r="U15" i="44"/>
  <c r="V15" i="44"/>
  <c r="X15" i="44"/>
  <c r="Y15" i="44"/>
  <c r="AA15" i="44"/>
  <c r="AD15" i="44" s="1"/>
  <c r="AB15" i="44"/>
  <c r="AG15" i="44"/>
  <c r="AH15" i="44"/>
  <c r="AJ15" i="44"/>
  <c r="AK15" i="44"/>
  <c r="AM15" i="44"/>
  <c r="AN15" i="44"/>
  <c r="AP15" i="44"/>
  <c r="AQ15" i="44"/>
  <c r="AS15" i="44"/>
  <c r="AT15" i="44"/>
  <c r="AV15" i="44"/>
  <c r="AW15" i="44"/>
  <c r="AY15" i="44"/>
  <c r="AZ15" i="44"/>
  <c r="BB15" i="44"/>
  <c r="BC15" i="44"/>
  <c r="BE15" i="44"/>
  <c r="BH15" i="44" s="1"/>
  <c r="BF15" i="44"/>
  <c r="B16" i="44"/>
  <c r="C16" i="44"/>
  <c r="D16" i="44"/>
  <c r="F16" i="44"/>
  <c r="G16" i="44"/>
  <c r="H16" i="44" s="1"/>
  <c r="I16" i="44"/>
  <c r="J16" i="44"/>
  <c r="L16" i="44"/>
  <c r="M16" i="44"/>
  <c r="O16" i="44"/>
  <c r="P16" i="44"/>
  <c r="R16" i="44"/>
  <c r="S16" i="44"/>
  <c r="U16" i="44"/>
  <c r="V16" i="44"/>
  <c r="X16" i="44"/>
  <c r="Y16" i="44"/>
  <c r="Z16" i="44" s="1"/>
  <c r="AA16" i="44"/>
  <c r="AD16" i="44" s="1"/>
  <c r="AB16" i="44"/>
  <c r="AG16" i="44"/>
  <c r="AH16" i="44"/>
  <c r="AJ16" i="44"/>
  <c r="AK16" i="44"/>
  <c r="AM16" i="44"/>
  <c r="AN16" i="44"/>
  <c r="AP16" i="44"/>
  <c r="AQ16" i="44"/>
  <c r="AS16" i="44"/>
  <c r="AT16" i="44"/>
  <c r="AV16" i="44"/>
  <c r="AW16" i="44"/>
  <c r="AY16" i="44"/>
  <c r="AZ16" i="44"/>
  <c r="BB16" i="44"/>
  <c r="BC16" i="44"/>
  <c r="BE16" i="44"/>
  <c r="BH16" i="44" s="1"/>
  <c r="BF16" i="44"/>
  <c r="BG16" i="44" s="1"/>
  <c r="B17" i="44"/>
  <c r="C17" i="44"/>
  <c r="D17" i="44"/>
  <c r="F17" i="44"/>
  <c r="G17" i="44"/>
  <c r="I17" i="44"/>
  <c r="J17" i="44"/>
  <c r="L17" i="44"/>
  <c r="M17" i="44"/>
  <c r="O17" i="44"/>
  <c r="P17" i="44"/>
  <c r="R17" i="44"/>
  <c r="S17" i="44"/>
  <c r="U17" i="44"/>
  <c r="V17" i="44"/>
  <c r="X17" i="44"/>
  <c r="Y17" i="44"/>
  <c r="AA17" i="44"/>
  <c r="AD17" i="44" s="1"/>
  <c r="AB17" i="44"/>
  <c r="AG17" i="44"/>
  <c r="AH17" i="44"/>
  <c r="AJ17" i="44"/>
  <c r="AK17" i="44"/>
  <c r="AM17" i="44"/>
  <c r="AN17" i="44"/>
  <c r="AP17" i="44"/>
  <c r="AQ17" i="44"/>
  <c r="AS17" i="44"/>
  <c r="AT17" i="44"/>
  <c r="AV17" i="44"/>
  <c r="AW17" i="44"/>
  <c r="AY17" i="44"/>
  <c r="AZ17" i="44"/>
  <c r="BB17" i="44"/>
  <c r="BC17" i="44"/>
  <c r="BE17" i="44"/>
  <c r="BH17" i="44" s="1"/>
  <c r="BF17" i="44"/>
  <c r="B18" i="44"/>
  <c r="C18" i="44"/>
  <c r="D18" i="44"/>
  <c r="F18" i="44"/>
  <c r="G18" i="44"/>
  <c r="I18" i="44"/>
  <c r="J18" i="44"/>
  <c r="L18" i="44"/>
  <c r="M18" i="44"/>
  <c r="O18" i="44"/>
  <c r="P18" i="44"/>
  <c r="R18" i="44"/>
  <c r="S18" i="44"/>
  <c r="U18" i="44"/>
  <c r="V18" i="44"/>
  <c r="X18" i="44"/>
  <c r="Y18" i="44"/>
  <c r="AA18" i="44"/>
  <c r="AD18" i="44" s="1"/>
  <c r="AB18" i="44"/>
  <c r="AG18" i="44"/>
  <c r="AH18" i="44"/>
  <c r="AJ18" i="44"/>
  <c r="AK18" i="44"/>
  <c r="AM18" i="44"/>
  <c r="AN18" i="44"/>
  <c r="AP18" i="44"/>
  <c r="AQ18" i="44"/>
  <c r="AS18" i="44"/>
  <c r="AT18" i="44"/>
  <c r="AV18" i="44"/>
  <c r="AW18" i="44"/>
  <c r="AY18" i="44"/>
  <c r="AZ18" i="44"/>
  <c r="BB18" i="44"/>
  <c r="BC18" i="44"/>
  <c r="BE18" i="44"/>
  <c r="BH18" i="44" s="1"/>
  <c r="BF18" i="44"/>
  <c r="B19" i="44"/>
  <c r="C19" i="44"/>
  <c r="D19" i="44"/>
  <c r="F19" i="44"/>
  <c r="G19" i="44"/>
  <c r="I19" i="44"/>
  <c r="J19" i="44"/>
  <c r="L19" i="44"/>
  <c r="M19" i="44"/>
  <c r="O19" i="44"/>
  <c r="P19" i="44"/>
  <c r="R19" i="44"/>
  <c r="S19" i="44"/>
  <c r="U19" i="44"/>
  <c r="V19" i="44"/>
  <c r="X19" i="44"/>
  <c r="Y19" i="44"/>
  <c r="Z19" i="44" s="1"/>
  <c r="AA19" i="44"/>
  <c r="AD19" i="44" s="1"/>
  <c r="AB19" i="44"/>
  <c r="AG19" i="44"/>
  <c r="AH19" i="44"/>
  <c r="AJ19" i="44"/>
  <c r="AK19" i="44"/>
  <c r="AM19" i="44"/>
  <c r="AN19" i="44"/>
  <c r="AP19" i="44"/>
  <c r="AQ19" i="44"/>
  <c r="AS19" i="44"/>
  <c r="AT19" i="44"/>
  <c r="AV19" i="44"/>
  <c r="AW19" i="44"/>
  <c r="AY19" i="44"/>
  <c r="AZ19" i="44"/>
  <c r="BB19" i="44"/>
  <c r="BC19" i="44"/>
  <c r="BE19" i="44"/>
  <c r="BH19" i="44" s="1"/>
  <c r="BF19" i="44"/>
  <c r="B20" i="44"/>
  <c r="C20" i="44"/>
  <c r="D20" i="44"/>
  <c r="F20" i="44"/>
  <c r="G20" i="44"/>
  <c r="I20" i="44"/>
  <c r="J20" i="44"/>
  <c r="L20" i="44"/>
  <c r="M20" i="44"/>
  <c r="O20" i="44"/>
  <c r="P20" i="44"/>
  <c r="R20" i="44"/>
  <c r="S20" i="44"/>
  <c r="U20" i="44"/>
  <c r="V20" i="44"/>
  <c r="X20" i="44"/>
  <c r="Y20" i="44"/>
  <c r="AA20" i="44"/>
  <c r="AD20" i="44" s="1"/>
  <c r="AB20" i="44"/>
  <c r="AG20" i="44"/>
  <c r="AH20" i="44"/>
  <c r="AJ20" i="44"/>
  <c r="AK20" i="44"/>
  <c r="AM20" i="44"/>
  <c r="AN20" i="44"/>
  <c r="AP20" i="44"/>
  <c r="AQ20" i="44"/>
  <c r="AS20" i="44"/>
  <c r="AT20" i="44"/>
  <c r="AV20" i="44"/>
  <c r="AW20" i="44"/>
  <c r="AY20" i="44"/>
  <c r="AZ20" i="44"/>
  <c r="BB20" i="44"/>
  <c r="BC20" i="44"/>
  <c r="BE20" i="44"/>
  <c r="BH20" i="44" s="1"/>
  <c r="BF20" i="44"/>
  <c r="B21" i="44"/>
  <c r="C21" i="44"/>
  <c r="D21" i="44"/>
  <c r="F21" i="44"/>
  <c r="G21" i="44"/>
  <c r="I21" i="44"/>
  <c r="J21" i="44"/>
  <c r="L21" i="44"/>
  <c r="M21" i="44"/>
  <c r="O21" i="44"/>
  <c r="P21" i="44"/>
  <c r="R21" i="44"/>
  <c r="S21" i="44"/>
  <c r="U21" i="44"/>
  <c r="V21" i="44"/>
  <c r="X21" i="44"/>
  <c r="Y21" i="44"/>
  <c r="AA21" i="44"/>
  <c r="AD21" i="44" s="1"/>
  <c r="AB21" i="44"/>
  <c r="AG21" i="44"/>
  <c r="AH21" i="44"/>
  <c r="AJ21" i="44"/>
  <c r="AK21" i="44"/>
  <c r="AM21" i="44"/>
  <c r="AN21" i="44"/>
  <c r="AP21" i="44"/>
  <c r="AQ21" i="44"/>
  <c r="AS21" i="44"/>
  <c r="AT21" i="44"/>
  <c r="AV21" i="44"/>
  <c r="AW21" i="44"/>
  <c r="AY21" i="44"/>
  <c r="AZ21" i="44"/>
  <c r="BB21" i="44"/>
  <c r="BC21" i="44"/>
  <c r="BE21" i="44"/>
  <c r="BH21" i="44" s="1"/>
  <c r="BF21" i="44"/>
  <c r="B22" i="44"/>
  <c r="C22" i="44"/>
  <c r="D22" i="44"/>
  <c r="F22" i="44"/>
  <c r="G22" i="44"/>
  <c r="I22" i="44"/>
  <c r="J22" i="44"/>
  <c r="L22" i="44"/>
  <c r="M22" i="44"/>
  <c r="O22" i="44"/>
  <c r="P22" i="44"/>
  <c r="R22" i="44"/>
  <c r="S22" i="44"/>
  <c r="U22" i="44"/>
  <c r="V22" i="44"/>
  <c r="X22" i="44"/>
  <c r="Y22" i="44"/>
  <c r="AA22" i="44"/>
  <c r="AD22" i="44" s="1"/>
  <c r="AB22" i="44"/>
  <c r="AG22" i="44"/>
  <c r="AH22" i="44"/>
  <c r="AJ22" i="44"/>
  <c r="AK22" i="44"/>
  <c r="AM22" i="44"/>
  <c r="AN22" i="44"/>
  <c r="AP22" i="44"/>
  <c r="AQ22" i="44"/>
  <c r="AS22" i="44"/>
  <c r="AT22" i="44"/>
  <c r="AV22" i="44"/>
  <c r="AW22" i="44"/>
  <c r="AY22" i="44"/>
  <c r="AZ22" i="44"/>
  <c r="BB22" i="44"/>
  <c r="BC22" i="44"/>
  <c r="BE22" i="44"/>
  <c r="BH22" i="44" s="1"/>
  <c r="BF22" i="44"/>
  <c r="B23" i="44"/>
  <c r="C23" i="44"/>
  <c r="D23" i="44"/>
  <c r="F23" i="44"/>
  <c r="G23" i="44"/>
  <c r="I23" i="44"/>
  <c r="J23" i="44"/>
  <c r="L23" i="44"/>
  <c r="M23" i="44"/>
  <c r="O23" i="44"/>
  <c r="P23" i="44"/>
  <c r="R23" i="44"/>
  <c r="S23" i="44"/>
  <c r="U23" i="44"/>
  <c r="V23" i="44"/>
  <c r="X23" i="44"/>
  <c r="Y23" i="44"/>
  <c r="AA23" i="44"/>
  <c r="AD23" i="44" s="1"/>
  <c r="AB23" i="44"/>
  <c r="AG23" i="44"/>
  <c r="AH23" i="44"/>
  <c r="AJ23" i="44"/>
  <c r="AK23" i="44"/>
  <c r="AM23" i="44"/>
  <c r="AN23" i="44"/>
  <c r="AP23" i="44"/>
  <c r="AQ23" i="44"/>
  <c r="AS23" i="44"/>
  <c r="AT23" i="44"/>
  <c r="AV23" i="44"/>
  <c r="AW23" i="44"/>
  <c r="AY23" i="44"/>
  <c r="AZ23" i="44"/>
  <c r="BA23" i="44" s="1"/>
  <c r="BB23" i="44"/>
  <c r="BC23" i="44"/>
  <c r="BE23" i="44"/>
  <c r="BH23" i="44" s="1"/>
  <c r="BF23" i="44"/>
  <c r="B24" i="44"/>
  <c r="C24" i="44"/>
  <c r="D24" i="44"/>
  <c r="F24" i="44"/>
  <c r="G24" i="44"/>
  <c r="I24" i="44"/>
  <c r="J24" i="44"/>
  <c r="L24" i="44"/>
  <c r="M24" i="44"/>
  <c r="O24" i="44"/>
  <c r="P24" i="44"/>
  <c r="R24" i="44"/>
  <c r="S24" i="44"/>
  <c r="U24" i="44"/>
  <c r="V24" i="44"/>
  <c r="X24" i="44"/>
  <c r="Y24" i="44"/>
  <c r="AA24" i="44"/>
  <c r="AD24" i="44" s="1"/>
  <c r="AB24" i="44"/>
  <c r="AG24" i="44"/>
  <c r="AH24" i="44"/>
  <c r="AJ24" i="44"/>
  <c r="AK24" i="44"/>
  <c r="AM24" i="44"/>
  <c r="AN24" i="44"/>
  <c r="AP24" i="44"/>
  <c r="AQ24" i="44"/>
  <c r="AS24" i="44"/>
  <c r="AT24" i="44"/>
  <c r="AV24" i="44"/>
  <c r="AW24" i="44"/>
  <c r="AY24" i="44"/>
  <c r="AZ24" i="44"/>
  <c r="BB24" i="44"/>
  <c r="BC24" i="44"/>
  <c r="BE24" i="44"/>
  <c r="BH24" i="44" s="1"/>
  <c r="BF24" i="44"/>
  <c r="B25" i="44"/>
  <c r="C25" i="44"/>
  <c r="D25" i="44"/>
  <c r="F25" i="44"/>
  <c r="G25" i="44"/>
  <c r="I25" i="44"/>
  <c r="J25" i="44"/>
  <c r="L25" i="44"/>
  <c r="M25" i="44"/>
  <c r="O25" i="44"/>
  <c r="P25" i="44"/>
  <c r="R25" i="44"/>
  <c r="S25" i="44"/>
  <c r="U25" i="44"/>
  <c r="V25" i="44"/>
  <c r="X25" i="44"/>
  <c r="Y25" i="44"/>
  <c r="AA25" i="44"/>
  <c r="AD25" i="44" s="1"/>
  <c r="AB25" i="44"/>
  <c r="AG25" i="44"/>
  <c r="AH25" i="44"/>
  <c r="AJ25" i="44"/>
  <c r="AK25" i="44"/>
  <c r="AM25" i="44"/>
  <c r="AN25" i="44"/>
  <c r="AP25" i="44"/>
  <c r="AQ25" i="44"/>
  <c r="AS25" i="44"/>
  <c r="AT25" i="44"/>
  <c r="AV25" i="44"/>
  <c r="AW25" i="44"/>
  <c r="AY25" i="44"/>
  <c r="AZ25" i="44"/>
  <c r="BB25" i="44"/>
  <c r="BC25" i="44"/>
  <c r="BE25" i="44"/>
  <c r="BH25" i="44" s="1"/>
  <c r="BF25" i="44"/>
  <c r="B26" i="44"/>
  <c r="C26" i="44"/>
  <c r="D26" i="44"/>
  <c r="F26" i="44"/>
  <c r="G26" i="44"/>
  <c r="I26" i="44"/>
  <c r="J26" i="44"/>
  <c r="L26" i="44"/>
  <c r="M26" i="44"/>
  <c r="O26" i="44"/>
  <c r="P26" i="44"/>
  <c r="R26" i="44"/>
  <c r="S26" i="44"/>
  <c r="U26" i="44"/>
  <c r="V26" i="44"/>
  <c r="X26" i="44"/>
  <c r="Y26" i="44"/>
  <c r="AA26" i="44"/>
  <c r="AD26" i="44" s="1"/>
  <c r="AB26" i="44"/>
  <c r="AG26" i="44"/>
  <c r="AH26" i="44"/>
  <c r="AJ26" i="44"/>
  <c r="AK26" i="44"/>
  <c r="AM26" i="44"/>
  <c r="AN26" i="44"/>
  <c r="AP26" i="44"/>
  <c r="AQ26" i="44"/>
  <c r="AS26" i="44"/>
  <c r="AT26" i="44"/>
  <c r="AV26" i="44"/>
  <c r="AW26" i="44"/>
  <c r="AY26" i="44"/>
  <c r="AZ26" i="44"/>
  <c r="BB26" i="44"/>
  <c r="BC26" i="44"/>
  <c r="BE26" i="44"/>
  <c r="BH26" i="44" s="1"/>
  <c r="BF26" i="44"/>
  <c r="B27" i="44"/>
  <c r="C27" i="44"/>
  <c r="D27" i="44"/>
  <c r="F27" i="44"/>
  <c r="G27" i="44"/>
  <c r="I27" i="44"/>
  <c r="J27" i="44"/>
  <c r="L27" i="44"/>
  <c r="M27" i="44"/>
  <c r="O27" i="44"/>
  <c r="P27" i="44"/>
  <c r="R27" i="44"/>
  <c r="S27" i="44"/>
  <c r="U27" i="44"/>
  <c r="V27" i="44"/>
  <c r="X27" i="44"/>
  <c r="Y27" i="44"/>
  <c r="AA27" i="44"/>
  <c r="AD27" i="44" s="1"/>
  <c r="AB27" i="44"/>
  <c r="AG27" i="44"/>
  <c r="AH27" i="44"/>
  <c r="AJ27" i="44"/>
  <c r="AK27" i="44"/>
  <c r="AM27" i="44"/>
  <c r="AN27" i="44"/>
  <c r="AP27" i="44"/>
  <c r="AQ27" i="44"/>
  <c r="AS27" i="44"/>
  <c r="AT27" i="44"/>
  <c r="AV27" i="44"/>
  <c r="AW27" i="44"/>
  <c r="AY27" i="44"/>
  <c r="AZ27" i="44"/>
  <c r="BB27" i="44"/>
  <c r="BC27" i="44"/>
  <c r="BE27" i="44"/>
  <c r="BH27" i="44" s="1"/>
  <c r="BF27" i="44"/>
  <c r="B28" i="44"/>
  <c r="C28" i="44"/>
  <c r="D28" i="44"/>
  <c r="F28" i="44"/>
  <c r="G28" i="44"/>
  <c r="I28" i="44"/>
  <c r="J28" i="44"/>
  <c r="L28" i="44"/>
  <c r="M28" i="44"/>
  <c r="N28" i="44" s="1"/>
  <c r="O28" i="44"/>
  <c r="P28" i="44"/>
  <c r="R28" i="44"/>
  <c r="S28" i="44"/>
  <c r="U28" i="44"/>
  <c r="V28" i="44"/>
  <c r="X28" i="44"/>
  <c r="Y28" i="44"/>
  <c r="AA28" i="44"/>
  <c r="AD28" i="44" s="1"/>
  <c r="AB28" i="44"/>
  <c r="AG28" i="44"/>
  <c r="AH28" i="44"/>
  <c r="AJ28" i="44"/>
  <c r="AK28" i="44"/>
  <c r="AM28" i="44"/>
  <c r="AN28" i="44"/>
  <c r="AP28" i="44"/>
  <c r="AQ28" i="44"/>
  <c r="AS28" i="44"/>
  <c r="AT28" i="44"/>
  <c r="AV28" i="44"/>
  <c r="AW28" i="44"/>
  <c r="AY28" i="44"/>
  <c r="AZ28" i="44"/>
  <c r="BB28" i="44"/>
  <c r="BC28" i="44"/>
  <c r="BE28" i="44"/>
  <c r="BH28" i="44" s="1"/>
  <c r="BF28" i="44"/>
  <c r="B29" i="44"/>
  <c r="C29" i="44"/>
  <c r="D29" i="44"/>
  <c r="F29" i="44"/>
  <c r="G29" i="44"/>
  <c r="I29" i="44"/>
  <c r="J29" i="44"/>
  <c r="L29" i="44"/>
  <c r="M29" i="44"/>
  <c r="O29" i="44"/>
  <c r="P29" i="44"/>
  <c r="R29" i="44"/>
  <c r="S29" i="44"/>
  <c r="T29" i="44" s="1"/>
  <c r="U29" i="44"/>
  <c r="V29" i="44"/>
  <c r="X29" i="44"/>
  <c r="Y29" i="44"/>
  <c r="AA29" i="44"/>
  <c r="AD29" i="44" s="1"/>
  <c r="AB29" i="44"/>
  <c r="AG29" i="44"/>
  <c r="AH29" i="44"/>
  <c r="AJ29" i="44"/>
  <c r="AK29" i="44"/>
  <c r="AM29" i="44"/>
  <c r="AN29" i="44"/>
  <c r="AP29" i="44"/>
  <c r="AQ29" i="44"/>
  <c r="AS29" i="44"/>
  <c r="AT29" i="44"/>
  <c r="AV29" i="44"/>
  <c r="AW29" i="44"/>
  <c r="AY29" i="44"/>
  <c r="AZ29" i="44"/>
  <c r="BB29" i="44"/>
  <c r="BC29" i="44"/>
  <c r="BE29" i="44"/>
  <c r="BH29" i="44" s="1"/>
  <c r="BF29" i="44"/>
  <c r="B30" i="44"/>
  <c r="C30" i="44"/>
  <c r="D30" i="44"/>
  <c r="F30" i="44"/>
  <c r="G30" i="44"/>
  <c r="I30" i="44"/>
  <c r="J30" i="44"/>
  <c r="L30" i="44"/>
  <c r="M30" i="44"/>
  <c r="O30" i="44"/>
  <c r="P30" i="44"/>
  <c r="R30" i="44"/>
  <c r="S30" i="44"/>
  <c r="U30" i="44"/>
  <c r="V30" i="44"/>
  <c r="X30" i="44"/>
  <c r="Y30" i="44"/>
  <c r="AA30" i="44"/>
  <c r="AD30" i="44" s="1"/>
  <c r="AB30" i="44"/>
  <c r="AG30" i="44"/>
  <c r="AH30" i="44"/>
  <c r="AJ30" i="44"/>
  <c r="AK30" i="44"/>
  <c r="AM30" i="44"/>
  <c r="AN30" i="44"/>
  <c r="AP30" i="44"/>
  <c r="AQ30" i="44"/>
  <c r="AS30" i="44"/>
  <c r="AT30" i="44"/>
  <c r="AV30" i="44"/>
  <c r="AW30" i="44"/>
  <c r="AY30" i="44"/>
  <c r="AZ30" i="44"/>
  <c r="BB30" i="44"/>
  <c r="BC30" i="44"/>
  <c r="BE30" i="44"/>
  <c r="BH30" i="44" s="1"/>
  <c r="BF30" i="44"/>
  <c r="B31" i="44"/>
  <c r="C31" i="44"/>
  <c r="D31" i="44"/>
  <c r="F31" i="44"/>
  <c r="G31" i="44"/>
  <c r="I31" i="44"/>
  <c r="J31" i="44"/>
  <c r="L31" i="44"/>
  <c r="M31" i="44"/>
  <c r="O31" i="44"/>
  <c r="P31" i="44"/>
  <c r="R31" i="44"/>
  <c r="S31" i="44"/>
  <c r="U31" i="44"/>
  <c r="V31" i="44"/>
  <c r="X31" i="44"/>
  <c r="Y31" i="44"/>
  <c r="AA31" i="44"/>
  <c r="AD31" i="44" s="1"/>
  <c r="AB31" i="44"/>
  <c r="AG31" i="44"/>
  <c r="AH31" i="44"/>
  <c r="AJ31" i="44"/>
  <c r="AK31" i="44"/>
  <c r="AM31" i="44"/>
  <c r="AN31" i="44"/>
  <c r="AP31" i="44"/>
  <c r="AQ31" i="44"/>
  <c r="AS31" i="44"/>
  <c r="AT31" i="44"/>
  <c r="AV31" i="44"/>
  <c r="AW31" i="44"/>
  <c r="AY31" i="44"/>
  <c r="AZ31" i="44"/>
  <c r="BA31" i="44" s="1"/>
  <c r="BB31" i="44"/>
  <c r="BC31" i="44"/>
  <c r="BE31" i="44"/>
  <c r="BH31" i="44" s="1"/>
  <c r="BF31" i="44"/>
  <c r="BG31" i="44" s="1"/>
  <c r="B32" i="44"/>
  <c r="C32" i="44"/>
  <c r="D32" i="44"/>
  <c r="F32" i="44"/>
  <c r="G32" i="44"/>
  <c r="I32" i="44"/>
  <c r="J32" i="44"/>
  <c r="L32" i="44"/>
  <c r="M32" i="44"/>
  <c r="O32" i="44"/>
  <c r="P32" i="44"/>
  <c r="R32" i="44"/>
  <c r="S32" i="44"/>
  <c r="U32" i="44"/>
  <c r="V32" i="44"/>
  <c r="X32" i="44"/>
  <c r="Y32" i="44"/>
  <c r="AA32" i="44"/>
  <c r="AD32" i="44" s="1"/>
  <c r="AB32" i="44"/>
  <c r="AG32" i="44"/>
  <c r="AH32" i="44"/>
  <c r="AJ32" i="44"/>
  <c r="AK32" i="44"/>
  <c r="AM32" i="44"/>
  <c r="AN32" i="44"/>
  <c r="AP32" i="44"/>
  <c r="AQ32" i="44"/>
  <c r="AS32" i="44"/>
  <c r="AT32" i="44"/>
  <c r="AV32" i="44"/>
  <c r="AW32" i="44"/>
  <c r="AY32" i="44"/>
  <c r="AZ32" i="44"/>
  <c r="BB32" i="44"/>
  <c r="BC32" i="44"/>
  <c r="BE32" i="44"/>
  <c r="BH32" i="44" s="1"/>
  <c r="BF32" i="44"/>
  <c r="B33" i="44"/>
  <c r="C33" i="44"/>
  <c r="D33" i="44"/>
  <c r="F33" i="44"/>
  <c r="G33" i="44"/>
  <c r="I33" i="44"/>
  <c r="J33" i="44"/>
  <c r="L33" i="44"/>
  <c r="M33" i="44"/>
  <c r="N33" i="44" s="1"/>
  <c r="O33" i="44"/>
  <c r="P33" i="44"/>
  <c r="R33" i="44"/>
  <c r="S33" i="44"/>
  <c r="U33" i="44"/>
  <c r="V33" i="44"/>
  <c r="X33" i="44"/>
  <c r="Y33" i="44"/>
  <c r="Z33" i="44" s="1"/>
  <c r="AA33" i="44"/>
  <c r="AD33" i="44" s="1"/>
  <c r="AB33" i="44"/>
  <c r="AG33" i="44"/>
  <c r="AH33" i="44"/>
  <c r="AJ33" i="44"/>
  <c r="AK33" i="44"/>
  <c r="AM33" i="44"/>
  <c r="AN33" i="44"/>
  <c r="AP33" i="44"/>
  <c r="AQ33" i="44"/>
  <c r="AS33" i="44"/>
  <c r="AT33" i="44"/>
  <c r="AV33" i="44"/>
  <c r="AW33" i="44"/>
  <c r="AY33" i="44"/>
  <c r="AZ33" i="44"/>
  <c r="BB33" i="44"/>
  <c r="BC33" i="44"/>
  <c r="BE33" i="44"/>
  <c r="BH33" i="44" s="1"/>
  <c r="BF33" i="44"/>
  <c r="B34" i="44"/>
  <c r="C34" i="44"/>
  <c r="D34" i="44"/>
  <c r="F34" i="44"/>
  <c r="G34" i="44"/>
  <c r="I34" i="44"/>
  <c r="J34" i="44"/>
  <c r="L34" i="44"/>
  <c r="M34" i="44"/>
  <c r="O34" i="44"/>
  <c r="P34" i="44"/>
  <c r="R34" i="44"/>
  <c r="S34" i="44"/>
  <c r="U34" i="44"/>
  <c r="V34" i="44"/>
  <c r="X34" i="44"/>
  <c r="Y34" i="44"/>
  <c r="Z34" i="44" s="1"/>
  <c r="AA34" i="44"/>
  <c r="AD34" i="44" s="1"/>
  <c r="AB34" i="44"/>
  <c r="AG34" i="44"/>
  <c r="AH34" i="44"/>
  <c r="AJ34" i="44"/>
  <c r="AK34" i="44"/>
  <c r="AM34" i="44"/>
  <c r="AN34" i="44"/>
  <c r="AP34" i="44"/>
  <c r="AQ34" i="44"/>
  <c r="AS34" i="44"/>
  <c r="AT34" i="44"/>
  <c r="AV34" i="44"/>
  <c r="AW34" i="44"/>
  <c r="AY34" i="44"/>
  <c r="AZ34" i="44"/>
  <c r="BB34" i="44"/>
  <c r="BC34" i="44"/>
  <c r="BE34" i="44"/>
  <c r="BH34" i="44" s="1"/>
  <c r="BF34" i="44"/>
  <c r="B35" i="44"/>
  <c r="C35" i="44"/>
  <c r="D35" i="44"/>
  <c r="F35" i="44"/>
  <c r="G35" i="44"/>
  <c r="I35" i="44"/>
  <c r="J35" i="44"/>
  <c r="L35" i="44"/>
  <c r="M35" i="44"/>
  <c r="O35" i="44"/>
  <c r="P35" i="44"/>
  <c r="R35" i="44"/>
  <c r="S35" i="44"/>
  <c r="U35" i="44"/>
  <c r="V35" i="44"/>
  <c r="X35" i="44"/>
  <c r="Y35" i="44"/>
  <c r="AA35" i="44"/>
  <c r="AD35" i="44" s="1"/>
  <c r="AB35" i="44"/>
  <c r="AG35" i="44"/>
  <c r="AH35" i="44"/>
  <c r="AJ35" i="44"/>
  <c r="AK35" i="44"/>
  <c r="AM35" i="44"/>
  <c r="AN35" i="44"/>
  <c r="AP35" i="44"/>
  <c r="AQ35" i="44"/>
  <c r="AS35" i="44"/>
  <c r="AT35" i="44"/>
  <c r="AV35" i="44"/>
  <c r="AW35" i="44"/>
  <c r="AY35" i="44"/>
  <c r="AZ35" i="44"/>
  <c r="BB35" i="44"/>
  <c r="BC35" i="44"/>
  <c r="BE35" i="44"/>
  <c r="BH35" i="44" s="1"/>
  <c r="BF35" i="44"/>
  <c r="B36" i="44"/>
  <c r="C36" i="44"/>
  <c r="D36" i="44"/>
  <c r="F36" i="44"/>
  <c r="G36" i="44"/>
  <c r="I36" i="44"/>
  <c r="J36" i="44"/>
  <c r="L36" i="44"/>
  <c r="M36" i="44"/>
  <c r="O36" i="44"/>
  <c r="P36" i="44"/>
  <c r="R36" i="44"/>
  <c r="S36" i="44"/>
  <c r="U36" i="44"/>
  <c r="V36" i="44"/>
  <c r="X36" i="44"/>
  <c r="Y36" i="44"/>
  <c r="AA36" i="44"/>
  <c r="AD36" i="44" s="1"/>
  <c r="AB36" i="44"/>
  <c r="AG36" i="44"/>
  <c r="AH36" i="44"/>
  <c r="AJ36" i="44"/>
  <c r="AK36" i="44"/>
  <c r="AM36" i="44"/>
  <c r="AN36" i="44"/>
  <c r="AP36" i="44"/>
  <c r="AQ36" i="44"/>
  <c r="AS36" i="44"/>
  <c r="AT36" i="44"/>
  <c r="AV36" i="44"/>
  <c r="AW36" i="44"/>
  <c r="AY36" i="44"/>
  <c r="AZ36" i="44"/>
  <c r="BB36" i="44"/>
  <c r="BC36" i="44"/>
  <c r="BE36" i="44"/>
  <c r="BH36" i="44" s="1"/>
  <c r="BF36" i="44"/>
  <c r="B37" i="44"/>
  <c r="C37" i="44"/>
  <c r="D37" i="44"/>
  <c r="F37" i="44"/>
  <c r="G37" i="44"/>
  <c r="I37" i="44"/>
  <c r="J37" i="44"/>
  <c r="L37" i="44"/>
  <c r="M37" i="44"/>
  <c r="O37" i="44"/>
  <c r="P37" i="44"/>
  <c r="R37" i="44"/>
  <c r="S37" i="44"/>
  <c r="U37" i="44"/>
  <c r="V37" i="44"/>
  <c r="X37" i="44"/>
  <c r="Y37" i="44"/>
  <c r="Z37" i="44" s="1"/>
  <c r="AA37" i="44"/>
  <c r="AD37" i="44" s="1"/>
  <c r="AB37" i="44"/>
  <c r="AG37" i="44"/>
  <c r="AH37" i="44"/>
  <c r="AJ37" i="44"/>
  <c r="AK37" i="44"/>
  <c r="AM37" i="44"/>
  <c r="AN37" i="44"/>
  <c r="AP37" i="44"/>
  <c r="AQ37" i="44"/>
  <c r="AS37" i="44"/>
  <c r="AT37" i="44"/>
  <c r="AV37" i="44"/>
  <c r="AW37" i="44"/>
  <c r="AY37" i="44"/>
  <c r="AZ37" i="44"/>
  <c r="BB37" i="44"/>
  <c r="BC37" i="44"/>
  <c r="BE37" i="44"/>
  <c r="BH37" i="44" s="1"/>
  <c r="BF37" i="44"/>
  <c r="B38" i="44"/>
  <c r="C38" i="44"/>
  <c r="D38" i="44"/>
  <c r="F38" i="44"/>
  <c r="G38" i="44"/>
  <c r="I38" i="44"/>
  <c r="J38" i="44"/>
  <c r="L38" i="44"/>
  <c r="M38" i="44"/>
  <c r="N38" i="44" s="1"/>
  <c r="O38" i="44"/>
  <c r="P38" i="44"/>
  <c r="R38" i="44"/>
  <c r="S38" i="44"/>
  <c r="U38" i="44"/>
  <c r="V38" i="44"/>
  <c r="X38" i="44"/>
  <c r="Y38" i="44"/>
  <c r="AA38" i="44"/>
  <c r="AD38" i="44" s="1"/>
  <c r="AB38" i="44"/>
  <c r="AG38" i="44"/>
  <c r="AH38" i="44"/>
  <c r="AJ38" i="44"/>
  <c r="AK38" i="44"/>
  <c r="AM38" i="44"/>
  <c r="AN38" i="44"/>
  <c r="AP38" i="44"/>
  <c r="AQ38" i="44"/>
  <c r="AS38" i="44"/>
  <c r="AT38" i="44"/>
  <c r="AV38" i="44"/>
  <c r="AW38" i="44"/>
  <c r="AY38" i="44"/>
  <c r="AZ38" i="44"/>
  <c r="BA38" i="44" s="1"/>
  <c r="BB38" i="44"/>
  <c r="BC38" i="44"/>
  <c r="BE38" i="44"/>
  <c r="BH38" i="44" s="1"/>
  <c r="BF38" i="44"/>
  <c r="B39" i="44"/>
  <c r="C39" i="44"/>
  <c r="D39" i="44"/>
  <c r="F39" i="44"/>
  <c r="G39" i="44"/>
  <c r="I39" i="44"/>
  <c r="J39" i="44"/>
  <c r="L39" i="44"/>
  <c r="M39" i="44"/>
  <c r="O39" i="44"/>
  <c r="P39" i="44"/>
  <c r="R39" i="44"/>
  <c r="S39" i="44"/>
  <c r="U39" i="44"/>
  <c r="V39" i="44"/>
  <c r="X39" i="44"/>
  <c r="Y39" i="44"/>
  <c r="Z39" i="44" s="1"/>
  <c r="AA39" i="44"/>
  <c r="AD39" i="44" s="1"/>
  <c r="AB39" i="44"/>
  <c r="AG39" i="44"/>
  <c r="AH39" i="44"/>
  <c r="AJ39" i="44"/>
  <c r="AK39" i="44"/>
  <c r="AM39" i="44"/>
  <c r="AN39" i="44"/>
  <c r="AP39" i="44"/>
  <c r="AQ39" i="44"/>
  <c r="AS39" i="44"/>
  <c r="AT39" i="44"/>
  <c r="AV39" i="44"/>
  <c r="AW39" i="44"/>
  <c r="AY39" i="44"/>
  <c r="AZ39" i="44"/>
  <c r="BB39" i="44"/>
  <c r="BC39" i="44"/>
  <c r="BE39" i="44"/>
  <c r="BH39" i="44" s="1"/>
  <c r="BF39" i="44"/>
  <c r="B40" i="44"/>
  <c r="C40" i="44"/>
  <c r="D40" i="44"/>
  <c r="F40" i="44"/>
  <c r="G40" i="44"/>
  <c r="I40" i="44"/>
  <c r="J40" i="44"/>
  <c r="L40" i="44"/>
  <c r="M40" i="44"/>
  <c r="O40" i="44"/>
  <c r="P40" i="44"/>
  <c r="R40" i="44"/>
  <c r="S40" i="44"/>
  <c r="U40" i="44"/>
  <c r="V40" i="44"/>
  <c r="X40" i="44"/>
  <c r="Y40" i="44"/>
  <c r="AA40" i="44"/>
  <c r="AD40" i="44" s="1"/>
  <c r="AB40" i="44"/>
  <c r="AG40" i="44"/>
  <c r="AH40" i="44"/>
  <c r="AJ40" i="44"/>
  <c r="AK40" i="44"/>
  <c r="AM40" i="44"/>
  <c r="AN40" i="44"/>
  <c r="AP40" i="44"/>
  <c r="AQ40" i="44"/>
  <c r="AS40" i="44"/>
  <c r="AT40" i="44"/>
  <c r="AV40" i="44"/>
  <c r="AW40" i="44"/>
  <c r="AY40" i="44"/>
  <c r="AZ40" i="44"/>
  <c r="BB40" i="44"/>
  <c r="BC40" i="44"/>
  <c r="BE40" i="44"/>
  <c r="BH40" i="44" s="1"/>
  <c r="BF40" i="44"/>
  <c r="B41" i="44"/>
  <c r="C41" i="44"/>
  <c r="D41" i="44"/>
  <c r="F41" i="44"/>
  <c r="G41" i="44"/>
  <c r="I41" i="44"/>
  <c r="J41" i="44"/>
  <c r="L41" i="44"/>
  <c r="M41" i="44"/>
  <c r="O41" i="44"/>
  <c r="P41" i="44"/>
  <c r="R41" i="44"/>
  <c r="S41" i="44"/>
  <c r="U41" i="44"/>
  <c r="V41" i="44"/>
  <c r="X41" i="44"/>
  <c r="Y41" i="44"/>
  <c r="AA41" i="44"/>
  <c r="AD41" i="44" s="1"/>
  <c r="AB41" i="44"/>
  <c r="AG41" i="44"/>
  <c r="AH41" i="44"/>
  <c r="AJ41" i="44"/>
  <c r="AK41" i="44"/>
  <c r="AM41" i="44"/>
  <c r="AN41" i="44"/>
  <c r="AP41" i="44"/>
  <c r="AQ41" i="44"/>
  <c r="AS41" i="44"/>
  <c r="AT41" i="44"/>
  <c r="AV41" i="44"/>
  <c r="AW41" i="44"/>
  <c r="AY41" i="44"/>
  <c r="AZ41" i="44"/>
  <c r="BB41" i="44"/>
  <c r="BC41" i="44"/>
  <c r="BE41" i="44"/>
  <c r="BH41" i="44" s="1"/>
  <c r="BF41" i="44"/>
  <c r="B42" i="44"/>
  <c r="C42" i="44"/>
  <c r="D42" i="44"/>
  <c r="F42" i="44"/>
  <c r="G42" i="44"/>
  <c r="I42" i="44"/>
  <c r="J42" i="44"/>
  <c r="L42" i="44"/>
  <c r="M42" i="44"/>
  <c r="O42" i="44"/>
  <c r="P42" i="44"/>
  <c r="R42" i="44"/>
  <c r="S42" i="44"/>
  <c r="U42" i="44"/>
  <c r="V42" i="44"/>
  <c r="X42" i="44"/>
  <c r="Y42" i="44"/>
  <c r="Z42" i="44" s="1"/>
  <c r="AA42" i="44"/>
  <c r="AD42" i="44" s="1"/>
  <c r="AB42" i="44"/>
  <c r="AG42" i="44"/>
  <c r="AH42" i="44"/>
  <c r="AJ42" i="44"/>
  <c r="AK42" i="44"/>
  <c r="AM42" i="44"/>
  <c r="AN42" i="44"/>
  <c r="AP42" i="44"/>
  <c r="AQ42" i="44"/>
  <c r="AS42" i="44"/>
  <c r="AT42" i="44"/>
  <c r="AV42" i="44"/>
  <c r="AW42" i="44"/>
  <c r="AY42" i="44"/>
  <c r="AZ42" i="44"/>
  <c r="BB42" i="44"/>
  <c r="BC42" i="44"/>
  <c r="BE42" i="44"/>
  <c r="BH42" i="44" s="1"/>
  <c r="BF42" i="44"/>
  <c r="B43" i="44"/>
  <c r="C43" i="44"/>
  <c r="D43" i="44"/>
  <c r="F43" i="44"/>
  <c r="G43" i="44"/>
  <c r="I43" i="44"/>
  <c r="J43" i="44"/>
  <c r="L43" i="44"/>
  <c r="M43" i="44"/>
  <c r="O43" i="44"/>
  <c r="P43" i="44"/>
  <c r="R43" i="44"/>
  <c r="S43" i="44"/>
  <c r="U43" i="44"/>
  <c r="V43" i="44"/>
  <c r="X43" i="44"/>
  <c r="Y43" i="44"/>
  <c r="AA43" i="44"/>
  <c r="AD43" i="44" s="1"/>
  <c r="AB43" i="44"/>
  <c r="AG43" i="44"/>
  <c r="AH43" i="44"/>
  <c r="AJ43" i="44"/>
  <c r="AK43" i="44"/>
  <c r="AM43" i="44"/>
  <c r="AN43" i="44"/>
  <c r="AP43" i="44"/>
  <c r="AQ43" i="44"/>
  <c r="AS43" i="44"/>
  <c r="AT43" i="44"/>
  <c r="AV43" i="44"/>
  <c r="AW43" i="44"/>
  <c r="AY43" i="44"/>
  <c r="AZ43" i="44"/>
  <c r="BB43" i="44"/>
  <c r="BC43" i="44"/>
  <c r="BE43" i="44"/>
  <c r="BH43" i="44" s="1"/>
  <c r="BF43" i="44"/>
  <c r="B44" i="44"/>
  <c r="C44" i="44"/>
  <c r="D44" i="44"/>
  <c r="F44" i="44"/>
  <c r="G44" i="44"/>
  <c r="I44" i="44"/>
  <c r="J44" i="44"/>
  <c r="L44" i="44"/>
  <c r="M44" i="44"/>
  <c r="O44" i="44"/>
  <c r="P44" i="44"/>
  <c r="R44" i="44"/>
  <c r="S44" i="44"/>
  <c r="U44" i="44"/>
  <c r="V44" i="44"/>
  <c r="X44" i="44"/>
  <c r="Y44" i="44"/>
  <c r="AA44" i="44"/>
  <c r="AD44" i="44" s="1"/>
  <c r="AB44" i="44"/>
  <c r="AG44" i="44"/>
  <c r="AH44" i="44"/>
  <c r="AJ44" i="44"/>
  <c r="AK44" i="44"/>
  <c r="AM44" i="44"/>
  <c r="AN44" i="44"/>
  <c r="AP44" i="44"/>
  <c r="AQ44" i="44"/>
  <c r="AS44" i="44"/>
  <c r="AT44" i="44"/>
  <c r="AV44" i="44"/>
  <c r="AW44" i="44"/>
  <c r="AY44" i="44"/>
  <c r="AZ44" i="44"/>
  <c r="BB44" i="44"/>
  <c r="BC44" i="44"/>
  <c r="BE44" i="44"/>
  <c r="BH44" i="44" s="1"/>
  <c r="BF44" i="44"/>
  <c r="B45" i="44"/>
  <c r="C45" i="44"/>
  <c r="D45" i="44"/>
  <c r="F45" i="44"/>
  <c r="G45" i="44"/>
  <c r="I45" i="44"/>
  <c r="J45" i="44"/>
  <c r="L45" i="44"/>
  <c r="M45" i="44"/>
  <c r="N45" i="44" s="1"/>
  <c r="O45" i="44"/>
  <c r="P45" i="44"/>
  <c r="R45" i="44"/>
  <c r="S45" i="44"/>
  <c r="T45" i="44" s="1"/>
  <c r="U45" i="44"/>
  <c r="V45" i="44"/>
  <c r="X45" i="44"/>
  <c r="Y45" i="44"/>
  <c r="AA45" i="44"/>
  <c r="AD45" i="44" s="1"/>
  <c r="AB45" i="44"/>
  <c r="AG45" i="44"/>
  <c r="AH45" i="44"/>
  <c r="AJ45" i="44"/>
  <c r="AK45" i="44"/>
  <c r="AM45" i="44"/>
  <c r="AN45" i="44"/>
  <c r="AP45" i="44"/>
  <c r="AQ45" i="44"/>
  <c r="AS45" i="44"/>
  <c r="AT45" i="44"/>
  <c r="AV45" i="44"/>
  <c r="AW45" i="44"/>
  <c r="AY45" i="44"/>
  <c r="AZ45" i="44"/>
  <c r="BB45" i="44"/>
  <c r="BC45" i="44"/>
  <c r="BE45" i="44"/>
  <c r="BH45" i="44" s="1"/>
  <c r="BF45" i="44"/>
  <c r="B46" i="44"/>
  <c r="C46" i="44"/>
  <c r="D46" i="44"/>
  <c r="F46" i="44"/>
  <c r="G46" i="44"/>
  <c r="I46" i="44"/>
  <c r="J46" i="44"/>
  <c r="L46" i="44"/>
  <c r="M46" i="44"/>
  <c r="O46" i="44"/>
  <c r="P46" i="44"/>
  <c r="R46" i="44"/>
  <c r="S46" i="44"/>
  <c r="U46" i="44"/>
  <c r="V46" i="44"/>
  <c r="X46" i="44"/>
  <c r="Y46" i="44"/>
  <c r="AA46" i="44"/>
  <c r="AD46" i="44" s="1"/>
  <c r="AB46" i="44"/>
  <c r="AG46" i="44"/>
  <c r="AH46" i="44"/>
  <c r="AJ46" i="44"/>
  <c r="AK46" i="44"/>
  <c r="AM46" i="44"/>
  <c r="AN46" i="44"/>
  <c r="AP46" i="44"/>
  <c r="AQ46" i="44"/>
  <c r="AS46" i="44"/>
  <c r="AT46" i="44"/>
  <c r="AV46" i="44"/>
  <c r="AW46" i="44"/>
  <c r="AY46" i="44"/>
  <c r="AZ46" i="44"/>
  <c r="BB46" i="44"/>
  <c r="BC46" i="44"/>
  <c r="BE46" i="44"/>
  <c r="BH46" i="44" s="1"/>
  <c r="BF46" i="44"/>
  <c r="B47" i="44"/>
  <c r="C47" i="44"/>
  <c r="D47" i="44"/>
  <c r="F47" i="44"/>
  <c r="G47" i="44"/>
  <c r="I47" i="44"/>
  <c r="J47" i="44"/>
  <c r="L47" i="44"/>
  <c r="M47" i="44"/>
  <c r="O47" i="44"/>
  <c r="P47" i="44"/>
  <c r="R47" i="44"/>
  <c r="S47" i="44"/>
  <c r="U47" i="44"/>
  <c r="V47" i="44"/>
  <c r="X47" i="44"/>
  <c r="Y47" i="44"/>
  <c r="AA47" i="44"/>
  <c r="AD47" i="44" s="1"/>
  <c r="AB47" i="44"/>
  <c r="AG47" i="44"/>
  <c r="AH47" i="44"/>
  <c r="AJ47" i="44"/>
  <c r="AK47" i="44"/>
  <c r="AM47" i="44"/>
  <c r="AN47" i="44"/>
  <c r="AP47" i="44"/>
  <c r="AQ47" i="44"/>
  <c r="AS47" i="44"/>
  <c r="AT47" i="44"/>
  <c r="AV47" i="44"/>
  <c r="AW47" i="44"/>
  <c r="AY47" i="44"/>
  <c r="AZ47" i="44"/>
  <c r="BB47" i="44"/>
  <c r="BC47" i="44"/>
  <c r="BE47" i="44"/>
  <c r="BH47" i="44" s="1"/>
  <c r="BF47" i="44"/>
  <c r="B48" i="44"/>
  <c r="C48" i="44"/>
  <c r="D48" i="44"/>
  <c r="F48" i="44"/>
  <c r="G48" i="44"/>
  <c r="I48" i="44"/>
  <c r="J48" i="44"/>
  <c r="L48" i="44"/>
  <c r="M48" i="44"/>
  <c r="O48" i="44"/>
  <c r="P48" i="44"/>
  <c r="R48" i="44"/>
  <c r="S48" i="44"/>
  <c r="U48" i="44"/>
  <c r="V48" i="44"/>
  <c r="X48" i="44"/>
  <c r="Y48" i="44"/>
  <c r="AA48" i="44"/>
  <c r="AD48" i="44" s="1"/>
  <c r="AB48" i="44"/>
  <c r="AG48" i="44"/>
  <c r="AH48" i="44"/>
  <c r="AJ48" i="44"/>
  <c r="AK48" i="44"/>
  <c r="AM48" i="44"/>
  <c r="AN48" i="44"/>
  <c r="AP48" i="44"/>
  <c r="AQ48" i="44"/>
  <c r="AS48" i="44"/>
  <c r="AT48" i="44"/>
  <c r="AV48" i="44"/>
  <c r="AW48" i="44"/>
  <c r="AY48" i="44"/>
  <c r="AZ48" i="44"/>
  <c r="BB48" i="44"/>
  <c r="BC48" i="44"/>
  <c r="BE48" i="44"/>
  <c r="BH48" i="44" s="1"/>
  <c r="BF48" i="44"/>
  <c r="B49" i="44"/>
  <c r="C49" i="44"/>
  <c r="D49" i="44"/>
  <c r="F49" i="44"/>
  <c r="G49" i="44"/>
  <c r="I49" i="44"/>
  <c r="J49" i="44"/>
  <c r="L49" i="44"/>
  <c r="M49" i="44"/>
  <c r="O49" i="44"/>
  <c r="P49" i="44"/>
  <c r="R49" i="44"/>
  <c r="S49" i="44"/>
  <c r="U49" i="44"/>
  <c r="V49" i="44"/>
  <c r="X49" i="44"/>
  <c r="Y49" i="44"/>
  <c r="AA49" i="44"/>
  <c r="AD49" i="44" s="1"/>
  <c r="AB49" i="44"/>
  <c r="AG49" i="44"/>
  <c r="AH49" i="44"/>
  <c r="AJ49" i="44"/>
  <c r="AK49" i="44"/>
  <c r="AM49" i="44"/>
  <c r="AN49" i="44"/>
  <c r="AP49" i="44"/>
  <c r="AQ49" i="44"/>
  <c r="AS49" i="44"/>
  <c r="AT49" i="44"/>
  <c r="AV49" i="44"/>
  <c r="AW49" i="44"/>
  <c r="AY49" i="44"/>
  <c r="AZ49" i="44"/>
  <c r="BB49" i="44"/>
  <c r="BC49" i="44"/>
  <c r="BE49" i="44"/>
  <c r="BH49" i="44" s="1"/>
  <c r="BF49" i="44"/>
  <c r="B50" i="44"/>
  <c r="C50" i="44"/>
  <c r="D50" i="44"/>
  <c r="F50" i="44"/>
  <c r="G50" i="44"/>
  <c r="I50" i="44"/>
  <c r="J50" i="44"/>
  <c r="L50" i="44"/>
  <c r="M50" i="44"/>
  <c r="O50" i="44"/>
  <c r="P50" i="44"/>
  <c r="R50" i="44"/>
  <c r="S50" i="44"/>
  <c r="U50" i="44"/>
  <c r="V50" i="44"/>
  <c r="X50" i="44"/>
  <c r="Y50" i="44"/>
  <c r="Z50" i="44" s="1"/>
  <c r="AA50" i="44"/>
  <c r="AD50" i="44" s="1"/>
  <c r="AB50" i="44"/>
  <c r="AG50" i="44"/>
  <c r="AH50" i="44"/>
  <c r="AJ50" i="44"/>
  <c r="AK50" i="44"/>
  <c r="AM50" i="44"/>
  <c r="AN50" i="44"/>
  <c r="AP50" i="44"/>
  <c r="AQ50" i="44"/>
  <c r="AS50" i="44"/>
  <c r="AT50" i="44"/>
  <c r="AV50" i="44"/>
  <c r="AW50" i="44"/>
  <c r="AY50" i="44"/>
  <c r="AZ50" i="44"/>
  <c r="BA50" i="44" s="1"/>
  <c r="BB50" i="44"/>
  <c r="BC50" i="44"/>
  <c r="BE50" i="44"/>
  <c r="BH50" i="44" s="1"/>
  <c r="BF50" i="44"/>
  <c r="B51" i="44"/>
  <c r="C51" i="44"/>
  <c r="D51" i="44"/>
  <c r="F51" i="44"/>
  <c r="G51" i="44"/>
  <c r="I51" i="44"/>
  <c r="J51" i="44"/>
  <c r="L51" i="44"/>
  <c r="M51" i="44"/>
  <c r="O51" i="44"/>
  <c r="P51" i="44"/>
  <c r="R51" i="44"/>
  <c r="S51" i="44"/>
  <c r="U51" i="44"/>
  <c r="V51" i="44"/>
  <c r="X51" i="44"/>
  <c r="Y51" i="44"/>
  <c r="AA51" i="44"/>
  <c r="AD51" i="44" s="1"/>
  <c r="AB51" i="44"/>
  <c r="AG51" i="44"/>
  <c r="AH51" i="44"/>
  <c r="AJ51" i="44"/>
  <c r="AK51" i="44"/>
  <c r="AM51" i="44"/>
  <c r="AN51" i="44"/>
  <c r="AP51" i="44"/>
  <c r="AQ51" i="44"/>
  <c r="AS51" i="44"/>
  <c r="AT51" i="44"/>
  <c r="AV51" i="44"/>
  <c r="AW51" i="44"/>
  <c r="AY51" i="44"/>
  <c r="AZ51" i="44"/>
  <c r="BB51" i="44"/>
  <c r="BC51" i="44"/>
  <c r="BE51" i="44"/>
  <c r="BH51" i="44" s="1"/>
  <c r="BF51" i="44"/>
  <c r="B52" i="44"/>
  <c r="C52" i="44"/>
  <c r="D52" i="44"/>
  <c r="F52" i="44"/>
  <c r="G52" i="44"/>
  <c r="I52" i="44"/>
  <c r="J52" i="44"/>
  <c r="L52" i="44"/>
  <c r="M52" i="44"/>
  <c r="O52" i="44"/>
  <c r="P52" i="44"/>
  <c r="R52" i="44"/>
  <c r="S52" i="44"/>
  <c r="U52" i="44"/>
  <c r="V52" i="44"/>
  <c r="X52" i="44"/>
  <c r="Y52" i="44"/>
  <c r="AA52" i="44"/>
  <c r="AD52" i="44" s="1"/>
  <c r="AB52" i="44"/>
  <c r="AG52" i="44"/>
  <c r="AH52" i="44"/>
  <c r="AJ52" i="44"/>
  <c r="AK52" i="44"/>
  <c r="AM52" i="44"/>
  <c r="AN52" i="44"/>
  <c r="AP52" i="44"/>
  <c r="AQ52" i="44"/>
  <c r="AS52" i="44"/>
  <c r="AT52" i="44"/>
  <c r="AV52" i="44"/>
  <c r="AW52" i="44"/>
  <c r="AY52" i="44"/>
  <c r="AZ52" i="44"/>
  <c r="BA52" i="44" s="1"/>
  <c r="BB52" i="44"/>
  <c r="BC52" i="44"/>
  <c r="BE52" i="44"/>
  <c r="BH52" i="44" s="1"/>
  <c r="BF52" i="44"/>
  <c r="B53" i="44"/>
  <c r="C53" i="44"/>
  <c r="D53" i="44"/>
  <c r="F53" i="44"/>
  <c r="G53" i="44"/>
  <c r="I53" i="44"/>
  <c r="J53" i="44"/>
  <c r="L53" i="44"/>
  <c r="M53" i="44"/>
  <c r="O53" i="44"/>
  <c r="P53" i="44"/>
  <c r="R53" i="44"/>
  <c r="S53" i="44"/>
  <c r="U53" i="44"/>
  <c r="V53" i="44"/>
  <c r="X53" i="44"/>
  <c r="Y53" i="44"/>
  <c r="AA53" i="44"/>
  <c r="AD53" i="44" s="1"/>
  <c r="AB53" i="44"/>
  <c r="AG53" i="44"/>
  <c r="AH53" i="44"/>
  <c r="AJ53" i="44"/>
  <c r="AK53" i="44"/>
  <c r="AM53" i="44"/>
  <c r="AN53" i="44"/>
  <c r="AP53" i="44"/>
  <c r="AQ53" i="44"/>
  <c r="AS53" i="44"/>
  <c r="AT53" i="44"/>
  <c r="AV53" i="44"/>
  <c r="AW53" i="44"/>
  <c r="AY53" i="44"/>
  <c r="AZ53" i="44"/>
  <c r="BB53" i="44"/>
  <c r="BC53" i="44"/>
  <c r="BE53" i="44"/>
  <c r="BH53" i="44" s="1"/>
  <c r="BF53" i="44"/>
  <c r="B54" i="44"/>
  <c r="C54" i="44"/>
  <c r="D54" i="44"/>
  <c r="F54" i="44"/>
  <c r="G54" i="44"/>
  <c r="I54" i="44"/>
  <c r="J54" i="44"/>
  <c r="L54" i="44"/>
  <c r="M54" i="44"/>
  <c r="O54" i="44"/>
  <c r="P54" i="44"/>
  <c r="R54" i="44"/>
  <c r="S54" i="44"/>
  <c r="U54" i="44"/>
  <c r="V54" i="44"/>
  <c r="X54" i="44"/>
  <c r="Y54" i="44"/>
  <c r="AA54" i="44"/>
  <c r="AD54" i="44" s="1"/>
  <c r="AB54" i="44"/>
  <c r="AG54" i="44"/>
  <c r="AH54" i="44"/>
  <c r="AJ54" i="44"/>
  <c r="AK54" i="44"/>
  <c r="AM54" i="44"/>
  <c r="AN54" i="44"/>
  <c r="AP54" i="44"/>
  <c r="AQ54" i="44"/>
  <c r="AS54" i="44"/>
  <c r="AT54" i="44"/>
  <c r="AV54" i="44"/>
  <c r="AW54" i="44"/>
  <c r="AY54" i="44"/>
  <c r="AZ54" i="44"/>
  <c r="BB54" i="44"/>
  <c r="BC54" i="44"/>
  <c r="BE54" i="44"/>
  <c r="BH54" i="44" s="1"/>
  <c r="BF54" i="44"/>
  <c r="GG36" i="17"/>
  <c r="BG8" i="17"/>
  <c r="BG15" i="17"/>
  <c r="GG43" i="17"/>
  <c r="BG57" i="17"/>
  <c r="BG36" i="17"/>
  <c r="BG22" i="17"/>
  <c r="GG22" i="17"/>
  <c r="GG50" i="17"/>
  <c r="GG57" i="17"/>
  <c r="BG43" i="17"/>
  <c r="BG50" i="17"/>
  <c r="BG29" i="17"/>
  <c r="GG8" i="17"/>
  <c r="GG15" i="17"/>
  <c r="GG29" i="17"/>
  <c r="Z11" i="44" l="1"/>
  <c r="Z14" i="44"/>
  <c r="BA14" i="44"/>
  <c r="Z21" i="44"/>
  <c r="AO29" i="44"/>
  <c r="H39" i="44"/>
  <c r="AU31" i="44"/>
  <c r="T31" i="44"/>
  <c r="BG23" i="44"/>
  <c r="H23" i="44"/>
  <c r="T15" i="44"/>
  <c r="AI45" i="44"/>
  <c r="BG29" i="44"/>
  <c r="AI29" i="44"/>
  <c r="H29" i="44"/>
  <c r="BG51" i="44"/>
  <c r="BG38" i="44"/>
  <c r="AI38" i="44"/>
  <c r="AO40" i="44"/>
  <c r="BG53" i="44"/>
  <c r="BG40" i="44"/>
  <c r="N39" i="44"/>
  <c r="AU22" i="44"/>
  <c r="T22" i="44"/>
  <c r="N35" i="44"/>
  <c r="N19" i="44"/>
  <c r="H19" i="44"/>
  <c r="N15" i="44"/>
  <c r="AU14" i="44"/>
  <c r="T14" i="44"/>
  <c r="AU33" i="44"/>
  <c r="H12" i="44"/>
  <c r="H44" i="44"/>
  <c r="AO14" i="44"/>
  <c r="N14" i="44"/>
  <c r="AU19" i="44"/>
  <c r="BG14" i="44"/>
  <c r="AI14" i="44"/>
  <c r="AU41" i="44"/>
  <c r="AI33" i="44"/>
  <c r="H33" i="44"/>
  <c r="BG49" i="44"/>
  <c r="BG26" i="44"/>
  <c r="H26" i="44"/>
  <c r="T18" i="44"/>
  <c r="AU37" i="44"/>
  <c r="T37" i="44"/>
  <c r="AU11" i="44"/>
  <c r="T11" i="44"/>
  <c r="N37" i="44"/>
  <c r="T33" i="44"/>
  <c r="N21" i="44"/>
  <c r="AU52" i="44"/>
  <c r="T52" i="44"/>
  <c r="N27" i="44"/>
  <c r="AO11" i="44"/>
  <c r="N11" i="44"/>
  <c r="BG50" i="44"/>
  <c r="H50" i="44"/>
  <c r="T26" i="44"/>
  <c r="H18" i="44"/>
  <c r="BG37" i="44"/>
  <c r="AI37" i="44"/>
  <c r="AO52" i="44"/>
  <c r="N52" i="44"/>
  <c r="N20" i="44"/>
  <c r="H27" i="44"/>
  <c r="BG11" i="44"/>
  <c r="AI11" i="44"/>
  <c r="H11" i="44"/>
  <c r="N26" i="44"/>
  <c r="H20" i="44"/>
  <c r="N16" i="44"/>
  <c r="H28" i="44"/>
  <c r="N54" i="44"/>
  <c r="AI43" i="44"/>
  <c r="N43" i="44"/>
  <c r="H34" i="44"/>
  <c r="N13" i="44"/>
  <c r="Z13" i="44"/>
  <c r="AO13" i="44"/>
  <c r="AU13" i="44"/>
  <c r="BA13" i="44"/>
  <c r="BG13" i="44"/>
  <c r="Z12" i="44"/>
  <c r="BG12" i="44"/>
  <c r="AU30" i="44"/>
  <c r="BG48" i="44"/>
  <c r="T53" i="44"/>
  <c r="H47" i="44"/>
  <c r="N47" i="44"/>
  <c r="Z47" i="44"/>
  <c r="AO47" i="44"/>
  <c r="AU47" i="44"/>
  <c r="N46" i="44"/>
  <c r="BG46" i="44"/>
  <c r="AI46" i="44"/>
  <c r="N24" i="44"/>
  <c r="T24" i="44"/>
  <c r="Z24" i="44"/>
  <c r="AO24" i="44"/>
  <c r="BA24" i="44"/>
  <c r="BG24" i="44"/>
  <c r="H31" i="44"/>
  <c r="Z32" i="44"/>
  <c r="AO43" i="44"/>
  <c r="H38" i="44"/>
  <c r="AU49" i="44"/>
  <c r="BA49" i="44"/>
  <c r="H45" i="44"/>
  <c r="H14" i="44"/>
  <c r="H25" i="44"/>
  <c r="N30" i="44"/>
  <c r="AI30" i="44"/>
  <c r="Z30" i="44"/>
  <c r="T30" i="44"/>
  <c r="H30" i="44"/>
  <c r="BG10" i="44"/>
  <c r="AO10" i="44"/>
  <c r="Z10" i="44"/>
  <c r="H10" i="44"/>
  <c r="BA10" i="44"/>
  <c r="AU10" i="44"/>
  <c r="AI10" i="44"/>
  <c r="T10" i="44"/>
  <c r="BD11" i="44"/>
  <c r="AX11" i="44"/>
  <c r="AL11" i="44"/>
  <c r="AC11" i="44"/>
  <c r="W11" i="44"/>
  <c r="K11" i="44"/>
  <c r="H46" i="44"/>
  <c r="BD10" i="44"/>
  <c r="AX10" i="44"/>
  <c r="AR10" i="44"/>
  <c r="AC10" i="44"/>
  <c r="W10" i="44"/>
  <c r="Q10" i="44"/>
  <c r="K10" i="44"/>
  <c r="E10" i="44"/>
  <c r="N10" i="44"/>
  <c r="H41" i="44"/>
  <c r="H49" i="44"/>
  <c r="H40" i="44"/>
  <c r="H36" i="44"/>
  <c r="AO48" i="44"/>
  <c r="H48" i="44"/>
  <c r="BD14" i="44"/>
  <c r="AX14" i="44"/>
  <c r="AR14" i="44"/>
  <c r="AL14" i="44"/>
  <c r="AC14" i="44"/>
  <c r="W14" i="44"/>
  <c r="Q14" i="44"/>
  <c r="K14" i="44"/>
  <c r="H37" i="44"/>
  <c r="H53" i="44"/>
  <c r="H42" i="44"/>
  <c r="AL21" i="44"/>
  <c r="AL17" i="44"/>
  <c r="H54" i="44"/>
  <c r="W41" i="44"/>
  <c r="BD52" i="44"/>
  <c r="BD16" i="44"/>
  <c r="AX16" i="44"/>
  <c r="W16" i="44"/>
  <c r="AL47" i="44"/>
  <c r="AX23" i="44"/>
  <c r="AR23" i="44"/>
  <c r="AL23" i="44"/>
  <c r="AC43" i="44"/>
  <c r="AC54" i="44"/>
  <c r="E48" i="44"/>
  <c r="BD34" i="44"/>
  <c r="AX34" i="44"/>
  <c r="W49" i="44"/>
  <c r="AL39" i="44"/>
  <c r="BD39" i="44"/>
  <c r="AX39" i="44"/>
  <c r="E13" i="44"/>
  <c r="AX54" i="44"/>
  <c r="AR54" i="44"/>
  <c r="AL54" i="44"/>
  <c r="AR41" i="44"/>
  <c r="AL41" i="44"/>
  <c r="AC41" i="44"/>
  <c r="N23" i="44"/>
  <c r="BD22" i="44"/>
  <c r="AX22" i="44"/>
  <c r="AX19" i="44"/>
  <c r="AR19" i="44"/>
  <c r="AL19" i="44"/>
  <c r="BD44" i="44"/>
  <c r="AR44" i="44"/>
  <c r="AL44" i="44"/>
  <c r="AC44" i="44"/>
  <c r="W44" i="44"/>
  <c r="Q44" i="44"/>
  <c r="E24" i="44"/>
  <c r="BD18" i="44"/>
  <c r="AR18" i="44"/>
  <c r="AL18" i="44"/>
  <c r="AC18" i="44"/>
  <c r="AX52" i="44"/>
  <c r="AL52" i="44"/>
  <c r="Q52" i="44"/>
  <c r="K52" i="44"/>
  <c r="E52" i="44"/>
  <c r="AR49" i="44"/>
  <c r="AL49" i="44"/>
  <c r="AC49" i="44"/>
  <c r="AX35" i="44"/>
  <c r="AR35" i="44"/>
  <c r="AX20" i="44"/>
  <c r="AL20" i="44"/>
  <c r="W20" i="44"/>
  <c r="BD36" i="44"/>
  <c r="BD32" i="44"/>
  <c r="AX32" i="44"/>
  <c r="AR32" i="44"/>
  <c r="AL32" i="44"/>
  <c r="E32" i="44"/>
  <c r="BD29" i="44"/>
  <c r="AX29" i="44"/>
  <c r="AR29" i="44"/>
  <c r="AC29" i="44"/>
  <c r="W29" i="44"/>
  <c r="Q29" i="44"/>
  <c r="K29" i="44"/>
  <c r="E29" i="44"/>
  <c r="BD27" i="44"/>
  <c r="AX27" i="44"/>
  <c r="AR27" i="44"/>
  <c r="AL27" i="44"/>
  <c r="AI19" i="44"/>
  <c r="Z18" i="44"/>
  <c r="AX17" i="44"/>
  <c r="AU16" i="44"/>
  <c r="AI16" i="44"/>
  <c r="BD15" i="44"/>
  <c r="AX15" i="44"/>
  <c r="AR15" i="44"/>
  <c r="AL15" i="44"/>
  <c r="BD12" i="44"/>
  <c r="AX12" i="44"/>
  <c r="W12" i="44"/>
  <c r="K12" i="44"/>
  <c r="Z54" i="44"/>
  <c r="T54" i="44"/>
  <c r="BD50" i="44"/>
  <c r="AR50" i="44"/>
  <c r="BD40" i="44"/>
  <c r="AX40" i="44"/>
  <c r="AR40" i="44"/>
  <c r="AC40" i="44"/>
  <c r="Q40" i="44"/>
  <c r="K40" i="44"/>
  <c r="BD37" i="44"/>
  <c r="AX37" i="44"/>
  <c r="AR37" i="44"/>
  <c r="AL37" i="44"/>
  <c r="AC37" i="44"/>
  <c r="W37" i="44"/>
  <c r="Q37" i="44"/>
  <c r="K37" i="44"/>
  <c r="E37" i="44"/>
  <c r="BA35" i="44"/>
  <c r="AU20" i="44"/>
  <c r="T20" i="44"/>
  <c r="K19" i="44"/>
  <c r="AC53" i="44"/>
  <c r="AO54" i="44"/>
  <c r="AI54" i="44"/>
  <c r="K54" i="44"/>
  <c r="E54" i="44"/>
  <c r="AU53" i="44"/>
  <c r="AC51" i="44"/>
  <c r="T49" i="44"/>
  <c r="N49" i="44"/>
  <c r="W45" i="44"/>
  <c r="K45" i="44"/>
  <c r="BI44" i="44"/>
  <c r="AU44" i="44"/>
  <c r="AO44" i="44"/>
  <c r="AI44" i="44"/>
  <c r="T44" i="44"/>
  <c r="N44" i="44"/>
  <c r="BG33" i="44"/>
  <c r="BA33" i="44"/>
  <c r="BG45" i="44"/>
  <c r="BA45" i="44"/>
  <c r="AU45" i="44"/>
  <c r="AU42" i="44"/>
  <c r="AR22" i="44"/>
  <c r="AC22" i="44"/>
  <c r="W22" i="44"/>
  <c r="BD53" i="44"/>
  <c r="BG41" i="44"/>
  <c r="BA41" i="44"/>
  <c r="Q41" i="44"/>
  <c r="K41" i="44"/>
  <c r="BD38" i="44"/>
  <c r="AX38" i="44"/>
  <c r="AR38" i="44"/>
  <c r="AL38" i="44"/>
  <c r="W38" i="44"/>
  <c r="Q38" i="44"/>
  <c r="BA37" i="44"/>
  <c r="AX36" i="44"/>
  <c r="AR36" i="44"/>
  <c r="AL36" i="44"/>
  <c r="BG35" i="44"/>
  <c r="AC35" i="44"/>
  <c r="BD33" i="44"/>
  <c r="AX33" i="44"/>
  <c r="W32" i="44"/>
  <c r="Q32" i="44"/>
  <c r="K32" i="44"/>
  <c r="AR26" i="44"/>
  <c r="AL26" i="44"/>
  <c r="AX24" i="44"/>
  <c r="AR24" i="44"/>
  <c r="AL24" i="44"/>
  <c r="AC24" i="44"/>
  <c r="Q24" i="44"/>
  <c r="AC23" i="44"/>
  <c r="W23" i="44"/>
  <c r="Q23" i="44"/>
  <c r="BG22" i="44"/>
  <c r="BA22" i="44"/>
  <c r="Q22" i="44"/>
  <c r="K22" i="44"/>
  <c r="E22" i="44"/>
  <c r="AR16" i="44"/>
  <c r="AL16" i="44"/>
  <c r="AL13" i="44"/>
  <c r="AC13" i="44"/>
  <c r="Q13" i="44"/>
  <c r="K13" i="44"/>
  <c r="BG54" i="44"/>
  <c r="BA54" i="44"/>
  <c r="W54" i="44"/>
  <c r="Q54" i="44"/>
  <c r="Q53" i="44"/>
  <c r="BD49" i="44"/>
  <c r="AX49" i="44"/>
  <c r="AI49" i="44"/>
  <c r="Z49" i="44"/>
  <c r="E49" i="44"/>
  <c r="BD45" i="44"/>
  <c r="AR45" i="44"/>
  <c r="AL45" i="44"/>
  <c r="AU39" i="44"/>
  <c r="AO39" i="44"/>
  <c r="W39" i="44"/>
  <c r="Q39" i="44"/>
  <c r="AR33" i="44"/>
  <c r="AL33" i="44"/>
  <c r="AC33" i="44"/>
  <c r="W33" i="44"/>
  <c r="Q33" i="44"/>
  <c r="K33" i="44"/>
  <c r="E33" i="44"/>
  <c r="BG32" i="44"/>
  <c r="AO32" i="44"/>
  <c r="AI32" i="44"/>
  <c r="AO22" i="44"/>
  <c r="AI22" i="44"/>
  <c r="Z22" i="44"/>
  <c r="E17" i="44"/>
  <c r="K46" i="44"/>
  <c r="AL46" i="44"/>
  <c r="BI53" i="44"/>
  <c r="AC52" i="44"/>
  <c r="BG43" i="44"/>
  <c r="BA43" i="44"/>
  <c r="AU43" i="44"/>
  <c r="AI26" i="44"/>
  <c r="BD26" i="44"/>
  <c r="W26" i="44"/>
  <c r="AU26" i="44"/>
  <c r="AR53" i="44"/>
  <c r="AI52" i="44"/>
  <c r="Z52" i="44"/>
  <c r="BD42" i="44"/>
  <c r="AX42" i="44"/>
  <c r="AE42" i="44"/>
  <c r="BG36" i="44"/>
  <c r="BA36" i="44"/>
  <c r="AC36" i="44"/>
  <c r="W36" i="44"/>
  <c r="Q36" i="44"/>
  <c r="K36" i="44"/>
  <c r="BD30" i="44"/>
  <c r="AX30" i="44"/>
  <c r="AX51" i="44"/>
  <c r="AE34" i="44"/>
  <c r="BD25" i="44"/>
  <c r="AX25" i="44"/>
  <c r="AR25" i="44"/>
  <c r="AL25" i="44"/>
  <c r="AI15" i="44"/>
  <c r="W15" i="44"/>
  <c r="BG15" i="44"/>
  <c r="AL28" i="44"/>
  <c r="BA26" i="44"/>
  <c r="AC26" i="44"/>
  <c r="BG25" i="44"/>
  <c r="AC25" i="44"/>
  <c r="W25" i="44"/>
  <c r="Q25" i="44"/>
  <c r="K25" i="44"/>
  <c r="BG21" i="44"/>
  <c r="BA21" i="44"/>
  <c r="AC15" i="44"/>
  <c r="AU50" i="44"/>
  <c r="AE50" i="44"/>
  <c r="Q50" i="44"/>
  <c r="K50" i="44"/>
  <c r="BD48" i="44"/>
  <c r="AR48" i="44"/>
  <c r="AC48" i="44"/>
  <c r="Q48" i="44"/>
  <c r="K48" i="44"/>
  <c r="AX46" i="44"/>
  <c r="AR46" i="44"/>
  <c r="BD43" i="44"/>
  <c r="AX43" i="44"/>
  <c r="AR43" i="44"/>
  <c r="E43" i="44"/>
  <c r="BG42" i="44"/>
  <c r="W42" i="44"/>
  <c r="Q42" i="44"/>
  <c r="K42" i="44"/>
  <c r="AI41" i="44"/>
  <c r="Z41" i="44"/>
  <c r="E41" i="44"/>
  <c r="E40" i="44"/>
  <c r="AU36" i="44"/>
  <c r="AO36" i="44"/>
  <c r="AI36" i="44"/>
  <c r="AU35" i="44"/>
  <c r="AO35" i="44"/>
  <c r="AI35" i="44"/>
  <c r="E35" i="44"/>
  <c r="BG34" i="44"/>
  <c r="AU34" i="44"/>
  <c r="AO34" i="44"/>
  <c r="AI34" i="44"/>
  <c r="W34" i="44"/>
  <c r="Q34" i="44"/>
  <c r="K34" i="44"/>
  <c r="AR30" i="44"/>
  <c r="AL30" i="44"/>
  <c r="W30" i="44"/>
  <c r="Q30" i="44"/>
  <c r="K30" i="44"/>
  <c r="Q26" i="44"/>
  <c r="K26" i="44"/>
  <c r="E26" i="44"/>
  <c r="BA25" i="44"/>
  <c r="AU25" i="44"/>
  <c r="AO25" i="44"/>
  <c r="AI25" i="44"/>
  <c r="AU23" i="44"/>
  <c r="AO23" i="44"/>
  <c r="K23" i="44"/>
  <c r="W21" i="44"/>
  <c r="Q21" i="44"/>
  <c r="BG19" i="44"/>
  <c r="BA19" i="44"/>
  <c r="BG18" i="44"/>
  <c r="W18" i="44"/>
  <c r="BG17" i="44"/>
  <c r="BA17" i="44"/>
  <c r="AC17" i="44"/>
  <c r="W17" i="44"/>
  <c r="Q17" i="44"/>
  <c r="K17" i="44"/>
  <c r="BA15" i="44"/>
  <c r="AU15" i="44"/>
  <c r="AO15" i="44"/>
  <c r="Q15" i="44"/>
  <c r="K15" i="44"/>
  <c r="E15" i="44"/>
  <c r="AI50" i="44"/>
  <c r="Q49" i="44"/>
  <c r="K49" i="44"/>
  <c r="BD47" i="44"/>
  <c r="AX47" i="44"/>
  <c r="W47" i="44"/>
  <c r="Q47" i="44"/>
  <c r="W46" i="44"/>
  <c r="Q46" i="44"/>
  <c r="AC45" i="44"/>
  <c r="AL43" i="44"/>
  <c r="Z43" i="44"/>
  <c r="T43" i="44"/>
  <c r="BD41" i="44"/>
  <c r="AX41" i="44"/>
  <c r="T41" i="44"/>
  <c r="N41" i="44"/>
  <c r="K38" i="44"/>
  <c r="Z36" i="44"/>
  <c r="T36" i="44"/>
  <c r="N36" i="44"/>
  <c r="BD35" i="44"/>
  <c r="Z35" i="44"/>
  <c r="T35" i="44"/>
  <c r="AC32" i="44"/>
  <c r="BD31" i="44"/>
  <c r="AR31" i="44"/>
  <c r="AL31" i="44"/>
  <c r="W31" i="44"/>
  <c r="Q31" i="44"/>
  <c r="K31" i="44"/>
  <c r="BG30" i="44"/>
  <c r="BA30" i="44"/>
  <c r="K27" i="44"/>
  <c r="AX26" i="44"/>
  <c r="Z26" i="44"/>
  <c r="Z25" i="44"/>
  <c r="T25" i="44"/>
  <c r="N25" i="44"/>
  <c r="BD23" i="44"/>
  <c r="Z23" i="44"/>
  <c r="T23" i="44"/>
  <c r="E23" i="44"/>
  <c r="AX21" i="44"/>
  <c r="BD20" i="44"/>
  <c r="Z20" i="44"/>
  <c r="W19" i="44"/>
  <c r="Q19" i="44"/>
  <c r="AU18" i="44"/>
  <c r="AI18" i="44"/>
  <c r="Q18" i="44"/>
  <c r="K18" i="44"/>
  <c r="AO17" i="44"/>
  <c r="Z15" i="44"/>
  <c r="AX53" i="44"/>
  <c r="AL51" i="44"/>
  <c r="K51" i="44"/>
  <c r="AL35" i="44"/>
  <c r="BI35" i="44"/>
  <c r="AI27" i="44"/>
  <c r="Z27" i="44"/>
  <c r="K53" i="44"/>
  <c r="W53" i="44"/>
  <c r="BA53" i="44"/>
  <c r="N53" i="44"/>
  <c r="E53" i="44"/>
  <c r="AU51" i="44"/>
  <c r="AO51" i="44"/>
  <c r="N50" i="44"/>
  <c r="BA48" i="44"/>
  <c r="AU48" i="44"/>
  <c r="AL48" i="44"/>
  <c r="Z48" i="44"/>
  <c r="T48" i="44"/>
  <c r="BA46" i="44"/>
  <c r="Z46" i="44"/>
  <c r="N42" i="44"/>
  <c r="BA40" i="44"/>
  <c r="AU40" i="44"/>
  <c r="AL40" i="44"/>
  <c r="Z40" i="44"/>
  <c r="T40" i="44"/>
  <c r="Z38" i="44"/>
  <c r="AO53" i="44"/>
  <c r="AI53" i="44"/>
  <c r="BD54" i="44"/>
  <c r="AU54" i="44"/>
  <c r="AL53" i="44"/>
  <c r="Z53" i="44"/>
  <c r="H52" i="44"/>
  <c r="AI51" i="44"/>
  <c r="Z51" i="44"/>
  <c r="T51" i="44"/>
  <c r="AO50" i="44"/>
  <c r="W50" i="44"/>
  <c r="N48" i="44"/>
  <c r="BA47" i="44"/>
  <c r="AU46" i="44"/>
  <c r="AO46" i="44"/>
  <c r="T46" i="44"/>
  <c r="AE46" i="44"/>
  <c r="E46" i="44"/>
  <c r="AX45" i="44"/>
  <c r="Z45" i="44"/>
  <c r="Q45" i="44"/>
  <c r="BG44" i="44"/>
  <c r="AX44" i="44"/>
  <c r="Z44" i="44"/>
  <c r="K44" i="44"/>
  <c r="BI43" i="44"/>
  <c r="Q43" i="44"/>
  <c r="AO42" i="44"/>
  <c r="AI42" i="44"/>
  <c r="N40" i="44"/>
  <c r="BA39" i="44"/>
  <c r="AU38" i="44"/>
  <c r="AO38" i="44"/>
  <c r="T38" i="44"/>
  <c r="AE38" i="44"/>
  <c r="E38" i="44"/>
  <c r="BI36" i="44"/>
  <c r="AX48" i="44"/>
  <c r="BI48" i="44"/>
  <c r="AI48" i="44"/>
  <c r="W48" i="44"/>
  <c r="BI47" i="44"/>
  <c r="BD46" i="44"/>
  <c r="AC46" i="44"/>
  <c r="E45" i="44"/>
  <c r="BA44" i="44"/>
  <c r="BI40" i="44"/>
  <c r="AI40" i="44"/>
  <c r="W40" i="44"/>
  <c r="BI39" i="44"/>
  <c r="AC38" i="44"/>
  <c r="AO28" i="44"/>
  <c r="W27" i="44"/>
  <c r="Q27" i="44"/>
  <c r="AE26" i="44"/>
  <c r="N34" i="44"/>
  <c r="BA32" i="44"/>
  <c r="AU32" i="44"/>
  <c r="T32" i="44"/>
  <c r="Z31" i="44"/>
  <c r="AC30" i="44"/>
  <c r="BA29" i="44"/>
  <c r="AU29" i="44"/>
  <c r="AL29" i="44"/>
  <c r="Z29" i="44"/>
  <c r="AU28" i="44"/>
  <c r="BG27" i="44"/>
  <c r="BA27" i="44"/>
  <c r="T27" i="44"/>
  <c r="E27" i="44"/>
  <c r="BD24" i="44"/>
  <c r="AU24" i="44"/>
  <c r="N22" i="44"/>
  <c r="AO21" i="44"/>
  <c r="BD19" i="44"/>
  <c r="AO19" i="44"/>
  <c r="AC19" i="44"/>
  <c r="T19" i="44"/>
  <c r="AX18" i="44"/>
  <c r="AO18" i="44"/>
  <c r="N18" i="44"/>
  <c r="E18" i="44"/>
  <c r="AU17" i="44"/>
  <c r="Z17" i="44"/>
  <c r="T16" i="44"/>
  <c r="AE13" i="44"/>
  <c r="AI12" i="44"/>
  <c r="BA11" i="44"/>
  <c r="AR11" i="44"/>
  <c r="E11" i="44"/>
  <c r="Q35" i="44"/>
  <c r="N32" i="44"/>
  <c r="N29" i="44"/>
  <c r="AU27" i="44"/>
  <c r="AO27" i="44"/>
  <c r="AC27" i="44"/>
  <c r="BI24" i="44"/>
  <c r="AI24" i="44"/>
  <c r="W24" i="44"/>
  <c r="BG20" i="44"/>
  <c r="AR20" i="44"/>
  <c r="N17" i="44"/>
  <c r="BI14" i="44"/>
  <c r="AX13" i="44"/>
  <c r="AI13" i="44"/>
  <c r="W13" i="44"/>
  <c r="Q11" i="44"/>
  <c r="K43" i="44"/>
  <c r="AE43" i="44"/>
  <c r="AE36" i="44"/>
  <c r="K35" i="44"/>
  <c r="AE35" i="44"/>
  <c r="BI31" i="44"/>
  <c r="AO26" i="44"/>
  <c r="BI26" i="44"/>
  <c r="AE16" i="44"/>
  <c r="K16" i="44"/>
  <c r="BI13" i="44"/>
  <c r="AL10" i="44"/>
  <c r="BI10" i="44"/>
  <c r="BI11" i="44"/>
  <c r="AE10" i="44"/>
  <c r="AE53" i="44"/>
  <c r="BI52" i="44"/>
  <c r="AE44" i="44"/>
  <c r="BI54" i="44"/>
  <c r="W51" i="44"/>
  <c r="E51" i="44"/>
  <c r="AO45" i="44"/>
  <c r="BI45" i="44"/>
  <c r="AE45" i="44"/>
  <c r="AO37" i="44"/>
  <c r="BI37" i="44"/>
  <c r="BI29" i="44"/>
  <c r="BA28" i="44"/>
  <c r="E28" i="44"/>
  <c r="AC28" i="44"/>
  <c r="AE27" i="44"/>
  <c r="BI23" i="44"/>
  <c r="AI23" i="44"/>
  <c r="E19" i="44"/>
  <c r="AE19" i="44"/>
  <c r="AE14" i="44"/>
  <c r="E14" i="44"/>
  <c r="BG52" i="44"/>
  <c r="W52" i="44"/>
  <c r="AR51" i="44"/>
  <c r="Q51" i="44"/>
  <c r="AL50" i="44"/>
  <c r="BI50" i="44"/>
  <c r="AE48" i="44"/>
  <c r="AC47" i="44"/>
  <c r="T47" i="44"/>
  <c r="K47" i="44"/>
  <c r="AE47" i="44"/>
  <c r="E47" i="44"/>
  <c r="W43" i="44"/>
  <c r="H43" i="44"/>
  <c r="AE40" i="44"/>
  <c r="AC39" i="44"/>
  <c r="T39" i="44"/>
  <c r="K39" i="44"/>
  <c r="AE39" i="44"/>
  <c r="E39" i="44"/>
  <c r="W35" i="44"/>
  <c r="H35" i="44"/>
  <c r="AE31" i="44"/>
  <c r="E30" i="44"/>
  <c r="AE30" i="44"/>
  <c r="BD28" i="44"/>
  <c r="AX28" i="44"/>
  <c r="BI28" i="44"/>
  <c r="W28" i="44"/>
  <c r="Q28" i="44"/>
  <c r="AE25" i="44"/>
  <c r="E25" i="44"/>
  <c r="K20" i="44"/>
  <c r="AE20" i="44"/>
  <c r="BA51" i="44"/>
  <c r="AE51" i="44"/>
  <c r="N51" i="44"/>
  <c r="BI46" i="44"/>
  <c r="BI38" i="44"/>
  <c r="AE37" i="44"/>
  <c r="AE54" i="44"/>
  <c r="AR52" i="44"/>
  <c r="AE52" i="44"/>
  <c r="BI51" i="44"/>
  <c r="BD51" i="44"/>
  <c r="H51" i="44"/>
  <c r="AX50" i="44"/>
  <c r="AC50" i="44"/>
  <c r="T50" i="44"/>
  <c r="E50" i="44"/>
  <c r="AO49" i="44"/>
  <c r="BI49" i="44"/>
  <c r="AE49" i="44"/>
  <c r="BG47" i="44"/>
  <c r="AR47" i="44"/>
  <c r="AI47" i="44"/>
  <c r="E44" i="44"/>
  <c r="BA42" i="44"/>
  <c r="AR42" i="44"/>
  <c r="AL42" i="44"/>
  <c r="BI42" i="44"/>
  <c r="AC42" i="44"/>
  <c r="T42" i="44"/>
  <c r="E42" i="44"/>
  <c r="AO41" i="44"/>
  <c r="BI41" i="44"/>
  <c r="AE41" i="44"/>
  <c r="BG39" i="44"/>
  <c r="AR39" i="44"/>
  <c r="AI39" i="44"/>
  <c r="E36" i="44"/>
  <c r="BA34" i="44"/>
  <c r="AR34" i="44"/>
  <c r="AL34" i="44"/>
  <c r="BI34" i="44"/>
  <c r="AC34" i="44"/>
  <c r="T34" i="44"/>
  <c r="E34" i="44"/>
  <c r="AO33" i="44"/>
  <c r="BI33" i="44"/>
  <c r="AE33" i="44"/>
  <c r="BI32" i="44"/>
  <c r="AE32" i="44"/>
  <c r="AI31" i="44"/>
  <c r="N31" i="44"/>
  <c r="AX31" i="44"/>
  <c r="Z28" i="44"/>
  <c r="BI27" i="44"/>
  <c r="BI25" i="44"/>
  <c r="K24" i="44"/>
  <c r="AE24" i="44"/>
  <c r="AL22" i="44"/>
  <c r="BI22" i="44"/>
  <c r="BA18" i="44"/>
  <c r="BI18" i="44"/>
  <c r="AI17" i="44"/>
  <c r="BI17" i="44"/>
  <c r="AE12" i="44"/>
  <c r="H32" i="44"/>
  <c r="AC31" i="44"/>
  <c r="AE29" i="44"/>
  <c r="T28" i="44"/>
  <c r="K28" i="44"/>
  <c r="AE28" i="44"/>
  <c r="AE23" i="44"/>
  <c r="AU21" i="44"/>
  <c r="BI21" i="44"/>
  <c r="BI16" i="44"/>
  <c r="BI15" i="44"/>
  <c r="AU12" i="44"/>
  <c r="AE11" i="44"/>
  <c r="AO31" i="44"/>
  <c r="E31" i="44"/>
  <c r="AO30" i="44"/>
  <c r="BI30" i="44"/>
  <c r="BG28" i="44"/>
  <c r="AR28" i="44"/>
  <c r="AI28" i="44"/>
  <c r="H22" i="44"/>
  <c r="AE22" i="44"/>
  <c r="H21" i="44"/>
  <c r="T21" i="44"/>
  <c r="BD21" i="44"/>
  <c r="E21" i="44"/>
  <c r="AC21" i="44"/>
  <c r="AR21" i="44"/>
  <c r="BI20" i="44"/>
  <c r="AI20" i="44"/>
  <c r="AE17" i="44"/>
  <c r="H15" i="44"/>
  <c r="AE15" i="44"/>
  <c r="E12" i="44"/>
  <c r="Q12" i="44"/>
  <c r="AC12" i="44"/>
  <c r="AO12" i="44"/>
  <c r="BA12" i="44"/>
  <c r="N12" i="44"/>
  <c r="AL12" i="44"/>
  <c r="H24" i="44"/>
  <c r="K21" i="44"/>
  <c r="E20" i="44"/>
  <c r="Q20" i="44"/>
  <c r="AC20" i="44"/>
  <c r="AO20" i="44"/>
  <c r="BA20" i="44"/>
  <c r="H17" i="44"/>
  <c r="T17" i="44"/>
  <c r="AR17" i="44"/>
  <c r="BD17" i="44"/>
  <c r="AR12" i="44"/>
  <c r="BI12" i="44"/>
  <c r="T12" i="44"/>
  <c r="AI21" i="44"/>
  <c r="AE21" i="44"/>
  <c r="BI19" i="44"/>
  <c r="AE18" i="44"/>
  <c r="E16" i="44"/>
  <c r="Q16" i="44"/>
  <c r="AC16" i="44"/>
  <c r="AO16" i="44"/>
  <c r="BA16" i="44"/>
  <c r="H13" i="44"/>
  <c r="T13" i="44"/>
  <c r="AR13" i="44"/>
  <c r="BD13" i="44"/>
  <c r="AF10" i="44" l="1"/>
  <c r="BJ10" i="44"/>
  <c r="BJ14" i="44"/>
  <c r="AF14" i="44"/>
  <c r="AF23" i="44"/>
  <c r="AF29" i="44"/>
  <c r="AF33" i="44"/>
  <c r="AF15" i="44"/>
  <c r="BJ15" i="44"/>
  <c r="BJ36" i="44"/>
  <c r="BJ32" i="44"/>
  <c r="AF22" i="44"/>
  <c r="BJ33" i="44"/>
  <c r="AF36" i="44"/>
  <c r="AF25" i="44"/>
  <c r="AF17" i="44"/>
  <c r="BJ49" i="44"/>
  <c r="BJ11" i="44"/>
  <c r="AF45" i="44"/>
  <c r="BJ38" i="44"/>
  <c r="BJ35" i="44"/>
  <c r="AF40" i="44"/>
  <c r="AF41" i="44"/>
  <c r="AF11" i="44"/>
  <c r="AF46" i="44"/>
  <c r="BJ48" i="44"/>
  <c r="AF49" i="44"/>
  <c r="AF18" i="44"/>
  <c r="BJ53" i="44"/>
  <c r="AF38" i="44"/>
  <c r="BJ25" i="44"/>
  <c r="BJ43" i="44"/>
  <c r="AF54" i="44"/>
  <c r="AF37" i="44"/>
  <c r="BJ19" i="44"/>
  <c r="BJ18" i="44"/>
  <c r="AF30" i="44"/>
  <c r="BJ23" i="44"/>
  <c r="BJ29" i="44"/>
  <c r="AF24" i="44"/>
  <c r="BJ22" i="44"/>
  <c r="BJ52" i="44"/>
  <c r="BJ37" i="44"/>
  <c r="BJ45" i="44"/>
  <c r="BJ30" i="44"/>
  <c r="AF32" i="44"/>
  <c r="BJ41" i="44"/>
  <c r="AF44" i="44"/>
  <c r="AF35" i="44"/>
  <c r="AF52" i="44"/>
  <c r="BJ26" i="44"/>
  <c r="BJ24" i="44"/>
  <c r="AF27" i="44"/>
  <c r="BJ54" i="44"/>
  <c r="BJ44" i="44"/>
  <c r="AF13" i="44"/>
  <c r="AF26" i="44"/>
  <c r="AF34" i="44"/>
  <c r="BJ34" i="44"/>
  <c r="BJ16" i="44"/>
  <c r="BJ46" i="44"/>
  <c r="BJ40" i="44"/>
  <c r="AF48" i="44"/>
  <c r="AF42" i="44"/>
  <c r="BJ42" i="44"/>
  <c r="AF50" i="44"/>
  <c r="BJ51" i="44"/>
  <c r="BJ27" i="44"/>
  <c r="BJ39" i="44"/>
  <c r="BJ47" i="44"/>
  <c r="AF43" i="44"/>
  <c r="BJ13" i="44"/>
  <c r="BJ12" i="44"/>
  <c r="BJ50" i="44"/>
  <c r="AF19" i="44"/>
  <c r="AF53" i="44"/>
  <c r="AF51" i="44"/>
  <c r="AF20" i="44"/>
  <c r="BJ20" i="44"/>
  <c r="BJ28" i="44"/>
  <c r="AF16" i="44"/>
  <c r="AF21" i="44"/>
  <c r="BJ31" i="44"/>
  <c r="BJ21" i="44"/>
  <c r="AF39" i="44"/>
  <c r="AF47" i="44"/>
  <c r="AF28" i="44"/>
  <c r="AF12" i="44"/>
  <c r="AF31" i="44"/>
  <c r="BJ17" i="44"/>
  <c r="C90" i="3" l="1" a="1"/>
  <c r="C90" i="3" s="1"/>
  <c r="C87" i="3" a="1"/>
  <c r="C87" i="3" s="1"/>
  <c r="C86" i="3" a="1"/>
  <c r="C86" i="3" s="1"/>
  <c r="C85" i="3" a="1"/>
  <c r="C85" i="3" s="1"/>
  <c r="E9" i="40"/>
  <c r="F9" i="40"/>
  <c r="G9" i="40"/>
  <c r="H9" i="40"/>
  <c r="I9" i="40"/>
  <c r="J9" i="40"/>
  <c r="K9" i="40"/>
  <c r="L9" i="40"/>
  <c r="M9" i="40"/>
  <c r="N9" i="40"/>
  <c r="O9" i="40"/>
  <c r="P9" i="40"/>
  <c r="Q9" i="40"/>
  <c r="R9" i="40"/>
  <c r="S9" i="40"/>
  <c r="T9" i="40"/>
  <c r="U9" i="40"/>
  <c r="V9" i="40"/>
  <c r="E10" i="40"/>
  <c r="F10" i="40"/>
  <c r="G10" i="40"/>
  <c r="H10" i="40"/>
  <c r="I10" i="40"/>
  <c r="J10" i="40"/>
  <c r="K10" i="40"/>
  <c r="L10" i="40"/>
  <c r="M10" i="40"/>
  <c r="N10" i="40"/>
  <c r="O10" i="40"/>
  <c r="P10" i="40"/>
  <c r="Q10" i="40"/>
  <c r="R10" i="40"/>
  <c r="S10" i="40"/>
  <c r="T10" i="40"/>
  <c r="U10" i="40"/>
  <c r="V10" i="40"/>
  <c r="E11" i="40"/>
  <c r="F11" i="40"/>
  <c r="G11" i="40"/>
  <c r="H11" i="40"/>
  <c r="I11" i="40"/>
  <c r="J11" i="40"/>
  <c r="K11" i="40"/>
  <c r="L11" i="40"/>
  <c r="M11" i="40"/>
  <c r="N11" i="40"/>
  <c r="O11" i="40"/>
  <c r="P11" i="40"/>
  <c r="Q11" i="40"/>
  <c r="R11" i="40"/>
  <c r="S11" i="40"/>
  <c r="T11" i="40"/>
  <c r="U11" i="40"/>
  <c r="V11" i="40"/>
  <c r="E12" i="40"/>
  <c r="F12" i="40"/>
  <c r="G12" i="40"/>
  <c r="H12" i="40"/>
  <c r="I12" i="40"/>
  <c r="J12" i="40"/>
  <c r="K12" i="40"/>
  <c r="L12" i="40"/>
  <c r="M12" i="40"/>
  <c r="N12" i="40"/>
  <c r="O12" i="40"/>
  <c r="P12" i="40"/>
  <c r="Q12" i="40"/>
  <c r="R12" i="40"/>
  <c r="S12" i="40"/>
  <c r="T12" i="40"/>
  <c r="U12" i="40"/>
  <c r="V12" i="40"/>
  <c r="E13" i="40"/>
  <c r="F13" i="40"/>
  <c r="G13" i="40"/>
  <c r="H13" i="40"/>
  <c r="I13" i="40"/>
  <c r="J13" i="40"/>
  <c r="K13" i="40"/>
  <c r="L13" i="40"/>
  <c r="M13" i="40"/>
  <c r="N13" i="40"/>
  <c r="O13" i="40"/>
  <c r="P13" i="40"/>
  <c r="Q13" i="40"/>
  <c r="R13" i="40"/>
  <c r="S13" i="40"/>
  <c r="T13" i="40"/>
  <c r="U13" i="40"/>
  <c r="V13" i="40"/>
  <c r="E14" i="40"/>
  <c r="F14" i="40"/>
  <c r="G14" i="40"/>
  <c r="H14" i="40"/>
  <c r="I14" i="40"/>
  <c r="J14" i="40"/>
  <c r="K14" i="40"/>
  <c r="L14" i="40"/>
  <c r="M14" i="40"/>
  <c r="N14" i="40"/>
  <c r="O14" i="40"/>
  <c r="P14" i="40"/>
  <c r="Q14" i="40"/>
  <c r="R14" i="40"/>
  <c r="S14" i="40"/>
  <c r="T14" i="40"/>
  <c r="U14" i="40"/>
  <c r="V14" i="40"/>
  <c r="C88" i="3" l="1" a="1"/>
  <c r="C88" i="3" s="1"/>
  <c r="C89" i="3" a="1"/>
  <c r="C89" i="3" s="1"/>
  <c r="C92" i="3"/>
  <c r="C154" i="3" a="1"/>
  <c r="C154" i="3" s="1"/>
  <c r="C153" i="3" a="1"/>
  <c r="C153" i="3" s="1"/>
  <c r="C152" i="3" a="1"/>
  <c r="C152" i="3" s="1"/>
  <c r="C151" i="3" a="1"/>
  <c r="C151" i="3" s="1"/>
  <c r="C150" i="3" a="1"/>
  <c r="C150" i="3" s="1"/>
  <c r="C149" i="3" a="1"/>
  <c r="C149" i="3" s="1"/>
  <c r="C156" i="3" l="1"/>
  <c r="C50" i="3" a="1"/>
  <c r="C50" i="3" s="1"/>
  <c r="C49" i="3" a="1"/>
  <c r="C49" i="3" s="1"/>
  <c r="C48" i="3" a="1"/>
  <c r="C48" i="3" s="1"/>
  <c r="C47" i="3" a="1"/>
  <c r="C47" i="3" s="1"/>
  <c r="C46" i="3" a="1"/>
  <c r="C46" i="3" s="1"/>
  <c r="C45" i="3" a="1"/>
  <c r="C45" i="3" s="1"/>
  <c r="C52" i="3" l="1"/>
  <c r="C45" i="14" l="1" a="1"/>
  <c r="C45" i="14" s="1"/>
  <c r="C44" i="14" a="1"/>
  <c r="C44" i="14" s="1"/>
  <c r="C43" i="14" a="1"/>
  <c r="C43" i="14" s="1"/>
  <c r="C42" i="14" a="1"/>
  <c r="C42" i="14" s="1"/>
  <c r="C41" i="14" a="1"/>
  <c r="C41" i="14" s="1"/>
  <c r="C40" i="14" a="1"/>
  <c r="C40" i="14" s="1"/>
  <c r="C46" i="14" s="1"/>
  <c r="C45" i="12" a="1"/>
  <c r="C45" i="12" s="1"/>
  <c r="C44" i="12" a="1"/>
  <c r="C44" i="12" s="1"/>
  <c r="C43" i="12" a="1"/>
  <c r="C43" i="12" s="1"/>
  <c r="C42" i="12" a="1"/>
  <c r="C42" i="12" s="1"/>
  <c r="C41" i="12" a="1"/>
  <c r="C41" i="12" s="1"/>
  <c r="C40" i="12" a="1"/>
  <c r="C40" i="12" s="1"/>
  <c r="C46" i="12" s="1"/>
  <c r="C45" i="8" a="1"/>
  <c r="C45" i="8" s="1"/>
  <c r="C44" i="8" a="1"/>
  <c r="C44" i="8" s="1"/>
  <c r="C43" i="8" a="1"/>
  <c r="C43" i="8" s="1"/>
  <c r="C42" i="8" a="1"/>
  <c r="C42" i="8" s="1"/>
  <c r="C41" i="8" a="1"/>
  <c r="C41" i="8" s="1"/>
  <c r="C40" i="8" a="1"/>
  <c r="C40" i="8" s="1"/>
  <c r="C46" i="8" s="1"/>
  <c r="C45" i="13" a="1"/>
  <c r="C45" i="13" s="1"/>
  <c r="C44" i="13" a="1"/>
  <c r="C44" i="13" s="1"/>
  <c r="C43" i="13" a="1"/>
  <c r="C43" i="13" s="1"/>
  <c r="C42" i="13" a="1"/>
  <c r="C42" i="13" s="1"/>
  <c r="C41" i="13" a="1"/>
  <c r="C41" i="13" s="1"/>
  <c r="C40" i="13" a="1"/>
  <c r="C40" i="13" s="1"/>
  <c r="C46" i="13" s="1"/>
  <c r="C45" i="9" a="1"/>
  <c r="C45" i="9" s="1"/>
  <c r="C44" i="9" a="1"/>
  <c r="C44" i="9" s="1"/>
  <c r="C43" i="9" a="1"/>
  <c r="C43" i="9" s="1"/>
  <c r="C42" i="9" a="1"/>
  <c r="C42" i="9" s="1"/>
  <c r="C41" i="9" a="1"/>
  <c r="C41" i="9" s="1"/>
  <c r="C40" i="9" a="1"/>
  <c r="C40" i="9" s="1"/>
  <c r="C46" i="9" s="1"/>
  <c r="C45" i="46" a="1"/>
  <c r="C45" i="46" s="1"/>
  <c r="C44" i="46" a="1"/>
  <c r="C44" i="46" s="1"/>
  <c r="C43" i="46" a="1"/>
  <c r="C43" i="46" s="1"/>
  <c r="C42" i="46" a="1"/>
  <c r="C42" i="46" s="1"/>
  <c r="C41" i="46" a="1"/>
  <c r="C41" i="46" s="1"/>
  <c r="C40" i="46" a="1"/>
  <c r="C40" i="46" s="1"/>
  <c r="C46" i="46" s="1"/>
  <c r="C45" i="6" a="1"/>
  <c r="C45" i="6" s="1"/>
  <c r="C44" i="6" a="1"/>
  <c r="C44" i="6" s="1"/>
  <c r="C43" i="6" a="1"/>
  <c r="C43" i="6" s="1"/>
  <c r="C42" i="6" a="1"/>
  <c r="C42" i="6" s="1"/>
  <c r="C41" i="6" a="1"/>
  <c r="C41" i="6" s="1"/>
  <c r="C40" i="6" a="1"/>
  <c r="C40" i="6" s="1"/>
  <c r="C46" i="6" s="1"/>
  <c r="E45" i="10" a="1"/>
  <c r="E45" i="10" s="1"/>
  <c r="D45" i="10" a="1"/>
  <c r="D45" i="10" s="1"/>
  <c r="C45" i="10" a="1"/>
  <c r="C45" i="10" s="1"/>
  <c r="E44" i="10" a="1"/>
  <c r="E44" i="10" s="1"/>
  <c r="D44" i="10" a="1"/>
  <c r="D44" i="10" s="1"/>
  <c r="C44" i="10" a="1"/>
  <c r="C44" i="10" s="1"/>
  <c r="E43" i="10" a="1"/>
  <c r="E43" i="10" s="1"/>
  <c r="D43" i="10" a="1"/>
  <c r="D43" i="10" s="1"/>
  <c r="C43" i="10" a="1"/>
  <c r="C43" i="10" s="1"/>
  <c r="E42" i="10" a="1"/>
  <c r="E42" i="10" s="1"/>
  <c r="D42" i="10" a="1"/>
  <c r="D42" i="10" s="1"/>
  <c r="C42" i="10" a="1"/>
  <c r="C42" i="10" s="1"/>
  <c r="E41" i="10" a="1"/>
  <c r="E41" i="10" s="1"/>
  <c r="D41" i="10" a="1"/>
  <c r="D41" i="10" s="1"/>
  <c r="C41" i="10" a="1"/>
  <c r="C41" i="10" s="1"/>
  <c r="E40" i="10" a="1"/>
  <c r="E40" i="10" s="1"/>
  <c r="E46" i="10" s="1"/>
  <c r="D40" i="10" a="1"/>
  <c r="D40" i="10" s="1"/>
  <c r="D46" i="10" s="1"/>
  <c r="C40" i="10" a="1"/>
  <c r="C40" i="10" s="1"/>
  <c r="C46" i="10" s="1"/>
  <c r="E6" i="18"/>
  <c r="E7" i="18"/>
  <c r="E8" i="18"/>
  <c r="E9" i="18"/>
  <c r="E22" i="18"/>
  <c r="E23" i="18"/>
  <c r="E24" i="18"/>
  <c r="E25" i="18"/>
  <c r="E26" i="18"/>
  <c r="E27" i="18"/>
  <c r="E29" i="18"/>
  <c r="E31" i="18"/>
  <c r="E32" i="18"/>
  <c r="E33" i="18"/>
  <c r="E34" i="18"/>
  <c r="E35" i="18"/>
  <c r="E36" i="18"/>
  <c r="E37" i="18"/>
  <c r="E39" i="18"/>
  <c r="E40" i="18"/>
  <c r="E41" i="18"/>
  <c r="E42" i="18"/>
  <c r="E44" i="18"/>
  <c r="E45" i="18"/>
  <c r="E46" i="18"/>
  <c r="E47" i="18"/>
  <c r="E48" i="18"/>
  <c r="E49" i="18"/>
  <c r="E50" i="18"/>
  <c r="E51" i="18"/>
  <c r="E53" i="18"/>
  <c r="E54" i="18"/>
  <c r="E56" i="18"/>
  <c r="E57" i="18"/>
  <c r="E58" i="18"/>
  <c r="E59" i="18"/>
  <c r="E60" i="18"/>
  <c r="E61" i="18"/>
  <c r="E62" i="18"/>
  <c r="E63" i="18"/>
  <c r="E64" i="18"/>
  <c r="E65" i="18"/>
  <c r="E66" i="18"/>
  <c r="E68" i="18"/>
  <c r="E69" i="18"/>
  <c r="E71" i="18"/>
  <c r="E72" i="18"/>
  <c r="E73" i="18"/>
  <c r="E74" i="18"/>
  <c r="E75" i="18"/>
  <c r="E76" i="18"/>
  <c r="E77" i="18"/>
  <c r="E79" i="18"/>
  <c r="E81" i="18"/>
  <c r="E82" i="18"/>
  <c r="E83" i="18"/>
  <c r="E84" i="18"/>
  <c r="E86" i="18"/>
  <c r="E88" i="18"/>
  <c r="E89" i="18"/>
  <c r="E91" i="18"/>
  <c r="E92" i="18"/>
  <c r="E93" i="18"/>
  <c r="E94" i="18"/>
  <c r="E96" i="18"/>
  <c r="E97" i="18"/>
  <c r="E98" i="18"/>
  <c r="E100" i="18"/>
  <c r="E101" i="18"/>
  <c r="E102" i="18"/>
  <c r="E103" i="18"/>
  <c r="E105" i="18"/>
  <c r="E106" i="18"/>
  <c r="E5" i="18"/>
  <c r="D47" i="18"/>
  <c r="D48" i="18"/>
  <c r="D49" i="18"/>
  <c r="D50" i="18"/>
  <c r="D51" i="18"/>
  <c r="D53" i="18"/>
  <c r="D54" i="18"/>
  <c r="D56" i="18"/>
  <c r="D57" i="18"/>
  <c r="D58" i="18"/>
  <c r="D59" i="18"/>
  <c r="D60" i="18"/>
  <c r="D61" i="18"/>
  <c r="D62" i="18"/>
  <c r="D63" i="18"/>
  <c r="D64" i="18"/>
  <c r="D65" i="18"/>
  <c r="D66" i="18"/>
  <c r="D68" i="18"/>
  <c r="D69" i="18"/>
  <c r="D71" i="18"/>
  <c r="D72" i="18"/>
  <c r="D73" i="18"/>
  <c r="D74" i="18"/>
  <c r="D75" i="18"/>
  <c r="D76" i="18"/>
  <c r="D77" i="18"/>
  <c r="D79" i="18"/>
  <c r="D81" i="18"/>
  <c r="D82" i="18"/>
  <c r="D83" i="18"/>
  <c r="D84" i="18"/>
  <c r="D86" i="18"/>
  <c r="D88" i="18"/>
  <c r="D89" i="18"/>
  <c r="D91" i="18"/>
  <c r="D92" i="18"/>
  <c r="D93" i="18"/>
  <c r="D94" i="18"/>
  <c r="D96" i="18"/>
  <c r="D97" i="18"/>
  <c r="D98" i="18"/>
  <c r="D100" i="18"/>
  <c r="D101" i="18"/>
  <c r="D102" i="18"/>
  <c r="D103" i="18"/>
  <c r="D105" i="18"/>
  <c r="D106" i="18"/>
  <c r="D6" i="18"/>
  <c r="D7" i="18"/>
  <c r="D8" i="18"/>
  <c r="D9" i="18"/>
  <c r="D22" i="18"/>
  <c r="D23" i="18"/>
  <c r="D24" i="18"/>
  <c r="D25" i="18"/>
  <c r="D26" i="18"/>
  <c r="D27" i="18"/>
  <c r="D29" i="18"/>
  <c r="D31" i="18"/>
  <c r="D32" i="18"/>
  <c r="D33" i="18"/>
  <c r="D34" i="18"/>
  <c r="D35" i="18"/>
  <c r="D36" i="18"/>
  <c r="D37" i="18"/>
  <c r="D39" i="18"/>
  <c r="D40" i="18"/>
  <c r="D41" i="18"/>
  <c r="D42" i="18"/>
  <c r="D44" i="18"/>
  <c r="D45" i="18"/>
  <c r="D46" i="18"/>
  <c r="D5" i="18"/>
  <c r="C98" i="3" l="1" a="1"/>
  <c r="C98" i="3" s="1"/>
  <c r="C95" i="3" a="1"/>
  <c r="C95" i="3" s="1"/>
  <c r="C94" i="3" a="1"/>
  <c r="C94" i="3" s="1"/>
  <c r="C93" i="3" a="1"/>
  <c r="C93" i="3" s="1"/>
  <c r="C26" i="3" a="1"/>
  <c r="C26" i="3" s="1"/>
  <c r="C23" i="3" a="1"/>
  <c r="C23" i="3" s="1"/>
  <c r="C22" i="3" a="1"/>
  <c r="C22" i="3" s="1"/>
  <c r="C21" i="3" a="1"/>
  <c r="C21" i="3" s="1"/>
  <c r="C114" i="3" a="1"/>
  <c r="C114" i="3" s="1"/>
  <c r="C111" i="3" a="1"/>
  <c r="C111" i="3" s="1"/>
  <c r="C110" i="3" a="1"/>
  <c r="C110" i="3" s="1"/>
  <c r="C109" i="3" a="1"/>
  <c r="C109" i="3" s="1"/>
  <c r="D29" i="17"/>
  <c r="D43" i="17"/>
  <c r="D15" i="17"/>
  <c r="AL43" i="17" l="1"/>
  <c r="IQ43" i="17" s="1"/>
  <c r="AG43" i="17"/>
  <c r="IV43" i="17" s="1"/>
  <c r="AI43" i="17"/>
  <c r="IT43" i="17" s="1"/>
  <c r="AK43" i="17"/>
  <c r="IR43" i="17" s="1"/>
  <c r="AN43" i="17"/>
  <c r="IO43" i="17" s="1"/>
  <c r="AF43" i="17"/>
  <c r="IW43" i="17" s="1"/>
  <c r="AH43" i="17"/>
  <c r="IU43" i="17" s="1"/>
  <c r="AJ43" i="17"/>
  <c r="IS43" i="17" s="1"/>
  <c r="AM43" i="17"/>
  <c r="IP43" i="17" s="1"/>
  <c r="AO43" i="17"/>
  <c r="IN43" i="17" s="1"/>
  <c r="AG15" i="17"/>
  <c r="IV15" i="17" s="1"/>
  <c r="AJ15" i="17"/>
  <c r="IS15" i="17" s="1"/>
  <c r="AL15" i="17"/>
  <c r="IQ15" i="17" s="1"/>
  <c r="AO15" i="17"/>
  <c r="IN15" i="17" s="1"/>
  <c r="AF15" i="17"/>
  <c r="IW15" i="17" s="1"/>
  <c r="AI15" i="17"/>
  <c r="IT15" i="17" s="1"/>
  <c r="AM15" i="17"/>
  <c r="IP15" i="17" s="1"/>
  <c r="AH15" i="17"/>
  <c r="IU15" i="17" s="1"/>
  <c r="AK15" i="17"/>
  <c r="IR15" i="17" s="1"/>
  <c r="AN15" i="17"/>
  <c r="IO15" i="17" s="1"/>
  <c r="AG29" i="17"/>
  <c r="IV29" i="17" s="1"/>
  <c r="AJ29" i="17"/>
  <c r="IS29" i="17" s="1"/>
  <c r="AM29" i="17"/>
  <c r="IP29" i="17" s="1"/>
  <c r="AF29" i="17"/>
  <c r="IW29" i="17" s="1"/>
  <c r="AI29" i="17"/>
  <c r="IT29" i="17" s="1"/>
  <c r="AL29" i="17"/>
  <c r="IQ29" i="17" s="1"/>
  <c r="AO29" i="17"/>
  <c r="IN29" i="17" s="1"/>
  <c r="AH29" i="17"/>
  <c r="IU29" i="17" s="1"/>
  <c r="AK29" i="17"/>
  <c r="IR29" i="17" s="1"/>
  <c r="AN29" i="17"/>
  <c r="IO29" i="17" s="1"/>
  <c r="IA43" i="17"/>
  <c r="IA29" i="17"/>
  <c r="IA15" i="17"/>
  <c r="JA43" i="17"/>
  <c r="JA29" i="17"/>
  <c r="JA15" i="17"/>
  <c r="C100" i="3"/>
  <c r="C28" i="3"/>
  <c r="C116" i="3"/>
  <c r="E43" i="40" l="1"/>
  <c r="F43" i="40"/>
  <c r="G43" i="40"/>
  <c r="H43" i="40"/>
  <c r="I43" i="40"/>
  <c r="J43" i="40"/>
  <c r="K43" i="40"/>
  <c r="L43" i="40"/>
  <c r="M43" i="40"/>
  <c r="N43" i="40"/>
  <c r="O43" i="40"/>
  <c r="P43" i="40"/>
  <c r="Q43" i="40"/>
  <c r="R43" i="40"/>
  <c r="S43" i="40"/>
  <c r="T43" i="40"/>
  <c r="U43" i="40"/>
  <c r="V43" i="40"/>
  <c r="E44" i="40"/>
  <c r="F44" i="40"/>
  <c r="G44" i="40"/>
  <c r="H44" i="40"/>
  <c r="I44" i="40"/>
  <c r="J44" i="40"/>
  <c r="K44" i="40"/>
  <c r="L44" i="40"/>
  <c r="M44" i="40"/>
  <c r="N44" i="40"/>
  <c r="O44" i="40"/>
  <c r="P44" i="40"/>
  <c r="Q44" i="40"/>
  <c r="R44" i="40"/>
  <c r="S44" i="40"/>
  <c r="T44" i="40"/>
  <c r="U44" i="40"/>
  <c r="V44" i="40"/>
  <c r="E45" i="40"/>
  <c r="F45" i="40"/>
  <c r="G45" i="40"/>
  <c r="H45" i="40"/>
  <c r="I45" i="40"/>
  <c r="J45" i="40"/>
  <c r="K45" i="40"/>
  <c r="L45" i="40"/>
  <c r="M45" i="40"/>
  <c r="N45" i="40"/>
  <c r="O45" i="40"/>
  <c r="P45" i="40"/>
  <c r="Q45" i="40"/>
  <c r="R45" i="40"/>
  <c r="S45" i="40"/>
  <c r="T45" i="40"/>
  <c r="U45" i="40"/>
  <c r="V45" i="40"/>
  <c r="C162" i="3" a="1"/>
  <c r="C162" i="3" s="1"/>
  <c r="C159" i="3" a="1"/>
  <c r="C159" i="3" s="1"/>
  <c r="C158" i="3" a="1"/>
  <c r="C158" i="3" s="1"/>
  <c r="C157" i="3" a="1"/>
  <c r="C157" i="3" s="1"/>
  <c r="C25" i="3" l="1" a="1"/>
  <c r="C25" i="3" s="1"/>
  <c r="C97" i="3" a="1"/>
  <c r="C97" i="3" s="1"/>
  <c r="C24" i="3" a="1"/>
  <c r="C24" i="3" s="1"/>
  <c r="C96" i="3" a="1"/>
  <c r="C96" i="3" s="1"/>
  <c r="C160" i="3" a="1"/>
  <c r="C160" i="3" s="1"/>
  <c r="C113" i="3" a="1"/>
  <c r="C113" i="3" s="1"/>
  <c r="C112" i="3" a="1"/>
  <c r="C112" i="3" s="1"/>
  <c r="C161" i="3" a="1"/>
  <c r="C161" i="3" s="1"/>
  <c r="C164" i="3"/>
  <c r="B65" i="17" l="1"/>
  <c r="C63" i="17"/>
  <c r="B58" i="17"/>
  <c r="B51" i="17"/>
  <c r="B44" i="17"/>
  <c r="B37" i="17"/>
  <c r="B30" i="17"/>
  <c r="B23" i="17"/>
  <c r="B16" i="17"/>
  <c r="B9" i="17"/>
  <c r="E39" i="40"/>
  <c r="F39" i="40"/>
  <c r="G39" i="40"/>
  <c r="H39" i="40"/>
  <c r="I39" i="40"/>
  <c r="J39" i="40"/>
  <c r="K39" i="40"/>
  <c r="L39" i="40"/>
  <c r="M39" i="40"/>
  <c r="N39" i="40"/>
  <c r="O39" i="40"/>
  <c r="P39" i="40"/>
  <c r="Q39" i="40"/>
  <c r="R39" i="40"/>
  <c r="S39" i="40"/>
  <c r="T39" i="40"/>
  <c r="U39" i="40"/>
  <c r="V39" i="40"/>
  <c r="E40" i="40"/>
  <c r="F40" i="40"/>
  <c r="G40" i="40"/>
  <c r="H40" i="40"/>
  <c r="I40" i="40"/>
  <c r="J40" i="40"/>
  <c r="K40" i="40"/>
  <c r="L40" i="40"/>
  <c r="M40" i="40"/>
  <c r="N40" i="40"/>
  <c r="O40" i="40"/>
  <c r="P40" i="40"/>
  <c r="Q40" i="40"/>
  <c r="R40" i="40"/>
  <c r="S40" i="40"/>
  <c r="T40" i="40"/>
  <c r="U40" i="40"/>
  <c r="V40" i="40"/>
  <c r="E41" i="40"/>
  <c r="F41" i="40"/>
  <c r="G41" i="40"/>
  <c r="H41" i="40"/>
  <c r="I41" i="40"/>
  <c r="J41" i="40"/>
  <c r="K41" i="40"/>
  <c r="L41" i="40"/>
  <c r="M41" i="40"/>
  <c r="N41" i="40"/>
  <c r="O41" i="40"/>
  <c r="P41" i="40"/>
  <c r="Q41" i="40"/>
  <c r="R41" i="40"/>
  <c r="S41" i="40"/>
  <c r="T41" i="40"/>
  <c r="U41" i="40"/>
  <c r="V41" i="40"/>
  <c r="E42" i="40"/>
  <c r="F42" i="40"/>
  <c r="G42" i="40"/>
  <c r="H42" i="40"/>
  <c r="I42" i="40"/>
  <c r="J42" i="40"/>
  <c r="K42" i="40"/>
  <c r="L42" i="40"/>
  <c r="M42" i="40"/>
  <c r="N42" i="40"/>
  <c r="O42" i="40"/>
  <c r="P42" i="40"/>
  <c r="Q42" i="40"/>
  <c r="R42" i="40"/>
  <c r="S42" i="40"/>
  <c r="T42" i="40"/>
  <c r="U42" i="40"/>
  <c r="V42" i="40"/>
  <c r="GG9" i="17"/>
  <c r="D22" i="17"/>
  <c r="D30" i="17"/>
  <c r="GG30" i="17"/>
  <c r="GG23" i="17"/>
  <c r="D56" i="17"/>
  <c r="D49" i="17"/>
  <c r="D44" i="17"/>
  <c r="D50" i="17"/>
  <c r="D7" i="17"/>
  <c r="D57" i="17"/>
  <c r="GG44" i="17"/>
  <c r="D23" i="17"/>
  <c r="GG37" i="17"/>
  <c r="D28" i="17"/>
  <c r="D21" i="17"/>
  <c r="D35" i="17"/>
  <c r="D14" i="17"/>
  <c r="D36" i="17"/>
  <c r="GG16" i="17"/>
  <c r="D8" i="17"/>
  <c r="D42" i="17"/>
  <c r="D65" i="17"/>
  <c r="D64" i="17"/>
  <c r="D37" i="17"/>
  <c r="GG58" i="17"/>
  <c r="GG51" i="17"/>
  <c r="D9" i="17"/>
  <c r="AO8" i="17" l="1"/>
  <c r="IN8" i="17" s="1"/>
  <c r="AJ36" i="17"/>
  <c r="IS36" i="17" s="1"/>
  <c r="AM36" i="17"/>
  <c r="IP36" i="17" s="1"/>
  <c r="AI36" i="17"/>
  <c r="IT36" i="17" s="1"/>
  <c r="AL36" i="17"/>
  <c r="IQ36" i="17" s="1"/>
  <c r="AK36" i="17"/>
  <c r="IR36" i="17" s="1"/>
  <c r="AN36" i="17"/>
  <c r="IO36" i="17" s="1"/>
  <c r="AO36" i="17"/>
  <c r="IN36" i="17" s="1"/>
  <c r="AG36" i="17"/>
  <c r="IV36" i="17" s="1"/>
  <c r="AF36" i="17"/>
  <c r="IW36" i="17" s="1"/>
  <c r="AH36" i="17"/>
  <c r="IU36" i="17" s="1"/>
  <c r="AG64" i="17"/>
  <c r="IV64" i="17" s="1"/>
  <c r="AN64" i="17"/>
  <c r="IO64" i="17" s="1"/>
  <c r="AL64" i="17"/>
  <c r="IQ64" i="17" s="1"/>
  <c r="AJ64" i="17"/>
  <c r="IS64" i="17" s="1"/>
  <c r="AH64" i="17"/>
  <c r="IU64" i="17" s="1"/>
  <c r="AO64" i="17"/>
  <c r="IN64" i="17" s="1"/>
  <c r="AM64" i="17"/>
  <c r="IP64" i="17" s="1"/>
  <c r="AK64" i="17"/>
  <c r="IR64" i="17" s="1"/>
  <c r="AI64" i="17"/>
  <c r="IT64" i="17" s="1"/>
  <c r="AF64" i="17"/>
  <c r="IW64" i="17" s="1"/>
  <c r="AO30" i="17"/>
  <c r="IN30" i="17" s="1"/>
  <c r="AH30" i="17"/>
  <c r="IU30" i="17" s="1"/>
  <c r="AG30" i="17"/>
  <c r="IV30" i="17" s="1"/>
  <c r="AJ30" i="17"/>
  <c r="IS30" i="17" s="1"/>
  <c r="AM30" i="17"/>
  <c r="IP30" i="17" s="1"/>
  <c r="AI30" i="17"/>
  <c r="IT30" i="17" s="1"/>
  <c r="AF30" i="17"/>
  <c r="IW30" i="17" s="1"/>
  <c r="AL30" i="17"/>
  <c r="IQ30" i="17" s="1"/>
  <c r="AN30" i="17"/>
  <c r="IO30" i="17" s="1"/>
  <c r="AK30" i="17"/>
  <c r="IR30" i="17" s="1"/>
  <c r="AJ50" i="17"/>
  <c r="IS50" i="17" s="1"/>
  <c r="AI50" i="17"/>
  <c r="IT50" i="17" s="1"/>
  <c r="AL50" i="17"/>
  <c r="IQ50" i="17" s="1"/>
  <c r="AO50" i="17"/>
  <c r="IN50" i="17" s="1"/>
  <c r="AN50" i="17"/>
  <c r="IO50" i="17" s="1"/>
  <c r="AF50" i="17"/>
  <c r="IW50" i="17" s="1"/>
  <c r="AK50" i="17"/>
  <c r="IR50" i="17" s="1"/>
  <c r="AG50" i="17"/>
  <c r="IV50" i="17" s="1"/>
  <c r="AM50" i="17"/>
  <c r="IP50" i="17" s="1"/>
  <c r="AH50" i="17"/>
  <c r="IU50" i="17" s="1"/>
  <c r="AL65" i="17"/>
  <c r="IQ65" i="17" s="1"/>
  <c r="AG65" i="17"/>
  <c r="IV65" i="17" s="1"/>
  <c r="AI65" i="17"/>
  <c r="IT65" i="17" s="1"/>
  <c r="AK65" i="17"/>
  <c r="IR65" i="17" s="1"/>
  <c r="AF65" i="17"/>
  <c r="IW65" i="17" s="1"/>
  <c r="AH65" i="17"/>
  <c r="IU65" i="17" s="1"/>
  <c r="AJ65" i="17"/>
  <c r="IS65" i="17" s="1"/>
  <c r="AO65" i="17"/>
  <c r="IN65" i="17" s="1"/>
  <c r="AN65" i="17"/>
  <c r="IO65" i="17" s="1"/>
  <c r="AM65" i="17"/>
  <c r="IP65" i="17" s="1"/>
  <c r="AN37" i="17"/>
  <c r="IO37" i="17" s="1"/>
  <c r="AO37" i="17"/>
  <c r="IN37" i="17" s="1"/>
  <c r="AL37" i="17"/>
  <c r="IQ37" i="17" s="1"/>
  <c r="AI37" i="17"/>
  <c r="IT37" i="17" s="1"/>
  <c r="AF37" i="17"/>
  <c r="IW37" i="17" s="1"/>
  <c r="AJ37" i="17"/>
  <c r="IS37" i="17" s="1"/>
  <c r="AM37" i="17"/>
  <c r="IP37" i="17" s="1"/>
  <c r="AG37" i="17"/>
  <c r="IV37" i="17" s="1"/>
  <c r="AH37" i="17"/>
  <c r="IU37" i="17" s="1"/>
  <c r="AK37" i="17"/>
  <c r="IR37" i="17" s="1"/>
  <c r="AK23" i="17"/>
  <c r="IR23" i="17" s="1"/>
  <c r="AG23" i="17"/>
  <c r="IV23" i="17" s="1"/>
  <c r="AM23" i="17"/>
  <c r="IP23" i="17" s="1"/>
  <c r="AO23" i="17"/>
  <c r="IN23" i="17" s="1"/>
  <c r="AI23" i="17"/>
  <c r="IT23" i="17" s="1"/>
  <c r="AH23" i="17"/>
  <c r="IU23" i="17" s="1"/>
  <c r="AL23" i="17"/>
  <c r="IQ23" i="17" s="1"/>
  <c r="AF23" i="17"/>
  <c r="IW23" i="17" s="1"/>
  <c r="AJ23" i="17"/>
  <c r="IS23" i="17" s="1"/>
  <c r="AN23" i="17"/>
  <c r="IO23" i="17" s="1"/>
  <c r="AK57" i="17"/>
  <c r="AI57" i="17"/>
  <c r="AG57" i="17"/>
  <c r="AM57" i="17"/>
  <c r="AH57" i="17"/>
  <c r="AF57" i="17"/>
  <c r="AJ57" i="17"/>
  <c r="AL57" i="17"/>
  <c r="AO57" i="17"/>
  <c r="AN57" i="17"/>
  <c r="AH9" i="17"/>
  <c r="IU9" i="17" s="1"/>
  <c r="AI9" i="17"/>
  <c r="IT9" i="17" s="1"/>
  <c r="AJ9" i="17"/>
  <c r="IS9" i="17" s="1"/>
  <c r="AG9" i="17"/>
  <c r="IV9" i="17" s="1"/>
  <c r="AL9" i="17"/>
  <c r="IQ9" i="17" s="1"/>
  <c r="AK9" i="17"/>
  <c r="IR9" i="17" s="1"/>
  <c r="AF9" i="17"/>
  <c r="IW9" i="17" s="1"/>
  <c r="AO9" i="17"/>
  <c r="IN9" i="17" s="1"/>
  <c r="AN9" i="17"/>
  <c r="IO9" i="17" s="1"/>
  <c r="AM9" i="17"/>
  <c r="IP9" i="17" s="1"/>
  <c r="AL44" i="17"/>
  <c r="IQ44" i="17" s="1"/>
  <c r="AF44" i="17"/>
  <c r="IW44" i="17" s="1"/>
  <c r="AG44" i="17"/>
  <c r="IV44" i="17" s="1"/>
  <c r="AH44" i="17"/>
  <c r="IU44" i="17" s="1"/>
  <c r="AM44" i="17"/>
  <c r="IP44" i="17" s="1"/>
  <c r="AO44" i="17"/>
  <c r="IN44" i="17" s="1"/>
  <c r="AK44" i="17"/>
  <c r="IR44" i="17" s="1"/>
  <c r="AJ44" i="17"/>
  <c r="IS44" i="17" s="1"/>
  <c r="AI44" i="17"/>
  <c r="IT44" i="17" s="1"/>
  <c r="AN44" i="17"/>
  <c r="IO44" i="17" s="1"/>
  <c r="AO22" i="17"/>
  <c r="IN22" i="17" s="1"/>
  <c r="AJ22" i="17"/>
  <c r="IS22" i="17" s="1"/>
  <c r="AL22" i="17"/>
  <c r="IQ22" i="17" s="1"/>
  <c r="AM22" i="17"/>
  <c r="IP22" i="17" s="1"/>
  <c r="AG22" i="17"/>
  <c r="IV22" i="17" s="1"/>
  <c r="AH22" i="17"/>
  <c r="IU22" i="17" s="1"/>
  <c r="AK22" i="17"/>
  <c r="IR22" i="17" s="1"/>
  <c r="AN22" i="17"/>
  <c r="IO22" i="17" s="1"/>
  <c r="AI22" i="17"/>
  <c r="IT22" i="17" s="1"/>
  <c r="AF22" i="17"/>
  <c r="IW22" i="17" s="1"/>
  <c r="AM8" i="17"/>
  <c r="IP8" i="17" s="1"/>
  <c r="AN8" i="17"/>
  <c r="IO8" i="17" s="1"/>
  <c r="AK8" i="17"/>
  <c r="IR8" i="17" s="1"/>
  <c r="AL8" i="17"/>
  <c r="IQ8" i="17" s="1"/>
  <c r="AI8" i="17"/>
  <c r="IT8" i="17" s="1"/>
  <c r="AJ8" i="17"/>
  <c r="IS8" i="17" s="1"/>
  <c r="AG8" i="17"/>
  <c r="IV8" i="17" s="1"/>
  <c r="AH8" i="17"/>
  <c r="IU8" i="17" s="1"/>
  <c r="AF8" i="17"/>
  <c r="IW8" i="17" s="1"/>
  <c r="B59" i="17"/>
  <c r="B17" i="17"/>
  <c r="B10" i="17"/>
  <c r="IA64" i="17"/>
  <c r="IA65" i="17"/>
  <c r="IA50" i="17"/>
  <c r="IA44" i="17"/>
  <c r="IA36" i="17"/>
  <c r="IA37" i="17"/>
  <c r="IA30" i="17"/>
  <c r="IA23" i="17"/>
  <c r="IA22" i="17"/>
  <c r="IA9" i="17"/>
  <c r="JA64" i="17"/>
  <c r="JA65" i="17"/>
  <c r="JA50" i="17"/>
  <c r="JA36" i="17"/>
  <c r="JA30" i="17"/>
  <c r="JA37" i="17"/>
  <c r="JA44" i="17"/>
  <c r="JA23" i="17"/>
  <c r="JA22" i="17"/>
  <c r="JA9" i="17"/>
  <c r="JA8" i="17"/>
  <c r="B66" i="17"/>
  <c r="B24" i="17"/>
  <c r="B45" i="17"/>
  <c r="B38" i="17"/>
  <c r="B31" i="17"/>
  <c r="C14" i="17"/>
  <c r="C21" i="17"/>
  <c r="C7" i="17"/>
  <c r="C28" i="17"/>
  <c r="C35" i="17"/>
  <c r="C42" i="17"/>
  <c r="C49" i="17"/>
  <c r="C56" i="17"/>
  <c r="B18" i="17"/>
  <c r="B52" i="17"/>
  <c r="B60" i="17"/>
  <c r="B67" i="17"/>
  <c r="C74" i="3" a="1"/>
  <c r="C74" i="3" s="1"/>
  <c r="C71" i="3" a="1"/>
  <c r="C71" i="3" s="1"/>
  <c r="C70" i="3" a="1"/>
  <c r="C70" i="3" s="1"/>
  <c r="C69" i="3" a="1"/>
  <c r="C69" i="3" s="1"/>
  <c r="AD50" i="17"/>
  <c r="AC44" i="17"/>
  <c r="AC8" i="17"/>
  <c r="FM37" i="17"/>
  <c r="BG37" i="17"/>
  <c r="GG59" i="17"/>
  <c r="AD36" i="17"/>
  <c r="CK37" i="17"/>
  <c r="D10" i="17"/>
  <c r="AD9" i="17"/>
  <c r="AC65" i="17"/>
  <c r="ES58" i="17"/>
  <c r="DE9" i="17"/>
  <c r="AD43" i="17"/>
  <c r="DY16" i="17"/>
  <c r="AC50" i="17"/>
  <c r="ES9" i="17"/>
  <c r="ES51" i="17"/>
  <c r="BG9" i="17"/>
  <c r="CK44" i="17"/>
  <c r="BG16" i="17"/>
  <c r="AC22" i="17"/>
  <c r="FM44" i="17"/>
  <c r="AD65" i="17"/>
  <c r="BG58" i="17"/>
  <c r="FM30" i="17"/>
  <c r="FM23" i="17"/>
  <c r="DE16" i="17"/>
  <c r="DY51" i="17"/>
  <c r="AC9" i="17"/>
  <c r="FM58" i="17"/>
  <c r="BG23" i="17"/>
  <c r="CK23" i="17"/>
  <c r="AD64" i="17"/>
  <c r="GG24" i="17"/>
  <c r="AC57" i="17"/>
  <c r="DE37" i="17"/>
  <c r="ES37" i="17"/>
  <c r="ES44" i="17"/>
  <c r="GG10" i="17"/>
  <c r="AC36" i="17"/>
  <c r="AD37" i="17"/>
  <c r="AC15" i="17"/>
  <c r="DE44" i="17"/>
  <c r="ES30" i="17"/>
  <c r="DE23" i="17"/>
  <c r="DY30" i="17"/>
  <c r="AC43" i="17"/>
  <c r="BG51" i="17"/>
  <c r="D31" i="17"/>
  <c r="AD30" i="17"/>
  <c r="BG44" i="17"/>
  <c r="CK58" i="17"/>
  <c r="AD15" i="17"/>
  <c r="DY44" i="17"/>
  <c r="AD57" i="17"/>
  <c r="AD29" i="17"/>
  <c r="D24" i="17"/>
  <c r="DE30" i="17"/>
  <c r="GG31" i="17"/>
  <c r="AC29" i="17"/>
  <c r="D58" i="17"/>
  <c r="DE58" i="17"/>
  <c r="DE51" i="17"/>
  <c r="ES16" i="17"/>
  <c r="GG38" i="17"/>
  <c r="GG18" i="17"/>
  <c r="FM16" i="17"/>
  <c r="AD44" i="17"/>
  <c r="D59" i="17"/>
  <c r="GG60" i="17"/>
  <c r="BG30" i="17"/>
  <c r="D38" i="17"/>
  <c r="AD22" i="17"/>
  <c r="CK9" i="17"/>
  <c r="GG52" i="17"/>
  <c r="CK16" i="17"/>
  <c r="D45" i="17"/>
  <c r="DY23" i="17"/>
  <c r="AC37" i="17"/>
  <c r="CK30" i="17"/>
  <c r="GG45" i="17"/>
  <c r="FM9" i="17"/>
  <c r="D67" i="17"/>
  <c r="DY9" i="17"/>
  <c r="D18" i="17"/>
  <c r="AC30" i="17"/>
  <c r="AC64" i="17"/>
  <c r="DY37" i="17"/>
  <c r="DY58" i="17"/>
  <c r="ES23" i="17"/>
  <c r="D16" i="17"/>
  <c r="D51" i="17"/>
  <c r="AD8" i="17"/>
  <c r="D66" i="17"/>
  <c r="FM51" i="17"/>
  <c r="CK51" i="17"/>
  <c r="AH16" i="17" l="1"/>
  <c r="IU16" i="17" s="1"/>
  <c r="AI16" i="17"/>
  <c r="IT16" i="17" s="1"/>
  <c r="AL16" i="17"/>
  <c r="IQ16" i="17" s="1"/>
  <c r="AO16" i="17"/>
  <c r="IN16" i="17" s="1"/>
  <c r="AK16" i="17"/>
  <c r="IR16" i="17" s="1"/>
  <c r="AM16" i="17"/>
  <c r="IP16" i="17" s="1"/>
  <c r="AN16" i="17"/>
  <c r="IO16" i="17" s="1"/>
  <c r="AG16" i="17"/>
  <c r="IV16" i="17" s="1"/>
  <c r="AJ16" i="17"/>
  <c r="IS16" i="17" s="1"/>
  <c r="AF16" i="17"/>
  <c r="IW16" i="17" s="1"/>
  <c r="AO59" i="17"/>
  <c r="AL59" i="17"/>
  <c r="AM59" i="17"/>
  <c r="AK59" i="17"/>
  <c r="AF59" i="17"/>
  <c r="AH59" i="17"/>
  <c r="AG59" i="17"/>
  <c r="AJ59" i="17"/>
  <c r="AN59" i="17"/>
  <c r="AI59" i="17"/>
  <c r="AF24" i="17"/>
  <c r="IW24" i="17" s="1"/>
  <c r="AK24" i="17"/>
  <c r="IR24" i="17" s="1"/>
  <c r="AH24" i="17"/>
  <c r="IU24" i="17" s="1"/>
  <c r="AM24" i="17"/>
  <c r="IP24" i="17" s="1"/>
  <c r="AI24" i="17"/>
  <c r="IT24" i="17" s="1"/>
  <c r="AG24" i="17"/>
  <c r="IV24" i="17" s="1"/>
  <c r="AJ24" i="17"/>
  <c r="IS24" i="17" s="1"/>
  <c r="AL24" i="17"/>
  <c r="IQ24" i="17" s="1"/>
  <c r="AO24" i="17"/>
  <c r="IN24" i="17" s="1"/>
  <c r="AN24" i="17"/>
  <c r="IO24" i="17" s="1"/>
  <c r="AL58" i="17"/>
  <c r="AJ58" i="17"/>
  <c r="AF58" i="17"/>
  <c r="AM58" i="17"/>
  <c r="AK58" i="17"/>
  <c r="AO58" i="17"/>
  <c r="AI58" i="17"/>
  <c r="AH58" i="17"/>
  <c r="AG58" i="17"/>
  <c r="AN58" i="17"/>
  <c r="AJ67" i="17"/>
  <c r="IS67" i="17" s="1"/>
  <c r="AL67" i="17"/>
  <c r="IQ67" i="17" s="1"/>
  <c r="AF67" i="17"/>
  <c r="IW67" i="17" s="1"/>
  <c r="AN67" i="17"/>
  <c r="IO67" i="17" s="1"/>
  <c r="AH67" i="17"/>
  <c r="IU67" i="17" s="1"/>
  <c r="IN67" i="17"/>
  <c r="AM67" i="17"/>
  <c r="IP67" i="17" s="1"/>
  <c r="AG67" i="17"/>
  <c r="IV67" i="17" s="1"/>
  <c r="AI67" i="17"/>
  <c r="IT67" i="17" s="1"/>
  <c r="AK67" i="17"/>
  <c r="IR67" i="17" s="1"/>
  <c r="IW18" i="17"/>
  <c r="IT18" i="17"/>
  <c r="IQ18" i="17"/>
  <c r="IP18" i="17"/>
  <c r="IV18" i="17"/>
  <c r="IU18" i="17"/>
  <c r="IR18" i="17"/>
  <c r="IS18" i="17"/>
  <c r="IO18" i="17"/>
  <c r="IN18" i="17"/>
  <c r="AN51" i="17"/>
  <c r="IO51" i="17" s="1"/>
  <c r="AO51" i="17"/>
  <c r="IN51" i="17" s="1"/>
  <c r="AG51" i="17"/>
  <c r="IV51" i="17" s="1"/>
  <c r="AJ51" i="17"/>
  <c r="IS51" i="17" s="1"/>
  <c r="AF51" i="17"/>
  <c r="IW51" i="17" s="1"/>
  <c r="AI51" i="17"/>
  <c r="IT51" i="17" s="1"/>
  <c r="AL51" i="17"/>
  <c r="IQ51" i="17" s="1"/>
  <c r="AH51" i="17"/>
  <c r="IU51" i="17" s="1"/>
  <c r="AK51" i="17"/>
  <c r="IR51" i="17" s="1"/>
  <c r="AM51" i="17"/>
  <c r="IP51" i="17" s="1"/>
  <c r="AK10" i="17"/>
  <c r="IR10" i="17" s="1"/>
  <c r="AL10" i="17"/>
  <c r="IQ10" i="17" s="1"/>
  <c r="AM10" i="17"/>
  <c r="IP10" i="17" s="1"/>
  <c r="AN10" i="17"/>
  <c r="IO10" i="17" s="1"/>
  <c r="AO10" i="17"/>
  <c r="IN10" i="17" s="1"/>
  <c r="AF10" i="17"/>
  <c r="IW10" i="17" s="1"/>
  <c r="AG10" i="17"/>
  <c r="IV10" i="17" s="1"/>
  <c r="AH10" i="17"/>
  <c r="IU10" i="17" s="1"/>
  <c r="AI10" i="17"/>
  <c r="IT10" i="17" s="1"/>
  <c r="AJ10" i="17"/>
  <c r="IS10" i="17" s="1"/>
  <c r="AN31" i="17"/>
  <c r="IO31" i="17" s="1"/>
  <c r="AM31" i="17"/>
  <c r="IP31" i="17" s="1"/>
  <c r="AJ31" i="17"/>
  <c r="IS31" i="17" s="1"/>
  <c r="AG31" i="17"/>
  <c r="IV31" i="17" s="1"/>
  <c r="AF31" i="17"/>
  <c r="IW31" i="17" s="1"/>
  <c r="AI31" i="17"/>
  <c r="IT31" i="17" s="1"/>
  <c r="AO31" i="17"/>
  <c r="IN31" i="17" s="1"/>
  <c r="AK31" i="17"/>
  <c r="IR31" i="17" s="1"/>
  <c r="AL31" i="17"/>
  <c r="IQ31" i="17" s="1"/>
  <c r="AH31" i="17"/>
  <c r="IU31" i="17" s="1"/>
  <c r="IO66" i="17"/>
  <c r="AL66" i="17"/>
  <c r="IQ66" i="17" s="1"/>
  <c r="AF66" i="17"/>
  <c r="IW66" i="17" s="1"/>
  <c r="AI66" i="17"/>
  <c r="IT66" i="17" s="1"/>
  <c r="AK66" i="17"/>
  <c r="IR66" i="17" s="1"/>
  <c r="AM66" i="17"/>
  <c r="IP66" i="17" s="1"/>
  <c r="IN66" i="17"/>
  <c r="AJ66" i="17"/>
  <c r="IS66" i="17" s="1"/>
  <c r="AH66" i="17"/>
  <c r="IU66" i="17" s="1"/>
  <c r="AG66" i="17"/>
  <c r="IV66" i="17" s="1"/>
  <c r="AH38" i="17"/>
  <c r="IU38" i="17" s="1"/>
  <c r="AK38" i="17"/>
  <c r="IR38" i="17" s="1"/>
  <c r="AN38" i="17"/>
  <c r="IO38" i="17" s="1"/>
  <c r="AL38" i="17"/>
  <c r="IQ38" i="17" s="1"/>
  <c r="AM38" i="17"/>
  <c r="IP38" i="17" s="1"/>
  <c r="AJ38" i="17"/>
  <c r="IS38" i="17" s="1"/>
  <c r="AG38" i="17"/>
  <c r="IV38" i="17" s="1"/>
  <c r="AI38" i="17"/>
  <c r="IT38" i="17" s="1"/>
  <c r="AO38" i="17"/>
  <c r="IN38" i="17" s="1"/>
  <c r="AF38" i="17"/>
  <c r="IW38" i="17" s="1"/>
  <c r="AO45" i="17"/>
  <c r="IN45" i="17" s="1"/>
  <c r="AF45" i="17"/>
  <c r="IW45" i="17" s="1"/>
  <c r="AI45" i="17"/>
  <c r="IT45" i="17" s="1"/>
  <c r="AM45" i="17"/>
  <c r="IP45" i="17" s="1"/>
  <c r="AL45" i="17"/>
  <c r="IQ45" i="17" s="1"/>
  <c r="AJ45" i="17"/>
  <c r="IS45" i="17" s="1"/>
  <c r="AG45" i="17"/>
  <c r="IV45" i="17" s="1"/>
  <c r="AK45" i="17"/>
  <c r="IR45" i="17" s="1"/>
  <c r="AN45" i="17"/>
  <c r="IO45" i="17" s="1"/>
  <c r="AH45" i="17"/>
  <c r="IU45" i="17" s="1"/>
  <c r="B11" i="17"/>
  <c r="B25" i="17"/>
  <c r="B46" i="17"/>
  <c r="IA67" i="17"/>
  <c r="IA66" i="17"/>
  <c r="IA51" i="17"/>
  <c r="IA45" i="17"/>
  <c r="IA38" i="17"/>
  <c r="IA31" i="17"/>
  <c r="IA24" i="17"/>
  <c r="IA16" i="17"/>
  <c r="IA18" i="17"/>
  <c r="IA10" i="17"/>
  <c r="JA67" i="17"/>
  <c r="JA66" i="17"/>
  <c r="JA51" i="17"/>
  <c r="JA31" i="17"/>
  <c r="JA38" i="17"/>
  <c r="JA45" i="17"/>
  <c r="JA16" i="17"/>
  <c r="JA24" i="17"/>
  <c r="JA18" i="17"/>
  <c r="JA10" i="17"/>
  <c r="B32" i="17"/>
  <c r="B39" i="17"/>
  <c r="B53" i="17"/>
  <c r="B47" i="17"/>
  <c r="B26" i="17"/>
  <c r="B19" i="17"/>
  <c r="B61" i="17"/>
  <c r="B68" i="17"/>
  <c r="C73" i="3" a="1"/>
  <c r="C73" i="3" s="1"/>
  <c r="C72" i="3" a="1"/>
  <c r="C72" i="3" s="1"/>
  <c r="C76" i="3"/>
  <c r="BG18" i="17"/>
  <c r="ES45" i="17"/>
  <c r="FM18" i="17"/>
  <c r="GG53" i="17"/>
  <c r="DY52" i="17"/>
  <c r="DY31" i="17"/>
  <c r="CK52" i="17"/>
  <c r="CK60" i="17"/>
  <c r="DE10" i="17"/>
  <c r="CK10" i="17"/>
  <c r="GG39" i="17"/>
  <c r="ES10" i="17"/>
  <c r="CK24" i="17"/>
  <c r="CK45" i="17"/>
  <c r="BG59" i="17"/>
  <c r="ES31" i="17"/>
  <c r="GG17" i="17"/>
  <c r="ES24" i="17"/>
  <c r="ES38" i="17"/>
  <c r="FM31" i="17"/>
  <c r="DY18" i="17"/>
  <c r="ES17" i="17"/>
  <c r="DE60" i="17"/>
  <c r="BG10" i="17"/>
  <c r="DE31" i="17"/>
  <c r="BG38" i="17"/>
  <c r="BG45" i="17"/>
  <c r="BG52" i="17"/>
  <c r="CK59" i="17"/>
  <c r="ES60" i="17"/>
  <c r="DY60" i="17"/>
  <c r="GG61" i="17"/>
  <c r="DY45" i="17"/>
  <c r="GG19" i="17"/>
  <c r="DY17" i="17"/>
  <c r="DE45" i="17"/>
  <c r="DE18" i="17"/>
  <c r="CK31" i="17"/>
  <c r="ES59" i="17"/>
  <c r="FM10" i="17"/>
  <c r="D17" i="17"/>
  <c r="BG60" i="17"/>
  <c r="ES52" i="17"/>
  <c r="DY24" i="17"/>
  <c r="FM60" i="17"/>
  <c r="DE59" i="17"/>
  <c r="GG47" i="17"/>
  <c r="DE24" i="17"/>
  <c r="CK38" i="17"/>
  <c r="FM24" i="17"/>
  <c r="GG26" i="17"/>
  <c r="DE52" i="17"/>
  <c r="FM17" i="17"/>
  <c r="DY38" i="17"/>
  <c r="FM59" i="17"/>
  <c r="CK18" i="17"/>
  <c r="BG24" i="17"/>
  <c r="GG32" i="17"/>
  <c r="ES18" i="17"/>
  <c r="BG17" i="17"/>
  <c r="FM38" i="17"/>
  <c r="FM52" i="17"/>
  <c r="FM45" i="17"/>
  <c r="DY10" i="17"/>
  <c r="CK17" i="17"/>
  <c r="DE38" i="17"/>
  <c r="BG31" i="17"/>
  <c r="DY59" i="17"/>
  <c r="DE17" i="17"/>
  <c r="AH17" i="17" l="1"/>
  <c r="IU17" i="17" s="1"/>
  <c r="AK17" i="17"/>
  <c r="IR17" i="17" s="1"/>
  <c r="AN17" i="17"/>
  <c r="IO17" i="17" s="1"/>
  <c r="AG17" i="17"/>
  <c r="IV17" i="17" s="1"/>
  <c r="AJ17" i="17"/>
  <c r="IS17" i="17" s="1"/>
  <c r="AM17" i="17"/>
  <c r="IP17" i="17" s="1"/>
  <c r="AF17" i="17"/>
  <c r="IW17" i="17" s="1"/>
  <c r="AI17" i="17"/>
  <c r="IT17" i="17" s="1"/>
  <c r="AL17" i="17"/>
  <c r="IQ17" i="17" s="1"/>
  <c r="AO17" i="17"/>
  <c r="IN17" i="17" s="1"/>
  <c r="JA17" i="17"/>
  <c r="IA17" i="17"/>
  <c r="B12" i="17"/>
  <c r="B40" i="17"/>
  <c r="B48" i="17"/>
  <c r="B27" i="17"/>
  <c r="B20" i="17"/>
  <c r="B62" i="17"/>
  <c r="B33" i="17"/>
  <c r="B69" i="17"/>
  <c r="B54" i="17"/>
  <c r="E36" i="40"/>
  <c r="F36" i="40"/>
  <c r="G36" i="40"/>
  <c r="H36" i="40"/>
  <c r="I36" i="40"/>
  <c r="J36" i="40"/>
  <c r="K36" i="40"/>
  <c r="L36" i="40"/>
  <c r="M36" i="40"/>
  <c r="N36" i="40"/>
  <c r="O36" i="40"/>
  <c r="P36" i="40"/>
  <c r="Q36" i="40"/>
  <c r="R36" i="40"/>
  <c r="S36" i="40"/>
  <c r="T36" i="40"/>
  <c r="U36" i="40"/>
  <c r="V36" i="40"/>
  <c r="E37" i="40"/>
  <c r="F37" i="40"/>
  <c r="G37" i="40"/>
  <c r="H37" i="40"/>
  <c r="I37" i="40"/>
  <c r="J37" i="40"/>
  <c r="K37" i="40"/>
  <c r="L37" i="40"/>
  <c r="M37" i="40"/>
  <c r="N37" i="40"/>
  <c r="O37" i="40"/>
  <c r="P37" i="40"/>
  <c r="Q37" i="40"/>
  <c r="R37" i="40"/>
  <c r="S37" i="40"/>
  <c r="T37" i="40"/>
  <c r="U37" i="40"/>
  <c r="V37" i="40"/>
  <c r="E38" i="40"/>
  <c r="F38" i="40"/>
  <c r="G38" i="40"/>
  <c r="H38" i="40"/>
  <c r="I38" i="40"/>
  <c r="J38" i="40"/>
  <c r="K38" i="40"/>
  <c r="L38" i="40"/>
  <c r="M38" i="40"/>
  <c r="N38" i="40"/>
  <c r="O38" i="40"/>
  <c r="P38" i="40"/>
  <c r="Q38" i="40"/>
  <c r="R38" i="40"/>
  <c r="S38" i="40"/>
  <c r="T38" i="40"/>
  <c r="U38" i="40"/>
  <c r="V38" i="40"/>
  <c r="ES46" i="17"/>
  <c r="ES47" i="17"/>
  <c r="DY19" i="17"/>
  <c r="DY46" i="17"/>
  <c r="FM61" i="17"/>
  <c r="DY25" i="17"/>
  <c r="CK47" i="17"/>
  <c r="D46" i="17"/>
  <c r="D11" i="17"/>
  <c r="DY53" i="17"/>
  <c r="GG27" i="17"/>
  <c r="FM11" i="17"/>
  <c r="GG46" i="17"/>
  <c r="GG62" i="17"/>
  <c r="DE39" i="17"/>
  <c r="ES19" i="17"/>
  <c r="CK26" i="17"/>
  <c r="GG54" i="17"/>
  <c r="ES39" i="17"/>
  <c r="DE26" i="17"/>
  <c r="DY26" i="17"/>
  <c r="GG20" i="17"/>
  <c r="DE32" i="17"/>
  <c r="BG25" i="17"/>
  <c r="DY39" i="17"/>
  <c r="ES25" i="17"/>
  <c r="DY61" i="17"/>
  <c r="DE19" i="17"/>
  <c r="DY47" i="17"/>
  <c r="CK25" i="17"/>
  <c r="BG53" i="17"/>
  <c r="GG25" i="17"/>
  <c r="CK53" i="17"/>
  <c r="BG46" i="17"/>
  <c r="DE53" i="17"/>
  <c r="GG48" i="17"/>
  <c r="DE11" i="17"/>
  <c r="CK46" i="17"/>
  <c r="BG61" i="17"/>
  <c r="DE47" i="17"/>
  <c r="BG39" i="17"/>
  <c r="BG47" i="17"/>
  <c r="GG11" i="17"/>
  <c r="FM46" i="17"/>
  <c r="D25" i="17"/>
  <c r="ES61" i="17"/>
  <c r="CK19" i="17"/>
  <c r="FM32" i="17"/>
  <c r="FM26" i="17"/>
  <c r="BG26" i="17"/>
  <c r="BG11" i="17"/>
  <c r="DY32" i="17"/>
  <c r="FM39" i="17"/>
  <c r="CK61" i="17"/>
  <c r="ES32" i="17"/>
  <c r="FM53" i="17"/>
  <c r="GG33" i="17"/>
  <c r="ES11" i="17"/>
  <c r="CK11" i="17"/>
  <c r="FM25" i="17"/>
  <c r="DY11" i="17"/>
  <c r="FM47" i="17"/>
  <c r="BG19" i="17"/>
  <c r="DE25" i="17"/>
  <c r="ES26" i="17"/>
  <c r="CK39" i="17"/>
  <c r="ES53" i="17"/>
  <c r="DE61" i="17"/>
  <c r="CK32" i="17"/>
  <c r="GG40" i="17"/>
  <c r="DE46" i="17"/>
  <c r="BG32" i="17"/>
  <c r="FM19" i="17"/>
  <c r="AF11" i="17" l="1"/>
  <c r="IW11" i="17" s="1"/>
  <c r="AG11" i="17"/>
  <c r="IV11" i="17" s="1"/>
  <c r="AH11" i="17"/>
  <c r="IU11" i="17" s="1"/>
  <c r="AI11" i="17"/>
  <c r="IT11" i="17" s="1"/>
  <c r="AJ11" i="17"/>
  <c r="IS11" i="17" s="1"/>
  <c r="AK11" i="17"/>
  <c r="IR11" i="17" s="1"/>
  <c r="AL11" i="17"/>
  <c r="IQ11" i="17" s="1"/>
  <c r="AM11" i="17"/>
  <c r="IP11" i="17" s="1"/>
  <c r="AN11" i="17"/>
  <c r="IO11" i="17" s="1"/>
  <c r="AO11" i="17"/>
  <c r="IN11" i="17" s="1"/>
  <c r="AH25" i="17"/>
  <c r="IU25" i="17" s="1"/>
  <c r="AF25" i="17"/>
  <c r="IW25" i="17" s="1"/>
  <c r="AI25" i="17"/>
  <c r="IT25" i="17" s="1"/>
  <c r="AK25" i="17"/>
  <c r="IR25" i="17" s="1"/>
  <c r="AM25" i="17"/>
  <c r="IP25" i="17" s="1"/>
  <c r="AO25" i="17"/>
  <c r="IN25" i="17" s="1"/>
  <c r="AG25" i="17"/>
  <c r="IV25" i="17" s="1"/>
  <c r="AJ25" i="17"/>
  <c r="IS25" i="17" s="1"/>
  <c r="AL25" i="17"/>
  <c r="IQ25" i="17" s="1"/>
  <c r="AN25" i="17"/>
  <c r="IO25" i="17" s="1"/>
  <c r="AH46" i="17"/>
  <c r="IU46" i="17" s="1"/>
  <c r="AK46" i="17"/>
  <c r="IR46" i="17" s="1"/>
  <c r="AL46" i="17"/>
  <c r="IQ46" i="17" s="1"/>
  <c r="AF46" i="17"/>
  <c r="IW46" i="17" s="1"/>
  <c r="AI46" i="17"/>
  <c r="IT46" i="17" s="1"/>
  <c r="AN46" i="17"/>
  <c r="IO46" i="17" s="1"/>
  <c r="AG46" i="17"/>
  <c r="IV46" i="17" s="1"/>
  <c r="AJ46" i="17"/>
  <c r="IS46" i="17" s="1"/>
  <c r="AM46" i="17"/>
  <c r="IP46" i="17" s="1"/>
  <c r="AO46" i="17"/>
  <c r="IN46" i="17" s="1"/>
  <c r="IA11" i="17"/>
  <c r="JA11" i="17"/>
  <c r="B13" i="17"/>
  <c r="IA25" i="17"/>
  <c r="JA25" i="17"/>
  <c r="IA46" i="17"/>
  <c r="JA46" i="17"/>
  <c r="B41" i="17"/>
  <c r="B34" i="17"/>
  <c r="B55" i="17"/>
  <c r="B70" i="17"/>
  <c r="C23" i="17"/>
  <c r="C57" i="17"/>
  <c r="C38" i="17"/>
  <c r="C44" i="17"/>
  <c r="C22" i="17"/>
  <c r="C11" i="17"/>
  <c r="C15" i="17"/>
  <c r="C51" i="17"/>
  <c r="C29" i="17"/>
  <c r="E15" i="40"/>
  <c r="F15" i="40"/>
  <c r="G15" i="40"/>
  <c r="H15" i="40"/>
  <c r="I15" i="40"/>
  <c r="J15" i="40"/>
  <c r="K15" i="40"/>
  <c r="L15" i="40"/>
  <c r="M15" i="40"/>
  <c r="N15" i="40"/>
  <c r="O15" i="40"/>
  <c r="P15" i="40"/>
  <c r="Q15" i="40"/>
  <c r="R15" i="40"/>
  <c r="S15" i="40"/>
  <c r="T15" i="40"/>
  <c r="U15" i="40"/>
  <c r="V15" i="40"/>
  <c r="E16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S16" i="40"/>
  <c r="T16" i="40"/>
  <c r="U16" i="40"/>
  <c r="V16" i="40"/>
  <c r="E17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S17" i="40"/>
  <c r="T17" i="40"/>
  <c r="U17" i="40"/>
  <c r="V17" i="40"/>
  <c r="E19" i="40"/>
  <c r="E20" i="40"/>
  <c r="E21" i="40"/>
  <c r="F21" i="40"/>
  <c r="G21" i="40"/>
  <c r="H21" i="40"/>
  <c r="I21" i="40"/>
  <c r="J21" i="40"/>
  <c r="K21" i="40"/>
  <c r="L21" i="40"/>
  <c r="M21" i="40"/>
  <c r="N21" i="40"/>
  <c r="O21" i="40"/>
  <c r="P21" i="40"/>
  <c r="Q21" i="40"/>
  <c r="R21" i="40"/>
  <c r="S21" i="40"/>
  <c r="T21" i="40"/>
  <c r="U21" i="40"/>
  <c r="V21" i="40"/>
  <c r="E22" i="40"/>
  <c r="F22" i="40"/>
  <c r="G22" i="40"/>
  <c r="H22" i="40"/>
  <c r="I22" i="40"/>
  <c r="J22" i="40"/>
  <c r="K22" i="40"/>
  <c r="L22" i="40"/>
  <c r="M22" i="40"/>
  <c r="N22" i="40"/>
  <c r="O22" i="40"/>
  <c r="P22" i="40"/>
  <c r="Q22" i="40"/>
  <c r="R22" i="40"/>
  <c r="S22" i="40"/>
  <c r="T22" i="40"/>
  <c r="U22" i="40"/>
  <c r="V22" i="40"/>
  <c r="E23" i="40"/>
  <c r="F23" i="40"/>
  <c r="G23" i="40"/>
  <c r="H23" i="40"/>
  <c r="I23" i="40"/>
  <c r="J23" i="40"/>
  <c r="K23" i="40"/>
  <c r="L23" i="40"/>
  <c r="M23" i="40"/>
  <c r="N23" i="40"/>
  <c r="O23" i="40"/>
  <c r="P23" i="40"/>
  <c r="Q23" i="40"/>
  <c r="R23" i="40"/>
  <c r="S23" i="40"/>
  <c r="T23" i="40"/>
  <c r="U23" i="40"/>
  <c r="V23" i="40"/>
  <c r="E24" i="40"/>
  <c r="F24" i="40"/>
  <c r="G24" i="40"/>
  <c r="H24" i="40"/>
  <c r="I24" i="40"/>
  <c r="J24" i="40"/>
  <c r="K24" i="40"/>
  <c r="L24" i="40"/>
  <c r="M24" i="40"/>
  <c r="N24" i="40"/>
  <c r="O24" i="40"/>
  <c r="P24" i="40"/>
  <c r="Q24" i="40"/>
  <c r="R24" i="40"/>
  <c r="S24" i="40"/>
  <c r="T24" i="40"/>
  <c r="U24" i="40"/>
  <c r="V24" i="40"/>
  <c r="E30" i="40"/>
  <c r="F30" i="40"/>
  <c r="G30" i="40"/>
  <c r="H30" i="40"/>
  <c r="I30" i="40"/>
  <c r="J30" i="40"/>
  <c r="K30" i="40"/>
  <c r="L30" i="40"/>
  <c r="M30" i="40"/>
  <c r="N30" i="40"/>
  <c r="O30" i="40"/>
  <c r="P30" i="40"/>
  <c r="Q30" i="40"/>
  <c r="R30" i="40"/>
  <c r="S30" i="40"/>
  <c r="T30" i="40"/>
  <c r="U30" i="40"/>
  <c r="V30" i="40"/>
  <c r="E31" i="40"/>
  <c r="F31" i="40"/>
  <c r="G31" i="40"/>
  <c r="H31" i="40"/>
  <c r="I31" i="40"/>
  <c r="J31" i="40"/>
  <c r="K31" i="40"/>
  <c r="L31" i="40"/>
  <c r="M31" i="40"/>
  <c r="N31" i="40"/>
  <c r="O31" i="40"/>
  <c r="P31" i="40"/>
  <c r="Q31" i="40"/>
  <c r="R31" i="40"/>
  <c r="S31" i="40"/>
  <c r="T31" i="40"/>
  <c r="U31" i="40"/>
  <c r="V31" i="40"/>
  <c r="E32" i="40"/>
  <c r="F32" i="40"/>
  <c r="G32" i="40"/>
  <c r="H32" i="40"/>
  <c r="I32" i="40"/>
  <c r="J32" i="40"/>
  <c r="K32" i="40"/>
  <c r="L32" i="40"/>
  <c r="M32" i="40"/>
  <c r="N32" i="40"/>
  <c r="O32" i="40"/>
  <c r="P32" i="40"/>
  <c r="Q32" i="40"/>
  <c r="R32" i="40"/>
  <c r="S32" i="40"/>
  <c r="T32" i="40"/>
  <c r="U32" i="40"/>
  <c r="V32" i="40"/>
  <c r="E33" i="40"/>
  <c r="F33" i="40"/>
  <c r="G33" i="40"/>
  <c r="H33" i="40"/>
  <c r="I33" i="40"/>
  <c r="J33" i="40"/>
  <c r="K33" i="40"/>
  <c r="L33" i="40"/>
  <c r="M33" i="40"/>
  <c r="N33" i="40"/>
  <c r="O33" i="40"/>
  <c r="P33" i="40"/>
  <c r="Q33" i="40"/>
  <c r="R33" i="40"/>
  <c r="S33" i="40"/>
  <c r="T33" i="40"/>
  <c r="U33" i="40"/>
  <c r="V33" i="40"/>
  <c r="E34" i="40"/>
  <c r="F34" i="40"/>
  <c r="G34" i="40"/>
  <c r="H34" i="40"/>
  <c r="I34" i="40"/>
  <c r="J34" i="40"/>
  <c r="K34" i="40"/>
  <c r="L34" i="40"/>
  <c r="M34" i="40"/>
  <c r="N34" i="40"/>
  <c r="O34" i="40"/>
  <c r="P34" i="40"/>
  <c r="Q34" i="40"/>
  <c r="R34" i="40"/>
  <c r="S34" i="40"/>
  <c r="T34" i="40"/>
  <c r="U34" i="40"/>
  <c r="V34" i="40"/>
  <c r="E35" i="40"/>
  <c r="F35" i="40"/>
  <c r="G35" i="40"/>
  <c r="H35" i="40"/>
  <c r="I35" i="40"/>
  <c r="J35" i="40"/>
  <c r="K35" i="40"/>
  <c r="L35" i="40"/>
  <c r="M35" i="40"/>
  <c r="N35" i="40"/>
  <c r="O35" i="40"/>
  <c r="P35" i="40"/>
  <c r="Q35" i="40"/>
  <c r="R35" i="40"/>
  <c r="S35" i="40"/>
  <c r="T35" i="40"/>
  <c r="U35" i="40"/>
  <c r="V35" i="40"/>
  <c r="DY27" i="17"/>
  <c r="DE12" i="17"/>
  <c r="DY48" i="17"/>
  <c r="DY54" i="17"/>
  <c r="ES12" i="17"/>
  <c r="BG40" i="17"/>
  <c r="BG27" i="17"/>
  <c r="ES54" i="17"/>
  <c r="DE54" i="17"/>
  <c r="ES48" i="17"/>
  <c r="FM20" i="17"/>
  <c r="GG34" i="17"/>
  <c r="FM33" i="17"/>
  <c r="ES33" i="17"/>
  <c r="GG55" i="17"/>
  <c r="BG54" i="17"/>
  <c r="ES40" i="17"/>
  <c r="BG12" i="17"/>
  <c r="CK27" i="17"/>
  <c r="ES62" i="17"/>
  <c r="DE40" i="17"/>
  <c r="GG12" i="17"/>
  <c r="DY62" i="17"/>
  <c r="DE33" i="17"/>
  <c r="DY12" i="17"/>
  <c r="FM48" i="17"/>
  <c r="BG33" i="17"/>
  <c r="CK54" i="17"/>
  <c r="FM12" i="17"/>
  <c r="DE48" i="17"/>
  <c r="CK20" i="17"/>
  <c r="ES27" i="17"/>
  <c r="FM62" i="17"/>
  <c r="GG41" i="17"/>
  <c r="FM27" i="17"/>
  <c r="DY40" i="17"/>
  <c r="FM40" i="17"/>
  <c r="FM54" i="17"/>
  <c r="DE27" i="17"/>
  <c r="DE20" i="17"/>
  <c r="DY33" i="17"/>
  <c r="CK62" i="17"/>
  <c r="CK12" i="17"/>
  <c r="DY20" i="17"/>
  <c r="CK48" i="17"/>
  <c r="BG48" i="17"/>
  <c r="ES20" i="17"/>
  <c r="CK33" i="17"/>
  <c r="BG62" i="17"/>
  <c r="CK40" i="17"/>
  <c r="BG20" i="17"/>
  <c r="D12" i="17"/>
  <c r="DE62" i="17"/>
  <c r="AF12" i="17" l="1"/>
  <c r="IW12" i="17" s="1"/>
  <c r="AG12" i="17"/>
  <c r="IV12" i="17" s="1"/>
  <c r="AH12" i="17"/>
  <c r="IU12" i="17" s="1"/>
  <c r="AI12" i="17"/>
  <c r="IT12" i="17" s="1"/>
  <c r="AJ12" i="17"/>
  <c r="IS12" i="17" s="1"/>
  <c r="IR12" i="17"/>
  <c r="IQ12" i="17"/>
  <c r="IP12" i="17"/>
  <c r="IO12" i="17"/>
  <c r="IN12" i="17"/>
  <c r="C30" i="17"/>
  <c r="C10" i="17"/>
  <c r="JA12" i="17"/>
  <c r="C12" i="17"/>
  <c r="IA12" i="17"/>
  <c r="C37" i="17"/>
  <c r="C50" i="17"/>
  <c r="C36" i="17"/>
  <c r="C18" i="17"/>
  <c r="C16" i="17"/>
  <c r="C46" i="17"/>
  <c r="C59" i="17"/>
  <c r="C25" i="17"/>
  <c r="C8" i="17"/>
  <c r="C9" i="17"/>
  <c r="B71" i="17"/>
  <c r="GG13" i="17"/>
  <c r="BG34" i="17"/>
  <c r="FM41" i="17"/>
  <c r="BG55" i="17"/>
  <c r="ES55" i="17"/>
  <c r="ES2" i="17" s="1"/>
  <c r="BG13" i="17"/>
  <c r="CK55" i="17"/>
  <c r="CK34" i="17"/>
  <c r="CK41" i="17"/>
  <c r="DY55" i="17"/>
  <c r="DE55" i="17"/>
  <c r="ES34" i="17"/>
  <c r="DY41" i="17"/>
  <c r="DE41" i="17"/>
  <c r="FM13" i="17"/>
  <c r="BG41" i="17"/>
  <c r="DY13" i="17"/>
  <c r="ES13" i="17"/>
  <c r="ES41" i="17"/>
  <c r="CK13" i="17"/>
  <c r="DY34" i="17"/>
  <c r="FM55" i="17"/>
  <c r="FM34" i="17"/>
  <c r="DE34" i="17"/>
  <c r="DE13" i="17"/>
  <c r="B72" i="17" l="1"/>
  <c r="B73" i="17" l="1"/>
  <c r="EV48" i="17"/>
  <c r="FP62" i="17"/>
  <c r="AC38" i="17"/>
  <c r="EV41" i="17"/>
  <c r="AP13" i="17"/>
  <c r="BT62" i="17"/>
  <c r="AD66" i="17"/>
  <c r="DH20" i="17"/>
  <c r="EV55" i="17"/>
  <c r="BT27" i="17"/>
  <c r="AC10" i="17"/>
  <c r="EB34" i="17"/>
  <c r="EB41" i="17"/>
  <c r="D47" i="17"/>
  <c r="R58" i="17"/>
  <c r="AP34" i="17"/>
  <c r="FP13" i="17"/>
  <c r="AC31" i="17"/>
  <c r="R59" i="17"/>
  <c r="FP55" i="17"/>
  <c r="AD18" i="17"/>
  <c r="EB55" i="17"/>
  <c r="DH41" i="17"/>
  <c r="AC25" i="17"/>
  <c r="CN48" i="17"/>
  <c r="D32" i="17"/>
  <c r="D48" i="17"/>
  <c r="AP20" i="17"/>
  <c r="AC66" i="17"/>
  <c r="EB20" i="17"/>
  <c r="AC17" i="17"/>
  <c r="AC45" i="17"/>
  <c r="FP41" i="17"/>
  <c r="D26" i="17"/>
  <c r="D73" i="17"/>
  <c r="CN41" i="17"/>
  <c r="FP34" i="17"/>
  <c r="AD51" i="17"/>
  <c r="CN62" i="17"/>
  <c r="CN55" i="17"/>
  <c r="AD16" i="17"/>
  <c r="AD67" i="17"/>
  <c r="DH13" i="17"/>
  <c r="EV62" i="17"/>
  <c r="BT20" i="17"/>
  <c r="AP62" i="17"/>
  <c r="AD17" i="17"/>
  <c r="AC23" i="17"/>
  <c r="DH55" i="17"/>
  <c r="AC24" i="17"/>
  <c r="AD10" i="17"/>
  <c r="EV13" i="17"/>
  <c r="D34" i="17"/>
  <c r="D68" i="17"/>
  <c r="AP41" i="17"/>
  <c r="AD11" i="17"/>
  <c r="D41" i="17"/>
  <c r="AD25" i="17"/>
  <c r="BT13" i="17"/>
  <c r="CN27" i="17"/>
  <c r="D39" i="17"/>
  <c r="AC12" i="17"/>
  <c r="AC46" i="17"/>
  <c r="DH62" i="17"/>
  <c r="D19" i="17"/>
  <c r="AD38" i="17"/>
  <c r="AD58" i="17"/>
  <c r="D27" i="17"/>
  <c r="CN34" i="17"/>
  <c r="D52" i="17"/>
  <c r="D60" i="17"/>
  <c r="EB48" i="17"/>
  <c r="D72" i="17"/>
  <c r="D40" i="17"/>
  <c r="D70" i="17"/>
  <c r="FP20" i="17"/>
  <c r="DH48" i="17"/>
  <c r="BT48" i="17"/>
  <c r="EV27" i="17"/>
  <c r="AP27" i="17"/>
  <c r="AC11" i="17"/>
  <c r="BT55" i="17"/>
  <c r="AC58" i="17"/>
  <c r="D71" i="17"/>
  <c r="AD12" i="17"/>
  <c r="AC18" i="17"/>
  <c r="AC51" i="17"/>
  <c r="AD45" i="17"/>
  <c r="EB13" i="17"/>
  <c r="AD46" i="17"/>
  <c r="EV20" i="17"/>
  <c r="D13" i="17"/>
  <c r="AC59" i="17"/>
  <c r="AP48" i="17"/>
  <c r="CN13" i="17"/>
  <c r="FP27" i="17"/>
  <c r="AD24" i="17"/>
  <c r="AC16" i="17"/>
  <c r="BT41" i="17"/>
  <c r="EV34" i="17"/>
  <c r="FP48" i="17"/>
  <c r="D20" i="17"/>
  <c r="D53" i="17"/>
  <c r="D69" i="17"/>
  <c r="AD59" i="17"/>
  <c r="EB62" i="17"/>
  <c r="EB27" i="17"/>
  <c r="DH34" i="17"/>
  <c r="CN20" i="17"/>
  <c r="BT34" i="17"/>
  <c r="D33" i="17"/>
  <c r="DH27" i="17"/>
  <c r="D55" i="17"/>
  <c r="AC67" i="17"/>
  <c r="AD23" i="17"/>
  <c r="AP55" i="17"/>
  <c r="AD31" i="17"/>
  <c r="AL68" i="17" l="1"/>
  <c r="IQ68" i="17" s="1"/>
  <c r="AN68" i="17"/>
  <c r="IO68" i="17" s="1"/>
  <c r="AK68" i="17"/>
  <c r="IR68" i="17" s="1"/>
  <c r="AM68" i="17"/>
  <c r="IP68" i="17" s="1"/>
  <c r="AH68" i="17"/>
  <c r="IU68" i="17" s="1"/>
  <c r="AO68" i="17"/>
  <c r="IN68" i="17" s="1"/>
  <c r="AF68" i="17"/>
  <c r="IW68" i="17" s="1"/>
  <c r="AJ68" i="17"/>
  <c r="IS68" i="17" s="1"/>
  <c r="AG68" i="17"/>
  <c r="IV68" i="17" s="1"/>
  <c r="AI68" i="17"/>
  <c r="IT68" i="17" s="1"/>
  <c r="AF34" i="17"/>
  <c r="AI34" i="17"/>
  <c r="AK34" i="17"/>
  <c r="AL34" i="17"/>
  <c r="AO34" i="17"/>
  <c r="AN34" i="17"/>
  <c r="AH34" i="17"/>
  <c r="AG34" i="17"/>
  <c r="AJ34" i="17"/>
  <c r="AM34" i="17"/>
  <c r="AH70" i="17"/>
  <c r="IU70" i="17" s="1"/>
  <c r="AN70" i="17"/>
  <c r="IO70" i="17" s="1"/>
  <c r="AK70" i="17"/>
  <c r="IR70" i="17" s="1"/>
  <c r="AI70" i="17"/>
  <c r="IT70" i="17" s="1"/>
  <c r="AL70" i="17"/>
  <c r="IQ70" i="17" s="1"/>
  <c r="AO70" i="17"/>
  <c r="IN70" i="17" s="1"/>
  <c r="AG70" i="17"/>
  <c r="IV70" i="17" s="1"/>
  <c r="AM70" i="17"/>
  <c r="IP70" i="17" s="1"/>
  <c r="AJ70" i="17"/>
  <c r="IS70" i="17" s="1"/>
  <c r="AF70" i="17"/>
  <c r="IW70" i="17" s="1"/>
  <c r="AG41" i="17"/>
  <c r="AK41" i="17"/>
  <c r="AM41" i="17"/>
  <c r="AN41" i="17"/>
  <c r="AJ41" i="17"/>
  <c r="AO41" i="17"/>
  <c r="AL41" i="17"/>
  <c r="AI41" i="17"/>
  <c r="AF41" i="17"/>
  <c r="AH41" i="17"/>
  <c r="AG26" i="17"/>
  <c r="IV26" i="17" s="1"/>
  <c r="AI26" i="17"/>
  <c r="IT26" i="17" s="1"/>
  <c r="AK26" i="17"/>
  <c r="IR26" i="17" s="1"/>
  <c r="AO26" i="17"/>
  <c r="IN26" i="17" s="1"/>
  <c r="AM26" i="17"/>
  <c r="IP26" i="17" s="1"/>
  <c r="AL26" i="17"/>
  <c r="IQ26" i="17" s="1"/>
  <c r="AJ26" i="17"/>
  <c r="IS26" i="17" s="1"/>
  <c r="AN26" i="17"/>
  <c r="IO26" i="17" s="1"/>
  <c r="AH26" i="17"/>
  <c r="IU26" i="17" s="1"/>
  <c r="AF26" i="17"/>
  <c r="IW26" i="17" s="1"/>
  <c r="AG72" i="17"/>
  <c r="IV72" i="17" s="1"/>
  <c r="AJ72" i="17"/>
  <c r="IS72" i="17" s="1"/>
  <c r="AL72" i="17"/>
  <c r="IQ72" i="17" s="1"/>
  <c r="IN72" i="17"/>
  <c r="AH72" i="17"/>
  <c r="IU72" i="17" s="1"/>
  <c r="AN72" i="17"/>
  <c r="IO72" i="17" s="1"/>
  <c r="AK72" i="17"/>
  <c r="IR72" i="17" s="1"/>
  <c r="AI72" i="17"/>
  <c r="IT72" i="17" s="1"/>
  <c r="AF72" i="17"/>
  <c r="IW72" i="17" s="1"/>
  <c r="AM72" i="17"/>
  <c r="IP72" i="17" s="1"/>
  <c r="AK60" i="17"/>
  <c r="AN60" i="17"/>
  <c r="AF60" i="17"/>
  <c r="AH60" i="17"/>
  <c r="AJ60" i="17"/>
  <c r="AL60" i="17"/>
  <c r="AI60" i="17"/>
  <c r="AM60" i="17"/>
  <c r="AO60" i="17"/>
  <c r="AG60" i="17"/>
  <c r="AG20" i="17"/>
  <c r="AL20" i="17"/>
  <c r="AF20" i="17"/>
  <c r="AH20" i="17"/>
  <c r="AJ20" i="17"/>
  <c r="AO20" i="17"/>
  <c r="AK20" i="17"/>
  <c r="AM20" i="17"/>
  <c r="AN20" i="17"/>
  <c r="AI20" i="17"/>
  <c r="AH13" i="17"/>
  <c r="AI13" i="17"/>
  <c r="AJ13" i="17"/>
  <c r="AK13" i="17"/>
  <c r="AL13" i="17"/>
  <c r="AM13" i="17"/>
  <c r="AN13" i="17"/>
  <c r="AO13" i="17"/>
  <c r="AG13" i="17"/>
  <c r="AF13" i="17"/>
  <c r="AH73" i="17"/>
  <c r="IU73" i="17" s="1"/>
  <c r="AF73" i="17"/>
  <c r="IW73" i="17" s="1"/>
  <c r="IN73" i="17"/>
  <c r="AL73" i="17"/>
  <c r="IQ73" i="17" s="1"/>
  <c r="IO73" i="17"/>
  <c r="AJ73" i="17"/>
  <c r="IS73" i="17" s="1"/>
  <c r="AG73" i="17"/>
  <c r="IV73" i="17" s="1"/>
  <c r="AI73" i="17"/>
  <c r="IT73" i="17" s="1"/>
  <c r="AK73" i="17"/>
  <c r="IR73" i="17" s="1"/>
  <c r="AM73" i="17"/>
  <c r="IP73" i="17" s="1"/>
  <c r="AF47" i="17"/>
  <c r="AI47" i="17"/>
  <c r="AG47" i="17"/>
  <c r="AH47" i="17"/>
  <c r="IW40" i="17"/>
  <c r="IV40" i="17"/>
  <c r="IS40" i="17"/>
  <c r="IP40" i="17"/>
  <c r="IN40" i="17"/>
  <c r="IQ40" i="17"/>
  <c r="IT40" i="17"/>
  <c r="IU40" i="17"/>
  <c r="IR40" i="17"/>
  <c r="IO40" i="17"/>
  <c r="AJ33" i="17"/>
  <c r="AG33" i="17"/>
  <c r="AL33" i="17"/>
  <c r="AN33" i="17"/>
  <c r="AH33" i="17"/>
  <c r="AK33" i="17"/>
  <c r="AM33" i="17"/>
  <c r="AI33" i="17"/>
  <c r="AF33" i="17"/>
  <c r="AO33" i="17"/>
  <c r="AL53" i="17"/>
  <c r="IQ53" i="17" s="1"/>
  <c r="AJ53" i="17"/>
  <c r="IS53" i="17" s="1"/>
  <c r="AH53" i="17"/>
  <c r="IU53" i="17" s="1"/>
  <c r="AO53" i="17"/>
  <c r="IN53" i="17" s="1"/>
  <c r="AF53" i="17"/>
  <c r="IW53" i="17" s="1"/>
  <c r="AN53" i="17"/>
  <c r="IO53" i="17" s="1"/>
  <c r="AM53" i="17"/>
  <c r="IP53" i="17" s="1"/>
  <c r="AG53" i="17"/>
  <c r="IV53" i="17" s="1"/>
  <c r="AI53" i="17"/>
  <c r="IT53" i="17" s="1"/>
  <c r="AK53" i="17"/>
  <c r="IR53" i="17" s="1"/>
  <c r="AH69" i="17"/>
  <c r="IU69" i="17" s="1"/>
  <c r="AN69" i="17"/>
  <c r="IO69" i="17" s="1"/>
  <c r="AF69" i="17"/>
  <c r="IW69" i="17" s="1"/>
  <c r="IN69" i="17"/>
  <c r="AG69" i="17"/>
  <c r="IV69" i="17" s="1"/>
  <c r="AI69" i="17"/>
  <c r="IT69" i="17" s="1"/>
  <c r="AK69" i="17"/>
  <c r="IR69" i="17" s="1"/>
  <c r="AL69" i="17"/>
  <c r="IQ69" i="17" s="1"/>
  <c r="AM69" i="17"/>
  <c r="IP69" i="17" s="1"/>
  <c r="AJ69" i="17"/>
  <c r="IS69" i="17" s="1"/>
  <c r="AN19" i="17"/>
  <c r="IO19" i="17" s="1"/>
  <c r="AF19" i="17"/>
  <c r="IW19" i="17" s="1"/>
  <c r="AO19" i="17"/>
  <c r="IN19" i="17" s="1"/>
  <c r="AL19" i="17"/>
  <c r="IQ19" i="17" s="1"/>
  <c r="AK19" i="17"/>
  <c r="IR19" i="17" s="1"/>
  <c r="AH19" i="17"/>
  <c r="IU19" i="17" s="1"/>
  <c r="AM19" i="17"/>
  <c r="IP19" i="17" s="1"/>
  <c r="AJ19" i="17"/>
  <c r="IS19" i="17" s="1"/>
  <c r="AG19" i="17"/>
  <c r="IV19" i="17" s="1"/>
  <c r="AI19" i="17"/>
  <c r="IT19" i="17" s="1"/>
  <c r="AH55" i="17"/>
  <c r="AJ55" i="17"/>
  <c r="AK55" i="17"/>
  <c r="AL55" i="17"/>
  <c r="AO55" i="17"/>
  <c r="AI55" i="17"/>
  <c r="AN55" i="17"/>
  <c r="AF55" i="17"/>
  <c r="AG55" i="17"/>
  <c r="AM55" i="17"/>
  <c r="AJ52" i="17"/>
  <c r="IS52" i="17" s="1"/>
  <c r="AL52" i="17"/>
  <c r="IQ52" i="17" s="1"/>
  <c r="AG52" i="17"/>
  <c r="IV52" i="17" s="1"/>
  <c r="AH52" i="17"/>
  <c r="IU52" i="17" s="1"/>
  <c r="AK52" i="17"/>
  <c r="IR52" i="17" s="1"/>
  <c r="AM52" i="17"/>
  <c r="IP52" i="17" s="1"/>
  <c r="AO52" i="17"/>
  <c r="IN52" i="17" s="1"/>
  <c r="AN52" i="17"/>
  <c r="IO52" i="17" s="1"/>
  <c r="AI52" i="17"/>
  <c r="IT52" i="17" s="1"/>
  <c r="AF52" i="17"/>
  <c r="IW52" i="17" s="1"/>
  <c r="AF48" i="17"/>
  <c r="AG48" i="17"/>
  <c r="AI48" i="17"/>
  <c r="AL48" i="17"/>
  <c r="AO48" i="17"/>
  <c r="AK48" i="17"/>
  <c r="AN48" i="17"/>
  <c r="AM48" i="17"/>
  <c r="AJ48" i="17"/>
  <c r="AH48" i="17"/>
  <c r="AN27" i="17"/>
  <c r="AF27" i="17"/>
  <c r="AI27" i="17"/>
  <c r="AK27" i="17"/>
  <c r="AL27" i="17"/>
  <c r="AM27" i="17"/>
  <c r="AJ27" i="17"/>
  <c r="AH27" i="17"/>
  <c r="AO27" i="17"/>
  <c r="AG27" i="17"/>
  <c r="IP71" i="17"/>
  <c r="IR71" i="17"/>
  <c r="IO71" i="17"/>
  <c r="IV71" i="17"/>
  <c r="IS71" i="17"/>
  <c r="IU71" i="17"/>
  <c r="IN71" i="17"/>
  <c r="IW71" i="17"/>
  <c r="IT71" i="17"/>
  <c r="IQ71" i="17"/>
  <c r="AK32" i="17"/>
  <c r="IR32" i="17" s="1"/>
  <c r="AL32" i="17"/>
  <c r="IQ32" i="17" s="1"/>
  <c r="AG32" i="17"/>
  <c r="IV32" i="17" s="1"/>
  <c r="AI32" i="17"/>
  <c r="IT32" i="17" s="1"/>
  <c r="AM32" i="17"/>
  <c r="IP32" i="17" s="1"/>
  <c r="AH32" i="17"/>
  <c r="IU32" i="17" s="1"/>
  <c r="AF32" i="17"/>
  <c r="IW32" i="17" s="1"/>
  <c r="AJ32" i="17"/>
  <c r="IS32" i="17" s="1"/>
  <c r="AO32" i="17"/>
  <c r="IN32" i="17" s="1"/>
  <c r="AN32" i="17"/>
  <c r="IO32" i="17" s="1"/>
  <c r="IO39" i="17"/>
  <c r="AH39" i="17"/>
  <c r="IU39" i="17" s="1"/>
  <c r="IR39" i="17"/>
  <c r="IS39" i="17"/>
  <c r="IP39" i="17"/>
  <c r="IN39" i="17"/>
  <c r="IQ39" i="17"/>
  <c r="IT39" i="17"/>
  <c r="AF39" i="17"/>
  <c r="IW39" i="17" s="1"/>
  <c r="AG39" i="17"/>
  <c r="IV39" i="17" s="1"/>
  <c r="IA68" i="17"/>
  <c r="IA70" i="17"/>
  <c r="IA72" i="17"/>
  <c r="IA73" i="17"/>
  <c r="IA69" i="17"/>
  <c r="IA71" i="17"/>
  <c r="IA53" i="17"/>
  <c r="IA52" i="17"/>
  <c r="IA47" i="17"/>
  <c r="IA40" i="17"/>
  <c r="IA39" i="17"/>
  <c r="IA32" i="17"/>
  <c r="IA26" i="17"/>
  <c r="IA19" i="17"/>
  <c r="JA70" i="17"/>
  <c r="JA72" i="17"/>
  <c r="JA73" i="17"/>
  <c r="JA69" i="17"/>
  <c r="JA71" i="17"/>
  <c r="JA68" i="17"/>
  <c r="JA53" i="17"/>
  <c r="JA52" i="17"/>
  <c r="JA47" i="17"/>
  <c r="JA40" i="17"/>
  <c r="JA33" i="17"/>
  <c r="JA32" i="17"/>
  <c r="JA39" i="17"/>
  <c r="JA26" i="17"/>
  <c r="JA19" i="17"/>
  <c r="C39" i="17"/>
  <c r="C53" i="17"/>
  <c r="IA62" i="17"/>
  <c r="C62" i="17"/>
  <c r="C54" i="17"/>
  <c r="IA34" i="17"/>
  <c r="C34" i="17"/>
  <c r="C52" i="17"/>
  <c r="C47" i="17"/>
  <c r="C26" i="17"/>
  <c r="C55" i="17"/>
  <c r="IA55" i="17"/>
  <c r="C19" i="17"/>
  <c r="C48" i="17"/>
  <c r="IA48" i="17"/>
  <c r="C61" i="17"/>
  <c r="IA20" i="17"/>
  <c r="C20" i="17"/>
  <c r="C27" i="17"/>
  <c r="IA27" i="17"/>
  <c r="C40" i="17"/>
  <c r="C41" i="17"/>
  <c r="IA41" i="17"/>
  <c r="C13" i="17"/>
  <c r="IA13" i="17"/>
  <c r="C33" i="17"/>
  <c r="C60" i="17"/>
  <c r="B74" i="17"/>
  <c r="AC61" i="17"/>
  <c r="AD54" i="17"/>
  <c r="AC54" i="17"/>
  <c r="R62" i="17"/>
  <c r="R61" i="17"/>
  <c r="R54" i="17"/>
  <c r="AD61" i="17"/>
  <c r="AC62" i="17"/>
  <c r="AD62" i="17"/>
  <c r="AD32" i="17"/>
  <c r="AD70" i="17"/>
  <c r="AD34" i="17"/>
  <c r="AD60" i="17"/>
  <c r="AC20" i="17"/>
  <c r="AC47" i="17"/>
  <c r="D74" i="17"/>
  <c r="AD52" i="17"/>
  <c r="AD27" i="17"/>
  <c r="R27" i="17"/>
  <c r="AC72" i="17"/>
  <c r="AD71" i="17"/>
  <c r="AC33" i="17"/>
  <c r="R20" i="17"/>
  <c r="AC41" i="17"/>
  <c r="R33" i="17"/>
  <c r="AC55" i="17"/>
  <c r="AC71" i="17"/>
  <c r="AC32" i="17"/>
  <c r="AD19" i="17"/>
  <c r="AD55" i="17"/>
  <c r="AC70" i="17"/>
  <c r="AC69" i="17"/>
  <c r="AD53" i="17"/>
  <c r="AC60" i="17"/>
  <c r="AC52" i="17"/>
  <c r="AD48" i="17"/>
  <c r="AD20" i="17"/>
  <c r="AC13" i="17"/>
  <c r="AD33" i="17"/>
  <c r="AC19" i="17"/>
  <c r="AC40" i="17"/>
  <c r="AC53" i="17"/>
  <c r="AC34" i="17"/>
  <c r="AD69" i="17"/>
  <c r="AD13" i="17"/>
  <c r="AC48" i="17"/>
  <c r="AC27" i="17"/>
  <c r="AD39" i="17"/>
  <c r="R55" i="17"/>
  <c r="R41" i="17"/>
  <c r="AD72" i="17"/>
  <c r="AD68" i="17"/>
  <c r="R48" i="17"/>
  <c r="AD40" i="17"/>
  <c r="AC68" i="17"/>
  <c r="AD26" i="17"/>
  <c r="R13" i="17"/>
  <c r="AC26" i="17"/>
  <c r="AD47" i="17"/>
  <c r="R60" i="17"/>
  <c r="AD41" i="17"/>
  <c r="AC39" i="17"/>
  <c r="R34" i="17"/>
  <c r="AG74" i="17" l="1"/>
  <c r="IV74" i="17" s="1"/>
  <c r="AI74" i="17"/>
  <c r="IT74" i="17" s="1"/>
  <c r="AL74" i="17"/>
  <c r="IQ74" i="17" s="1"/>
  <c r="AO74" i="17"/>
  <c r="IN74" i="17" s="1"/>
  <c r="AF74" i="17"/>
  <c r="IW74" i="17" s="1"/>
  <c r="AJ74" i="17"/>
  <c r="IS74" i="17" s="1"/>
  <c r="AK74" i="17"/>
  <c r="IR74" i="17" s="1"/>
  <c r="AN74" i="17"/>
  <c r="IO74" i="17" s="1"/>
  <c r="AH74" i="17"/>
  <c r="IU74" i="17" s="1"/>
  <c r="AM74" i="17"/>
  <c r="IP74" i="17" s="1"/>
  <c r="IA74" i="17"/>
  <c r="JA74" i="17"/>
  <c r="C73" i="17"/>
  <c r="B75" i="17"/>
  <c r="AD73" i="17"/>
  <c r="AC73" i="17"/>
  <c r="D75" i="17"/>
  <c r="AH75" i="17" l="1"/>
  <c r="IU75" i="17" s="1"/>
  <c r="AK75" i="17"/>
  <c r="IR75" i="17" s="1"/>
  <c r="AN75" i="17"/>
  <c r="IO75" i="17" s="1"/>
  <c r="AG75" i="17"/>
  <c r="IV75" i="17" s="1"/>
  <c r="AJ75" i="17"/>
  <c r="IS75" i="17" s="1"/>
  <c r="AM75" i="17"/>
  <c r="IP75" i="17" s="1"/>
  <c r="AF75" i="17"/>
  <c r="IW75" i="17" s="1"/>
  <c r="AI75" i="17"/>
  <c r="IT75" i="17" s="1"/>
  <c r="AL75" i="17"/>
  <c r="IQ75" i="17" s="1"/>
  <c r="AO75" i="17"/>
  <c r="IN75" i="17" s="1"/>
  <c r="IA75" i="17"/>
  <c r="JA75" i="17"/>
  <c r="B76" i="17"/>
  <c r="AD74" i="17"/>
  <c r="AC74" i="17"/>
  <c r="D76" i="17"/>
  <c r="AG76" i="17" l="1"/>
  <c r="IV76" i="17" s="1"/>
  <c r="AJ76" i="17"/>
  <c r="IS76" i="17" s="1"/>
  <c r="AK76" i="17"/>
  <c r="IR76" i="17" s="1"/>
  <c r="AM76" i="17"/>
  <c r="IP76" i="17" s="1"/>
  <c r="AO76" i="17"/>
  <c r="IN76" i="17" s="1"/>
  <c r="AF76" i="17"/>
  <c r="IW76" i="17" s="1"/>
  <c r="AH76" i="17"/>
  <c r="IU76" i="17" s="1"/>
  <c r="AI76" i="17"/>
  <c r="IT76" i="17" s="1"/>
  <c r="AL76" i="17"/>
  <c r="IQ76" i="17" s="1"/>
  <c r="AN76" i="17"/>
  <c r="IO76" i="17" s="1"/>
  <c r="IA76" i="17"/>
  <c r="JA76" i="17"/>
  <c r="B77" i="17"/>
  <c r="D77" i="17"/>
  <c r="AD75" i="17"/>
  <c r="AC75" i="17"/>
  <c r="AG77" i="17" l="1"/>
  <c r="IV77" i="17" s="1"/>
  <c r="AI77" i="17"/>
  <c r="IT77" i="17" s="1"/>
  <c r="AK77" i="17"/>
  <c r="IR77" i="17" s="1"/>
  <c r="AM77" i="17"/>
  <c r="IP77" i="17" s="1"/>
  <c r="AO77" i="17"/>
  <c r="IN77" i="17" s="1"/>
  <c r="AF77" i="17"/>
  <c r="IW77" i="17" s="1"/>
  <c r="AH77" i="17"/>
  <c r="IU77" i="17" s="1"/>
  <c r="AJ77" i="17"/>
  <c r="IS77" i="17" s="1"/>
  <c r="AL77" i="17"/>
  <c r="IQ77" i="17" s="1"/>
  <c r="AN77" i="17"/>
  <c r="IO77" i="17" s="1"/>
  <c r="IA77" i="17"/>
  <c r="JA77" i="17"/>
  <c r="B78" i="17"/>
  <c r="AD76" i="17"/>
  <c r="AC76" i="17"/>
  <c r="D78" i="17"/>
  <c r="AF78" i="17" l="1"/>
  <c r="IW78" i="17" s="1"/>
  <c r="AK78" i="17"/>
  <c r="IR78" i="17" s="1"/>
  <c r="IP78" i="17"/>
  <c r="AH78" i="17"/>
  <c r="IU78" i="17" s="1"/>
  <c r="AI78" i="17"/>
  <c r="IT78" i="17" s="1"/>
  <c r="AL78" i="17"/>
  <c r="IQ78" i="17" s="1"/>
  <c r="IN78" i="17"/>
  <c r="AG78" i="17"/>
  <c r="IV78" i="17" s="1"/>
  <c r="AJ78" i="17"/>
  <c r="IS78" i="17" s="1"/>
  <c r="IO78" i="17"/>
  <c r="IA78" i="17"/>
  <c r="JA78" i="17"/>
  <c r="B79" i="17"/>
  <c r="AC77" i="17"/>
  <c r="D79" i="17"/>
  <c r="AD77" i="17"/>
  <c r="AF79" i="17" l="1"/>
  <c r="IW79" i="17" s="1"/>
  <c r="AI79" i="17"/>
  <c r="IT79" i="17" s="1"/>
  <c r="AL79" i="17"/>
  <c r="IQ79" i="17" s="1"/>
  <c r="IN79" i="17"/>
  <c r="AH79" i="17"/>
  <c r="IU79" i="17" s="1"/>
  <c r="AK79" i="17"/>
  <c r="IR79" i="17" s="1"/>
  <c r="IO79" i="17"/>
  <c r="AG79" i="17"/>
  <c r="IV79" i="17" s="1"/>
  <c r="AJ79" i="17"/>
  <c r="IS79" i="17" s="1"/>
  <c r="AM79" i="17"/>
  <c r="IP79" i="17" s="1"/>
  <c r="IA79" i="17"/>
  <c r="JA79" i="17"/>
  <c r="B80" i="17"/>
  <c r="AD78" i="17"/>
  <c r="D80" i="17"/>
  <c r="AC78" i="17"/>
  <c r="AH80" i="17" l="1"/>
  <c r="IU80" i="17" s="1"/>
  <c r="AJ80" i="17"/>
  <c r="IS80" i="17" s="1"/>
  <c r="IP80" i="17"/>
  <c r="IN80" i="17"/>
  <c r="AG80" i="17"/>
  <c r="IV80" i="17" s="1"/>
  <c r="AK80" i="17"/>
  <c r="IR80" i="17" s="1"/>
  <c r="AF80" i="17"/>
  <c r="IW80" i="17" s="1"/>
  <c r="AI80" i="17"/>
  <c r="IT80" i="17" s="1"/>
  <c r="AL80" i="17"/>
  <c r="IQ80" i="17" s="1"/>
  <c r="IO80" i="17"/>
  <c r="IA80" i="17"/>
  <c r="JA80" i="17"/>
  <c r="C79" i="17"/>
  <c r="B81" i="17"/>
  <c r="C38" i="14" a="1"/>
  <c r="C38" i="14" s="1"/>
  <c r="C35" i="14" a="1"/>
  <c r="C35" i="14" s="1"/>
  <c r="C34" i="14" a="1"/>
  <c r="C34" i="14" s="1"/>
  <c r="C33" i="14" a="1"/>
  <c r="C33" i="14" s="1"/>
  <c r="AC79" i="17"/>
  <c r="D81" i="17"/>
  <c r="AD79" i="17"/>
  <c r="IU81" i="17" l="1"/>
  <c r="IS81" i="17"/>
  <c r="IP81" i="17"/>
  <c r="IW81" i="17"/>
  <c r="IT81" i="17"/>
  <c r="IQ81" i="17"/>
  <c r="IN81" i="17"/>
  <c r="IV81" i="17"/>
  <c r="IR81" i="17"/>
  <c r="IO81" i="17"/>
  <c r="IA81" i="17"/>
  <c r="JA81" i="17"/>
  <c r="B82" i="17"/>
  <c r="C37" i="14" a="1"/>
  <c r="C37" i="14" s="1"/>
  <c r="C36" i="14" a="1"/>
  <c r="C36" i="14" s="1"/>
  <c r="C39" i="14"/>
  <c r="AD80" i="17"/>
  <c r="AC80" i="17"/>
  <c r="D82" i="17"/>
  <c r="AF82" i="17" l="1"/>
  <c r="IW82" i="17" s="1"/>
  <c r="AI82" i="17"/>
  <c r="IT82" i="17" s="1"/>
  <c r="AL82" i="17"/>
  <c r="IQ82" i="17" s="1"/>
  <c r="AN82" i="17"/>
  <c r="IO82" i="17" s="1"/>
  <c r="AH82" i="17"/>
  <c r="IU82" i="17" s="1"/>
  <c r="AJ82" i="17"/>
  <c r="IS82" i="17" s="1"/>
  <c r="AG82" i="17"/>
  <c r="IV82" i="17" s="1"/>
  <c r="AK82" i="17"/>
  <c r="IR82" i="17" s="1"/>
  <c r="AM82" i="17"/>
  <c r="IP82" i="17" s="1"/>
  <c r="AO82" i="17"/>
  <c r="IN82" i="17" s="1"/>
  <c r="IA82" i="17"/>
  <c r="JA82" i="17"/>
  <c r="C81" i="17"/>
  <c r="B83" i="17"/>
  <c r="AD81" i="17"/>
  <c r="AC81" i="17"/>
  <c r="D83" i="17"/>
  <c r="AH83" i="17" l="1"/>
  <c r="IU83" i="17" s="1"/>
  <c r="AJ83" i="17"/>
  <c r="IS83" i="17" s="1"/>
  <c r="IO83" i="17"/>
  <c r="AF83" i="17"/>
  <c r="IW83" i="17" s="1"/>
  <c r="AI83" i="17"/>
  <c r="IT83" i="17" s="1"/>
  <c r="AL83" i="17"/>
  <c r="IQ83" i="17" s="1"/>
  <c r="IN83" i="17"/>
  <c r="AG83" i="17"/>
  <c r="IV83" i="17" s="1"/>
  <c r="AK83" i="17"/>
  <c r="IR83" i="17" s="1"/>
  <c r="IP83" i="17"/>
  <c r="IA83" i="17"/>
  <c r="JA83" i="17"/>
  <c r="B84" i="17"/>
  <c r="D84" i="17"/>
  <c r="AD82" i="17"/>
  <c r="AC82" i="17"/>
  <c r="AF84" i="17" l="1"/>
  <c r="IW84" i="17" s="1"/>
  <c r="AH84" i="17"/>
  <c r="IU84" i="17" s="1"/>
  <c r="AI84" i="17"/>
  <c r="IT84" i="17" s="1"/>
  <c r="AK84" i="17"/>
  <c r="IR84" i="17" s="1"/>
  <c r="AM84" i="17"/>
  <c r="IP84" i="17" s="1"/>
  <c r="IN84" i="17"/>
  <c r="AG84" i="17"/>
  <c r="IV84" i="17" s="1"/>
  <c r="AJ84" i="17"/>
  <c r="IS84" i="17" s="1"/>
  <c r="AL84" i="17"/>
  <c r="IQ84" i="17" s="1"/>
  <c r="AN84" i="17"/>
  <c r="IO84" i="17" s="1"/>
  <c r="IA84" i="17"/>
  <c r="JA84" i="17"/>
  <c r="B85" i="17"/>
  <c r="AD83" i="17"/>
  <c r="D85" i="17"/>
  <c r="AC83" i="17"/>
  <c r="AG85" i="17" l="1"/>
  <c r="IV85" i="17" s="1"/>
  <c r="AI85" i="17"/>
  <c r="IT85" i="17" s="1"/>
  <c r="IS85" i="17"/>
  <c r="IQ85" i="17"/>
  <c r="IN85" i="17"/>
  <c r="AF85" i="17"/>
  <c r="IW85" i="17" s="1"/>
  <c r="AH85" i="17"/>
  <c r="IU85" i="17" s="1"/>
  <c r="IP85" i="17"/>
  <c r="IR85" i="17"/>
  <c r="IO85" i="17"/>
  <c r="IA85" i="17"/>
  <c r="JA85" i="17"/>
  <c r="C84" i="17"/>
  <c r="B86" i="17"/>
  <c r="B87" i="17" s="1"/>
  <c r="D87" i="17"/>
  <c r="AC84" i="17"/>
  <c r="D86" i="17"/>
  <c r="AD84" i="17"/>
  <c r="AG87" i="17" l="1"/>
  <c r="AL87" i="17"/>
  <c r="AH87" i="17"/>
  <c r="AM87" i="17"/>
  <c r="AJ87" i="17"/>
  <c r="AO87" i="17"/>
  <c r="AI87" i="17"/>
  <c r="C87" i="17"/>
  <c r="AK87" i="17"/>
  <c r="AF87" i="17"/>
  <c r="AN87" i="17"/>
  <c r="IA87" i="17"/>
  <c r="AH86" i="17"/>
  <c r="IU86" i="17" s="1"/>
  <c r="AJ86" i="17"/>
  <c r="IS86" i="17" s="1"/>
  <c r="AL86" i="17"/>
  <c r="IQ86" i="17" s="1"/>
  <c r="AO86" i="17"/>
  <c r="IN86" i="17" s="1"/>
  <c r="AF86" i="17"/>
  <c r="IW86" i="17" s="1"/>
  <c r="AI86" i="17"/>
  <c r="IT86" i="17" s="1"/>
  <c r="AM86" i="17"/>
  <c r="IP86" i="17" s="1"/>
  <c r="AG86" i="17"/>
  <c r="IV86" i="17" s="1"/>
  <c r="AK86" i="17"/>
  <c r="IR86" i="17" s="1"/>
  <c r="AN86" i="17"/>
  <c r="IO86" i="17" s="1"/>
  <c r="IA86" i="17"/>
  <c r="JA86" i="17"/>
  <c r="C234" i="3" a="1"/>
  <c r="C234" i="3" s="1"/>
  <c r="C233" i="3" a="1"/>
  <c r="C233" i="3" s="1"/>
  <c r="C232" i="3" a="1"/>
  <c r="C232" i="3" s="1"/>
  <c r="C231" i="3" a="1"/>
  <c r="C231" i="3" s="1"/>
  <c r="C230" i="3" a="1"/>
  <c r="C230" i="3" s="1"/>
  <c r="C229" i="3" a="1"/>
  <c r="C229" i="3" s="1"/>
  <c r="EV91" i="17"/>
  <c r="CN92" i="17"/>
  <c r="CN91" i="17"/>
  <c r="AD87" i="17"/>
  <c r="DH91" i="17"/>
  <c r="EV92" i="17"/>
  <c r="AD85" i="17"/>
  <c r="AP92" i="17"/>
  <c r="EB92" i="17"/>
  <c r="AP91" i="17"/>
  <c r="AC87" i="17"/>
  <c r="EB91" i="17"/>
  <c r="BT92" i="17"/>
  <c r="FP87" i="17"/>
  <c r="AD86" i="17"/>
  <c r="DH92" i="17"/>
  <c r="BT91" i="17"/>
  <c r="AC85" i="17"/>
  <c r="C65" i="17" l="1"/>
  <c r="C82" i="17"/>
  <c r="C236" i="3"/>
  <c r="AP90" i="17"/>
  <c r="BT90" i="17"/>
  <c r="CN89" i="17"/>
  <c r="CN87" i="17"/>
  <c r="EV90" i="17"/>
  <c r="DH89" i="17"/>
  <c r="DH90" i="17"/>
  <c r="CN88" i="17"/>
  <c r="AP89" i="17"/>
  <c r="EB88" i="17"/>
  <c r="EV89" i="17"/>
  <c r="EB90" i="17"/>
  <c r="DH87" i="17"/>
  <c r="CN90" i="17"/>
  <c r="BT87" i="17"/>
  <c r="BT89" i="17"/>
  <c r="AP88" i="17"/>
  <c r="EV88" i="17"/>
  <c r="AP87" i="17"/>
  <c r="DH88" i="17"/>
  <c r="EB89" i="17"/>
  <c r="EV87" i="17"/>
  <c r="BT88" i="17"/>
  <c r="AC86" i="17"/>
  <c r="EB87" i="17"/>
  <c r="BF9" i="44" l="1"/>
  <c r="BE9" i="44"/>
  <c r="BC9" i="44"/>
  <c r="BB9" i="44"/>
  <c r="AZ9" i="44"/>
  <c r="AY9" i="44"/>
  <c r="AW9" i="44"/>
  <c r="AV9" i="44"/>
  <c r="AT9" i="44"/>
  <c r="AS9" i="44"/>
  <c r="AQ9" i="44"/>
  <c r="AP9" i="44"/>
  <c r="AN9" i="44"/>
  <c r="AM9" i="44"/>
  <c r="AK9" i="44"/>
  <c r="AJ9" i="44"/>
  <c r="AH9" i="44"/>
  <c r="AG9" i="44"/>
  <c r="AB9" i="44"/>
  <c r="AA9" i="44"/>
  <c r="Y9" i="44"/>
  <c r="X9" i="44"/>
  <c r="V9" i="44"/>
  <c r="U9" i="44"/>
  <c r="S9" i="44"/>
  <c r="R9" i="44"/>
  <c r="P9" i="44"/>
  <c r="O9" i="44"/>
  <c r="M9" i="44"/>
  <c r="L9" i="44"/>
  <c r="J9" i="44"/>
  <c r="I9" i="44"/>
  <c r="G9" i="44"/>
  <c r="F9" i="44"/>
  <c r="D9" i="44"/>
  <c r="C9" i="44"/>
  <c r="BF7" i="44"/>
  <c r="BE7" i="44"/>
  <c r="BC7" i="44"/>
  <c r="BB7" i="44"/>
  <c r="AZ7" i="44"/>
  <c r="AY7" i="44"/>
  <c r="AW7" i="44"/>
  <c r="AV7" i="44"/>
  <c r="AT7" i="44"/>
  <c r="AS7" i="44"/>
  <c r="AQ7" i="44"/>
  <c r="AP7" i="44"/>
  <c r="AN7" i="44"/>
  <c r="AM7" i="44"/>
  <c r="AK7" i="44"/>
  <c r="AJ7" i="44"/>
  <c r="AH7" i="44"/>
  <c r="AG7" i="44"/>
  <c r="AB7" i="44"/>
  <c r="AA7" i="44"/>
  <c r="Y7" i="44"/>
  <c r="X7" i="44"/>
  <c r="V7" i="44"/>
  <c r="U7" i="44"/>
  <c r="S7" i="44"/>
  <c r="R7" i="44"/>
  <c r="P7" i="44"/>
  <c r="O7" i="44"/>
  <c r="M7" i="44"/>
  <c r="L7" i="44"/>
  <c r="J7" i="44"/>
  <c r="I7" i="44"/>
  <c r="G7" i="44"/>
  <c r="F7" i="44"/>
  <c r="D7" i="44"/>
  <c r="C7" i="44"/>
  <c r="Q8" i="41"/>
  <c r="T8" i="41"/>
  <c r="P8" i="41"/>
  <c r="J8" i="41"/>
  <c r="O8" i="41"/>
  <c r="N8" i="41"/>
  <c r="I8" i="41"/>
  <c r="M8" i="41"/>
  <c r="L8" i="41"/>
  <c r="C8" i="41"/>
  <c r="K8" i="41"/>
  <c r="H8" i="41"/>
  <c r="D8" i="41"/>
  <c r="E8" i="41"/>
  <c r="F8" i="41"/>
  <c r="S8" i="41"/>
  <c r="R8" i="41"/>
  <c r="G8" i="41"/>
  <c r="Q7" i="41"/>
  <c r="T7" i="41"/>
  <c r="P7" i="41"/>
  <c r="J7" i="41"/>
  <c r="O7" i="41"/>
  <c r="N7" i="41"/>
  <c r="I7" i="41"/>
  <c r="M7" i="41"/>
  <c r="L7" i="41"/>
  <c r="C7" i="41"/>
  <c r="K7" i="41"/>
  <c r="H7" i="41"/>
  <c r="D7" i="41"/>
  <c r="E7" i="41"/>
  <c r="F7" i="41"/>
  <c r="S7" i="41"/>
  <c r="R7" i="41"/>
  <c r="G7" i="41"/>
  <c r="V8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E8" i="40"/>
  <c r="B7" i="41" l="1"/>
  <c r="B8" i="41"/>
  <c r="BI3" i="44"/>
  <c r="AE3" i="44"/>
  <c r="V3" i="43" l="1"/>
  <c r="L3" i="43"/>
  <c r="C38" i="46" l="1" a="1"/>
  <c r="C38" i="46" s="1"/>
  <c r="C35" i="46" a="1"/>
  <c r="C35" i="46" s="1"/>
  <c r="C34" i="46" a="1"/>
  <c r="C34" i="46" s="1"/>
  <c r="C33" i="46" a="1"/>
  <c r="C33" i="46" s="1"/>
  <c r="C39" i="46" s="1"/>
  <c r="C31" i="46" a="1"/>
  <c r="C31" i="46" s="1"/>
  <c r="C28" i="46" a="1"/>
  <c r="C28" i="46" s="1"/>
  <c r="C27" i="46" a="1"/>
  <c r="C27" i="46" s="1"/>
  <c r="C26" i="46" a="1"/>
  <c r="C26" i="46" s="1"/>
  <c r="C24" i="46" a="1"/>
  <c r="C24" i="46" s="1"/>
  <c r="C21" i="46" a="1"/>
  <c r="C21" i="46" s="1"/>
  <c r="C20" i="46" a="1"/>
  <c r="C20" i="46" s="1"/>
  <c r="C19" i="46" a="1"/>
  <c r="C19" i="46" s="1"/>
  <c r="C17" i="46" a="1"/>
  <c r="C17" i="46" s="1"/>
  <c r="C14" i="46" a="1"/>
  <c r="C14" i="46" s="1"/>
  <c r="C13" i="46" a="1"/>
  <c r="C13" i="46" s="1"/>
  <c r="C12" i="46" a="1"/>
  <c r="C12" i="46" s="1"/>
  <c r="C10" i="46" a="1"/>
  <c r="C10" i="46" s="1"/>
  <c r="C6" i="46" a="1"/>
  <c r="C6" i="46" s="1"/>
  <c r="C5" i="46" a="1"/>
  <c r="C5" i="46" s="1"/>
  <c r="C4" i="46" a="1"/>
  <c r="C4" i="46" s="1"/>
  <c r="C3" i="46" a="1"/>
  <c r="C3" i="46" s="1"/>
  <c r="B7" i="44"/>
  <c r="B9" i="44"/>
  <c r="D21" i="46" l="1" a="1"/>
  <c r="D21" i="46" s="1"/>
  <c r="D44" i="46" a="1"/>
  <c r="D44" i="46" s="1"/>
  <c r="D41" i="46" a="1"/>
  <c r="D41" i="46" s="1"/>
  <c r="D43" i="46" a="1"/>
  <c r="D43" i="46" s="1"/>
  <c r="D42" i="46" a="1"/>
  <c r="D42" i="46" s="1"/>
  <c r="D40" i="46" a="1"/>
  <c r="D40" i="46" s="1"/>
  <c r="D45" i="46" a="1"/>
  <c r="D45" i="46" s="1"/>
  <c r="E7" i="44"/>
  <c r="C11" i="46"/>
  <c r="C18" i="46"/>
  <c r="C25" i="46"/>
  <c r="C32" i="46"/>
  <c r="D5" i="46" a="1"/>
  <c r="D5" i="46" s="1"/>
  <c r="D4" i="46" a="1"/>
  <c r="D4" i="46" s="1"/>
  <c r="D7" i="46" a="1"/>
  <c r="D7" i="46" s="1"/>
  <c r="D20" i="46" a="1"/>
  <c r="D20" i="46" s="1"/>
  <c r="D6" i="46" a="1"/>
  <c r="D6" i="46" s="1"/>
  <c r="D3" i="46" a="1"/>
  <c r="D3" i="46" s="1"/>
  <c r="Q7" i="44"/>
  <c r="AR7" i="44"/>
  <c r="BG9" i="44"/>
  <c r="H9" i="44"/>
  <c r="Z9" i="44"/>
  <c r="AU9" i="44"/>
  <c r="N9" i="44"/>
  <c r="AI9" i="44"/>
  <c r="BD9" i="44"/>
  <c r="T9" i="44"/>
  <c r="AO9" i="44"/>
  <c r="BD7" i="44"/>
  <c r="H7" i="44"/>
  <c r="T7" i="44"/>
  <c r="AI7" i="44"/>
  <c r="AU7" i="44"/>
  <c r="BG7" i="44"/>
  <c r="N7" i="44"/>
  <c r="Z7" i="44"/>
  <c r="AO7" i="44"/>
  <c r="BA7" i="44"/>
  <c r="AC7" i="44"/>
  <c r="K7" i="44"/>
  <c r="W7" i="44"/>
  <c r="AL7" i="44"/>
  <c r="AX7" i="44"/>
  <c r="BA9" i="44"/>
  <c r="E9" i="44"/>
  <c r="K9" i="44"/>
  <c r="Q9" i="44"/>
  <c r="W9" i="44"/>
  <c r="AC9" i="44"/>
  <c r="AL9" i="44"/>
  <c r="AR9" i="44"/>
  <c r="AX9" i="44"/>
  <c r="E38" i="46" a="1"/>
  <c r="E38" i="46" s="1"/>
  <c r="E31" i="46" a="1"/>
  <c r="E31" i="46" s="1"/>
  <c r="E19" i="46" a="1"/>
  <c r="E19" i="46" s="1"/>
  <c r="E10" i="46" a="1"/>
  <c r="E10" i="46" s="1"/>
  <c r="E7" i="46" a="1"/>
  <c r="E7" i="46" s="1"/>
  <c r="E24" i="46" a="1"/>
  <c r="E24" i="46" s="1"/>
  <c r="E12" i="46" a="1"/>
  <c r="E12" i="46" s="1"/>
  <c r="D13" i="46" a="1"/>
  <c r="D13" i="46" s="1"/>
  <c r="D17" i="46" a="1"/>
  <c r="D17" i="46" s="1"/>
  <c r="D10" i="46" a="1"/>
  <c r="D10" i="46" s="1"/>
  <c r="D19" i="46" a="1"/>
  <c r="D19" i="46" s="1"/>
  <c r="D38" i="46" a="1"/>
  <c r="D38" i="46" s="1"/>
  <c r="D35" i="46" a="1"/>
  <c r="D35" i="46" s="1"/>
  <c r="D34" i="46" a="1"/>
  <c r="D34" i="46" s="1"/>
  <c r="D33" i="46" a="1"/>
  <c r="D33" i="46" s="1"/>
  <c r="D31" i="46" a="1"/>
  <c r="D31" i="46" s="1"/>
  <c r="D28" i="46" a="1"/>
  <c r="D28" i="46" s="1"/>
  <c r="D26" i="46" a="1"/>
  <c r="D26" i="46" s="1"/>
  <c r="D27" i="46" a="1"/>
  <c r="D27" i="46" s="1"/>
  <c r="D24" i="46" a="1"/>
  <c r="D24" i="46" s="1"/>
  <c r="D12" i="46" a="1"/>
  <c r="D12" i="46" s="1"/>
  <c r="D14" i="46" a="1"/>
  <c r="D14" i="46" s="1"/>
  <c r="D46" i="46" l="1"/>
  <c r="E33" i="46" a="1"/>
  <c r="E33" i="46" s="1"/>
  <c r="E39" i="46" s="1"/>
  <c r="E45" i="46" a="1"/>
  <c r="E45" i="46" s="1"/>
  <c r="E40" i="46" a="1"/>
  <c r="E40" i="46" s="1"/>
  <c r="E43" i="46" a="1"/>
  <c r="E43" i="46" s="1"/>
  <c r="E44" i="46" a="1"/>
  <c r="E44" i="46" s="1"/>
  <c r="E42" i="46" a="1"/>
  <c r="E42" i="46" s="1"/>
  <c r="E41" i="46" a="1"/>
  <c r="E41" i="46" s="1"/>
  <c r="E14" i="46" a="1"/>
  <c r="E14" i="46" s="1"/>
  <c r="E18" i="46" s="1"/>
  <c r="E13" i="46" a="1"/>
  <c r="E13" i="46" s="1"/>
  <c r="E26" i="46" a="1"/>
  <c r="E26" i="46" s="1"/>
  <c r="E28" i="46" a="1"/>
  <c r="E28" i="46" s="1"/>
  <c r="F34" i="46" a="1"/>
  <c r="F34" i="46" s="1"/>
  <c r="E6" i="46" a="1"/>
  <c r="E6" i="46" s="1"/>
  <c r="E27" i="46" a="1"/>
  <c r="E27" i="46" s="1"/>
  <c r="D18" i="46"/>
  <c r="D11" i="46"/>
  <c r="D39" i="46"/>
  <c r="D25" i="46"/>
  <c r="D32" i="46"/>
  <c r="E4" i="46" a="1"/>
  <c r="E4" i="46" s="1"/>
  <c r="E5" i="46" a="1"/>
  <c r="E5" i="46" s="1"/>
  <c r="E3" i="46" a="1"/>
  <c r="E3" i="46" s="1"/>
  <c r="E20" i="46" a="1"/>
  <c r="E20" i="46" s="1"/>
  <c r="E17" i="46" a="1"/>
  <c r="E17" i="46" s="1"/>
  <c r="E21" i="46" a="1"/>
  <c r="E21" i="46" s="1"/>
  <c r="E25" i="46" s="1"/>
  <c r="E34" i="46" a="1"/>
  <c r="E34" i="46" s="1"/>
  <c r="E35" i="46" a="1"/>
  <c r="E35" i="46" s="1"/>
  <c r="F38" i="46" a="1"/>
  <c r="F38" i="46" s="1"/>
  <c r="F27" i="46" a="1"/>
  <c r="F27" i="46" s="1"/>
  <c r="F20" i="46" a="1"/>
  <c r="F20" i="46" s="1"/>
  <c r="F19" i="46" a="1"/>
  <c r="F19" i="46" s="1"/>
  <c r="F17" i="46" a="1"/>
  <c r="F17" i="46" s="1"/>
  <c r="V30" i="45"/>
  <c r="U30" i="45"/>
  <c r="T30" i="45"/>
  <c r="S30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V29" i="45"/>
  <c r="U29" i="45"/>
  <c r="T29" i="45"/>
  <c r="S29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V28" i="45"/>
  <c r="U28" i="45"/>
  <c r="T28" i="45"/>
  <c r="S28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V27" i="45"/>
  <c r="U27" i="45"/>
  <c r="T27" i="45"/>
  <c r="S27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V26" i="45"/>
  <c r="U26" i="45"/>
  <c r="T26" i="45"/>
  <c r="S26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V25" i="45"/>
  <c r="U25" i="45"/>
  <c r="T25" i="45"/>
  <c r="S25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V24" i="45"/>
  <c r="U24" i="45"/>
  <c r="T24" i="45"/>
  <c r="S24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V23" i="45"/>
  <c r="U23" i="45"/>
  <c r="T23" i="45"/>
  <c r="S23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V20" i="45"/>
  <c r="U20" i="45"/>
  <c r="T20" i="45"/>
  <c r="S20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V19" i="45"/>
  <c r="U19" i="45"/>
  <c r="T19" i="45"/>
  <c r="S19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V18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V17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V16" i="45"/>
  <c r="U16" i="45"/>
  <c r="T16" i="45"/>
  <c r="S16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V15" i="45"/>
  <c r="U15" i="45"/>
  <c r="T15" i="45"/>
  <c r="S15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V14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V13" i="45"/>
  <c r="U13" i="45"/>
  <c r="T13" i="45"/>
  <c r="S13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V12" i="45"/>
  <c r="U12" i="45"/>
  <c r="T12" i="45"/>
  <c r="S12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V11" i="45"/>
  <c r="U11" i="45"/>
  <c r="T11" i="45"/>
  <c r="S11" i="45"/>
  <c r="R11" i="45"/>
  <c r="Q11" i="45"/>
  <c r="P11" i="45"/>
  <c r="O11" i="45"/>
  <c r="N11" i="45"/>
  <c r="M11" i="45"/>
  <c r="L11" i="45"/>
  <c r="K11" i="45"/>
  <c r="J11" i="45"/>
  <c r="I11" i="45"/>
  <c r="H11" i="45"/>
  <c r="G11" i="45"/>
  <c r="F11" i="45"/>
  <c r="E11" i="45"/>
  <c r="V10" i="45"/>
  <c r="U10" i="45"/>
  <c r="T10" i="45"/>
  <c r="S10" i="45"/>
  <c r="R10" i="45"/>
  <c r="Q10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C27" i="40"/>
  <c r="C28" i="40"/>
  <c r="C85" i="17"/>
  <c r="BH9" i="44"/>
  <c r="BH7" i="44"/>
  <c r="AD9" i="44"/>
  <c r="AD7" i="44"/>
  <c r="E32" i="46" l="1"/>
  <c r="E46" i="46"/>
  <c r="F3" i="46" a="1"/>
  <c r="F3" i="46" s="1"/>
  <c r="F6" i="46" a="1"/>
  <c r="F6" i="46" s="1"/>
  <c r="F21" i="46" a="1"/>
  <c r="F21" i="46" s="1"/>
  <c r="F25" i="46" s="1"/>
  <c r="F24" i="46" a="1"/>
  <c r="F24" i="46" s="1"/>
  <c r="F33" i="46" a="1"/>
  <c r="F33" i="46" s="1"/>
  <c r="F39" i="46" s="1"/>
  <c r="F31" i="46" a="1"/>
  <c r="F31" i="46" s="1"/>
  <c r="G43" i="46" a="1"/>
  <c r="G43" i="46" s="1"/>
  <c r="G44" i="46" a="1"/>
  <c r="G44" i="46" s="1"/>
  <c r="G42" i="46" a="1"/>
  <c r="G42" i="46" s="1"/>
  <c r="G45" i="46" a="1"/>
  <c r="G45" i="46" s="1"/>
  <c r="G41" i="46" a="1"/>
  <c r="G41" i="46" s="1"/>
  <c r="G40" i="46" a="1"/>
  <c r="G40" i="46" s="1"/>
  <c r="F4" i="46" a="1"/>
  <c r="F4" i="46" s="1"/>
  <c r="F7" i="46" a="1"/>
  <c r="F7" i="46" s="1"/>
  <c r="F12" i="46" a="1"/>
  <c r="F12" i="46" s="1"/>
  <c r="F28" i="46" a="1"/>
  <c r="F28" i="46" s="1"/>
  <c r="F45" i="46" a="1"/>
  <c r="F45" i="46" s="1"/>
  <c r="F40" i="46" a="1"/>
  <c r="F40" i="46" s="1"/>
  <c r="F43" i="46" a="1"/>
  <c r="F43" i="46" s="1"/>
  <c r="F42" i="46" a="1"/>
  <c r="F42" i="46" s="1"/>
  <c r="F41" i="46" a="1"/>
  <c r="F41" i="46" s="1"/>
  <c r="F44" i="46" a="1"/>
  <c r="F44" i="46" s="1"/>
  <c r="F13" i="46" a="1"/>
  <c r="F13" i="46" s="1"/>
  <c r="F5" i="46" a="1"/>
  <c r="F5" i="46" s="1"/>
  <c r="F11" i="46" s="1"/>
  <c r="F10" i="46" a="1"/>
  <c r="F10" i="46" s="1"/>
  <c r="F14" i="46" a="1"/>
  <c r="F14" i="46" s="1"/>
  <c r="F26" i="46" a="1"/>
  <c r="F26" i="46" s="1"/>
  <c r="F35" i="46" a="1"/>
  <c r="F35" i="46" s="1"/>
  <c r="C45" i="17"/>
  <c r="C86" i="17"/>
  <c r="C43" i="17"/>
  <c r="C66" i="17"/>
  <c r="C32" i="17"/>
  <c r="C67" i="17"/>
  <c r="C72" i="17"/>
  <c r="C68" i="17"/>
  <c r="C69" i="17"/>
  <c r="E11" i="46"/>
  <c r="F9" i="46" a="1"/>
  <c r="F9" i="46" s="1"/>
  <c r="F36" i="46" a="1"/>
  <c r="F36" i="46" s="1"/>
  <c r="F29" i="46" a="1"/>
  <c r="F29" i="46" s="1"/>
  <c r="C30" i="46" a="1"/>
  <c r="C30" i="46" s="1"/>
  <c r="C23" i="46" a="1"/>
  <c r="C23" i="46" s="1"/>
  <c r="C9" i="46" a="1"/>
  <c r="C9" i="46" s="1"/>
  <c r="C37" i="46" a="1"/>
  <c r="C37" i="46" s="1"/>
  <c r="C16" i="46" a="1"/>
  <c r="C16" i="46" s="1"/>
  <c r="D9" i="46" a="1"/>
  <c r="D9" i="46" s="1"/>
  <c r="D23" i="46" a="1"/>
  <c r="D23" i="46" s="1"/>
  <c r="E23" i="46" a="1"/>
  <c r="E23" i="46" s="1"/>
  <c r="E30" i="46" a="1"/>
  <c r="E30" i="46" s="1"/>
  <c r="D30" i="46" a="1"/>
  <c r="D30" i="46" s="1"/>
  <c r="D16" i="46" a="1"/>
  <c r="D16" i="46" s="1"/>
  <c r="E37" i="46" a="1"/>
  <c r="E37" i="46" s="1"/>
  <c r="D37" i="46" a="1"/>
  <c r="D37" i="46" s="1"/>
  <c r="E9" i="46" a="1"/>
  <c r="E9" i="46" s="1"/>
  <c r="E16" i="46" a="1"/>
  <c r="E16" i="46" s="1"/>
  <c r="C29" i="46" a="1"/>
  <c r="C29" i="46" s="1"/>
  <c r="C22" i="46" a="1"/>
  <c r="C22" i="46" s="1"/>
  <c r="D8" i="46" a="1"/>
  <c r="D8" i="46" s="1"/>
  <c r="C36" i="46" a="1"/>
  <c r="C36" i="46" s="1"/>
  <c r="C8" i="46" a="1"/>
  <c r="C8" i="46" s="1"/>
  <c r="C15" i="46" a="1"/>
  <c r="C15" i="46" s="1"/>
  <c r="E36" i="46" a="1"/>
  <c r="E36" i="46" s="1"/>
  <c r="E15" i="46" a="1"/>
  <c r="E15" i="46" s="1"/>
  <c r="E29" i="46" a="1"/>
  <c r="E29" i="46" s="1"/>
  <c r="E22" i="46" a="1"/>
  <c r="E22" i="46" s="1"/>
  <c r="D15" i="46" a="1"/>
  <c r="D15" i="46" s="1"/>
  <c r="E8" i="46" a="1"/>
  <c r="E8" i="46" s="1"/>
  <c r="D22" i="46" a="1"/>
  <c r="D22" i="46" s="1"/>
  <c r="D29" i="46" a="1"/>
  <c r="D29" i="46" s="1"/>
  <c r="D36" i="46" a="1"/>
  <c r="D36" i="46" s="1"/>
  <c r="F8" i="46" a="1"/>
  <c r="F8" i="46" s="1"/>
  <c r="F30" i="46" a="1"/>
  <c r="F30" i="46" s="1"/>
  <c r="F37" i="46" a="1"/>
  <c r="F37" i="46" s="1"/>
  <c r="F15" i="46" a="1"/>
  <c r="F15" i="46" s="1"/>
  <c r="F16" i="46" a="1"/>
  <c r="F16" i="46" s="1"/>
  <c r="F23" i="46" a="1"/>
  <c r="F23" i="46" s="1"/>
  <c r="F22" i="46" a="1"/>
  <c r="F22" i="46" s="1"/>
  <c r="G38" i="46" a="1"/>
  <c r="G38" i="46" s="1"/>
  <c r="G37" i="46" a="1"/>
  <c r="G37" i="46" s="1"/>
  <c r="G36" i="46" a="1"/>
  <c r="G36" i="46" s="1"/>
  <c r="G35" i="46" a="1"/>
  <c r="G35" i="46" s="1"/>
  <c r="G34" i="46" a="1"/>
  <c r="G34" i="46" s="1"/>
  <c r="G29" i="46" a="1"/>
  <c r="G29" i="46" s="1"/>
  <c r="G31" i="46" a="1"/>
  <c r="G31" i="46" s="1"/>
  <c r="G30" i="46" a="1"/>
  <c r="G30" i="46" s="1"/>
  <c r="G28" i="46" a="1"/>
  <c r="G28" i="46" s="1"/>
  <c r="G24" i="46" a="1"/>
  <c r="G24" i="46" s="1"/>
  <c r="G22" i="46" a="1"/>
  <c r="G22" i="46" s="1"/>
  <c r="G23" i="46" a="1"/>
  <c r="G23" i="46" s="1"/>
  <c r="G16" i="46" a="1"/>
  <c r="G16" i="46" s="1"/>
  <c r="G14" i="46" a="1"/>
  <c r="G14" i="46" s="1"/>
  <c r="G12" i="46" a="1"/>
  <c r="G12" i="46" s="1"/>
  <c r="G7" i="46" a="1"/>
  <c r="G7" i="46" s="1"/>
  <c r="G33" i="46" a="1"/>
  <c r="G33" i="46" s="1"/>
  <c r="G26" i="46" a="1"/>
  <c r="G26" i="46" s="1"/>
  <c r="G21" i="46" a="1"/>
  <c r="G21" i="46" s="1"/>
  <c r="G19" i="46" a="1"/>
  <c r="G19" i="46" s="1"/>
  <c r="G10" i="46" a="1"/>
  <c r="G10" i="46" s="1"/>
  <c r="G8" i="46" a="1"/>
  <c r="G8" i="46" s="1"/>
  <c r="G6" i="46" a="1"/>
  <c r="G6" i="46" s="1"/>
  <c r="G17" i="46" a="1"/>
  <c r="G17" i="46" s="1"/>
  <c r="G15" i="46" a="1"/>
  <c r="G15" i="46" s="1"/>
  <c r="G13" i="46" a="1"/>
  <c r="G13" i="46" s="1"/>
  <c r="G27" i="46" a="1"/>
  <c r="G27" i="46" s="1"/>
  <c r="G5" i="46" a="1"/>
  <c r="G5" i="46" s="1"/>
  <c r="G4" i="46" a="1"/>
  <c r="G4" i="46" s="1"/>
  <c r="G3" i="46" a="1"/>
  <c r="G3" i="46" s="1"/>
  <c r="G20" i="46" a="1"/>
  <c r="G20" i="46" s="1"/>
  <c r="G9" i="46" a="1"/>
  <c r="G9" i="46" s="1"/>
  <c r="C22" i="40"/>
  <c r="C25" i="40"/>
  <c r="C14" i="40"/>
  <c r="C8" i="45"/>
  <c r="C26" i="40"/>
  <c r="C18" i="40"/>
  <c r="C10" i="40"/>
  <c r="C19" i="40"/>
  <c r="C20" i="40"/>
  <c r="C9" i="40"/>
  <c r="C13" i="40"/>
  <c r="C15" i="40"/>
  <c r="C16" i="40"/>
  <c r="C21" i="40"/>
  <c r="C23" i="40"/>
  <c r="C12" i="40"/>
  <c r="C17" i="40"/>
  <c r="C11" i="40"/>
  <c r="C30" i="40"/>
  <c r="C29" i="40"/>
  <c r="C24" i="40"/>
  <c r="BI7" i="44"/>
  <c r="BI9" i="44"/>
  <c r="AE9" i="44"/>
  <c r="AE7" i="44"/>
  <c r="BW55" i="17"/>
  <c r="F32" i="46" l="1"/>
  <c r="F18" i="46"/>
  <c r="G46" i="46"/>
  <c r="F46" i="46"/>
  <c r="H44" i="46" a="1"/>
  <c r="H44" i="46" s="1"/>
  <c r="H42" i="46" a="1"/>
  <c r="H42" i="46" s="1"/>
  <c r="H41" i="46" a="1"/>
  <c r="H41" i="46" s="1"/>
  <c r="H40" i="46" a="1"/>
  <c r="H40" i="46" s="1"/>
  <c r="H45" i="46" a="1"/>
  <c r="H45" i="46" s="1"/>
  <c r="H43" i="46" a="1"/>
  <c r="H43" i="46" s="1"/>
  <c r="G11" i="46"/>
  <c r="G39" i="46"/>
  <c r="G32" i="46"/>
  <c r="H38" i="46" a="1"/>
  <c r="H38" i="46" s="1"/>
  <c r="H37" i="46" a="1"/>
  <c r="H37" i="46" s="1"/>
  <c r="H36" i="46" a="1"/>
  <c r="H36" i="46" s="1"/>
  <c r="H35" i="46" a="1"/>
  <c r="H35" i="46" s="1"/>
  <c r="H34" i="46" a="1"/>
  <c r="H34" i="46" s="1"/>
  <c r="H33" i="46" a="1"/>
  <c r="H33" i="46" s="1"/>
  <c r="H31" i="46" a="1"/>
  <c r="H31" i="46" s="1"/>
  <c r="H30" i="46" a="1"/>
  <c r="H30" i="46" s="1"/>
  <c r="H28" i="46" a="1"/>
  <c r="H28" i="46" s="1"/>
  <c r="H29" i="46" a="1"/>
  <c r="H29" i="46" s="1"/>
  <c r="H27" i="46" a="1"/>
  <c r="H27" i="46" s="1"/>
  <c r="H23" i="46" a="1"/>
  <c r="H23" i="46" s="1"/>
  <c r="H26" i="46" a="1"/>
  <c r="H26" i="46" s="1"/>
  <c r="H22" i="46" a="1"/>
  <c r="H22" i="46" s="1"/>
  <c r="H17" i="46" a="1"/>
  <c r="H17" i="46" s="1"/>
  <c r="H15" i="46" a="1"/>
  <c r="H15" i="46" s="1"/>
  <c r="H13" i="46" a="1"/>
  <c r="H13" i="46" s="1"/>
  <c r="H24" i="46" a="1"/>
  <c r="H24" i="46" s="1"/>
  <c r="H20" i="46" a="1"/>
  <c r="H20" i="46" s="1"/>
  <c r="H9" i="46" a="1"/>
  <c r="H9" i="46" s="1"/>
  <c r="H16" i="46" a="1"/>
  <c r="H16" i="46" s="1"/>
  <c r="H14" i="46" a="1"/>
  <c r="H14" i="46" s="1"/>
  <c r="H12" i="46" a="1"/>
  <c r="H12" i="46" s="1"/>
  <c r="H8" i="46" a="1"/>
  <c r="H8" i="46" s="1"/>
  <c r="H5" i="46" a="1"/>
  <c r="H5" i="46" s="1"/>
  <c r="H4" i="46" a="1"/>
  <c r="H4" i="46" s="1"/>
  <c r="H3" i="46" a="1"/>
  <c r="H3" i="46" s="1"/>
  <c r="H7" i="46" a="1"/>
  <c r="H7" i="46" s="1"/>
  <c r="H6" i="46" a="1"/>
  <c r="H6" i="46" s="1"/>
  <c r="H21" i="46" a="1"/>
  <c r="H21" i="46" s="1"/>
  <c r="H19" i="46" a="1"/>
  <c r="H19" i="46" s="1"/>
  <c r="H10" i="46" a="1"/>
  <c r="H10" i="46" s="1"/>
  <c r="G18" i="46"/>
  <c r="G25" i="46"/>
  <c r="H46" i="46" l="1"/>
  <c r="I45" i="46" a="1"/>
  <c r="I45" i="46" s="1"/>
  <c r="I43" i="46" a="1"/>
  <c r="I43" i="46" s="1"/>
  <c r="I42" i="46" a="1"/>
  <c r="I42" i="46" s="1"/>
  <c r="I41" i="46" a="1"/>
  <c r="I41" i="46" s="1"/>
  <c r="I44" i="46" a="1"/>
  <c r="I44" i="46" s="1"/>
  <c r="I40" i="46" a="1"/>
  <c r="I40" i="46" s="1"/>
  <c r="H39" i="46"/>
  <c r="H32" i="46"/>
  <c r="H25" i="46"/>
  <c r="H18" i="46"/>
  <c r="H11" i="46"/>
  <c r="C82" i="3" a="1"/>
  <c r="C82" i="3" s="1"/>
  <c r="C79" i="3" a="1"/>
  <c r="C79" i="3" s="1"/>
  <c r="C78" i="3" a="1"/>
  <c r="C78" i="3" s="1"/>
  <c r="C77" i="3" a="1"/>
  <c r="C77" i="3" s="1"/>
  <c r="I46" i="46" l="1"/>
  <c r="I31" i="46" a="1"/>
  <c r="I31" i="46" s="1"/>
  <c r="I38" i="46" a="1"/>
  <c r="I38" i="46" s="1"/>
  <c r="I37" i="46" a="1"/>
  <c r="I37" i="46" s="1"/>
  <c r="I36" i="46" a="1"/>
  <c r="I36" i="46" s="1"/>
  <c r="I35" i="46" a="1"/>
  <c r="I35" i="46" s="1"/>
  <c r="I34" i="46" a="1"/>
  <c r="I34" i="46" s="1"/>
  <c r="I33" i="46" a="1"/>
  <c r="I33" i="46" s="1"/>
  <c r="I30" i="46" a="1"/>
  <c r="I30" i="46" s="1"/>
  <c r="I28" i="46" a="1"/>
  <c r="I28" i="46" s="1"/>
  <c r="I26" i="46" a="1"/>
  <c r="I26" i="46" s="1"/>
  <c r="I29" i="46" a="1"/>
  <c r="I29" i="46" s="1"/>
  <c r="I27" i="46" a="1"/>
  <c r="I27" i="46" s="1"/>
  <c r="I24" i="46" a="1"/>
  <c r="I24" i="46" s="1"/>
  <c r="I22" i="46" a="1"/>
  <c r="I22" i="46" s="1"/>
  <c r="I23" i="46" a="1"/>
  <c r="I23" i="46" s="1"/>
  <c r="I21" i="46" a="1"/>
  <c r="I21" i="46" s="1"/>
  <c r="I19" i="46" a="1"/>
  <c r="I19" i="46" s="1"/>
  <c r="I10" i="46" a="1"/>
  <c r="I10" i="46" s="1"/>
  <c r="I8" i="46" a="1"/>
  <c r="I8" i="46" s="1"/>
  <c r="I17" i="46" a="1"/>
  <c r="I17" i="46" s="1"/>
  <c r="I15" i="46" a="1"/>
  <c r="I15" i="46" s="1"/>
  <c r="I13" i="46" a="1"/>
  <c r="I13" i="46" s="1"/>
  <c r="I20" i="46" a="1"/>
  <c r="I20" i="46" s="1"/>
  <c r="I9" i="46" a="1"/>
  <c r="I9" i="46" s="1"/>
  <c r="I14" i="46" a="1"/>
  <c r="I14" i="46" s="1"/>
  <c r="I6" i="46" a="1"/>
  <c r="I6" i="46" s="1"/>
  <c r="I16" i="46" a="1"/>
  <c r="I16" i="46" s="1"/>
  <c r="I12" i="46" a="1"/>
  <c r="I12" i="46" s="1"/>
  <c r="I7" i="46" a="1"/>
  <c r="I7" i="46" s="1"/>
  <c r="I5" i="46" a="1"/>
  <c r="I5" i="46" s="1"/>
  <c r="I4" i="46" a="1"/>
  <c r="I4" i="46" s="1"/>
  <c r="I3" i="46" a="1"/>
  <c r="I3" i="46" s="1"/>
  <c r="C84" i="3"/>
  <c r="BJ7" i="44"/>
  <c r="BJ9" i="44"/>
  <c r="AF7" i="44"/>
  <c r="AF9" i="44"/>
  <c r="C81" i="3" a="1"/>
  <c r="C81" i="3" s="1"/>
  <c r="C80" i="3" a="1"/>
  <c r="C80" i="3" s="1"/>
  <c r="J45" i="46" l="1" a="1"/>
  <c r="J45" i="46" s="1"/>
  <c r="J43" i="46" a="1"/>
  <c r="J43" i="46" s="1"/>
  <c r="J40" i="46" a="1"/>
  <c r="J40" i="46" s="1"/>
  <c r="J42" i="46" a="1"/>
  <c r="J42" i="46" s="1"/>
  <c r="J41" i="46" a="1"/>
  <c r="J41" i="46" s="1"/>
  <c r="J44" i="46" a="1"/>
  <c r="J44" i="46" s="1"/>
  <c r="I18" i="46"/>
  <c r="I39" i="46"/>
  <c r="I32" i="46"/>
  <c r="I11" i="46"/>
  <c r="J38" i="46" a="1"/>
  <c r="J38" i="46" s="1"/>
  <c r="J37" i="46" a="1"/>
  <c r="J37" i="46" s="1"/>
  <c r="J36" i="46" a="1"/>
  <c r="J36" i="46" s="1"/>
  <c r="J35" i="46" a="1"/>
  <c r="J35" i="46" s="1"/>
  <c r="J34" i="46" a="1"/>
  <c r="J34" i="46" s="1"/>
  <c r="J31" i="46" a="1"/>
  <c r="J31" i="46" s="1"/>
  <c r="J30" i="46" a="1"/>
  <c r="J30" i="46" s="1"/>
  <c r="J28" i="46" a="1"/>
  <c r="J28" i="46" s="1"/>
  <c r="J33" i="46" a="1"/>
  <c r="J33" i="46" s="1"/>
  <c r="J29" i="46" a="1"/>
  <c r="J29" i="46" s="1"/>
  <c r="J27" i="46" a="1"/>
  <c r="J27" i="46" s="1"/>
  <c r="J23" i="46" a="1"/>
  <c r="J23" i="46" s="1"/>
  <c r="J24" i="46" a="1"/>
  <c r="J24" i="46" s="1"/>
  <c r="J26" i="46" a="1"/>
  <c r="J26" i="46" s="1"/>
  <c r="J17" i="46" a="1"/>
  <c r="J17" i="46" s="1"/>
  <c r="J15" i="46" a="1"/>
  <c r="J15" i="46" s="1"/>
  <c r="J13" i="46" a="1"/>
  <c r="J13" i="46" s="1"/>
  <c r="J7" i="46" a="1"/>
  <c r="J7" i="46" s="1"/>
  <c r="J6" i="46" a="1"/>
  <c r="J6" i="46" s="1"/>
  <c r="J22" i="46" a="1"/>
  <c r="J22" i="46" s="1"/>
  <c r="J20" i="46" a="1"/>
  <c r="J20" i="46" s="1"/>
  <c r="J9" i="46" a="1"/>
  <c r="J9" i="46" s="1"/>
  <c r="J16" i="46" a="1"/>
  <c r="J16" i="46" s="1"/>
  <c r="J14" i="46" a="1"/>
  <c r="J14" i="46" s="1"/>
  <c r="J12" i="46" a="1"/>
  <c r="J12" i="46" s="1"/>
  <c r="J5" i="46" a="1"/>
  <c r="J5" i="46" s="1"/>
  <c r="J4" i="46" a="1"/>
  <c r="J4" i="46" s="1"/>
  <c r="J3" i="46" a="1"/>
  <c r="J3" i="46" s="1"/>
  <c r="J21" i="46" a="1"/>
  <c r="J21" i="46" s="1"/>
  <c r="J19" i="46" a="1"/>
  <c r="J19" i="46" s="1"/>
  <c r="J10" i="46" a="1"/>
  <c r="J10" i="46" s="1"/>
  <c r="J8" i="46" a="1"/>
  <c r="J8" i="46" s="1"/>
  <c r="I25" i="46"/>
  <c r="J46" i="46" l="1"/>
  <c r="K44" i="46" a="1"/>
  <c r="K44" i="46" s="1"/>
  <c r="K41" i="46" a="1"/>
  <c r="K41" i="46" s="1"/>
  <c r="K43" i="46" a="1"/>
  <c r="K43" i="46" s="1"/>
  <c r="K42" i="46" a="1"/>
  <c r="K42" i="46" s="1"/>
  <c r="K45" i="46" a="1"/>
  <c r="K45" i="46" s="1"/>
  <c r="K40" i="46" a="1"/>
  <c r="K40" i="46" s="1"/>
  <c r="J11" i="46"/>
  <c r="J39" i="46"/>
  <c r="J25" i="46"/>
  <c r="J32" i="46"/>
  <c r="J18" i="46"/>
  <c r="K38" i="46" a="1"/>
  <c r="K38" i="46" s="1"/>
  <c r="K37" i="46" a="1"/>
  <c r="K37" i="46" s="1"/>
  <c r="K36" i="46" a="1"/>
  <c r="K36" i="46" s="1"/>
  <c r="K35" i="46" a="1"/>
  <c r="K35" i="46" s="1"/>
  <c r="K34" i="46" a="1"/>
  <c r="K34" i="46" s="1"/>
  <c r="K33" i="46" a="1"/>
  <c r="K33" i="46" s="1"/>
  <c r="K31" i="46" a="1"/>
  <c r="K31" i="46" s="1"/>
  <c r="K29" i="46" a="1"/>
  <c r="K29" i="46" s="1"/>
  <c r="K30" i="46" a="1"/>
  <c r="K30" i="46" s="1"/>
  <c r="K28" i="46" a="1"/>
  <c r="K28" i="46" s="1"/>
  <c r="K26" i="46" a="1"/>
  <c r="K26" i="46" s="1"/>
  <c r="K24" i="46" a="1"/>
  <c r="K24" i="46" s="1"/>
  <c r="K22" i="46" a="1"/>
  <c r="K22" i="46" s="1"/>
  <c r="K23" i="46" a="1"/>
  <c r="K23" i="46" s="1"/>
  <c r="K16" i="46" a="1"/>
  <c r="K16" i="46" s="1"/>
  <c r="K14" i="46" a="1"/>
  <c r="K14" i="46" s="1"/>
  <c r="K12" i="46" a="1"/>
  <c r="K12" i="46" s="1"/>
  <c r="K21" i="46" a="1"/>
  <c r="K21" i="46" s="1"/>
  <c r="K19" i="46" a="1"/>
  <c r="K19" i="46" s="1"/>
  <c r="K10" i="46" a="1"/>
  <c r="K10" i="46" s="1"/>
  <c r="K8" i="46" a="1"/>
  <c r="K8" i="46" s="1"/>
  <c r="K27" i="46" a="1"/>
  <c r="K27" i="46" s="1"/>
  <c r="K17" i="46" a="1"/>
  <c r="K17" i="46" s="1"/>
  <c r="K15" i="46" a="1"/>
  <c r="K15" i="46" s="1"/>
  <c r="K13" i="46" a="1"/>
  <c r="K13" i="46" s="1"/>
  <c r="K6" i="46" a="1"/>
  <c r="K6" i="46" s="1"/>
  <c r="K5" i="46" a="1"/>
  <c r="K5" i="46" s="1"/>
  <c r="K4" i="46" a="1"/>
  <c r="K4" i="46" s="1"/>
  <c r="K3" i="46" a="1"/>
  <c r="K3" i="46" s="1"/>
  <c r="K20" i="46" a="1"/>
  <c r="K20" i="46" s="1"/>
  <c r="K9" i="46" a="1"/>
  <c r="K9" i="46" s="1"/>
  <c r="K7" i="46" a="1"/>
  <c r="K7" i="46" s="1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8" i="43"/>
  <c r="B6" i="43"/>
  <c r="K46" i="46" l="1"/>
  <c r="L44" i="46" a="1"/>
  <c r="L44" i="46" s="1"/>
  <c r="L41" i="46" a="1"/>
  <c r="L41" i="46" s="1"/>
  <c r="L42" i="46" a="1"/>
  <c r="L42" i="46" s="1"/>
  <c r="L40" i="46" a="1"/>
  <c r="L40" i="46" s="1"/>
  <c r="L45" i="46" a="1"/>
  <c r="L45" i="46" s="1"/>
  <c r="L43" i="46" a="1"/>
  <c r="L43" i="46" s="1"/>
  <c r="U58" i="43"/>
  <c r="Q58" i="43"/>
  <c r="M58" i="43"/>
  <c r="H58" i="43"/>
  <c r="D58" i="43"/>
  <c r="T58" i="43"/>
  <c r="P58" i="43"/>
  <c r="K58" i="43"/>
  <c r="G58" i="43"/>
  <c r="C58" i="43"/>
  <c r="S58" i="43"/>
  <c r="O58" i="43"/>
  <c r="J58" i="43"/>
  <c r="F58" i="43"/>
  <c r="E58" i="43"/>
  <c r="R58" i="43"/>
  <c r="N58" i="43"/>
  <c r="I58" i="43"/>
  <c r="U60" i="43"/>
  <c r="Q60" i="43"/>
  <c r="M60" i="43"/>
  <c r="H60" i="43"/>
  <c r="D60" i="43"/>
  <c r="T60" i="43"/>
  <c r="P60" i="43"/>
  <c r="K60" i="43"/>
  <c r="G60" i="43"/>
  <c r="C60" i="43"/>
  <c r="S60" i="43"/>
  <c r="O60" i="43"/>
  <c r="J60" i="43"/>
  <c r="F60" i="43"/>
  <c r="R60" i="43"/>
  <c r="N60" i="43"/>
  <c r="I60" i="43"/>
  <c r="E60" i="43"/>
  <c r="U56" i="43"/>
  <c r="Q56" i="43"/>
  <c r="M56" i="43"/>
  <c r="H56" i="43"/>
  <c r="D56" i="43"/>
  <c r="T56" i="43"/>
  <c r="P56" i="43"/>
  <c r="K56" i="43"/>
  <c r="G56" i="43"/>
  <c r="C56" i="43"/>
  <c r="S56" i="43"/>
  <c r="O56" i="43"/>
  <c r="J56" i="43"/>
  <c r="F56" i="43"/>
  <c r="I56" i="43"/>
  <c r="E56" i="43"/>
  <c r="R56" i="43"/>
  <c r="N56" i="43"/>
  <c r="U52" i="43"/>
  <c r="Q52" i="43"/>
  <c r="M52" i="43"/>
  <c r="H52" i="43"/>
  <c r="D52" i="43"/>
  <c r="T52" i="43"/>
  <c r="P52" i="43"/>
  <c r="K52" i="43"/>
  <c r="G52" i="43"/>
  <c r="C52" i="43"/>
  <c r="S52" i="43"/>
  <c r="O52" i="43"/>
  <c r="J52" i="43"/>
  <c r="F52" i="43"/>
  <c r="R52" i="43"/>
  <c r="N52" i="43"/>
  <c r="I52" i="43"/>
  <c r="E52" i="43"/>
  <c r="U48" i="43"/>
  <c r="Q48" i="43"/>
  <c r="M48" i="43"/>
  <c r="H48" i="43"/>
  <c r="D48" i="43"/>
  <c r="T48" i="43"/>
  <c r="P48" i="43"/>
  <c r="K48" i="43"/>
  <c r="G48" i="43"/>
  <c r="C48" i="43"/>
  <c r="S48" i="43"/>
  <c r="O48" i="43"/>
  <c r="J48" i="43"/>
  <c r="F48" i="43"/>
  <c r="I48" i="43"/>
  <c r="E48" i="43"/>
  <c r="R48" i="43"/>
  <c r="N48" i="43"/>
  <c r="U44" i="43"/>
  <c r="Q44" i="43"/>
  <c r="M44" i="43"/>
  <c r="H44" i="43"/>
  <c r="D44" i="43"/>
  <c r="S44" i="43"/>
  <c r="P44" i="43"/>
  <c r="J44" i="43"/>
  <c r="E44" i="43"/>
  <c r="O44" i="43"/>
  <c r="I44" i="43"/>
  <c r="C44" i="43"/>
  <c r="T44" i="43"/>
  <c r="N44" i="43"/>
  <c r="G44" i="43"/>
  <c r="R44" i="43"/>
  <c r="K44" i="43"/>
  <c r="F44" i="43"/>
  <c r="S59" i="43"/>
  <c r="O59" i="43"/>
  <c r="J59" i="43"/>
  <c r="F59" i="43"/>
  <c r="R59" i="43"/>
  <c r="N59" i="43"/>
  <c r="I59" i="43"/>
  <c r="E59" i="43"/>
  <c r="U59" i="43"/>
  <c r="Q59" i="43"/>
  <c r="M59" i="43"/>
  <c r="H59" i="43"/>
  <c r="D59" i="43"/>
  <c r="T59" i="43"/>
  <c r="C59" i="43"/>
  <c r="P59" i="43"/>
  <c r="K59" i="43"/>
  <c r="G59" i="43"/>
  <c r="S55" i="43"/>
  <c r="O55" i="43"/>
  <c r="J55" i="43"/>
  <c r="F55" i="43"/>
  <c r="R55" i="43"/>
  <c r="N55" i="43"/>
  <c r="I55" i="43"/>
  <c r="E55" i="43"/>
  <c r="U55" i="43"/>
  <c r="Q55" i="43"/>
  <c r="M55" i="43"/>
  <c r="H55" i="43"/>
  <c r="D55" i="43"/>
  <c r="K55" i="43"/>
  <c r="G55" i="43"/>
  <c r="T55" i="43"/>
  <c r="C55" i="43"/>
  <c r="P55" i="43"/>
  <c r="S51" i="43"/>
  <c r="O51" i="43"/>
  <c r="J51" i="43"/>
  <c r="F51" i="43"/>
  <c r="R51" i="43"/>
  <c r="N51" i="43"/>
  <c r="I51" i="43"/>
  <c r="E51" i="43"/>
  <c r="U51" i="43"/>
  <c r="Q51" i="43"/>
  <c r="M51" i="43"/>
  <c r="H51" i="43"/>
  <c r="D51" i="43"/>
  <c r="T51" i="43"/>
  <c r="C51" i="43"/>
  <c r="P51" i="43"/>
  <c r="K51" i="43"/>
  <c r="G51" i="43"/>
  <c r="S47" i="43"/>
  <c r="O47" i="43"/>
  <c r="J47" i="43"/>
  <c r="F47" i="43"/>
  <c r="R47" i="43"/>
  <c r="N47" i="43"/>
  <c r="I47" i="43"/>
  <c r="E47" i="43"/>
  <c r="U47" i="43"/>
  <c r="Q47" i="43"/>
  <c r="M47" i="43"/>
  <c r="H47" i="43"/>
  <c r="D47" i="43"/>
  <c r="K47" i="43"/>
  <c r="G47" i="43"/>
  <c r="T47" i="43"/>
  <c r="C47" i="43"/>
  <c r="P47" i="43"/>
  <c r="S43" i="43"/>
  <c r="O43" i="43"/>
  <c r="J43" i="43"/>
  <c r="F43" i="43"/>
  <c r="R43" i="43"/>
  <c r="M43" i="43"/>
  <c r="G43" i="43"/>
  <c r="Q43" i="43"/>
  <c r="K43" i="43"/>
  <c r="E43" i="43"/>
  <c r="U43" i="43"/>
  <c r="P43" i="43"/>
  <c r="I43" i="43"/>
  <c r="D43" i="43"/>
  <c r="T43" i="43"/>
  <c r="N43" i="43"/>
  <c r="H43" i="43"/>
  <c r="C43" i="43"/>
  <c r="U54" i="43"/>
  <c r="Q54" i="43"/>
  <c r="M54" i="43"/>
  <c r="H54" i="43"/>
  <c r="D54" i="43"/>
  <c r="T54" i="43"/>
  <c r="P54" i="43"/>
  <c r="K54" i="43"/>
  <c r="G54" i="43"/>
  <c r="C54" i="43"/>
  <c r="S54" i="43"/>
  <c r="O54" i="43"/>
  <c r="J54" i="43"/>
  <c r="F54" i="43"/>
  <c r="N54" i="43"/>
  <c r="I54" i="43"/>
  <c r="E54" i="43"/>
  <c r="R54" i="43"/>
  <c r="U50" i="43"/>
  <c r="Q50" i="43"/>
  <c r="M50" i="43"/>
  <c r="H50" i="43"/>
  <c r="D50" i="43"/>
  <c r="T50" i="43"/>
  <c r="P50" i="43"/>
  <c r="K50" i="43"/>
  <c r="G50" i="43"/>
  <c r="C50" i="43"/>
  <c r="S50" i="43"/>
  <c r="O50" i="43"/>
  <c r="J50" i="43"/>
  <c r="F50" i="43"/>
  <c r="E50" i="43"/>
  <c r="R50" i="43"/>
  <c r="N50" i="43"/>
  <c r="I50" i="43"/>
  <c r="U46" i="43"/>
  <c r="Q46" i="43"/>
  <c r="M46" i="43"/>
  <c r="H46" i="43"/>
  <c r="D46" i="43"/>
  <c r="T46" i="43"/>
  <c r="P46" i="43"/>
  <c r="K46" i="43"/>
  <c r="S46" i="43"/>
  <c r="O46" i="43"/>
  <c r="J46" i="43"/>
  <c r="F46" i="43"/>
  <c r="N46" i="43"/>
  <c r="C46" i="43"/>
  <c r="I46" i="43"/>
  <c r="G46" i="43"/>
  <c r="R46" i="43"/>
  <c r="E46" i="43"/>
  <c r="U42" i="43"/>
  <c r="Q42" i="43"/>
  <c r="M42" i="43"/>
  <c r="H42" i="43"/>
  <c r="T42" i="43"/>
  <c r="O42" i="43"/>
  <c r="I42" i="43"/>
  <c r="D42" i="43"/>
  <c r="S42" i="43"/>
  <c r="N42" i="43"/>
  <c r="G42" i="43"/>
  <c r="C42" i="43"/>
  <c r="R42" i="43"/>
  <c r="K42" i="43"/>
  <c r="F42" i="43"/>
  <c r="P42" i="43"/>
  <c r="J42" i="43"/>
  <c r="E42" i="43"/>
  <c r="U6" i="43"/>
  <c r="Q6" i="43"/>
  <c r="M6" i="43"/>
  <c r="H6" i="43"/>
  <c r="D6" i="43"/>
  <c r="T6" i="43"/>
  <c r="P6" i="43"/>
  <c r="K6" i="43"/>
  <c r="G6" i="43"/>
  <c r="C6" i="43"/>
  <c r="S6" i="43"/>
  <c r="O6" i="43"/>
  <c r="J6" i="43"/>
  <c r="F6" i="43"/>
  <c r="R6" i="43"/>
  <c r="N6" i="43"/>
  <c r="I6" i="43"/>
  <c r="E6" i="43"/>
  <c r="S57" i="43"/>
  <c r="O57" i="43"/>
  <c r="J57" i="43"/>
  <c r="F57" i="43"/>
  <c r="R57" i="43"/>
  <c r="N57" i="43"/>
  <c r="I57" i="43"/>
  <c r="E57" i="43"/>
  <c r="U57" i="43"/>
  <c r="Q57" i="43"/>
  <c r="M57" i="43"/>
  <c r="H57" i="43"/>
  <c r="D57" i="43"/>
  <c r="G57" i="43"/>
  <c r="T57" i="43"/>
  <c r="C57" i="43"/>
  <c r="P57" i="43"/>
  <c r="K57" i="43"/>
  <c r="S53" i="43"/>
  <c r="O53" i="43"/>
  <c r="J53" i="43"/>
  <c r="F53" i="43"/>
  <c r="R53" i="43"/>
  <c r="N53" i="43"/>
  <c r="I53" i="43"/>
  <c r="E53" i="43"/>
  <c r="U53" i="43"/>
  <c r="Q53" i="43"/>
  <c r="M53" i="43"/>
  <c r="H53" i="43"/>
  <c r="D53" i="43"/>
  <c r="P53" i="43"/>
  <c r="K53" i="43"/>
  <c r="G53" i="43"/>
  <c r="T53" i="43"/>
  <c r="C53" i="43"/>
  <c r="S49" i="43"/>
  <c r="O49" i="43"/>
  <c r="J49" i="43"/>
  <c r="F49" i="43"/>
  <c r="R49" i="43"/>
  <c r="N49" i="43"/>
  <c r="I49" i="43"/>
  <c r="E49" i="43"/>
  <c r="U49" i="43"/>
  <c r="Q49" i="43"/>
  <c r="M49" i="43"/>
  <c r="H49" i="43"/>
  <c r="D49" i="43"/>
  <c r="G49" i="43"/>
  <c r="T49" i="43"/>
  <c r="C49" i="43"/>
  <c r="P49" i="43"/>
  <c r="K49" i="43"/>
  <c r="S45" i="43"/>
  <c r="O45" i="43"/>
  <c r="J45" i="43"/>
  <c r="F45" i="43"/>
  <c r="U45" i="43"/>
  <c r="Q45" i="43"/>
  <c r="M45" i="43"/>
  <c r="H45" i="43"/>
  <c r="D45" i="43"/>
  <c r="N45" i="43"/>
  <c r="E45" i="43"/>
  <c r="T45" i="43"/>
  <c r="K45" i="43"/>
  <c r="C45" i="43"/>
  <c r="R45" i="43"/>
  <c r="I45" i="43"/>
  <c r="P45" i="43"/>
  <c r="G45" i="43"/>
  <c r="S41" i="43"/>
  <c r="O41" i="43"/>
  <c r="J41" i="43"/>
  <c r="F41" i="43"/>
  <c r="R41" i="43"/>
  <c r="N41" i="43"/>
  <c r="I41" i="43"/>
  <c r="E41" i="43"/>
  <c r="U41" i="43"/>
  <c r="Q41" i="43"/>
  <c r="M41" i="43"/>
  <c r="H41" i="43"/>
  <c r="D41" i="43"/>
  <c r="T41" i="43"/>
  <c r="P41" i="43"/>
  <c r="K41" i="43"/>
  <c r="G41" i="43"/>
  <c r="C41" i="43"/>
  <c r="U40" i="43"/>
  <c r="Q40" i="43"/>
  <c r="M40" i="43"/>
  <c r="H40" i="43"/>
  <c r="D40" i="43"/>
  <c r="T40" i="43"/>
  <c r="P40" i="43"/>
  <c r="K40" i="43"/>
  <c r="G40" i="43"/>
  <c r="C40" i="43"/>
  <c r="S40" i="43"/>
  <c r="O40" i="43"/>
  <c r="J40" i="43"/>
  <c r="F40" i="43"/>
  <c r="R40" i="43"/>
  <c r="N40" i="43"/>
  <c r="I40" i="43"/>
  <c r="E40" i="43"/>
  <c r="U36" i="43"/>
  <c r="Q36" i="43"/>
  <c r="M36" i="43"/>
  <c r="H36" i="43"/>
  <c r="D36" i="43"/>
  <c r="T36" i="43"/>
  <c r="P36" i="43"/>
  <c r="K36" i="43"/>
  <c r="G36" i="43"/>
  <c r="C36" i="43"/>
  <c r="S36" i="43"/>
  <c r="O36" i="43"/>
  <c r="J36" i="43"/>
  <c r="F36" i="43"/>
  <c r="R36" i="43"/>
  <c r="N36" i="43"/>
  <c r="I36" i="43"/>
  <c r="E36" i="43"/>
  <c r="U32" i="43"/>
  <c r="Q32" i="43"/>
  <c r="M32" i="43"/>
  <c r="H32" i="43"/>
  <c r="D32" i="43"/>
  <c r="T32" i="43"/>
  <c r="P32" i="43"/>
  <c r="K32" i="43"/>
  <c r="G32" i="43"/>
  <c r="C32" i="43"/>
  <c r="S32" i="43"/>
  <c r="O32" i="43"/>
  <c r="J32" i="43"/>
  <c r="F32" i="43"/>
  <c r="R32" i="43"/>
  <c r="N32" i="43"/>
  <c r="I32" i="43"/>
  <c r="E32" i="43"/>
  <c r="U28" i="43"/>
  <c r="Q28" i="43"/>
  <c r="M28" i="43"/>
  <c r="H28" i="43"/>
  <c r="D28" i="43"/>
  <c r="T28" i="43"/>
  <c r="P28" i="43"/>
  <c r="K28" i="43"/>
  <c r="G28" i="43"/>
  <c r="C28" i="43"/>
  <c r="S28" i="43"/>
  <c r="O28" i="43"/>
  <c r="J28" i="43"/>
  <c r="F28" i="43"/>
  <c r="R28" i="43"/>
  <c r="N28" i="43"/>
  <c r="I28" i="43"/>
  <c r="E28" i="43"/>
  <c r="U24" i="43"/>
  <c r="Q24" i="43"/>
  <c r="M24" i="43"/>
  <c r="H24" i="43"/>
  <c r="D24" i="43"/>
  <c r="T24" i="43"/>
  <c r="P24" i="43"/>
  <c r="K24" i="43"/>
  <c r="G24" i="43"/>
  <c r="C24" i="43"/>
  <c r="S24" i="43"/>
  <c r="O24" i="43"/>
  <c r="J24" i="43"/>
  <c r="F24" i="43"/>
  <c r="R24" i="43"/>
  <c r="N24" i="43"/>
  <c r="I24" i="43"/>
  <c r="E24" i="43"/>
  <c r="R20" i="43"/>
  <c r="N20" i="43"/>
  <c r="I20" i="43"/>
  <c r="E20" i="43"/>
  <c r="U20" i="43"/>
  <c r="Q20" i="43"/>
  <c r="M20" i="43"/>
  <c r="H20" i="43"/>
  <c r="D20" i="43"/>
  <c r="T20" i="43"/>
  <c r="P20" i="43"/>
  <c r="K20" i="43"/>
  <c r="G20" i="43"/>
  <c r="C20" i="43"/>
  <c r="S20" i="43"/>
  <c r="O20" i="43"/>
  <c r="J20" i="43"/>
  <c r="F20" i="43"/>
  <c r="R16" i="43"/>
  <c r="N16" i="43"/>
  <c r="I16" i="43"/>
  <c r="E16" i="43"/>
  <c r="U16" i="43"/>
  <c r="Q16" i="43"/>
  <c r="M16" i="43"/>
  <c r="H16" i="43"/>
  <c r="D16" i="43"/>
  <c r="T16" i="43"/>
  <c r="P16" i="43"/>
  <c r="K16" i="43"/>
  <c r="G16" i="43"/>
  <c r="C16" i="43"/>
  <c r="S16" i="43"/>
  <c r="O16" i="43"/>
  <c r="J16" i="43"/>
  <c r="F16" i="43"/>
  <c r="R12" i="43"/>
  <c r="N12" i="43"/>
  <c r="I12" i="43"/>
  <c r="E12" i="43"/>
  <c r="U12" i="43"/>
  <c r="Q12" i="43"/>
  <c r="M12" i="43"/>
  <c r="H12" i="43"/>
  <c r="D12" i="43"/>
  <c r="T12" i="43"/>
  <c r="P12" i="43"/>
  <c r="K12" i="43"/>
  <c r="G12" i="43"/>
  <c r="C12" i="43"/>
  <c r="S12" i="43"/>
  <c r="O12" i="43"/>
  <c r="J12" i="43"/>
  <c r="F12" i="43"/>
  <c r="S39" i="43"/>
  <c r="O39" i="43"/>
  <c r="J39" i="43"/>
  <c r="F39" i="43"/>
  <c r="R39" i="43"/>
  <c r="N39" i="43"/>
  <c r="I39" i="43"/>
  <c r="E39" i="43"/>
  <c r="U39" i="43"/>
  <c r="Q39" i="43"/>
  <c r="M39" i="43"/>
  <c r="H39" i="43"/>
  <c r="D39" i="43"/>
  <c r="T39" i="43"/>
  <c r="P39" i="43"/>
  <c r="K39" i="43"/>
  <c r="G39" i="43"/>
  <c r="C39" i="43"/>
  <c r="S35" i="43"/>
  <c r="O35" i="43"/>
  <c r="J35" i="43"/>
  <c r="F35" i="43"/>
  <c r="R35" i="43"/>
  <c r="N35" i="43"/>
  <c r="I35" i="43"/>
  <c r="E35" i="43"/>
  <c r="U35" i="43"/>
  <c r="Q35" i="43"/>
  <c r="M35" i="43"/>
  <c r="H35" i="43"/>
  <c r="D35" i="43"/>
  <c r="T35" i="43"/>
  <c r="P35" i="43"/>
  <c r="K35" i="43"/>
  <c r="G35" i="43"/>
  <c r="C35" i="43"/>
  <c r="S31" i="43"/>
  <c r="O31" i="43"/>
  <c r="J31" i="43"/>
  <c r="F31" i="43"/>
  <c r="R31" i="43"/>
  <c r="N31" i="43"/>
  <c r="I31" i="43"/>
  <c r="E31" i="43"/>
  <c r="U31" i="43"/>
  <c r="Q31" i="43"/>
  <c r="M31" i="43"/>
  <c r="H31" i="43"/>
  <c r="D31" i="43"/>
  <c r="T31" i="43"/>
  <c r="P31" i="43"/>
  <c r="K31" i="43"/>
  <c r="G31" i="43"/>
  <c r="C31" i="43"/>
  <c r="S27" i="43"/>
  <c r="O27" i="43"/>
  <c r="J27" i="43"/>
  <c r="F27" i="43"/>
  <c r="R27" i="43"/>
  <c r="N27" i="43"/>
  <c r="I27" i="43"/>
  <c r="E27" i="43"/>
  <c r="U27" i="43"/>
  <c r="Q27" i="43"/>
  <c r="M27" i="43"/>
  <c r="H27" i="43"/>
  <c r="D27" i="43"/>
  <c r="T27" i="43"/>
  <c r="P27" i="43"/>
  <c r="K27" i="43"/>
  <c r="G27" i="43"/>
  <c r="C27" i="43"/>
  <c r="S23" i="43"/>
  <c r="O23" i="43"/>
  <c r="J23" i="43"/>
  <c r="F23" i="43"/>
  <c r="R23" i="43"/>
  <c r="N23" i="43"/>
  <c r="I23" i="43"/>
  <c r="E23" i="43"/>
  <c r="U23" i="43"/>
  <c r="Q23" i="43"/>
  <c r="M23" i="43"/>
  <c r="H23" i="43"/>
  <c r="T23" i="43"/>
  <c r="P23" i="43"/>
  <c r="K23" i="43"/>
  <c r="G23" i="43"/>
  <c r="C23" i="43"/>
  <c r="D23" i="43"/>
  <c r="T19" i="43"/>
  <c r="P19" i="43"/>
  <c r="K19" i="43"/>
  <c r="G19" i="43"/>
  <c r="C19" i="43"/>
  <c r="S19" i="43"/>
  <c r="O19" i="43"/>
  <c r="J19" i="43"/>
  <c r="F19" i="43"/>
  <c r="R19" i="43"/>
  <c r="N19" i="43"/>
  <c r="I19" i="43"/>
  <c r="E19" i="43"/>
  <c r="U19" i="43"/>
  <c r="Q19" i="43"/>
  <c r="M19" i="43"/>
  <c r="H19" i="43"/>
  <c r="D19" i="43"/>
  <c r="T15" i="43"/>
  <c r="P15" i="43"/>
  <c r="K15" i="43"/>
  <c r="G15" i="43"/>
  <c r="C15" i="43"/>
  <c r="S15" i="43"/>
  <c r="O15" i="43"/>
  <c r="J15" i="43"/>
  <c r="F15" i="43"/>
  <c r="R15" i="43"/>
  <c r="N15" i="43"/>
  <c r="I15" i="43"/>
  <c r="E15" i="43"/>
  <c r="U15" i="43"/>
  <c r="Q15" i="43"/>
  <c r="M15" i="43"/>
  <c r="H15" i="43"/>
  <c r="D15" i="43"/>
  <c r="T11" i="43"/>
  <c r="P11" i="43"/>
  <c r="K11" i="43"/>
  <c r="G11" i="43"/>
  <c r="C11" i="43"/>
  <c r="S11" i="43"/>
  <c r="O11" i="43"/>
  <c r="J11" i="43"/>
  <c r="F11" i="43"/>
  <c r="R11" i="43"/>
  <c r="N11" i="43"/>
  <c r="I11" i="43"/>
  <c r="E11" i="43"/>
  <c r="U11" i="43"/>
  <c r="Q11" i="43"/>
  <c r="M11" i="43"/>
  <c r="H11" i="43"/>
  <c r="D11" i="43"/>
  <c r="U38" i="43"/>
  <c r="Q38" i="43"/>
  <c r="M38" i="43"/>
  <c r="H38" i="43"/>
  <c r="D38" i="43"/>
  <c r="T38" i="43"/>
  <c r="P38" i="43"/>
  <c r="K38" i="43"/>
  <c r="G38" i="43"/>
  <c r="C38" i="43"/>
  <c r="S38" i="43"/>
  <c r="O38" i="43"/>
  <c r="J38" i="43"/>
  <c r="F38" i="43"/>
  <c r="R38" i="43"/>
  <c r="N38" i="43"/>
  <c r="I38" i="43"/>
  <c r="E38" i="43"/>
  <c r="U34" i="43"/>
  <c r="Q34" i="43"/>
  <c r="M34" i="43"/>
  <c r="H34" i="43"/>
  <c r="D34" i="43"/>
  <c r="T34" i="43"/>
  <c r="P34" i="43"/>
  <c r="K34" i="43"/>
  <c r="G34" i="43"/>
  <c r="C34" i="43"/>
  <c r="S34" i="43"/>
  <c r="O34" i="43"/>
  <c r="J34" i="43"/>
  <c r="F34" i="43"/>
  <c r="R34" i="43"/>
  <c r="N34" i="43"/>
  <c r="I34" i="43"/>
  <c r="E34" i="43"/>
  <c r="U30" i="43"/>
  <c r="Q30" i="43"/>
  <c r="M30" i="43"/>
  <c r="H30" i="43"/>
  <c r="D30" i="43"/>
  <c r="T30" i="43"/>
  <c r="P30" i="43"/>
  <c r="K30" i="43"/>
  <c r="G30" i="43"/>
  <c r="C30" i="43"/>
  <c r="S30" i="43"/>
  <c r="O30" i="43"/>
  <c r="J30" i="43"/>
  <c r="F30" i="43"/>
  <c r="R30" i="43"/>
  <c r="N30" i="43"/>
  <c r="I30" i="43"/>
  <c r="E30" i="43"/>
  <c r="U26" i="43"/>
  <c r="Q26" i="43"/>
  <c r="M26" i="43"/>
  <c r="H26" i="43"/>
  <c r="D26" i="43"/>
  <c r="T26" i="43"/>
  <c r="P26" i="43"/>
  <c r="K26" i="43"/>
  <c r="G26" i="43"/>
  <c r="C26" i="43"/>
  <c r="S26" i="43"/>
  <c r="O26" i="43"/>
  <c r="J26" i="43"/>
  <c r="F26" i="43"/>
  <c r="R26" i="43"/>
  <c r="N26" i="43"/>
  <c r="I26" i="43"/>
  <c r="E26" i="43"/>
  <c r="T22" i="43"/>
  <c r="P22" i="43"/>
  <c r="K22" i="43"/>
  <c r="G22" i="43"/>
  <c r="R22" i="43"/>
  <c r="N22" i="43"/>
  <c r="I22" i="43"/>
  <c r="E22" i="43"/>
  <c r="O22" i="43"/>
  <c r="F22" i="43"/>
  <c r="U22" i="43"/>
  <c r="M22" i="43"/>
  <c r="D22" i="43"/>
  <c r="S22" i="43"/>
  <c r="J22" i="43"/>
  <c r="C22" i="43"/>
  <c r="Q22" i="43"/>
  <c r="H22" i="43"/>
  <c r="R18" i="43"/>
  <c r="N18" i="43"/>
  <c r="I18" i="43"/>
  <c r="E18" i="43"/>
  <c r="U18" i="43"/>
  <c r="Q18" i="43"/>
  <c r="M18" i="43"/>
  <c r="H18" i="43"/>
  <c r="D18" i="43"/>
  <c r="T18" i="43"/>
  <c r="P18" i="43"/>
  <c r="K18" i="43"/>
  <c r="G18" i="43"/>
  <c r="C18" i="43"/>
  <c r="S18" i="43"/>
  <c r="O18" i="43"/>
  <c r="J18" i="43"/>
  <c r="F18" i="43"/>
  <c r="R14" i="43"/>
  <c r="N14" i="43"/>
  <c r="I14" i="43"/>
  <c r="E14" i="43"/>
  <c r="U14" i="43"/>
  <c r="Q14" i="43"/>
  <c r="M14" i="43"/>
  <c r="H14" i="43"/>
  <c r="D14" i="43"/>
  <c r="T14" i="43"/>
  <c r="P14" i="43"/>
  <c r="K14" i="43"/>
  <c r="G14" i="43"/>
  <c r="C14" i="43"/>
  <c r="S14" i="43"/>
  <c r="O14" i="43"/>
  <c r="J14" i="43"/>
  <c r="F14" i="43"/>
  <c r="R10" i="43"/>
  <c r="N10" i="43"/>
  <c r="I10" i="43"/>
  <c r="E10" i="43"/>
  <c r="U10" i="43"/>
  <c r="Q10" i="43"/>
  <c r="M10" i="43"/>
  <c r="H10" i="43"/>
  <c r="D10" i="43"/>
  <c r="T10" i="43"/>
  <c r="P10" i="43"/>
  <c r="K10" i="43"/>
  <c r="G10" i="43"/>
  <c r="C10" i="43"/>
  <c r="S10" i="43"/>
  <c r="O10" i="43"/>
  <c r="J10" i="43"/>
  <c r="F10" i="43"/>
  <c r="R8" i="43"/>
  <c r="N8" i="43"/>
  <c r="I8" i="43"/>
  <c r="E8" i="43"/>
  <c r="U8" i="43"/>
  <c r="Q8" i="43"/>
  <c r="M8" i="43"/>
  <c r="H8" i="43"/>
  <c r="D8" i="43"/>
  <c r="T8" i="43"/>
  <c r="P8" i="43"/>
  <c r="K8" i="43"/>
  <c r="G8" i="43"/>
  <c r="C8" i="43"/>
  <c r="S8" i="43"/>
  <c r="O8" i="43"/>
  <c r="J8" i="43"/>
  <c r="F8" i="43"/>
  <c r="S37" i="43"/>
  <c r="O37" i="43"/>
  <c r="J37" i="43"/>
  <c r="F37" i="43"/>
  <c r="R37" i="43"/>
  <c r="N37" i="43"/>
  <c r="I37" i="43"/>
  <c r="E37" i="43"/>
  <c r="U37" i="43"/>
  <c r="Q37" i="43"/>
  <c r="M37" i="43"/>
  <c r="H37" i="43"/>
  <c r="D37" i="43"/>
  <c r="T37" i="43"/>
  <c r="P37" i="43"/>
  <c r="K37" i="43"/>
  <c r="G37" i="43"/>
  <c r="C37" i="43"/>
  <c r="S33" i="43"/>
  <c r="O33" i="43"/>
  <c r="J33" i="43"/>
  <c r="F33" i="43"/>
  <c r="R33" i="43"/>
  <c r="N33" i="43"/>
  <c r="I33" i="43"/>
  <c r="E33" i="43"/>
  <c r="U33" i="43"/>
  <c r="Q33" i="43"/>
  <c r="M33" i="43"/>
  <c r="H33" i="43"/>
  <c r="D33" i="43"/>
  <c r="T33" i="43"/>
  <c r="P33" i="43"/>
  <c r="K33" i="43"/>
  <c r="G33" i="43"/>
  <c r="C33" i="43"/>
  <c r="S29" i="43"/>
  <c r="O29" i="43"/>
  <c r="J29" i="43"/>
  <c r="F29" i="43"/>
  <c r="R29" i="43"/>
  <c r="N29" i="43"/>
  <c r="I29" i="43"/>
  <c r="E29" i="43"/>
  <c r="U29" i="43"/>
  <c r="Q29" i="43"/>
  <c r="M29" i="43"/>
  <c r="H29" i="43"/>
  <c r="D29" i="43"/>
  <c r="T29" i="43"/>
  <c r="P29" i="43"/>
  <c r="K29" i="43"/>
  <c r="G29" i="43"/>
  <c r="C29" i="43"/>
  <c r="S25" i="43"/>
  <c r="O25" i="43"/>
  <c r="J25" i="43"/>
  <c r="F25" i="43"/>
  <c r="R25" i="43"/>
  <c r="N25" i="43"/>
  <c r="I25" i="43"/>
  <c r="E25" i="43"/>
  <c r="U25" i="43"/>
  <c r="Q25" i="43"/>
  <c r="M25" i="43"/>
  <c r="H25" i="43"/>
  <c r="D25" i="43"/>
  <c r="T25" i="43"/>
  <c r="P25" i="43"/>
  <c r="K25" i="43"/>
  <c r="G25" i="43"/>
  <c r="C25" i="43"/>
  <c r="T21" i="43"/>
  <c r="P21" i="43"/>
  <c r="K21" i="43"/>
  <c r="G21" i="43"/>
  <c r="C21" i="43"/>
  <c r="S21" i="43"/>
  <c r="O21" i="43"/>
  <c r="J21" i="43"/>
  <c r="F21" i="43"/>
  <c r="R21" i="43"/>
  <c r="N21" i="43"/>
  <c r="I21" i="43"/>
  <c r="E21" i="43"/>
  <c r="U21" i="43"/>
  <c r="Q21" i="43"/>
  <c r="M21" i="43"/>
  <c r="H21" i="43"/>
  <c r="D21" i="43"/>
  <c r="T17" i="43"/>
  <c r="P17" i="43"/>
  <c r="K17" i="43"/>
  <c r="G17" i="43"/>
  <c r="C17" i="43"/>
  <c r="S17" i="43"/>
  <c r="O17" i="43"/>
  <c r="J17" i="43"/>
  <c r="F17" i="43"/>
  <c r="R17" i="43"/>
  <c r="N17" i="43"/>
  <c r="I17" i="43"/>
  <c r="E17" i="43"/>
  <c r="U17" i="43"/>
  <c r="Q17" i="43"/>
  <c r="M17" i="43"/>
  <c r="H17" i="43"/>
  <c r="D17" i="43"/>
  <c r="T13" i="43"/>
  <c r="P13" i="43"/>
  <c r="K13" i="43"/>
  <c r="G13" i="43"/>
  <c r="C13" i="43"/>
  <c r="S13" i="43"/>
  <c r="O13" i="43"/>
  <c r="J13" i="43"/>
  <c r="F13" i="43"/>
  <c r="R13" i="43"/>
  <c r="N13" i="43"/>
  <c r="I13" i="43"/>
  <c r="E13" i="43"/>
  <c r="U13" i="43"/>
  <c r="Q13" i="43"/>
  <c r="M13" i="43"/>
  <c r="H13" i="43"/>
  <c r="D13" i="43"/>
  <c r="T9" i="43"/>
  <c r="P9" i="43"/>
  <c r="K9" i="43"/>
  <c r="G9" i="43"/>
  <c r="C9" i="43"/>
  <c r="S9" i="43"/>
  <c r="O9" i="43"/>
  <c r="J9" i="43"/>
  <c r="F9" i="43"/>
  <c r="R9" i="43"/>
  <c r="N9" i="43"/>
  <c r="I9" i="43"/>
  <c r="E9" i="43"/>
  <c r="U9" i="43"/>
  <c r="Q9" i="43"/>
  <c r="M9" i="43"/>
  <c r="H9" i="43"/>
  <c r="D9" i="43"/>
  <c r="K25" i="46"/>
  <c r="K32" i="46"/>
  <c r="K11" i="46"/>
  <c r="K39" i="46"/>
  <c r="L38" i="46" a="1"/>
  <c r="L38" i="46" s="1"/>
  <c r="L36" i="46" a="1"/>
  <c r="L36" i="46" s="1"/>
  <c r="L34" i="46" a="1"/>
  <c r="L34" i="46" s="1"/>
  <c r="L33" i="46" a="1"/>
  <c r="L33" i="46" s="1"/>
  <c r="L30" i="46" a="1"/>
  <c r="L30" i="46" s="1"/>
  <c r="L28" i="46" a="1"/>
  <c r="L28" i="46" s="1"/>
  <c r="L26" i="46" a="1"/>
  <c r="L26" i="46" s="1"/>
  <c r="L37" i="46" a="1"/>
  <c r="L37" i="46" s="1"/>
  <c r="L35" i="46" a="1"/>
  <c r="L35" i="46" s="1"/>
  <c r="L23" i="46" a="1"/>
  <c r="L23" i="46" s="1"/>
  <c r="L27" i="46" a="1"/>
  <c r="L27" i="46" s="1"/>
  <c r="L29" i="46" a="1"/>
  <c r="L29" i="46" s="1"/>
  <c r="L22" i="46" a="1"/>
  <c r="L22" i="46" s="1"/>
  <c r="L21" i="46" a="1"/>
  <c r="L21" i="46" s="1"/>
  <c r="L19" i="46" a="1"/>
  <c r="L19" i="46" s="1"/>
  <c r="L10" i="46" a="1"/>
  <c r="L10" i="46" s="1"/>
  <c r="L8" i="46" a="1"/>
  <c r="L8" i="46" s="1"/>
  <c r="L17" i="46" a="1"/>
  <c r="L17" i="46" s="1"/>
  <c r="L15" i="46" a="1"/>
  <c r="L15" i="46" s="1"/>
  <c r="L13" i="46" a="1"/>
  <c r="L13" i="46" s="1"/>
  <c r="L7" i="46" a="1"/>
  <c r="L7" i="46" s="1"/>
  <c r="L6" i="46" a="1"/>
  <c r="L6" i="46" s="1"/>
  <c r="L20" i="46" a="1"/>
  <c r="L20" i="46" s="1"/>
  <c r="L9" i="46" a="1"/>
  <c r="L9" i="46" s="1"/>
  <c r="L31" i="46" a="1"/>
  <c r="L31" i="46" s="1"/>
  <c r="L24" i="46" a="1"/>
  <c r="L24" i="46" s="1"/>
  <c r="L5" i="46" a="1"/>
  <c r="L5" i="46" s="1"/>
  <c r="L4" i="46" a="1"/>
  <c r="L4" i="46" s="1"/>
  <c r="L16" i="46" a="1"/>
  <c r="L16" i="46" s="1"/>
  <c r="L12" i="46" a="1"/>
  <c r="L12" i="46" s="1"/>
  <c r="L14" i="46" a="1"/>
  <c r="L14" i="46" s="1"/>
  <c r="L3" i="46" a="1"/>
  <c r="L3" i="46" s="1"/>
  <c r="K18" i="46"/>
  <c r="L46" i="46" l="1"/>
  <c r="M45" i="46" a="1"/>
  <c r="M45" i="46" s="1"/>
  <c r="M43" i="46" a="1"/>
  <c r="M43" i="46" s="1"/>
  <c r="M40" i="46" a="1"/>
  <c r="M40" i="46" s="1"/>
  <c r="M41" i="46" a="1"/>
  <c r="M41" i="46" s="1"/>
  <c r="M44" i="46" a="1"/>
  <c r="M44" i="46" s="1"/>
  <c r="M42" i="46" a="1"/>
  <c r="M42" i="46" s="1"/>
  <c r="L39" i="46"/>
  <c r="L25" i="46"/>
  <c r="L18" i="46"/>
  <c r="L32" i="46"/>
  <c r="L11" i="46"/>
  <c r="L34" i="43"/>
  <c r="L55" i="43"/>
  <c r="L46" i="43"/>
  <c r="V45" i="43"/>
  <c r="V14" i="43"/>
  <c r="V38" i="43"/>
  <c r="L38" i="43"/>
  <c r="V46" i="43"/>
  <c r="L10" i="43"/>
  <c r="V10" i="43"/>
  <c r="V34" i="43"/>
  <c r="L43" i="43"/>
  <c r="L44" i="43"/>
  <c r="L42" i="43"/>
  <c r="V26" i="43"/>
  <c r="V42" i="43"/>
  <c r="L18" i="43"/>
  <c r="V22" i="43"/>
  <c r="L14" i="43"/>
  <c r="L22" i="43"/>
  <c r="V30" i="43"/>
  <c r="L30" i="43"/>
  <c r="V59" i="43"/>
  <c r="V13" i="43"/>
  <c r="L20" i="43"/>
  <c r="L28" i="43"/>
  <c r="V55" i="43"/>
  <c r="V18" i="43"/>
  <c r="V51" i="43"/>
  <c r="L59" i="43"/>
  <c r="L16" i="43"/>
  <c r="V21" i="43"/>
  <c r="L21" i="43"/>
  <c r="L23" i="43"/>
  <c r="L29" i="43"/>
  <c r="L37" i="43"/>
  <c r="L45" i="43"/>
  <c r="L47" i="43"/>
  <c r="V49" i="43"/>
  <c r="L53" i="43"/>
  <c r="V58" i="43"/>
  <c r="L60" i="43"/>
  <c r="L9" i="43"/>
  <c r="L13" i="43"/>
  <c r="V11" i="43"/>
  <c r="L31" i="43"/>
  <c r="L32" i="43"/>
  <c r="V35" i="43"/>
  <c r="V36" i="43"/>
  <c r="V37" i="43"/>
  <c r="L39" i="43"/>
  <c r="L40" i="43"/>
  <c r="V43" i="43"/>
  <c r="V44" i="43"/>
  <c r="L48" i="43"/>
  <c r="L52" i="43"/>
  <c r="L56" i="43"/>
  <c r="L11" i="43"/>
  <c r="V20" i="43"/>
  <c r="L24" i="43"/>
  <c r="L26" i="43"/>
  <c r="L15" i="43"/>
  <c r="L49" i="43"/>
  <c r="V9" i="43"/>
  <c r="V15" i="43"/>
  <c r="V16" i="43"/>
  <c r="V17" i="43"/>
  <c r="L19" i="43"/>
  <c r="V23" i="43"/>
  <c r="V24" i="43"/>
  <c r="V25" i="43"/>
  <c r="L27" i="43"/>
  <c r="V32" i="43"/>
  <c r="V33" i="43"/>
  <c r="L35" i="43"/>
  <c r="L36" i="43"/>
  <c r="V40" i="43"/>
  <c r="V41" i="43"/>
  <c r="L57" i="43"/>
  <c r="V53" i="43"/>
  <c r="L51" i="43"/>
  <c r="V54" i="43"/>
  <c r="L58" i="43"/>
  <c r="V19" i="43"/>
  <c r="V27" i="43"/>
  <c r="V28" i="43"/>
  <c r="V29" i="43"/>
  <c r="L33" i="43"/>
  <c r="L41" i="43"/>
  <c r="V47" i="43"/>
  <c r="V48" i="43"/>
  <c r="V52" i="43"/>
  <c r="V56" i="43"/>
  <c r="V57" i="43"/>
  <c r="L12" i="43"/>
  <c r="V12" i="43"/>
  <c r="L17" i="43"/>
  <c r="L25" i="43"/>
  <c r="V31" i="43"/>
  <c r="V39" i="43"/>
  <c r="V50" i="43"/>
  <c r="L54" i="43"/>
  <c r="V60" i="43"/>
  <c r="L50" i="43"/>
  <c r="D15" i="42"/>
  <c r="M46" i="46" l="1"/>
  <c r="M38" i="46" a="1"/>
  <c r="M38" i="46" s="1"/>
  <c r="M37" i="46" a="1"/>
  <c r="M37" i="46" s="1"/>
  <c r="M36" i="46" a="1"/>
  <c r="M36" i="46" s="1"/>
  <c r="M35" i="46" a="1"/>
  <c r="M35" i="46" s="1"/>
  <c r="M34" i="46" a="1"/>
  <c r="M34" i="46" s="1"/>
  <c r="M30" i="46" a="1"/>
  <c r="M30" i="46" s="1"/>
  <c r="M29" i="46" a="1"/>
  <c r="M29" i="46" s="1"/>
  <c r="M31" i="46" a="1"/>
  <c r="M31" i="46" s="1"/>
  <c r="M28" i="46" a="1"/>
  <c r="M28" i="46" s="1"/>
  <c r="M24" i="46" a="1"/>
  <c r="M24" i="46" s="1"/>
  <c r="M22" i="46" a="1"/>
  <c r="M22" i="46" s="1"/>
  <c r="M27" i="46" a="1"/>
  <c r="M27" i="46" s="1"/>
  <c r="M33" i="46" a="1"/>
  <c r="M33" i="46" s="1"/>
  <c r="M26" i="46" a="1"/>
  <c r="M26" i="46" s="1"/>
  <c r="M23" i="46" a="1"/>
  <c r="M23" i="46" s="1"/>
  <c r="M16" i="46" a="1"/>
  <c r="M16" i="46" s="1"/>
  <c r="M14" i="46" a="1"/>
  <c r="M14" i="46" s="1"/>
  <c r="M12" i="46" a="1"/>
  <c r="M12" i="46" s="1"/>
  <c r="M7" i="46" a="1"/>
  <c r="M7" i="46" s="1"/>
  <c r="M6" i="46" a="1"/>
  <c r="M6" i="46" s="1"/>
  <c r="M19" i="46" a="1"/>
  <c r="M19" i="46" s="1"/>
  <c r="M10" i="46" a="1"/>
  <c r="M10" i="46" s="1"/>
  <c r="M8" i="46" a="1"/>
  <c r="M8" i="46" s="1"/>
  <c r="M21" i="46" a="1"/>
  <c r="M21" i="46" s="1"/>
  <c r="M17" i="46" a="1"/>
  <c r="M17" i="46" s="1"/>
  <c r="M15" i="46" a="1"/>
  <c r="M15" i="46" s="1"/>
  <c r="M13" i="46" a="1"/>
  <c r="M13" i="46" s="1"/>
  <c r="M20" i="46" a="1"/>
  <c r="M20" i="46" s="1"/>
  <c r="M9" i="46" a="1"/>
  <c r="M9" i="46" s="1"/>
  <c r="M5" i="46" a="1"/>
  <c r="M5" i="46" s="1"/>
  <c r="M4" i="46" a="1"/>
  <c r="M4" i="46" s="1"/>
  <c r="M3" i="46" a="1"/>
  <c r="M3" i="46" s="1"/>
  <c r="N45" i="46" l="1" a="1"/>
  <c r="N45" i="46" s="1"/>
  <c r="N43" i="46" a="1"/>
  <c r="N43" i="46" s="1"/>
  <c r="N40" i="46" a="1"/>
  <c r="N40" i="46" s="1"/>
  <c r="N42" i="46" a="1"/>
  <c r="N42" i="46" s="1"/>
  <c r="N41" i="46" a="1"/>
  <c r="N41" i="46" s="1"/>
  <c r="N44" i="46" a="1"/>
  <c r="N44" i="46" s="1"/>
  <c r="M18" i="46"/>
  <c r="M11" i="46"/>
  <c r="M39" i="46"/>
  <c r="M25" i="46"/>
  <c r="M32" i="46"/>
  <c r="N38" i="46" a="1"/>
  <c r="N38" i="46" s="1"/>
  <c r="N37" i="46" a="1"/>
  <c r="N37" i="46" s="1"/>
  <c r="N36" i="46" a="1"/>
  <c r="N36" i="46" s="1"/>
  <c r="N35" i="46" a="1"/>
  <c r="N35" i="46" s="1"/>
  <c r="N34" i="46" a="1"/>
  <c r="N34" i="46" s="1"/>
  <c r="N33" i="46" a="1"/>
  <c r="N33" i="46" s="1"/>
  <c r="N31" i="46" a="1"/>
  <c r="N31" i="46" s="1"/>
  <c r="N30" i="46" a="1"/>
  <c r="N30" i="46" s="1"/>
  <c r="N28" i="46" a="1"/>
  <c r="N28" i="46" s="1"/>
  <c r="N29" i="46" a="1"/>
  <c r="N29" i="46" s="1"/>
  <c r="N27" i="46" a="1"/>
  <c r="N27" i="46" s="1"/>
  <c r="N26" i="46" a="1"/>
  <c r="N26" i="46" s="1"/>
  <c r="N23" i="46" a="1"/>
  <c r="N23" i="46" s="1"/>
  <c r="N21" i="46" a="1"/>
  <c r="N21" i="46" s="1"/>
  <c r="N17" i="46" a="1"/>
  <c r="N17" i="46" s="1"/>
  <c r="N15" i="46" a="1"/>
  <c r="N15" i="46" s="1"/>
  <c r="N13" i="46" a="1"/>
  <c r="N13" i="46" s="1"/>
  <c r="N20" i="46" a="1"/>
  <c r="N20" i="46" s="1"/>
  <c r="N9" i="46" a="1"/>
  <c r="N9" i="46" s="1"/>
  <c r="N24" i="46" a="1"/>
  <c r="N24" i="46" s="1"/>
  <c r="N16" i="46" a="1"/>
  <c r="N16" i="46" s="1"/>
  <c r="N14" i="46" a="1"/>
  <c r="N14" i="46" s="1"/>
  <c r="N12" i="46" a="1"/>
  <c r="N12" i="46" s="1"/>
  <c r="N22" i="46" a="1"/>
  <c r="N22" i="46" s="1"/>
  <c r="N19" i="46" a="1"/>
  <c r="N19" i="46" s="1"/>
  <c r="N10" i="46" a="1"/>
  <c r="N10" i="46" s="1"/>
  <c r="N5" i="46" a="1"/>
  <c r="N5" i="46" s="1"/>
  <c r="N4" i="46" a="1"/>
  <c r="N4" i="46" s="1"/>
  <c r="N3" i="46" a="1"/>
  <c r="N3" i="46" s="1"/>
  <c r="N8" i="46" a="1"/>
  <c r="N8" i="46" s="1"/>
  <c r="N7" i="46" a="1"/>
  <c r="N7" i="46" s="1"/>
  <c r="N6" i="46" a="1"/>
  <c r="N6" i="46" s="1"/>
  <c r="J1" i="42"/>
  <c r="N1" i="42" s="1"/>
  <c r="R1" i="42" s="1"/>
  <c r="V1" i="42" s="1"/>
  <c r="Z1" i="42" s="1"/>
  <c r="AD1" i="42" s="1"/>
  <c r="AH1" i="42" s="1"/>
  <c r="C8" i="40"/>
  <c r="S9" i="41"/>
  <c r="N9" i="41"/>
  <c r="P9" i="41"/>
  <c r="E9" i="41"/>
  <c r="M9" i="41"/>
  <c r="L9" i="41"/>
  <c r="D9" i="41"/>
  <c r="T9" i="41"/>
  <c r="K9" i="41"/>
  <c r="Q9" i="41"/>
  <c r="I9" i="41"/>
  <c r="R9" i="41"/>
  <c r="F9" i="41"/>
  <c r="H9" i="41"/>
  <c r="J9" i="41"/>
  <c r="O9" i="41"/>
  <c r="C9" i="41"/>
  <c r="G9" i="41"/>
  <c r="N46" i="46" l="1"/>
  <c r="O44" i="46" a="1"/>
  <c r="O44" i="46" s="1"/>
  <c r="O45" i="46" a="1"/>
  <c r="O45" i="46" s="1"/>
  <c r="O40" i="46" a="1"/>
  <c r="O40" i="46" s="1"/>
  <c r="O42" i="46" a="1"/>
  <c r="O42" i="46" s="1"/>
  <c r="O43" i="46" a="1"/>
  <c r="O43" i="46" s="1"/>
  <c r="O41" i="46" a="1"/>
  <c r="O41" i="46" s="1"/>
  <c r="B9" i="41"/>
  <c r="N11" i="46"/>
  <c r="N18" i="46"/>
  <c r="N39" i="46"/>
  <c r="N25" i="46"/>
  <c r="N32" i="46"/>
  <c r="O37" i="46" a="1"/>
  <c r="O37" i="46" s="1"/>
  <c r="O35" i="46" a="1"/>
  <c r="O35" i="46" s="1"/>
  <c r="O31" i="46" a="1"/>
  <c r="O31" i="46" s="1"/>
  <c r="O29" i="46" a="1"/>
  <c r="O29" i="46" s="1"/>
  <c r="O27" i="46" a="1"/>
  <c r="O27" i="46" s="1"/>
  <c r="O33" i="46" a="1"/>
  <c r="O33" i="46" s="1"/>
  <c r="O38" i="46" a="1"/>
  <c r="O38" i="46" s="1"/>
  <c r="O36" i="46" a="1"/>
  <c r="O36" i="46" s="1"/>
  <c r="O34" i="46" a="1"/>
  <c r="O34" i="46" s="1"/>
  <c r="O26" i="46" a="1"/>
  <c r="O26" i="46" s="1"/>
  <c r="O24" i="46" a="1"/>
  <c r="O24" i="46" s="1"/>
  <c r="O22" i="46" a="1"/>
  <c r="O22" i="46" s="1"/>
  <c r="O30" i="46" a="1"/>
  <c r="O30" i="46" s="1"/>
  <c r="O28" i="46" a="1"/>
  <c r="O28" i="46" s="1"/>
  <c r="O21" i="46" a="1"/>
  <c r="O21" i="46" s="1"/>
  <c r="O20" i="46" a="1"/>
  <c r="O20" i="46" s="1"/>
  <c r="O9" i="46" a="1"/>
  <c r="O9" i="46" s="1"/>
  <c r="O16" i="46" a="1"/>
  <c r="O16" i="46" s="1"/>
  <c r="O14" i="46" a="1"/>
  <c r="O14" i="46" s="1"/>
  <c r="O12" i="46" a="1"/>
  <c r="O12" i="46" s="1"/>
  <c r="O7" i="46" a="1"/>
  <c r="O7" i="46" s="1"/>
  <c r="O6" i="46" a="1"/>
  <c r="O6" i="46" s="1"/>
  <c r="O23" i="46" a="1"/>
  <c r="O23" i="46" s="1"/>
  <c r="O19" i="46" a="1"/>
  <c r="O19" i="46" s="1"/>
  <c r="O10" i="46" a="1"/>
  <c r="O10" i="46" s="1"/>
  <c r="O8" i="46" a="1"/>
  <c r="O8" i="46" s="1"/>
  <c r="O15" i="46" a="1"/>
  <c r="O15" i="46" s="1"/>
  <c r="O5" i="46" a="1"/>
  <c r="O5" i="46" s="1"/>
  <c r="O17" i="46" a="1"/>
  <c r="O17" i="46" s="1"/>
  <c r="O13" i="46" a="1"/>
  <c r="O13" i="46" s="1"/>
  <c r="O4" i="46" a="1"/>
  <c r="O4" i="46" s="1"/>
  <c r="O3" i="46" a="1"/>
  <c r="O3" i="46" s="1"/>
  <c r="AL1" i="42"/>
  <c r="AP1" i="42" s="1"/>
  <c r="AT1" i="42" s="1"/>
  <c r="AX1" i="42" s="1"/>
  <c r="BB1" i="42" s="1"/>
  <c r="BF1" i="42" s="1"/>
  <c r="BJ1" i="42" s="1"/>
  <c r="BN1" i="42" s="1"/>
  <c r="BR1" i="42" s="1"/>
  <c r="BV1" i="42" s="1"/>
  <c r="BZ1" i="42" s="1"/>
  <c r="O46" i="46" l="1"/>
  <c r="P44" i="46" a="1"/>
  <c r="P44" i="46" s="1"/>
  <c r="P42" i="46" a="1"/>
  <c r="P42" i="46" s="1"/>
  <c r="P41" i="46" a="1"/>
  <c r="P41" i="46" s="1"/>
  <c r="P40" i="46" a="1"/>
  <c r="P40" i="46" s="1"/>
  <c r="P45" i="46" a="1"/>
  <c r="P45" i="46" s="1"/>
  <c r="P43" i="46" a="1"/>
  <c r="P43" i="46" s="1"/>
  <c r="O18" i="46"/>
  <c r="O11" i="46"/>
  <c r="O39" i="46"/>
  <c r="O25" i="46"/>
  <c r="O32" i="46"/>
  <c r="P31" i="46" a="1"/>
  <c r="P31" i="46" s="1"/>
  <c r="P30" i="46" a="1"/>
  <c r="P30" i="46" s="1"/>
  <c r="P38" i="46" a="1"/>
  <c r="P38" i="46" s="1"/>
  <c r="P37" i="46" a="1"/>
  <c r="P37" i="46" s="1"/>
  <c r="P36" i="46" a="1"/>
  <c r="P36" i="46" s="1"/>
  <c r="P35" i="46" a="1"/>
  <c r="P35" i="46" s="1"/>
  <c r="P34" i="46" a="1"/>
  <c r="P34" i="46" s="1"/>
  <c r="P33" i="46" a="1"/>
  <c r="P33" i="46" s="1"/>
  <c r="P28" i="46" a="1"/>
  <c r="P28" i="46" s="1"/>
  <c r="P26" i="46" a="1"/>
  <c r="P26" i="46" s="1"/>
  <c r="P24" i="46" a="1"/>
  <c r="P24" i="46" s="1"/>
  <c r="P22" i="46" a="1"/>
  <c r="P22" i="46" s="1"/>
  <c r="P29" i="46" a="1"/>
  <c r="P29" i="46" s="1"/>
  <c r="P27" i="46" a="1"/>
  <c r="P27" i="46" s="1"/>
  <c r="P23" i="46" a="1"/>
  <c r="P23" i="46" s="1"/>
  <c r="P19" i="46" a="1"/>
  <c r="P19" i="46" s="1"/>
  <c r="P10" i="46" a="1"/>
  <c r="P10" i="46" s="1"/>
  <c r="P8" i="46" a="1"/>
  <c r="P8" i="46" s="1"/>
  <c r="P17" i="46" a="1"/>
  <c r="P17" i="46" s="1"/>
  <c r="P15" i="46" a="1"/>
  <c r="P15" i="46" s="1"/>
  <c r="P13" i="46" a="1"/>
  <c r="P13" i="46" s="1"/>
  <c r="P20" i="46" a="1"/>
  <c r="P20" i="46" s="1"/>
  <c r="P9" i="46" a="1"/>
  <c r="P9" i="46" s="1"/>
  <c r="P21" i="46" a="1"/>
  <c r="P21" i="46" s="1"/>
  <c r="P14" i="46" a="1"/>
  <c r="P14" i="46" s="1"/>
  <c r="P6" i="46" a="1"/>
  <c r="P6" i="46" s="1"/>
  <c r="P7" i="46" a="1"/>
  <c r="P7" i="46" s="1"/>
  <c r="P5" i="46" a="1"/>
  <c r="P5" i="46" s="1"/>
  <c r="P4" i="46" a="1"/>
  <c r="P4" i="46" s="1"/>
  <c r="P3" i="46" a="1"/>
  <c r="P3" i="46" s="1"/>
  <c r="P16" i="46" a="1"/>
  <c r="P16" i="46" s="1"/>
  <c r="P12" i="46" a="1"/>
  <c r="P12" i="46" s="1"/>
  <c r="P46" i="46" l="1"/>
  <c r="Q45" i="46" a="1"/>
  <c r="Q45" i="46" s="1"/>
  <c r="Q43" i="46" a="1"/>
  <c r="Q43" i="46" s="1"/>
  <c r="Q44" i="46" a="1"/>
  <c r="Q44" i="46" s="1"/>
  <c r="Q42" i="46" a="1"/>
  <c r="Q42" i="46" s="1"/>
  <c r="Q41" i="46" a="1"/>
  <c r="Q41" i="46" s="1"/>
  <c r="Q40" i="46" a="1"/>
  <c r="Q40" i="46" s="1"/>
  <c r="P18" i="46"/>
  <c r="P11" i="46"/>
  <c r="P39" i="46"/>
  <c r="P25" i="46"/>
  <c r="P32" i="46"/>
  <c r="Q38" i="46" a="1"/>
  <c r="Q38" i="46" s="1"/>
  <c r="Q37" i="46" a="1"/>
  <c r="Q37" i="46" s="1"/>
  <c r="Q36" i="46" a="1"/>
  <c r="Q36" i="46" s="1"/>
  <c r="Q35" i="46" a="1"/>
  <c r="Q35" i="46" s="1"/>
  <c r="Q34" i="46" a="1"/>
  <c r="Q34" i="46" s="1"/>
  <c r="Q31" i="46" a="1"/>
  <c r="Q31" i="46" s="1"/>
  <c r="Q28" i="46" a="1"/>
  <c r="Q28" i="46" s="1"/>
  <c r="Q33" i="46" a="1"/>
  <c r="Q33" i="46" s="1"/>
  <c r="Q30" i="46" a="1"/>
  <c r="Q30" i="46" s="1"/>
  <c r="Q29" i="46" a="1"/>
  <c r="Q29" i="46" s="1"/>
  <c r="Q27" i="46" a="1"/>
  <c r="Q27" i="46" s="1"/>
  <c r="Q23" i="46" a="1"/>
  <c r="Q23" i="46" s="1"/>
  <c r="Q21" i="46" a="1"/>
  <c r="Q21" i="46" s="1"/>
  <c r="Q26" i="46" a="1"/>
  <c r="Q26" i="46" s="1"/>
  <c r="Q24" i="46" a="1"/>
  <c r="Q24" i="46" s="1"/>
  <c r="Q22" i="46" a="1"/>
  <c r="Q22" i="46" s="1"/>
  <c r="Q17" i="46" a="1"/>
  <c r="Q17" i="46" s="1"/>
  <c r="Q15" i="46" a="1"/>
  <c r="Q15" i="46" s="1"/>
  <c r="Q13" i="46" a="1"/>
  <c r="Q13" i="46" s="1"/>
  <c r="Q7" i="46" a="1"/>
  <c r="Q7" i="46" s="1"/>
  <c r="Q20" i="46" a="1"/>
  <c r="Q20" i="46" s="1"/>
  <c r="Q9" i="46" a="1"/>
  <c r="Q9" i="46" s="1"/>
  <c r="Q6" i="46" a="1"/>
  <c r="Q6" i="46" s="1"/>
  <c r="Q16" i="46" a="1"/>
  <c r="Q16" i="46" s="1"/>
  <c r="Q14" i="46" a="1"/>
  <c r="Q14" i="46" s="1"/>
  <c r="Q12" i="46" a="1"/>
  <c r="Q12" i="46" s="1"/>
  <c r="Q8" i="46" a="1"/>
  <c r="Q8" i="46" s="1"/>
  <c r="Q5" i="46" a="1"/>
  <c r="Q5" i="46" s="1"/>
  <c r="Q4" i="46" a="1"/>
  <c r="Q4" i="46" s="1"/>
  <c r="Q3" i="46" a="1"/>
  <c r="Q3" i="46" s="1"/>
  <c r="Q19" i="46" a="1"/>
  <c r="Q19" i="46" s="1"/>
  <c r="Q10" i="46" a="1"/>
  <c r="Q10" i="46" s="1"/>
  <c r="Q46" i="46" l="1"/>
  <c r="R45" i="46" a="1"/>
  <c r="R45" i="46" s="1"/>
  <c r="R43" i="46" a="1"/>
  <c r="R43" i="46" s="1"/>
  <c r="R40" i="46" a="1"/>
  <c r="R40" i="46" s="1"/>
  <c r="R42" i="46" a="1"/>
  <c r="R42" i="46" s="1"/>
  <c r="R41" i="46" a="1"/>
  <c r="R41" i="46" s="1"/>
  <c r="R44" i="46" a="1"/>
  <c r="R44" i="46" s="1"/>
  <c r="Q18" i="46"/>
  <c r="Q11" i="46"/>
  <c r="Q39" i="46"/>
  <c r="Q25" i="46"/>
  <c r="Q32" i="46"/>
  <c r="R38" i="46" a="1"/>
  <c r="R38" i="46" s="1"/>
  <c r="R37" i="46" a="1"/>
  <c r="R37" i="46" s="1"/>
  <c r="R36" i="46" a="1"/>
  <c r="R36" i="46" s="1"/>
  <c r="R35" i="46" a="1"/>
  <c r="R35" i="46" s="1"/>
  <c r="R34" i="46" a="1"/>
  <c r="R34" i="46" s="1"/>
  <c r="R33" i="46" a="1"/>
  <c r="R33" i="46" s="1"/>
  <c r="R31" i="46" a="1"/>
  <c r="R31" i="46" s="1"/>
  <c r="R30" i="46" a="1"/>
  <c r="R30" i="46" s="1"/>
  <c r="R29" i="46" a="1"/>
  <c r="R29" i="46" s="1"/>
  <c r="R27" i="46" a="1"/>
  <c r="R27" i="46" s="1"/>
  <c r="R28" i="46" a="1"/>
  <c r="R28" i="46" s="1"/>
  <c r="R26" i="46" a="1"/>
  <c r="R26" i="46" s="1"/>
  <c r="R24" i="46" a="1"/>
  <c r="R24" i="46" s="1"/>
  <c r="R22" i="46" a="1"/>
  <c r="R22" i="46" s="1"/>
  <c r="R16" i="46" a="1"/>
  <c r="R16" i="46" s="1"/>
  <c r="R14" i="46" a="1"/>
  <c r="R14" i="46" s="1"/>
  <c r="R12" i="46" a="1"/>
  <c r="R12" i="46" s="1"/>
  <c r="R23" i="46" a="1"/>
  <c r="R23" i="46" s="1"/>
  <c r="R19" i="46" a="1"/>
  <c r="R19" i="46" s="1"/>
  <c r="R10" i="46" a="1"/>
  <c r="R10" i="46" s="1"/>
  <c r="R8" i="46" a="1"/>
  <c r="R8" i="46" s="1"/>
  <c r="R21" i="46" a="1"/>
  <c r="R21" i="46" s="1"/>
  <c r="R17" i="46" a="1"/>
  <c r="R17" i="46" s="1"/>
  <c r="R15" i="46" a="1"/>
  <c r="R15" i="46" s="1"/>
  <c r="R13" i="46" a="1"/>
  <c r="R13" i="46" s="1"/>
  <c r="R6" i="46" a="1"/>
  <c r="R6" i="46" s="1"/>
  <c r="R5" i="46" a="1"/>
  <c r="R5" i="46" s="1"/>
  <c r="R4" i="46" a="1"/>
  <c r="R4" i="46" s="1"/>
  <c r="R3" i="46" a="1"/>
  <c r="R3" i="46" s="1"/>
  <c r="R7" i="46" a="1"/>
  <c r="R7" i="46" s="1"/>
  <c r="R20" i="46" a="1"/>
  <c r="R20" i="46" s="1"/>
  <c r="R9" i="46" a="1"/>
  <c r="R9" i="46" s="1"/>
  <c r="C10" i="14" a="1"/>
  <c r="C10" i="14" s="1"/>
  <c r="R46" i="46" l="1"/>
  <c r="S44" i="46" a="1"/>
  <c r="S44" i="46" s="1"/>
  <c r="S41" i="46" a="1"/>
  <c r="S41" i="46" s="1"/>
  <c r="S45" i="46" a="1"/>
  <c r="S45" i="46" s="1"/>
  <c r="S43" i="46" a="1"/>
  <c r="S43" i="46" s="1"/>
  <c r="S40" i="46" a="1"/>
  <c r="S40" i="46" s="1"/>
  <c r="S42" i="46" a="1"/>
  <c r="S42" i="46" s="1"/>
  <c r="R11" i="46"/>
  <c r="R18" i="46"/>
  <c r="R39" i="46"/>
  <c r="R25" i="46"/>
  <c r="R32" i="46"/>
  <c r="S37" i="46" a="1"/>
  <c r="S37" i="46" s="1"/>
  <c r="S35" i="46" a="1"/>
  <c r="S35" i="46" s="1"/>
  <c r="S33" i="46" a="1"/>
  <c r="S33" i="46" s="1"/>
  <c r="S30" i="46" a="1"/>
  <c r="S30" i="46" s="1"/>
  <c r="S28" i="46" a="1"/>
  <c r="S28" i="46" s="1"/>
  <c r="S26" i="46" a="1"/>
  <c r="S26" i="46" s="1"/>
  <c r="S38" i="46" a="1"/>
  <c r="S38" i="46" s="1"/>
  <c r="S36" i="46" a="1"/>
  <c r="S36" i="46" s="1"/>
  <c r="S34" i="46" a="1"/>
  <c r="S34" i="46" s="1"/>
  <c r="S29" i="46" a="1"/>
  <c r="S29" i="46" s="1"/>
  <c r="S27" i="46" a="1"/>
  <c r="S27" i="46" s="1"/>
  <c r="S23" i="46" a="1"/>
  <c r="S23" i="46" s="1"/>
  <c r="S21" i="46" a="1"/>
  <c r="S21" i="46" s="1"/>
  <c r="S31" i="46" a="1"/>
  <c r="S31" i="46" s="1"/>
  <c r="S24" i="46" a="1"/>
  <c r="S24" i="46" s="1"/>
  <c r="S19" i="46" a="1"/>
  <c r="S19" i="46" s="1"/>
  <c r="S10" i="46" a="1"/>
  <c r="S10" i="46" s="1"/>
  <c r="S8" i="46" a="1"/>
  <c r="S8" i="46" s="1"/>
  <c r="S7" i="46" a="1"/>
  <c r="S7" i="46" s="1"/>
  <c r="S22" i="46" a="1"/>
  <c r="S22" i="46" s="1"/>
  <c r="S17" i="46" a="1"/>
  <c r="S17" i="46" s="1"/>
  <c r="S15" i="46" a="1"/>
  <c r="S15" i="46" s="1"/>
  <c r="S13" i="46" a="1"/>
  <c r="S13" i="46" s="1"/>
  <c r="S6" i="46" a="1"/>
  <c r="S6" i="46" s="1"/>
  <c r="S20" i="46" a="1"/>
  <c r="S20" i="46" s="1"/>
  <c r="S9" i="46" a="1"/>
  <c r="S9" i="46" s="1"/>
  <c r="S14" i="46" a="1"/>
  <c r="S14" i="46" s="1"/>
  <c r="S4" i="46" a="1"/>
  <c r="S4" i="46" s="1"/>
  <c r="S16" i="46" a="1"/>
  <c r="S16" i="46" s="1"/>
  <c r="S12" i="46" a="1"/>
  <c r="S12" i="46" s="1"/>
  <c r="S5" i="46" a="1"/>
  <c r="S5" i="46" s="1"/>
  <c r="S3" i="46" a="1"/>
  <c r="S3" i="46" s="1"/>
  <c r="C38" i="10" a="1"/>
  <c r="C38" i="10" s="1"/>
  <c r="C37" i="10" a="1"/>
  <c r="C37" i="10" s="1"/>
  <c r="C36" i="10" a="1"/>
  <c r="C36" i="10" s="1"/>
  <c r="C35" i="10" a="1"/>
  <c r="C35" i="10" s="1"/>
  <c r="C34" i="10" a="1"/>
  <c r="C34" i="10" s="1"/>
  <c r="C33" i="10" a="1"/>
  <c r="C33" i="10" s="1"/>
  <c r="C38" i="8" a="1"/>
  <c r="C38" i="8" s="1"/>
  <c r="C37" i="8" a="1"/>
  <c r="C37" i="8" s="1"/>
  <c r="C36" i="8" a="1"/>
  <c r="C36" i="8" s="1"/>
  <c r="C35" i="8" a="1"/>
  <c r="C35" i="8" s="1"/>
  <c r="C34" i="8" a="1"/>
  <c r="C34" i="8" s="1"/>
  <c r="C33" i="8" a="1"/>
  <c r="C33" i="8" s="1"/>
  <c r="C38" i="6" a="1"/>
  <c r="C38" i="6" s="1"/>
  <c r="C36" i="6" a="1"/>
  <c r="C36" i="6" s="1"/>
  <c r="C35" i="6" a="1"/>
  <c r="C35" i="6" s="1"/>
  <c r="C34" i="6" a="1"/>
  <c r="C34" i="6" s="1"/>
  <c r="C33" i="6" a="1"/>
  <c r="C33" i="6" s="1"/>
  <c r="C38" i="9" a="1"/>
  <c r="C38" i="9" s="1"/>
  <c r="C37" i="9" a="1"/>
  <c r="C37" i="9" s="1"/>
  <c r="C36" i="9" a="1"/>
  <c r="C36" i="9" s="1"/>
  <c r="C35" i="9" a="1"/>
  <c r="C35" i="9" s="1"/>
  <c r="C34" i="9" a="1"/>
  <c r="C34" i="9" s="1"/>
  <c r="C33" i="9" a="1"/>
  <c r="C33" i="9" s="1"/>
  <c r="C38" i="13" a="1"/>
  <c r="C38" i="13" s="1"/>
  <c r="C37" i="13" a="1"/>
  <c r="C37" i="13" s="1"/>
  <c r="C36" i="13" a="1"/>
  <c r="C36" i="13" s="1"/>
  <c r="C35" i="13" a="1"/>
  <c r="C35" i="13" s="1"/>
  <c r="C34" i="13" a="1"/>
  <c r="C34" i="13" s="1"/>
  <c r="C33" i="13" a="1"/>
  <c r="C33" i="13" s="1"/>
  <c r="C38" i="12" a="1"/>
  <c r="C38" i="12" s="1"/>
  <c r="C37" i="12" a="1"/>
  <c r="C37" i="12" s="1"/>
  <c r="C36" i="12" a="1"/>
  <c r="C36" i="12" s="1"/>
  <c r="C35" i="12" a="1"/>
  <c r="C35" i="12" s="1"/>
  <c r="C34" i="12" a="1"/>
  <c r="C34" i="12" s="1"/>
  <c r="C33" i="12" a="1"/>
  <c r="C33" i="12" s="1"/>
  <c r="C31" i="10" a="1"/>
  <c r="C31" i="10" s="1"/>
  <c r="C30" i="10" a="1"/>
  <c r="C30" i="10" s="1"/>
  <c r="C29" i="10" a="1"/>
  <c r="C29" i="10" s="1"/>
  <c r="C28" i="10" a="1"/>
  <c r="C28" i="10" s="1"/>
  <c r="C27" i="10" a="1"/>
  <c r="C27" i="10" s="1"/>
  <c r="C26" i="10" a="1"/>
  <c r="C26" i="10" s="1"/>
  <c r="C24" i="10" a="1"/>
  <c r="C24" i="10" s="1"/>
  <c r="C23" i="10" a="1"/>
  <c r="C23" i="10" s="1"/>
  <c r="C22" i="10" a="1"/>
  <c r="C22" i="10" s="1"/>
  <c r="C21" i="10" a="1"/>
  <c r="C21" i="10" s="1"/>
  <c r="C20" i="10" a="1"/>
  <c r="C20" i="10" s="1"/>
  <c r="C19" i="10" a="1"/>
  <c r="C19" i="10" s="1"/>
  <c r="C10" i="10" a="1"/>
  <c r="C10" i="10" s="1"/>
  <c r="C9" i="10" a="1"/>
  <c r="C9" i="10" s="1"/>
  <c r="C8" i="10" a="1"/>
  <c r="C8" i="10" s="1"/>
  <c r="C6" i="10" a="1"/>
  <c r="C6" i="10" s="1"/>
  <c r="C5" i="10" a="1"/>
  <c r="C5" i="10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4" i="8" a="1"/>
  <c r="C24" i="8" s="1"/>
  <c r="C23" i="8" a="1"/>
  <c r="C23" i="8" s="1"/>
  <c r="C22" i="8" a="1"/>
  <c r="C22" i="8" s="1"/>
  <c r="C21" i="8" a="1"/>
  <c r="C21" i="8" s="1"/>
  <c r="C20" i="8" a="1"/>
  <c r="C20" i="8" s="1"/>
  <c r="C19" i="8" a="1"/>
  <c r="C19" i="8" s="1"/>
  <c r="C17" i="8" a="1"/>
  <c r="C17" i="8" s="1"/>
  <c r="C16" i="8" a="1"/>
  <c r="C16" i="8" s="1"/>
  <c r="C15" i="8" a="1"/>
  <c r="C15" i="8" s="1"/>
  <c r="C14" i="8" a="1"/>
  <c r="C14" i="8" s="1"/>
  <c r="C13" i="8" a="1"/>
  <c r="C13" i="8" s="1"/>
  <c r="C12" i="8" a="1"/>
  <c r="C12" i="8" s="1"/>
  <c r="C31" i="6" a="1"/>
  <c r="C31" i="6" s="1"/>
  <c r="C30" i="6" a="1"/>
  <c r="C30" i="6" s="1"/>
  <c r="C29" i="6" a="1"/>
  <c r="C29" i="6" s="1"/>
  <c r="C28" i="6" a="1"/>
  <c r="C28" i="6" s="1"/>
  <c r="C27" i="6" a="1"/>
  <c r="C27" i="6" s="1"/>
  <c r="C26" i="6" a="1"/>
  <c r="C26" i="6" s="1"/>
  <c r="C17" i="6" a="1"/>
  <c r="C17" i="6" s="1"/>
  <c r="C16" i="6" a="1"/>
  <c r="C16" i="6" s="1"/>
  <c r="C15" i="6" a="1"/>
  <c r="C15" i="6" s="1"/>
  <c r="C14" i="6" a="1"/>
  <c r="C14" i="6" s="1"/>
  <c r="C13" i="6" a="1"/>
  <c r="C13" i="6" s="1"/>
  <c r="C12" i="6" a="1"/>
  <c r="C12" i="6" s="1"/>
  <c r="C24" i="6" a="1"/>
  <c r="C24" i="6" s="1"/>
  <c r="C23" i="6" a="1"/>
  <c r="C23" i="6" s="1"/>
  <c r="C22" i="6" a="1"/>
  <c r="C22" i="6" s="1"/>
  <c r="C21" i="6" a="1"/>
  <c r="C21" i="6" s="1"/>
  <c r="C20" i="6" a="1"/>
  <c r="C20" i="6" s="1"/>
  <c r="C19" i="6" a="1"/>
  <c r="C19" i="6" s="1"/>
  <c r="C24" i="9" a="1"/>
  <c r="C24" i="9" s="1"/>
  <c r="C23" i="9" a="1"/>
  <c r="C23" i="9" s="1"/>
  <c r="C22" i="9" a="1"/>
  <c r="C22" i="9" s="1"/>
  <c r="C21" i="9" a="1"/>
  <c r="C21" i="9" s="1"/>
  <c r="C20" i="9" a="1"/>
  <c r="C20" i="9" s="1"/>
  <c r="C19" i="9" a="1"/>
  <c r="C19" i="9" s="1"/>
  <c r="C31" i="9" a="1"/>
  <c r="C31" i="9" s="1"/>
  <c r="C30" i="9" a="1"/>
  <c r="C30" i="9" s="1"/>
  <c r="C29" i="9" a="1"/>
  <c r="C29" i="9" s="1"/>
  <c r="C28" i="9" a="1"/>
  <c r="C28" i="9" s="1"/>
  <c r="C27" i="9" a="1"/>
  <c r="C27" i="9" s="1"/>
  <c r="C26" i="9" a="1"/>
  <c r="C26" i="9" s="1"/>
  <c r="C17" i="9" a="1"/>
  <c r="C17" i="9" s="1"/>
  <c r="C16" i="9" a="1"/>
  <c r="C16" i="9" s="1"/>
  <c r="C15" i="9" a="1"/>
  <c r="C15" i="9" s="1"/>
  <c r="C14" i="9" a="1"/>
  <c r="C14" i="9" s="1"/>
  <c r="C13" i="9" a="1"/>
  <c r="C13" i="9" s="1"/>
  <c r="C12" i="9" a="1"/>
  <c r="C12" i="9" s="1"/>
  <c r="C31" i="13" a="1"/>
  <c r="C31" i="13" s="1"/>
  <c r="C30" i="13" a="1"/>
  <c r="C30" i="13" s="1"/>
  <c r="C29" i="13" a="1"/>
  <c r="C29" i="13" s="1"/>
  <c r="C28" i="13" a="1"/>
  <c r="C28" i="13" s="1"/>
  <c r="C27" i="13" a="1"/>
  <c r="C27" i="13" s="1"/>
  <c r="C26" i="13" a="1"/>
  <c r="C26" i="13" s="1"/>
  <c r="C24" i="13" a="1"/>
  <c r="C24" i="13" s="1"/>
  <c r="C23" i="13" a="1"/>
  <c r="C23" i="13" s="1"/>
  <c r="C22" i="13" a="1"/>
  <c r="C22" i="13" s="1"/>
  <c r="C21" i="13" a="1"/>
  <c r="C21" i="13" s="1"/>
  <c r="C20" i="13" a="1"/>
  <c r="C20" i="13" s="1"/>
  <c r="C19" i="13" a="1"/>
  <c r="C19" i="13" s="1"/>
  <c r="C17" i="13" a="1"/>
  <c r="C17" i="13" s="1"/>
  <c r="C16" i="13" a="1"/>
  <c r="C16" i="13" s="1"/>
  <c r="C15" i="13" a="1"/>
  <c r="C15" i="13" s="1"/>
  <c r="C14" i="13" a="1"/>
  <c r="C14" i="13" s="1"/>
  <c r="C13" i="13" a="1"/>
  <c r="C13" i="13" s="1"/>
  <c r="C12" i="13" a="1"/>
  <c r="C12" i="13" s="1"/>
  <c r="C31" i="12" a="1"/>
  <c r="C31" i="12" s="1"/>
  <c r="C30" i="12" a="1"/>
  <c r="C30" i="12" s="1"/>
  <c r="C29" i="12" a="1"/>
  <c r="C29" i="12" s="1"/>
  <c r="C28" i="12" a="1"/>
  <c r="C28" i="12" s="1"/>
  <c r="C27" i="12" a="1"/>
  <c r="C27" i="12" s="1"/>
  <c r="C26" i="12" a="1"/>
  <c r="C26" i="12" s="1"/>
  <c r="C24" i="12" a="1"/>
  <c r="C2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7" i="12" a="1"/>
  <c r="C17" i="12" s="1"/>
  <c r="C16" i="12" a="1"/>
  <c r="C16" i="12" s="1"/>
  <c r="C15" i="12" a="1"/>
  <c r="C15" i="12" s="1"/>
  <c r="C14" i="12" a="1"/>
  <c r="C14" i="12" s="1"/>
  <c r="C13" i="12" a="1"/>
  <c r="C13" i="12" s="1"/>
  <c r="C12" i="12" a="1"/>
  <c r="C12" i="12" s="1"/>
  <c r="C24" i="14" a="1"/>
  <c r="C24" i="14" s="1"/>
  <c r="C23" i="14" a="1"/>
  <c r="C23" i="14" s="1"/>
  <c r="C22" i="14" a="1"/>
  <c r="C22" i="14" s="1"/>
  <c r="C21" i="14" a="1"/>
  <c r="C21" i="14" s="1"/>
  <c r="C20" i="14" a="1"/>
  <c r="C20" i="14" s="1"/>
  <c r="C19" i="14" a="1"/>
  <c r="C19" i="14" s="1"/>
  <c r="C31" i="14" a="1"/>
  <c r="C31" i="14" s="1"/>
  <c r="C30" i="14" a="1"/>
  <c r="C30" i="14" s="1"/>
  <c r="C29" i="14" a="1"/>
  <c r="C29" i="14" s="1"/>
  <c r="C28" i="14" a="1"/>
  <c r="C28" i="14" s="1"/>
  <c r="C27" i="14" a="1"/>
  <c r="C27" i="14" s="1"/>
  <c r="C26" i="14" a="1"/>
  <c r="C26" i="14" s="1"/>
  <c r="C17" i="14" a="1"/>
  <c r="C17" i="14" s="1"/>
  <c r="C16" i="14" a="1"/>
  <c r="C16" i="14" s="1"/>
  <c r="C15" i="14" a="1"/>
  <c r="C15" i="14" s="1"/>
  <c r="C14" i="14" a="1"/>
  <c r="C14" i="14" s="1"/>
  <c r="C13" i="14" a="1"/>
  <c r="C13" i="14" s="1"/>
  <c r="C12" i="14" a="1"/>
  <c r="C12" i="14" s="1"/>
  <c r="C17" i="10" a="1"/>
  <c r="C17" i="10" s="1"/>
  <c r="C10" i="8" a="1"/>
  <c r="C10" i="8" s="1"/>
  <c r="C10" i="6" a="1"/>
  <c r="C10" i="6" s="1"/>
  <c r="C10" i="9" a="1"/>
  <c r="C10" i="9" s="1"/>
  <c r="C10" i="13" a="1"/>
  <c r="C10" i="13" s="1"/>
  <c r="C10" i="12" a="1"/>
  <c r="C10" i="12" s="1"/>
  <c r="C16" i="10" a="1"/>
  <c r="C16" i="10" s="1"/>
  <c r="C9" i="8" a="1"/>
  <c r="C9" i="8" s="1"/>
  <c r="C9" i="6" a="1"/>
  <c r="C9" i="6" s="1"/>
  <c r="C9" i="13" a="1"/>
  <c r="C9" i="13" s="1"/>
  <c r="C9" i="12" a="1"/>
  <c r="C9" i="12" s="1"/>
  <c r="C9" i="14" a="1"/>
  <c r="C9" i="14" s="1"/>
  <c r="C15" i="10" a="1"/>
  <c r="C15" i="10" s="1"/>
  <c r="C8" i="8" a="1"/>
  <c r="C8" i="8" s="1"/>
  <c r="C8" i="6" a="1"/>
  <c r="C8" i="6" s="1"/>
  <c r="C8" i="9" a="1"/>
  <c r="C8" i="9" s="1"/>
  <c r="C8" i="13" a="1"/>
  <c r="C8" i="13" s="1"/>
  <c r="C8" i="12" a="1"/>
  <c r="C8" i="12" s="1"/>
  <c r="C8" i="14" a="1"/>
  <c r="C8" i="14" s="1"/>
  <c r="C14" i="10" a="1"/>
  <c r="C14" i="10" s="1"/>
  <c r="C13" i="10" a="1"/>
  <c r="C13" i="10" s="1"/>
  <c r="C6" i="8" a="1"/>
  <c r="C6" i="8" s="1"/>
  <c r="C6" i="6" a="1"/>
  <c r="C6" i="6" s="1"/>
  <c r="C6" i="9" a="1"/>
  <c r="C6" i="9" s="1"/>
  <c r="C6" i="13" a="1"/>
  <c r="C6" i="13" s="1"/>
  <c r="C6" i="12" a="1"/>
  <c r="C6" i="12" s="1"/>
  <c r="C6" i="14" a="1"/>
  <c r="C6" i="14" s="1"/>
  <c r="C5" i="8" a="1"/>
  <c r="C5" i="8" s="1"/>
  <c r="C5" i="6" a="1"/>
  <c r="C5" i="6" s="1"/>
  <c r="C5" i="9" a="1"/>
  <c r="C5" i="9" s="1"/>
  <c r="C5" i="13" a="1"/>
  <c r="C5" i="13" s="1"/>
  <c r="C5" i="12" a="1"/>
  <c r="C5" i="12" s="1"/>
  <c r="C5" i="14" a="1"/>
  <c r="C5" i="14" s="1"/>
  <c r="C4" i="10" a="1"/>
  <c r="C4" i="10" s="1"/>
  <c r="C4" i="8" a="1"/>
  <c r="C4" i="8" s="1"/>
  <c r="C4" i="6" a="1"/>
  <c r="C4" i="6" s="1"/>
  <c r="C4" i="9" a="1"/>
  <c r="C4" i="9" s="1"/>
  <c r="C4" i="13" a="1"/>
  <c r="C4" i="13" s="1"/>
  <c r="C4" i="12" a="1"/>
  <c r="C4" i="12" s="1"/>
  <c r="C4" i="14" a="1"/>
  <c r="C4" i="14" s="1"/>
  <c r="C3" i="10" a="1"/>
  <c r="C3" i="10" s="1"/>
  <c r="C3" i="8" a="1"/>
  <c r="C3" i="8" s="1"/>
  <c r="C3" i="6" a="1"/>
  <c r="C3" i="6" s="1"/>
  <c r="C3" i="9" a="1"/>
  <c r="C3" i="9" s="1"/>
  <c r="C3" i="13" a="1"/>
  <c r="C3" i="13" s="1"/>
  <c r="C3" i="12" a="1"/>
  <c r="C3" i="12" s="1"/>
  <c r="C3" i="14" a="1"/>
  <c r="C3" i="14" s="1"/>
  <c r="AP43" i="17"/>
  <c r="AP29" i="17"/>
  <c r="CN15" i="17"/>
  <c r="CN43" i="17"/>
  <c r="BT15" i="17"/>
  <c r="CN66" i="17"/>
  <c r="AP64" i="17"/>
  <c r="CN57" i="17"/>
  <c r="CN29" i="17"/>
  <c r="AP65" i="17"/>
  <c r="CN65" i="17"/>
  <c r="BT8" i="17"/>
  <c r="AP15" i="17"/>
  <c r="CN8" i="17"/>
  <c r="CN36" i="17"/>
  <c r="AP66" i="17"/>
  <c r="BT43" i="17"/>
  <c r="BT65" i="17"/>
  <c r="BT50" i="17"/>
  <c r="CN50" i="17"/>
  <c r="CN22" i="17"/>
  <c r="AP50" i="17"/>
  <c r="CN64" i="17"/>
  <c r="BT64" i="17"/>
  <c r="AP36" i="17"/>
  <c r="BT36" i="17"/>
  <c r="AP8" i="17"/>
  <c r="AP57" i="17"/>
  <c r="BT66" i="17"/>
  <c r="AP22" i="17"/>
  <c r="BT57" i="17"/>
  <c r="BT22" i="17"/>
  <c r="BT29" i="17"/>
  <c r="S46" i="46" l="1"/>
  <c r="S11" i="46"/>
  <c r="S18" i="46"/>
  <c r="S39" i="46"/>
  <c r="S25" i="46"/>
  <c r="S32" i="46"/>
  <c r="T4" i="46" a="1"/>
  <c r="T4" i="46" s="1"/>
  <c r="T3" i="46" a="1"/>
  <c r="T3" i="46" s="1"/>
  <c r="C25" i="14"/>
  <c r="C25" i="12"/>
  <c r="C11" i="10"/>
  <c r="C32" i="10"/>
  <c r="C39" i="10"/>
  <c r="C18" i="12"/>
  <c r="C32" i="12"/>
  <c r="C18" i="9"/>
  <c r="C25" i="9"/>
  <c r="C18" i="6"/>
  <c r="C32" i="8"/>
  <c r="C25" i="10"/>
  <c r="C39" i="12"/>
  <c r="C39" i="13"/>
  <c r="C39" i="9"/>
  <c r="C39" i="8"/>
  <c r="C32" i="14"/>
  <c r="C25" i="13"/>
  <c r="C11" i="6"/>
  <c r="C11" i="8"/>
  <c r="C11" i="13"/>
  <c r="C11" i="12"/>
  <c r="C18" i="10"/>
  <c r="C11" i="9"/>
  <c r="C18" i="14"/>
  <c r="C32" i="13"/>
  <c r="C25" i="6"/>
  <c r="C11" i="14"/>
  <c r="C32" i="9"/>
  <c r="C32" i="6"/>
  <c r="C25" i="8"/>
  <c r="C18" i="8"/>
  <c r="C39" i="6"/>
  <c r="C18" i="13"/>
  <c r="CN67" i="17"/>
  <c r="BT67" i="17"/>
  <c r="AP67" i="17"/>
  <c r="C70" i="17" l="1"/>
  <c r="C78" i="17"/>
  <c r="AP70" i="17"/>
  <c r="BT69" i="17"/>
  <c r="AP69" i="17"/>
  <c r="AP68" i="17"/>
  <c r="BT68" i="17"/>
  <c r="CN69" i="17"/>
  <c r="CN70" i="17"/>
  <c r="CN68" i="17"/>
  <c r="BT70" i="17"/>
  <c r="R57" i="17"/>
  <c r="C58" i="17" l="1"/>
  <c r="C83" i="17"/>
  <c r="C76" i="17"/>
  <c r="C64" i="17"/>
  <c r="C80" i="17"/>
  <c r="C71" i="17"/>
  <c r="C17" i="17"/>
  <c r="C77" i="17"/>
  <c r="AT38" i="19"/>
  <c r="AS38" i="19" s="1" a="1"/>
  <c r="AS38" i="19" s="1"/>
  <c r="AR38" i="19" s="1"/>
  <c r="AT39" i="19"/>
  <c r="AS39" i="19" s="1" a="1"/>
  <c r="AS39" i="19" s="1"/>
  <c r="AR39" i="19" s="1"/>
  <c r="AT40" i="19"/>
  <c r="AS40" i="19" s="1" a="1"/>
  <c r="AS40" i="19" s="1"/>
  <c r="AR40" i="19" s="1"/>
  <c r="AT41" i="19"/>
  <c r="AS41" i="19" s="1" a="1"/>
  <c r="AS41" i="19" s="1"/>
  <c r="AR41" i="19" s="1"/>
  <c r="AT42" i="19"/>
  <c r="AS42" i="19" s="1" a="1"/>
  <c r="AS42" i="19" s="1"/>
  <c r="AR42" i="19" s="1"/>
  <c r="AT43" i="19"/>
  <c r="AS43" i="19" s="1" a="1"/>
  <c r="AS43" i="19" s="1"/>
  <c r="AR43" i="19" s="1"/>
  <c r="AT44" i="19"/>
  <c r="AS44" i="19" s="1" a="1"/>
  <c r="AS44" i="19" s="1"/>
  <c r="AR44" i="19" s="1"/>
  <c r="AT45" i="19"/>
  <c r="AS45" i="19" s="1" a="1"/>
  <c r="AS45" i="19" s="1"/>
  <c r="AR45" i="19" s="1"/>
  <c r="AT46" i="19"/>
  <c r="AS46" i="19" s="1" a="1"/>
  <c r="AS46" i="19" s="1"/>
  <c r="AR46" i="19" s="1"/>
  <c r="AT47" i="19"/>
  <c r="AS47" i="19" s="1" a="1"/>
  <c r="AS47" i="19" s="1"/>
  <c r="AR47" i="19" s="1"/>
  <c r="AT48" i="19"/>
  <c r="AS48" i="19" s="1" a="1"/>
  <c r="AS48" i="19" s="1"/>
  <c r="AR48" i="19" s="1"/>
  <c r="AT49" i="19"/>
  <c r="AS49" i="19" s="1" a="1"/>
  <c r="AS49" i="19" s="1"/>
  <c r="AR49" i="19" s="1"/>
  <c r="AT50" i="19"/>
  <c r="AS50" i="19" s="1" a="1"/>
  <c r="AS50" i="19" s="1"/>
  <c r="AR50" i="19" s="1"/>
  <c r="AT51" i="19"/>
  <c r="AS51" i="19" s="1" a="1"/>
  <c r="AS51" i="19" s="1"/>
  <c r="AR51" i="19" s="1"/>
  <c r="AT52" i="19"/>
  <c r="AS52" i="19" s="1" a="1"/>
  <c r="AS52" i="19" s="1"/>
  <c r="AR52" i="19" s="1"/>
  <c r="AT53" i="19"/>
  <c r="AS53" i="19" s="1" a="1"/>
  <c r="AS53" i="19" s="1"/>
  <c r="AR53" i="19" s="1"/>
  <c r="AT54" i="19"/>
  <c r="AS54" i="19" s="1" a="1"/>
  <c r="AS54" i="19" s="1"/>
  <c r="AR54" i="19" s="1"/>
  <c r="AT55" i="19"/>
  <c r="AS55" i="19" s="1" a="1"/>
  <c r="AS55" i="19" s="1"/>
  <c r="AR55" i="19" s="1"/>
  <c r="AT56" i="19"/>
  <c r="AS56" i="19" s="1" a="1"/>
  <c r="AS56" i="19" s="1"/>
  <c r="AR56" i="19" s="1"/>
  <c r="AT57" i="19"/>
  <c r="AS57" i="19" s="1" a="1"/>
  <c r="AS57" i="19" s="1"/>
  <c r="AR57" i="19" s="1"/>
  <c r="AT58" i="19"/>
  <c r="AS58" i="19" s="1" a="1"/>
  <c r="AS58" i="19" s="1"/>
  <c r="AR58" i="19" s="1"/>
  <c r="AT59" i="19"/>
  <c r="AS59" i="19" s="1" a="1"/>
  <c r="AS59" i="19" s="1"/>
  <c r="AR59" i="19" s="1"/>
  <c r="AT60" i="19"/>
  <c r="AS60" i="19" s="1" a="1"/>
  <c r="AS60" i="19" s="1"/>
  <c r="AR60" i="19" s="1"/>
  <c r="AT61" i="19"/>
  <c r="AS61" i="19" s="1" a="1"/>
  <c r="AS61" i="19" s="1"/>
  <c r="AR61" i="19" s="1"/>
  <c r="AT62" i="19"/>
  <c r="AS62" i="19" s="1" a="1"/>
  <c r="AS62" i="19" s="1"/>
  <c r="AR62" i="19" s="1"/>
  <c r="AT63" i="19"/>
  <c r="AS63" i="19" s="1" a="1"/>
  <c r="AS63" i="19" s="1"/>
  <c r="AR63" i="19" s="1"/>
  <c r="CN71" i="17"/>
  <c r="BT71" i="17"/>
  <c r="AP71" i="17"/>
  <c r="AT20" i="19" l="1"/>
  <c r="AS20" i="19" s="1" a="1"/>
  <c r="AS20" i="19" s="1"/>
  <c r="AR20" i="19" s="1"/>
  <c r="AT21" i="19"/>
  <c r="AS21" i="19" s="1" a="1"/>
  <c r="AS21" i="19" s="1"/>
  <c r="AR21" i="19" s="1"/>
  <c r="AT22" i="19"/>
  <c r="AS22" i="19" s="1" a="1"/>
  <c r="AS22" i="19" s="1"/>
  <c r="AR22" i="19" s="1"/>
  <c r="AT23" i="19"/>
  <c r="AS23" i="19" s="1" a="1"/>
  <c r="AS23" i="19" s="1"/>
  <c r="AR23" i="19" s="1"/>
  <c r="AT24" i="19"/>
  <c r="AS24" i="19" s="1" a="1"/>
  <c r="AS24" i="19" s="1"/>
  <c r="AR24" i="19" s="1"/>
  <c r="AT25" i="19"/>
  <c r="AS25" i="19" s="1" a="1"/>
  <c r="AS25" i="19" s="1"/>
  <c r="AR25" i="19" s="1"/>
  <c r="AT26" i="19"/>
  <c r="AS26" i="19" s="1" a="1"/>
  <c r="AS26" i="19" s="1"/>
  <c r="AR26" i="19" s="1"/>
  <c r="AT27" i="19"/>
  <c r="AS27" i="19" s="1" a="1"/>
  <c r="AS27" i="19" s="1"/>
  <c r="AR27" i="19" s="1"/>
  <c r="AT28" i="19"/>
  <c r="AS28" i="19" s="1" a="1"/>
  <c r="AS28" i="19" s="1"/>
  <c r="AR28" i="19" s="1"/>
  <c r="AT29" i="19"/>
  <c r="AS29" i="19" s="1" a="1"/>
  <c r="AS29" i="19" s="1"/>
  <c r="AR29" i="19" s="1"/>
  <c r="AT30" i="19"/>
  <c r="AS30" i="19" s="1" a="1"/>
  <c r="AS30" i="19" s="1"/>
  <c r="AR30" i="19" s="1"/>
  <c r="AT31" i="19"/>
  <c r="AS31" i="19" s="1" a="1"/>
  <c r="AS31" i="19" s="1"/>
  <c r="AR31" i="19" s="1"/>
  <c r="AT32" i="19"/>
  <c r="AS32" i="19" s="1" a="1"/>
  <c r="AS32" i="19" s="1"/>
  <c r="AR32" i="19" s="1"/>
  <c r="AT33" i="19"/>
  <c r="AS33" i="19" s="1" a="1"/>
  <c r="AS33" i="19" s="1"/>
  <c r="AR33" i="19" s="1"/>
  <c r="AT34" i="19"/>
  <c r="AS34" i="19" s="1" a="1"/>
  <c r="AS34" i="19" s="1"/>
  <c r="AR34" i="19" s="1"/>
  <c r="AT35" i="19"/>
  <c r="AS35" i="19" s="1" a="1"/>
  <c r="AS35" i="19" s="1"/>
  <c r="AR35" i="19" s="1"/>
  <c r="AT36" i="19"/>
  <c r="AS36" i="19" s="1" a="1"/>
  <c r="AS36" i="19" s="1"/>
  <c r="AR36" i="19" s="1"/>
  <c r="AT37" i="19"/>
  <c r="AS37" i="19" s="1" a="1"/>
  <c r="AS37" i="19" s="1"/>
  <c r="AR37" i="19" s="1"/>
  <c r="AV48" i="19"/>
  <c r="AV47" i="19"/>
  <c r="AV46" i="19"/>
  <c r="AV45" i="19"/>
  <c r="AV44" i="19"/>
  <c r="AV43" i="19"/>
  <c r="AV42" i="19"/>
  <c r="AV41" i="19"/>
  <c r="AV40" i="19"/>
  <c r="AV39" i="19"/>
  <c r="AV38" i="19"/>
  <c r="AV37" i="19"/>
  <c r="AV36" i="19"/>
  <c r="AV35" i="19"/>
  <c r="AV34" i="19"/>
  <c r="AV33" i="19"/>
  <c r="AV32" i="19"/>
  <c r="AV31" i="19"/>
  <c r="AV30" i="19"/>
  <c r="AV29" i="19"/>
  <c r="AV28" i="19"/>
  <c r="AV27" i="19"/>
  <c r="AV26" i="19"/>
  <c r="AV25" i="19"/>
  <c r="AV24" i="19"/>
  <c r="AV23" i="19"/>
  <c r="AV22" i="19"/>
  <c r="AV21" i="19"/>
  <c r="AV20" i="19"/>
  <c r="BT33" i="17"/>
  <c r="AP37" i="17"/>
  <c r="AP30" i="17"/>
  <c r="AP76" i="17"/>
  <c r="AP19" i="17"/>
  <c r="AP26" i="17"/>
  <c r="CN75" i="17"/>
  <c r="CN19" i="17"/>
  <c r="CN46" i="17"/>
  <c r="BT12" i="17"/>
  <c r="AP32" i="17"/>
  <c r="BT10" i="17"/>
  <c r="AP9" i="17"/>
  <c r="BT39" i="17"/>
  <c r="CN9" i="17"/>
  <c r="BT58" i="17"/>
  <c r="BT54" i="17"/>
  <c r="BT24" i="17"/>
  <c r="BT73" i="17"/>
  <c r="CN33" i="17"/>
  <c r="CN74" i="17"/>
  <c r="CN59" i="17"/>
  <c r="BT23" i="17"/>
  <c r="CN25" i="17"/>
  <c r="BT17" i="17"/>
  <c r="CN51" i="17"/>
  <c r="AP74" i="17"/>
  <c r="DH39" i="17"/>
  <c r="CN31" i="17"/>
  <c r="BT47" i="17"/>
  <c r="CN73" i="17"/>
  <c r="BT60" i="17"/>
  <c r="CN60" i="17"/>
  <c r="CN10" i="17"/>
  <c r="AP60" i="17"/>
  <c r="CN24" i="17"/>
  <c r="CN16" i="17"/>
  <c r="AP59" i="17"/>
  <c r="AP17" i="17"/>
  <c r="AP61" i="17"/>
  <c r="BT38" i="17"/>
  <c r="BT72" i="17"/>
  <c r="CN30" i="17"/>
  <c r="CN45" i="17"/>
  <c r="AP46" i="17"/>
  <c r="AP16" i="17"/>
  <c r="CN72" i="17"/>
  <c r="AP12" i="17"/>
  <c r="AP73" i="17"/>
  <c r="CN23" i="17"/>
  <c r="AP39" i="17"/>
  <c r="AP51" i="17"/>
  <c r="BT19" i="17"/>
  <c r="AP31" i="17"/>
  <c r="BT30" i="17"/>
  <c r="BT59" i="17"/>
  <c r="CN47" i="17"/>
  <c r="BT51" i="17"/>
  <c r="CN11" i="17"/>
  <c r="BT40" i="17"/>
  <c r="BT52" i="17"/>
  <c r="BT37" i="17"/>
  <c r="CN53" i="17"/>
  <c r="CN32" i="17"/>
  <c r="CN12" i="17"/>
  <c r="CN38" i="17"/>
  <c r="CN18" i="17"/>
  <c r="AP72" i="17"/>
  <c r="BT25" i="17"/>
  <c r="BT44" i="17"/>
  <c r="AP44" i="17"/>
  <c r="BT32" i="17"/>
  <c r="CN61" i="17"/>
  <c r="BT45" i="17"/>
  <c r="AP24" i="17"/>
  <c r="CN40" i="17"/>
  <c r="BT26" i="17"/>
  <c r="AP23" i="17"/>
  <c r="CN26" i="17"/>
  <c r="CN37" i="17"/>
  <c r="BT16" i="17"/>
  <c r="BT76" i="17"/>
  <c r="CN39" i="17"/>
  <c r="BT31" i="17"/>
  <c r="BT53" i="17"/>
  <c r="CN52" i="17"/>
  <c r="CN54" i="17"/>
  <c r="AP18" i="17"/>
  <c r="AP11" i="17"/>
  <c r="CN17" i="17"/>
  <c r="BT11" i="17"/>
  <c r="AP38" i="17"/>
  <c r="AP58" i="17"/>
  <c r="BT61" i="17"/>
  <c r="AP10" i="17"/>
  <c r="CN58" i="17"/>
  <c r="AP75" i="17"/>
  <c r="BT18" i="17"/>
  <c r="BT75" i="17"/>
  <c r="AP40" i="17"/>
  <c r="AP45" i="17"/>
  <c r="BT46" i="17"/>
  <c r="BT9" i="17"/>
  <c r="BT74" i="17"/>
  <c r="CN76" i="17"/>
  <c r="CN44" i="17"/>
  <c r="AP33" i="17"/>
  <c r="AP52" i="17"/>
  <c r="AP25" i="17"/>
  <c r="AP54" i="17"/>
  <c r="AP47" i="17"/>
  <c r="AP53" i="17"/>
  <c r="C75" i="17" l="1"/>
  <c r="C74" i="17"/>
  <c r="C31" i="17"/>
  <c r="C24" i="17"/>
  <c r="BT77" i="17"/>
  <c r="AP77" i="17"/>
  <c r="CN77" i="17"/>
  <c r="D2" i="3" l="1"/>
  <c r="CN78" i="17"/>
  <c r="AP78" i="17"/>
  <c r="BT78" i="17"/>
  <c r="D19" i="3" l="1" a="1"/>
  <c r="D19" i="3" s="1"/>
  <c r="D18" i="3" a="1"/>
  <c r="D18" i="3" s="1"/>
  <c r="D16" i="3" a="1"/>
  <c r="D16" i="3" s="1"/>
  <c r="D15" i="3" a="1"/>
  <c r="D15" i="3" s="1"/>
  <c r="D13" i="3" a="1"/>
  <c r="D13" i="3" s="1"/>
  <c r="D20" i="3" s="1"/>
  <c r="D14" i="3" a="1"/>
  <c r="D14" i="3" s="1"/>
  <c r="D17" i="3" a="1"/>
  <c r="D17" i="3" s="1"/>
  <c r="D203" i="3" a="1"/>
  <c r="D203" i="3" s="1"/>
  <c r="D197" i="3" a="1"/>
  <c r="D197" i="3" s="1"/>
  <c r="D204" i="3" s="1"/>
  <c r="D202" i="3" a="1"/>
  <c r="D202" i="3" s="1"/>
  <c r="D201" i="3" a="1"/>
  <c r="D201" i="3" s="1"/>
  <c r="D200" i="3" a="1"/>
  <c r="D200" i="3" s="1"/>
  <c r="D198" i="3" a="1"/>
  <c r="D198" i="3" s="1"/>
  <c r="D199" i="3" a="1"/>
  <c r="D199" i="3" s="1"/>
  <c r="D11" i="3" a="1"/>
  <c r="D11" i="3" s="1"/>
  <c r="D10" i="3" a="1"/>
  <c r="D10" i="3" s="1"/>
  <c r="D9" i="3" a="1"/>
  <c r="D9" i="3" s="1"/>
  <c r="D8" i="3" a="1"/>
  <c r="D8" i="3" s="1"/>
  <c r="D7" i="3" a="1"/>
  <c r="D7" i="3" s="1"/>
  <c r="D6" i="3" a="1"/>
  <c r="D6" i="3" s="1"/>
  <c r="D5" i="3" a="1"/>
  <c r="D5" i="3" s="1"/>
  <c r="D12" i="3" s="1"/>
  <c r="D107" i="3" a="1"/>
  <c r="D107" i="3" s="1"/>
  <c r="D106" i="3" a="1"/>
  <c r="D106" i="3" s="1"/>
  <c r="D105" i="3" a="1"/>
  <c r="D105" i="3" s="1"/>
  <c r="D104" i="3" a="1"/>
  <c r="D104" i="3" s="1"/>
  <c r="D103" i="3" a="1"/>
  <c r="D103" i="3" s="1"/>
  <c r="D102" i="3" a="1"/>
  <c r="D102" i="3" s="1"/>
  <c r="D101" i="3" a="1"/>
  <c r="D101" i="3" s="1"/>
  <c r="D108" i="3" s="1"/>
  <c r="D186" i="3" a="1"/>
  <c r="D186" i="3" s="1"/>
  <c r="D184" i="3" a="1"/>
  <c r="D184" i="3" s="1"/>
  <c r="D182" i="3" a="1"/>
  <c r="D182" i="3" s="1"/>
  <c r="D187" i="3" a="1"/>
  <c r="D187" i="3" s="1"/>
  <c r="D185" i="3" a="1"/>
  <c r="D185" i="3" s="1"/>
  <c r="D183" i="3" a="1"/>
  <c r="D183" i="3" s="1"/>
  <c r="D181" i="3" a="1"/>
  <c r="D181" i="3" s="1"/>
  <c r="D188" i="3" s="1"/>
  <c r="D227" i="3" a="1"/>
  <c r="D227" i="3" s="1"/>
  <c r="D219" i="3" a="1"/>
  <c r="D219" i="3" s="1"/>
  <c r="D211" i="3" a="1"/>
  <c r="D211" i="3" s="1"/>
  <c r="D179" i="3" a="1"/>
  <c r="D179" i="3" s="1"/>
  <c r="D171" i="3" a="1"/>
  <c r="D171" i="3" s="1"/>
  <c r="D163" i="3" a="1"/>
  <c r="D163" i="3" s="1"/>
  <c r="D155" i="3" a="1"/>
  <c r="D155" i="3" s="1"/>
  <c r="D147" i="3" a="1"/>
  <c r="D147" i="3" s="1"/>
  <c r="D139" i="3" a="1"/>
  <c r="D139" i="3" s="1"/>
  <c r="D131" i="3" a="1"/>
  <c r="D131" i="3" s="1"/>
  <c r="D43" i="3" a="1"/>
  <c r="D43" i="3" s="1"/>
  <c r="D35" i="3" a="1"/>
  <c r="D35" i="3" s="1"/>
  <c r="D27" i="3" a="1"/>
  <c r="D27" i="3" s="1"/>
  <c r="D235" i="3" a="1"/>
  <c r="D235" i="3" s="1"/>
  <c r="D123" i="3" a="1"/>
  <c r="D123" i="3" s="1"/>
  <c r="D115" i="3" a="1"/>
  <c r="D115" i="3" s="1"/>
  <c r="D99" i="3" a="1"/>
  <c r="D99" i="3" s="1"/>
  <c r="D91" i="3" a="1"/>
  <c r="D91" i="3" s="1"/>
  <c r="D83" i="3" a="1"/>
  <c r="D83" i="3" s="1"/>
  <c r="D75" i="3" a="1"/>
  <c r="D75" i="3" s="1"/>
  <c r="D67" i="3" a="1"/>
  <c r="D67" i="3" s="1"/>
  <c r="D59" i="3" a="1"/>
  <c r="D59" i="3" s="1"/>
  <c r="D51" i="3" a="1"/>
  <c r="D51" i="3" s="1"/>
  <c r="D195" i="3" a="1"/>
  <c r="D195" i="3" s="1"/>
  <c r="D191" i="3" a="1"/>
  <c r="D191" i="3" s="1"/>
  <c r="D189" i="3" a="1"/>
  <c r="D189" i="3" s="1"/>
  <c r="D194" i="3" a="1"/>
  <c r="D194" i="3" s="1"/>
  <c r="D193" i="3" a="1"/>
  <c r="D193" i="3" s="1"/>
  <c r="D192" i="3" a="1"/>
  <c r="D192" i="3" s="1"/>
  <c r="D190" i="3" a="1"/>
  <c r="D190" i="3" s="1"/>
  <c r="D177" i="3" a="1"/>
  <c r="D177" i="3" s="1"/>
  <c r="D175" i="3" a="1"/>
  <c r="D175" i="3" s="1"/>
  <c r="D174" i="3" a="1"/>
  <c r="D174" i="3" s="1"/>
  <c r="D178" i="3" a="1"/>
  <c r="D178" i="3" s="1"/>
  <c r="D176" i="3" a="1"/>
  <c r="D176" i="3" s="1"/>
  <c r="D173" i="3" a="1"/>
  <c r="D173" i="3" s="1"/>
  <c r="D66" i="3" a="1"/>
  <c r="D66" i="3" s="1"/>
  <c r="D65" i="3" a="1"/>
  <c r="D65" i="3" s="1"/>
  <c r="D64" i="3" a="1"/>
  <c r="D64" i="3" s="1"/>
  <c r="D62" i="3" a="1"/>
  <c r="D62" i="3" s="1"/>
  <c r="D63" i="3" a="1"/>
  <c r="D63" i="3" s="1"/>
  <c r="D61" i="3" a="1"/>
  <c r="D61" i="3" s="1"/>
  <c r="D146" i="3" a="1"/>
  <c r="D146" i="3" s="1"/>
  <c r="D145" i="3" a="1"/>
  <c r="D145" i="3" s="1"/>
  <c r="D143" i="3" a="1"/>
  <c r="D143" i="3" s="1"/>
  <c r="D142" i="3" a="1"/>
  <c r="D142" i="3" s="1"/>
  <c r="D144" i="3" a="1"/>
  <c r="D144" i="3" s="1"/>
  <c r="D141" i="3" a="1"/>
  <c r="D141" i="3" s="1"/>
  <c r="D34" i="3" a="1"/>
  <c r="D34" i="3" s="1"/>
  <c r="D33" i="3" a="1"/>
  <c r="D33" i="3" s="1"/>
  <c r="D31" i="3" a="1"/>
  <c r="D31" i="3" s="1"/>
  <c r="D30" i="3" a="1"/>
  <c r="D30" i="3" s="1"/>
  <c r="D29" i="3" a="1"/>
  <c r="D29" i="3" s="1"/>
  <c r="D32" i="3" a="1"/>
  <c r="D32" i="3" s="1"/>
  <c r="D169" i="3" a="1"/>
  <c r="D169" i="3" s="1"/>
  <c r="D166" i="3" a="1"/>
  <c r="D166" i="3" s="1"/>
  <c r="D165" i="3" a="1"/>
  <c r="D165" i="3" s="1"/>
  <c r="D226" i="3" a="1"/>
  <c r="D226" i="3" s="1"/>
  <c r="D225" i="3" a="1"/>
  <c r="D225" i="3" s="1"/>
  <c r="D223" i="3" a="1"/>
  <c r="D223" i="3" s="1"/>
  <c r="D222" i="3" a="1"/>
  <c r="D222" i="3" s="1"/>
  <c r="D221" i="3" a="1"/>
  <c r="D221" i="3" s="1"/>
  <c r="D170" i="3" a="1"/>
  <c r="D170" i="3" s="1"/>
  <c r="D168" i="3" a="1"/>
  <c r="D168" i="3" s="1"/>
  <c r="D167" i="3" a="1"/>
  <c r="D167" i="3" s="1"/>
  <c r="D224" i="3" a="1"/>
  <c r="D224" i="3" s="1"/>
  <c r="D127" i="3" a="1"/>
  <c r="D127" i="3" s="1"/>
  <c r="D126" i="3" a="1"/>
  <c r="D126" i="3" s="1"/>
  <c r="D128" i="3" a="1"/>
  <c r="D128" i="3" s="1"/>
  <c r="D129" i="3" a="1"/>
  <c r="D129" i="3" s="1"/>
  <c r="D125" i="3" a="1"/>
  <c r="D125" i="3" s="1"/>
  <c r="D130" i="3" a="1"/>
  <c r="D130" i="3" s="1"/>
  <c r="D42" i="3" a="1"/>
  <c r="D42" i="3" s="1"/>
  <c r="D41" i="3" a="1"/>
  <c r="D41" i="3" s="1"/>
  <c r="D39" i="3" a="1"/>
  <c r="D39" i="3" s="1"/>
  <c r="D37" i="3" a="1"/>
  <c r="D37" i="3" s="1"/>
  <c r="D40" i="3" a="1"/>
  <c r="D40" i="3" s="1"/>
  <c r="D38" i="3" a="1"/>
  <c r="D38" i="3" s="1"/>
  <c r="D207" i="3" a="1"/>
  <c r="D207" i="3" s="1"/>
  <c r="D208" i="3" a="1"/>
  <c r="D208" i="3" s="1"/>
  <c r="D206" i="3" a="1"/>
  <c r="D206" i="3" s="1"/>
  <c r="D210" i="3" a="1"/>
  <c r="D210" i="3" s="1"/>
  <c r="D205" i="3" a="1"/>
  <c r="D205" i="3" s="1"/>
  <c r="D133" i="3" a="1"/>
  <c r="D133" i="3" s="1"/>
  <c r="D209" i="3" a="1"/>
  <c r="D209" i="3" s="1"/>
  <c r="D138" i="3" a="1"/>
  <c r="D138" i="3" s="1"/>
  <c r="D137" i="3" a="1"/>
  <c r="D137" i="3" s="1"/>
  <c r="D134" i="3" a="1"/>
  <c r="D134" i="3" s="1"/>
  <c r="D136" i="3" a="1"/>
  <c r="D136" i="3" s="1"/>
  <c r="D135" i="3" a="1"/>
  <c r="D135" i="3" s="1"/>
  <c r="D58" i="3" a="1"/>
  <c r="D58" i="3" s="1"/>
  <c r="D57" i="3" a="1"/>
  <c r="D57" i="3" s="1"/>
  <c r="D55" i="3" a="1"/>
  <c r="D55" i="3" s="1"/>
  <c r="D53" i="3" a="1"/>
  <c r="D53" i="3" s="1"/>
  <c r="D56" i="3" a="1"/>
  <c r="D56" i="3" s="1"/>
  <c r="D54" i="3" a="1"/>
  <c r="D54" i="3" s="1"/>
  <c r="D218" i="3" a="1"/>
  <c r="D218" i="3" s="1"/>
  <c r="D214" i="3" a="1"/>
  <c r="D214" i="3" s="1"/>
  <c r="D217" i="3" a="1"/>
  <c r="D217" i="3" s="1"/>
  <c r="D216" i="3" a="1"/>
  <c r="D216" i="3" s="1"/>
  <c r="D215" i="3" a="1"/>
  <c r="D215" i="3" s="1"/>
  <c r="D213" i="3" a="1"/>
  <c r="D213" i="3" s="1"/>
  <c r="D122" i="3" a="1"/>
  <c r="D122" i="3" s="1"/>
  <c r="D117" i="3" a="1"/>
  <c r="D117" i="3" s="1"/>
  <c r="D120" i="3" a="1"/>
  <c r="D120" i="3" s="1"/>
  <c r="D121" i="3" a="1"/>
  <c r="D121" i="3" s="1"/>
  <c r="D118" i="3" a="1"/>
  <c r="D118" i="3" s="1"/>
  <c r="D119" i="3" a="1"/>
  <c r="D119" i="3" s="1"/>
  <c r="D90" i="3" a="1"/>
  <c r="D90" i="3" s="1"/>
  <c r="D89" i="3" a="1"/>
  <c r="D89" i="3" s="1"/>
  <c r="D87" i="3" a="1"/>
  <c r="D87" i="3" s="1"/>
  <c r="D85" i="3" a="1"/>
  <c r="D85" i="3" s="1"/>
  <c r="D88" i="3" a="1"/>
  <c r="D88" i="3" s="1"/>
  <c r="D86" i="3" a="1"/>
  <c r="D86" i="3" s="1"/>
  <c r="D154" i="3" a="1"/>
  <c r="D154" i="3" s="1"/>
  <c r="D150" i="3" a="1"/>
  <c r="D150" i="3" s="1"/>
  <c r="D149" i="3" a="1"/>
  <c r="D149" i="3" s="1"/>
  <c r="D151" i="3" a="1"/>
  <c r="D151" i="3" s="1"/>
  <c r="D153" i="3" a="1"/>
  <c r="D153" i="3" s="1"/>
  <c r="D152" i="3" a="1"/>
  <c r="D152" i="3" s="1"/>
  <c r="D50" i="3" a="1"/>
  <c r="D50" i="3" s="1"/>
  <c r="D48" i="3" a="1"/>
  <c r="D48" i="3" s="1"/>
  <c r="D45" i="3" a="1"/>
  <c r="D45" i="3" s="1"/>
  <c r="D46" i="3" a="1"/>
  <c r="D46" i="3" s="1"/>
  <c r="D47" i="3" a="1"/>
  <c r="D47" i="3" s="1"/>
  <c r="D49" i="3" a="1"/>
  <c r="D49" i="3" s="1"/>
  <c r="D45" i="14" a="1"/>
  <c r="D45" i="14" s="1"/>
  <c r="D43" i="14" a="1"/>
  <c r="D43" i="14" s="1"/>
  <c r="D41" i="14" a="1"/>
  <c r="D41" i="14" s="1"/>
  <c r="D44" i="14" a="1"/>
  <c r="D44" i="14" s="1"/>
  <c r="D40" i="14" a="1"/>
  <c r="D40" i="14" s="1"/>
  <c r="D42" i="14" a="1"/>
  <c r="D42" i="14" s="1"/>
  <c r="D45" i="9" a="1"/>
  <c r="D45" i="9" s="1"/>
  <c r="D43" i="9" a="1"/>
  <c r="D43" i="9" s="1"/>
  <c r="D41" i="9" a="1"/>
  <c r="D41" i="9" s="1"/>
  <c r="D42" i="9" a="1"/>
  <c r="D42" i="9" s="1"/>
  <c r="D44" i="9" a="1"/>
  <c r="D44" i="9" s="1"/>
  <c r="D40" i="9" a="1"/>
  <c r="D40" i="9" s="1"/>
  <c r="D43" i="6" a="1"/>
  <c r="D43" i="6" s="1"/>
  <c r="D41" i="6" a="1"/>
  <c r="D41" i="6" s="1"/>
  <c r="D44" i="6" a="1"/>
  <c r="D44" i="6" s="1"/>
  <c r="D42" i="6" a="1"/>
  <c r="D42" i="6" s="1"/>
  <c r="D40" i="6" a="1"/>
  <c r="D40" i="6" s="1"/>
  <c r="D45" i="6" a="1"/>
  <c r="D45" i="6" s="1"/>
  <c r="D45" i="8" a="1"/>
  <c r="D45" i="8" s="1"/>
  <c r="D43" i="8" a="1"/>
  <c r="D43" i="8" s="1"/>
  <c r="D41" i="8" a="1"/>
  <c r="D41" i="8" s="1"/>
  <c r="D44" i="8" a="1"/>
  <c r="D44" i="8" s="1"/>
  <c r="D42" i="8" a="1"/>
  <c r="D42" i="8" s="1"/>
  <c r="D40" i="8" a="1"/>
  <c r="D40" i="8" s="1"/>
  <c r="D45" i="13" a="1"/>
  <c r="D45" i="13" s="1"/>
  <c r="D43" i="13" a="1"/>
  <c r="D43" i="13" s="1"/>
  <c r="D42" i="13" a="1"/>
  <c r="D42" i="13" s="1"/>
  <c r="D44" i="13" a="1"/>
  <c r="D44" i="13" s="1"/>
  <c r="D41" i="13" a="1"/>
  <c r="D41" i="13" s="1"/>
  <c r="D40" i="13" a="1"/>
  <c r="D40" i="13" s="1"/>
  <c r="D44" i="12" a="1"/>
  <c r="D44" i="12" s="1"/>
  <c r="D45" i="12" a="1"/>
  <c r="D45" i="12" s="1"/>
  <c r="D42" i="12" a="1"/>
  <c r="D42" i="12" s="1"/>
  <c r="D40" i="12" a="1"/>
  <c r="D40" i="12" s="1"/>
  <c r="D43" i="12" a="1"/>
  <c r="D43" i="12" s="1"/>
  <c r="D41" i="12" a="1"/>
  <c r="D41" i="12" s="1"/>
  <c r="D98" i="3" a="1"/>
  <c r="D98" i="3" s="1"/>
  <c r="D97" i="3" a="1"/>
  <c r="D97" i="3" s="1"/>
  <c r="D96" i="3" a="1"/>
  <c r="D96" i="3" s="1"/>
  <c r="D95" i="3" a="1"/>
  <c r="D95" i="3" s="1"/>
  <c r="D94" i="3" a="1"/>
  <c r="D94" i="3" s="1"/>
  <c r="D93" i="3" a="1"/>
  <c r="D93" i="3" s="1"/>
  <c r="D24" i="3" a="1"/>
  <c r="D24" i="3" s="1"/>
  <c r="D26" i="3" a="1"/>
  <c r="D26" i="3" s="1"/>
  <c r="D25" i="3" a="1"/>
  <c r="D25" i="3" s="1"/>
  <c r="D23" i="3" a="1"/>
  <c r="D23" i="3" s="1"/>
  <c r="D21" i="3" a="1"/>
  <c r="D21" i="3" s="1"/>
  <c r="D22" i="3" a="1"/>
  <c r="D22" i="3" s="1"/>
  <c r="D35" i="14" a="1"/>
  <c r="D35" i="14" s="1"/>
  <c r="D33" i="14" a="1"/>
  <c r="D33" i="14" s="1"/>
  <c r="D38" i="14" a="1"/>
  <c r="D38" i="14" s="1"/>
  <c r="D34" i="14" a="1"/>
  <c r="D34" i="14" s="1"/>
  <c r="D36" i="14" a="1"/>
  <c r="D36" i="14" s="1"/>
  <c r="D37" i="14" a="1"/>
  <c r="D37" i="14" s="1"/>
  <c r="D114" i="3" a="1"/>
  <c r="D114" i="3" s="1"/>
  <c r="D112" i="3" a="1"/>
  <c r="D112" i="3" s="1"/>
  <c r="D111" i="3" a="1"/>
  <c r="D111" i="3" s="1"/>
  <c r="D109" i="3" a="1"/>
  <c r="D109" i="3" s="1"/>
  <c r="D113" i="3" a="1"/>
  <c r="D113" i="3" s="1"/>
  <c r="D110" i="3" a="1"/>
  <c r="D110" i="3" s="1"/>
  <c r="D162" i="3" a="1"/>
  <c r="D162" i="3" s="1"/>
  <c r="D160" i="3" a="1"/>
  <c r="D160" i="3" s="1"/>
  <c r="D159" i="3" a="1"/>
  <c r="D159" i="3" s="1"/>
  <c r="D161" i="3" a="1"/>
  <c r="D161" i="3" s="1"/>
  <c r="D157" i="3" a="1"/>
  <c r="D157" i="3" s="1"/>
  <c r="D158" i="3" a="1"/>
  <c r="D158" i="3" s="1"/>
  <c r="D73" i="3" a="1"/>
  <c r="D73" i="3" s="1"/>
  <c r="D74" i="3" a="1"/>
  <c r="D74" i="3" s="1"/>
  <c r="D71" i="3" a="1"/>
  <c r="D71" i="3" s="1"/>
  <c r="D69" i="3" a="1"/>
  <c r="D69" i="3" s="1"/>
  <c r="D72" i="3" a="1"/>
  <c r="D72" i="3" s="1"/>
  <c r="D70" i="3" a="1"/>
  <c r="D70" i="3" s="1"/>
  <c r="D234" i="3" a="1"/>
  <c r="D234" i="3" s="1"/>
  <c r="D229" i="3" a="1"/>
  <c r="D229" i="3" s="1"/>
  <c r="D232" i="3" a="1"/>
  <c r="D232" i="3" s="1"/>
  <c r="D230" i="3" a="1"/>
  <c r="D230" i="3" s="1"/>
  <c r="D231" i="3" a="1"/>
  <c r="D231" i="3" s="1"/>
  <c r="D233" i="3" a="1"/>
  <c r="D233" i="3" s="1"/>
  <c r="D78" i="3" a="1"/>
  <c r="D78" i="3" s="1"/>
  <c r="D80" i="3" a="1"/>
  <c r="D80" i="3" s="1"/>
  <c r="D79" i="3" a="1"/>
  <c r="D79" i="3" s="1"/>
  <c r="D77" i="3" a="1"/>
  <c r="D77" i="3" s="1"/>
  <c r="D82" i="3" a="1"/>
  <c r="D82" i="3" s="1"/>
  <c r="D81" i="3" a="1"/>
  <c r="D81" i="3" s="1"/>
  <c r="D24" i="14" a="1"/>
  <c r="D24" i="14" s="1"/>
  <c r="D22" i="14" a="1"/>
  <c r="D22" i="14" s="1"/>
  <c r="D29" i="14" a="1"/>
  <c r="D29" i="14" s="1"/>
  <c r="D28" i="14" a="1"/>
  <c r="D28" i="14" s="1"/>
  <c r="D27" i="14" a="1"/>
  <c r="D27" i="14" s="1"/>
  <c r="D26" i="14" a="1"/>
  <c r="D26" i="14" s="1"/>
  <c r="D17" i="14" a="1"/>
  <c r="D17" i="14" s="1"/>
  <c r="D16" i="14" a="1"/>
  <c r="D16" i="14" s="1"/>
  <c r="D15" i="14" a="1"/>
  <c r="D15" i="14" s="1"/>
  <c r="D14" i="14" a="1"/>
  <c r="D14" i="14" s="1"/>
  <c r="D13" i="14" a="1"/>
  <c r="D13" i="14" s="1"/>
  <c r="D12" i="14" a="1"/>
  <c r="D12" i="14" s="1"/>
  <c r="D31" i="14" a="1"/>
  <c r="D31" i="14" s="1"/>
  <c r="D23" i="14" a="1"/>
  <c r="D23" i="14" s="1"/>
  <c r="D21" i="14" a="1"/>
  <c r="D21" i="14" s="1"/>
  <c r="D19" i="14" a="1"/>
  <c r="D19" i="14" s="1"/>
  <c r="D20" i="14" a="1"/>
  <c r="D20" i="14" s="1"/>
  <c r="D30" i="14" a="1"/>
  <c r="D30" i="14" s="1"/>
  <c r="D6" i="14" a="1"/>
  <c r="D6" i="14" s="1"/>
  <c r="D9" i="14" a="1"/>
  <c r="D9" i="14" s="1"/>
  <c r="D3" i="14" a="1"/>
  <c r="D3" i="14" s="1"/>
  <c r="D4" i="14" a="1"/>
  <c r="D4" i="14" s="1"/>
  <c r="D5" i="14" a="1"/>
  <c r="D5" i="14" s="1"/>
  <c r="D7" i="14" a="1"/>
  <c r="D7" i="14" s="1"/>
  <c r="D8" i="14" a="1"/>
  <c r="D8" i="14" s="1"/>
  <c r="D10" i="14" a="1"/>
  <c r="D10" i="14" s="1"/>
  <c r="D37" i="13" a="1"/>
  <c r="D37" i="13" s="1"/>
  <c r="D35" i="13" a="1"/>
  <c r="D35" i="13" s="1"/>
  <c r="D33" i="13" a="1"/>
  <c r="D33" i="13" s="1"/>
  <c r="D38" i="13" a="1"/>
  <c r="D38" i="13" s="1"/>
  <c r="D36" i="13" a="1"/>
  <c r="D36" i="13" s="1"/>
  <c r="D34" i="13" a="1"/>
  <c r="D34" i="13" s="1"/>
  <c r="D30" i="13" a="1"/>
  <c r="D30" i="13" s="1"/>
  <c r="D26" i="13" a="1"/>
  <c r="D26" i="13" s="1"/>
  <c r="D29" i="13" a="1"/>
  <c r="D29" i="13" s="1"/>
  <c r="D24" i="13" a="1"/>
  <c r="D24" i="13" s="1"/>
  <c r="D28" i="13" a="1"/>
  <c r="D28" i="13" s="1"/>
  <c r="D23" i="13" a="1"/>
  <c r="D23" i="13" s="1"/>
  <c r="D31" i="13" a="1"/>
  <c r="D31" i="13" s="1"/>
  <c r="D27" i="13" a="1"/>
  <c r="D27" i="13" s="1"/>
  <c r="D22" i="13" a="1"/>
  <c r="D22" i="13" s="1"/>
  <c r="D21" i="13" a="1"/>
  <c r="D21" i="13" s="1"/>
  <c r="D16" i="13" a="1"/>
  <c r="D16" i="13" s="1"/>
  <c r="D12" i="13" a="1"/>
  <c r="D12" i="13" s="1"/>
  <c r="D20" i="13" a="1"/>
  <c r="D20" i="13" s="1"/>
  <c r="D15" i="13" a="1"/>
  <c r="D15" i="13" s="1"/>
  <c r="D19" i="13" a="1"/>
  <c r="D19" i="13" s="1"/>
  <c r="D14" i="13" a="1"/>
  <c r="D14" i="13" s="1"/>
  <c r="D17" i="13" a="1"/>
  <c r="D17" i="13" s="1"/>
  <c r="D13" i="13" a="1"/>
  <c r="D13" i="13" s="1"/>
  <c r="D5" i="13" a="1"/>
  <c r="D5" i="13" s="1"/>
  <c r="D6" i="13" a="1"/>
  <c r="D6" i="13" s="1"/>
  <c r="D7" i="13" a="1"/>
  <c r="D7" i="13" s="1"/>
  <c r="D8" i="13" a="1"/>
  <c r="D8" i="13" s="1"/>
  <c r="D9" i="13" a="1"/>
  <c r="D9" i="13" s="1"/>
  <c r="D10" i="13" a="1"/>
  <c r="D10" i="13" s="1"/>
  <c r="D4" i="13" a="1"/>
  <c r="D4" i="13" s="1"/>
  <c r="D3" i="13" a="1"/>
  <c r="D3" i="13" s="1"/>
  <c r="D38" i="8" a="1"/>
  <c r="D38" i="8" s="1"/>
  <c r="D37" i="8" a="1"/>
  <c r="D37" i="8" s="1"/>
  <c r="D36" i="8" a="1"/>
  <c r="D36" i="8" s="1"/>
  <c r="D35" i="8" a="1"/>
  <c r="D35" i="8" s="1"/>
  <c r="D34" i="8" a="1"/>
  <c r="D34" i="8" s="1"/>
  <c r="D33" i="8" a="1"/>
  <c r="D33" i="8" s="1"/>
  <c r="D31" i="8" a="1"/>
  <c r="D31" i="8" s="1"/>
  <c r="D27" i="8" a="1"/>
  <c r="D27" i="8" s="1"/>
  <c r="D17" i="8" a="1"/>
  <c r="D17" i="8" s="1"/>
  <c r="D30" i="8" a="1"/>
  <c r="D30" i="8" s="1"/>
  <c r="D26" i="8" a="1"/>
  <c r="D26" i="8" s="1"/>
  <c r="D29" i="8" a="1"/>
  <c r="D29" i="8" s="1"/>
  <c r="D24" i="8" a="1"/>
  <c r="D24" i="8" s="1"/>
  <c r="D15" i="8" a="1"/>
  <c r="D15" i="8" s="1"/>
  <c r="D16" i="8" a="1"/>
  <c r="D16" i="8" s="1"/>
  <c r="D14" i="8" a="1"/>
  <c r="D14" i="8" s="1"/>
  <c r="D23" i="8" a="1"/>
  <c r="D23" i="8" s="1"/>
  <c r="D22" i="8" a="1"/>
  <c r="D22" i="8" s="1"/>
  <c r="D21" i="8" a="1"/>
  <c r="D21" i="8" s="1"/>
  <c r="D12" i="8" a="1"/>
  <c r="D12" i="8" s="1"/>
  <c r="D13" i="8" a="1"/>
  <c r="D13" i="8" s="1"/>
  <c r="D20" i="8" a="1"/>
  <c r="D20" i="8" s="1"/>
  <c r="D28" i="8" a="1"/>
  <c r="D28" i="8" s="1"/>
  <c r="D19" i="8" a="1"/>
  <c r="D19" i="8" s="1"/>
  <c r="D6" i="8" a="1"/>
  <c r="D6" i="8" s="1"/>
  <c r="D5" i="8" a="1"/>
  <c r="D5" i="8" s="1"/>
  <c r="D8" i="8" a="1"/>
  <c r="D8" i="8" s="1"/>
  <c r="D9" i="8" a="1"/>
  <c r="D9" i="8" s="1"/>
  <c r="D10" i="8" a="1"/>
  <c r="D10" i="8" s="1"/>
  <c r="D7" i="8" a="1"/>
  <c r="D7" i="8" s="1"/>
  <c r="D4" i="8" a="1"/>
  <c r="D4" i="8" s="1"/>
  <c r="D3" i="8" a="1"/>
  <c r="D3" i="8" s="1"/>
  <c r="D38" i="6" a="1"/>
  <c r="D38" i="6" s="1"/>
  <c r="D37" i="6" a="1"/>
  <c r="D37" i="6" s="1"/>
  <c r="D36" i="6" a="1"/>
  <c r="D36" i="6" s="1"/>
  <c r="D35" i="6" a="1"/>
  <c r="D35" i="6" s="1"/>
  <c r="D34" i="6" a="1"/>
  <c r="D34" i="6" s="1"/>
  <c r="D33" i="6" a="1"/>
  <c r="D33" i="6" s="1"/>
  <c r="D31" i="6" a="1"/>
  <c r="D31" i="6" s="1"/>
  <c r="D27" i="6" a="1"/>
  <c r="D27" i="6" s="1"/>
  <c r="D14" i="6" a="1"/>
  <c r="D14" i="6" s="1"/>
  <c r="D24" i="6" a="1"/>
  <c r="D24" i="6" s="1"/>
  <c r="D20" i="6" a="1"/>
  <c r="D20" i="6" s="1"/>
  <c r="D30" i="6" a="1"/>
  <c r="D30" i="6" s="1"/>
  <c r="D26" i="6" a="1"/>
  <c r="D26" i="6" s="1"/>
  <c r="D17" i="6" a="1"/>
  <c r="D17" i="6" s="1"/>
  <c r="D13" i="6" a="1"/>
  <c r="D13" i="6" s="1"/>
  <c r="D23" i="6" a="1"/>
  <c r="D23" i="6" s="1"/>
  <c r="D19" i="6" a="1"/>
  <c r="D19" i="6" s="1"/>
  <c r="D29" i="6" a="1"/>
  <c r="D29" i="6" s="1"/>
  <c r="D16" i="6" a="1"/>
  <c r="D16" i="6" s="1"/>
  <c r="D12" i="6" a="1"/>
  <c r="D12" i="6" s="1"/>
  <c r="D22" i="6" a="1"/>
  <c r="D22" i="6" s="1"/>
  <c r="D28" i="6" a="1"/>
  <c r="D28" i="6" s="1"/>
  <c r="D15" i="6" a="1"/>
  <c r="D15" i="6" s="1"/>
  <c r="D21" i="6" a="1"/>
  <c r="D21" i="6" s="1"/>
  <c r="D10" i="6" a="1"/>
  <c r="D10" i="6" s="1"/>
  <c r="D6" i="6" a="1"/>
  <c r="D6" i="6" s="1"/>
  <c r="D7" i="6" a="1"/>
  <c r="D7" i="6" s="1"/>
  <c r="D8" i="6" a="1"/>
  <c r="D8" i="6" s="1"/>
  <c r="D9" i="6" a="1"/>
  <c r="D9" i="6" s="1"/>
  <c r="D5" i="6" a="1"/>
  <c r="D5" i="6" s="1"/>
  <c r="D3" i="6" a="1"/>
  <c r="D3" i="6" s="1"/>
  <c r="D4" i="6" a="1"/>
  <c r="D4" i="6" s="1"/>
  <c r="D38" i="12" a="1"/>
  <c r="D38" i="12" s="1"/>
  <c r="D36" i="12" a="1"/>
  <c r="D36" i="12" s="1"/>
  <c r="D34" i="12" a="1"/>
  <c r="D34" i="12" s="1"/>
  <c r="D35" i="12" a="1"/>
  <c r="D35" i="12" s="1"/>
  <c r="D37" i="12" a="1"/>
  <c r="D37" i="12" s="1"/>
  <c r="D33" i="12" a="1"/>
  <c r="D33" i="12" s="1"/>
  <c r="D31" i="12" a="1"/>
  <c r="D31" i="12" s="1"/>
  <c r="D29" i="12" a="1"/>
  <c r="D29" i="12" s="1"/>
  <c r="D27" i="12" a="1"/>
  <c r="D27" i="12" s="1"/>
  <c r="D24" i="12" a="1"/>
  <c r="D24" i="12" s="1"/>
  <c r="D22" i="12" a="1"/>
  <c r="D22" i="12" s="1"/>
  <c r="D20" i="12" a="1"/>
  <c r="D20" i="12" s="1"/>
  <c r="D17" i="12" a="1"/>
  <c r="D17" i="12" s="1"/>
  <c r="D15" i="12" a="1"/>
  <c r="D15" i="12" s="1"/>
  <c r="D13" i="12" a="1"/>
  <c r="D13" i="12" s="1"/>
  <c r="D30" i="12" a="1"/>
  <c r="D30" i="12" s="1"/>
  <c r="D28" i="12" a="1"/>
  <c r="D28" i="12" s="1"/>
  <c r="D26" i="12" a="1"/>
  <c r="D26" i="12" s="1"/>
  <c r="D23" i="12" a="1"/>
  <c r="D23" i="12" s="1"/>
  <c r="D21" i="12" a="1"/>
  <c r="D21" i="12" s="1"/>
  <c r="D19" i="12" a="1"/>
  <c r="D19" i="12" s="1"/>
  <c r="D16" i="12" a="1"/>
  <c r="D16" i="12" s="1"/>
  <c r="D14" i="12" a="1"/>
  <c r="D14" i="12" s="1"/>
  <c r="D12" i="12" a="1"/>
  <c r="D12" i="12" s="1"/>
  <c r="D5" i="12" a="1"/>
  <c r="D5" i="12" s="1"/>
  <c r="D6" i="12" a="1"/>
  <c r="D6" i="12" s="1"/>
  <c r="D4" i="12" a="1"/>
  <c r="D4" i="12" s="1"/>
  <c r="D3" i="12" a="1"/>
  <c r="D3" i="12" s="1"/>
  <c r="D7" i="12" a="1"/>
  <c r="D7" i="12" s="1"/>
  <c r="D8" i="12" a="1"/>
  <c r="D8" i="12" s="1"/>
  <c r="D9" i="12" a="1"/>
  <c r="D9" i="12" s="1"/>
  <c r="D10" i="12" a="1"/>
  <c r="D10" i="12" s="1"/>
  <c r="D36" i="9" a="1"/>
  <c r="D36" i="9" s="1"/>
  <c r="D34" i="9" a="1"/>
  <c r="D34" i="9" s="1"/>
  <c r="D38" i="9" a="1"/>
  <c r="D38" i="9" s="1"/>
  <c r="D37" i="9" a="1"/>
  <c r="D37" i="9" s="1"/>
  <c r="D35" i="9" a="1"/>
  <c r="D35" i="9" s="1"/>
  <c r="D33" i="9" a="1"/>
  <c r="D33" i="9" s="1"/>
  <c r="D23" i="9" a="1"/>
  <c r="D23" i="9" s="1"/>
  <c r="D19" i="9" a="1"/>
  <c r="D19" i="9" s="1"/>
  <c r="D31" i="9" a="1"/>
  <c r="D31" i="9" s="1"/>
  <c r="D30" i="9" a="1"/>
  <c r="D30" i="9" s="1"/>
  <c r="D29" i="9" a="1"/>
  <c r="D29" i="9" s="1"/>
  <c r="D28" i="9" a="1"/>
  <c r="D28" i="9" s="1"/>
  <c r="D22" i="9" a="1"/>
  <c r="D22" i="9" s="1"/>
  <c r="D14" i="9" a="1"/>
  <c r="D14" i="9" s="1"/>
  <c r="D21" i="9" a="1"/>
  <c r="D21" i="9" s="1"/>
  <c r="D26" i="9" a="1"/>
  <c r="D26" i="9" s="1"/>
  <c r="D16" i="9" a="1"/>
  <c r="D16" i="9" s="1"/>
  <c r="D12" i="9" a="1"/>
  <c r="D12" i="9" s="1"/>
  <c r="D17" i="9" a="1"/>
  <c r="D17" i="9" s="1"/>
  <c r="D13" i="9" a="1"/>
  <c r="D13" i="9" s="1"/>
  <c r="D24" i="9" a="1"/>
  <c r="D24" i="9" s="1"/>
  <c r="D20" i="9" a="1"/>
  <c r="D20" i="9" s="1"/>
  <c r="D27" i="9" a="1"/>
  <c r="D27" i="9" s="1"/>
  <c r="D15" i="9" a="1"/>
  <c r="D15" i="9" s="1"/>
  <c r="D5" i="9" a="1"/>
  <c r="D5" i="9" s="1"/>
  <c r="D6" i="9" a="1"/>
  <c r="D6" i="9" s="1"/>
  <c r="D7" i="9" a="1"/>
  <c r="D7" i="9" s="1"/>
  <c r="D9" i="9" a="1"/>
  <c r="D9" i="9" s="1"/>
  <c r="D8" i="9" a="1"/>
  <c r="D8" i="9" s="1"/>
  <c r="D10" i="9" a="1"/>
  <c r="D10" i="9" s="1"/>
  <c r="D3" i="9" a="1"/>
  <c r="D3" i="9" s="1"/>
  <c r="D4" i="9" a="1"/>
  <c r="D4" i="9" s="1"/>
  <c r="D38" i="10" a="1"/>
  <c r="D38" i="10" s="1"/>
  <c r="D37" i="10" a="1"/>
  <c r="D37" i="10" s="1"/>
  <c r="D34" i="10" a="1"/>
  <c r="D34" i="10" s="1"/>
  <c r="D35" i="10" a="1"/>
  <c r="D35" i="10" s="1"/>
  <c r="D33" i="10" a="1"/>
  <c r="D33" i="10" s="1"/>
  <c r="D36" i="10" a="1"/>
  <c r="D36" i="10" s="1"/>
  <c r="D27" i="10" a="1"/>
  <c r="D27" i="10" s="1"/>
  <c r="D24" i="10" a="1"/>
  <c r="D24" i="10" s="1"/>
  <c r="D19" i="10" a="1"/>
  <c r="D19" i="10" s="1"/>
  <c r="D9" i="10" a="1"/>
  <c r="D9" i="10" s="1"/>
  <c r="D5" i="10" a="1"/>
  <c r="D5" i="10" s="1"/>
  <c r="D31" i="10" a="1"/>
  <c r="D31" i="10" s="1"/>
  <c r="D30" i="10" a="1"/>
  <c r="D30" i="10" s="1"/>
  <c r="D26" i="10" a="1"/>
  <c r="D26" i="10" s="1"/>
  <c r="D23" i="10" a="1"/>
  <c r="D23" i="10" s="1"/>
  <c r="D8" i="10" a="1"/>
  <c r="D8" i="10" s="1"/>
  <c r="D29" i="10" a="1"/>
  <c r="D29" i="10" s="1"/>
  <c r="D22" i="10" a="1"/>
  <c r="D22" i="10" s="1"/>
  <c r="D7" i="10" a="1"/>
  <c r="D7" i="10" s="1"/>
  <c r="D28" i="10" a="1"/>
  <c r="D28" i="10" s="1"/>
  <c r="D20" i="10" a="1"/>
  <c r="D20" i="10" s="1"/>
  <c r="D10" i="10" a="1"/>
  <c r="D10" i="10" s="1"/>
  <c r="D6" i="10" a="1"/>
  <c r="D6" i="10" s="1"/>
  <c r="D21" i="10" a="1"/>
  <c r="D21" i="10" s="1"/>
  <c r="D12" i="10" a="1"/>
  <c r="D12" i="10" s="1"/>
  <c r="D15" i="10" a="1"/>
  <c r="D15" i="10" s="1"/>
  <c r="D14" i="10" a="1"/>
  <c r="D14" i="10" s="1"/>
  <c r="D17" i="10" a="1"/>
  <c r="D17" i="10" s="1"/>
  <c r="D13" i="10" a="1"/>
  <c r="D13" i="10" s="1"/>
  <c r="D16" i="10" a="1"/>
  <c r="D16" i="10" s="1"/>
  <c r="D3" i="10" a="1"/>
  <c r="D3" i="10" s="1"/>
  <c r="D4" i="10" a="1"/>
  <c r="D4" i="10" s="1"/>
  <c r="E2" i="3"/>
  <c r="FQ92" i="17"/>
  <c r="AQ90" i="17"/>
  <c r="FQ87" i="17"/>
  <c r="EW91" i="17"/>
  <c r="BU92" i="17"/>
  <c r="EC92" i="17"/>
  <c r="CO91" i="17"/>
  <c r="CO92" i="17"/>
  <c r="EC91" i="17"/>
  <c r="EW92" i="17"/>
  <c r="FQ90" i="17"/>
  <c r="AQ92" i="17"/>
  <c r="DI91" i="17"/>
  <c r="BU91" i="17"/>
  <c r="DI92" i="17"/>
  <c r="FQ91" i="17"/>
  <c r="AQ91" i="17"/>
  <c r="GK21" i="17"/>
  <c r="E19" i="3" l="1" a="1"/>
  <c r="E19" i="3" s="1"/>
  <c r="E18" i="3" a="1"/>
  <c r="E18" i="3" s="1"/>
  <c r="E13" i="3" a="1"/>
  <c r="E13" i="3" s="1"/>
  <c r="E20" i="3" s="1"/>
  <c r="E14" i="3" a="1"/>
  <c r="E14" i="3" s="1"/>
  <c r="E15" i="3" a="1"/>
  <c r="E15" i="3" s="1"/>
  <c r="E17" i="3" a="1"/>
  <c r="E17" i="3" s="1"/>
  <c r="E16" i="3" a="1"/>
  <c r="E16" i="3" s="1"/>
  <c r="E203" i="3" a="1"/>
  <c r="E203" i="3" s="1"/>
  <c r="E202" i="3" a="1"/>
  <c r="E202" i="3" s="1"/>
  <c r="E201" i="3" a="1"/>
  <c r="E201" i="3" s="1"/>
  <c r="E200" i="3" a="1"/>
  <c r="E200" i="3" s="1"/>
  <c r="E199" i="3" a="1"/>
  <c r="E199" i="3" s="1"/>
  <c r="E198" i="3" a="1"/>
  <c r="E198" i="3" s="1"/>
  <c r="E197" i="3" a="1"/>
  <c r="E197" i="3" s="1"/>
  <c r="E204" i="3" s="1"/>
  <c r="E11" i="3" a="1"/>
  <c r="E11" i="3" s="1"/>
  <c r="E10" i="3" a="1"/>
  <c r="E10" i="3" s="1"/>
  <c r="E9" i="3" a="1"/>
  <c r="E9" i="3" s="1"/>
  <c r="E5" i="3" a="1"/>
  <c r="E5" i="3" s="1"/>
  <c r="E12" i="3" s="1"/>
  <c r="E8" i="3" a="1"/>
  <c r="E8" i="3" s="1"/>
  <c r="E7" i="3" a="1"/>
  <c r="E7" i="3" s="1"/>
  <c r="E6" i="3" a="1"/>
  <c r="E6" i="3" s="1"/>
  <c r="E107" i="3" a="1"/>
  <c r="E107" i="3" s="1"/>
  <c r="E106" i="3" a="1"/>
  <c r="E106" i="3" s="1"/>
  <c r="E105" i="3" a="1"/>
  <c r="E105" i="3" s="1"/>
  <c r="E104" i="3" a="1"/>
  <c r="E104" i="3" s="1"/>
  <c r="E103" i="3" a="1"/>
  <c r="E103" i="3" s="1"/>
  <c r="E102" i="3" a="1"/>
  <c r="E102" i="3" s="1"/>
  <c r="E101" i="3" a="1"/>
  <c r="E101" i="3" s="1"/>
  <c r="E108" i="3" s="1"/>
  <c r="E187" i="3" a="1"/>
  <c r="E187" i="3" s="1"/>
  <c r="E185" i="3" a="1"/>
  <c r="E185" i="3" s="1"/>
  <c r="E183" i="3" a="1"/>
  <c r="E183" i="3" s="1"/>
  <c r="E181" i="3" a="1"/>
  <c r="E181" i="3" s="1"/>
  <c r="E186" i="3" a="1"/>
  <c r="E186" i="3" s="1"/>
  <c r="E184" i="3" a="1"/>
  <c r="E184" i="3" s="1"/>
  <c r="E182" i="3" a="1"/>
  <c r="E182" i="3" s="1"/>
  <c r="E227" i="3" a="1"/>
  <c r="E227" i="3" s="1"/>
  <c r="E219" i="3" a="1"/>
  <c r="E219" i="3" s="1"/>
  <c r="E211" i="3" a="1"/>
  <c r="E211" i="3" s="1"/>
  <c r="E179" i="3" a="1"/>
  <c r="E179" i="3" s="1"/>
  <c r="E171" i="3" a="1"/>
  <c r="E171" i="3" s="1"/>
  <c r="E163" i="3" a="1"/>
  <c r="E163" i="3" s="1"/>
  <c r="E155" i="3" a="1"/>
  <c r="E155" i="3" s="1"/>
  <c r="E147" i="3" a="1"/>
  <c r="E147" i="3" s="1"/>
  <c r="E139" i="3" a="1"/>
  <c r="E139" i="3" s="1"/>
  <c r="E131" i="3" a="1"/>
  <c r="E131" i="3" s="1"/>
  <c r="E195" i="3" a="1"/>
  <c r="E195" i="3" s="1"/>
  <c r="E123" i="3" a="1"/>
  <c r="E123" i="3" s="1"/>
  <c r="E115" i="3" a="1"/>
  <c r="E115" i="3" s="1"/>
  <c r="E99" i="3" a="1"/>
  <c r="E99" i="3" s="1"/>
  <c r="E91" i="3" a="1"/>
  <c r="E91" i="3" s="1"/>
  <c r="E83" i="3" a="1"/>
  <c r="E83" i="3" s="1"/>
  <c r="E75" i="3" a="1"/>
  <c r="E75" i="3" s="1"/>
  <c r="E67" i="3" a="1"/>
  <c r="E67" i="3" s="1"/>
  <c r="E59" i="3" a="1"/>
  <c r="E59" i="3" s="1"/>
  <c r="E51" i="3" a="1"/>
  <c r="E51" i="3" s="1"/>
  <c r="E43" i="3" a="1"/>
  <c r="E43" i="3" s="1"/>
  <c r="E35" i="3" a="1"/>
  <c r="E35" i="3" s="1"/>
  <c r="E27" i="3" a="1"/>
  <c r="E27" i="3" s="1"/>
  <c r="E235" i="3" a="1"/>
  <c r="E235" i="3" s="1"/>
  <c r="D196" i="3"/>
  <c r="E193" i="3" a="1"/>
  <c r="E193" i="3" s="1"/>
  <c r="E192" i="3" a="1"/>
  <c r="E192" i="3" s="1"/>
  <c r="E190" i="3" a="1"/>
  <c r="E190" i="3" s="1"/>
  <c r="E194" i="3" a="1"/>
  <c r="E194" i="3" s="1"/>
  <c r="E191" i="3" a="1"/>
  <c r="E191" i="3" s="1"/>
  <c r="E189" i="3" a="1"/>
  <c r="E189" i="3" s="1"/>
  <c r="D180" i="3"/>
  <c r="E178" i="3" a="1"/>
  <c r="E178" i="3" s="1"/>
  <c r="E176" i="3" a="1"/>
  <c r="E176" i="3" s="1"/>
  <c r="E173" i="3" a="1"/>
  <c r="E173" i="3" s="1"/>
  <c r="E177" i="3" a="1"/>
  <c r="E177" i="3" s="1"/>
  <c r="E175" i="3" a="1"/>
  <c r="E175" i="3" s="1"/>
  <c r="E174" i="3" a="1"/>
  <c r="E174" i="3" s="1"/>
  <c r="D68" i="3"/>
  <c r="E66" i="3" a="1"/>
  <c r="E66" i="3" s="1"/>
  <c r="E63" i="3" a="1"/>
  <c r="E63" i="3" s="1"/>
  <c r="E61" i="3" a="1"/>
  <c r="E61" i="3" s="1"/>
  <c r="E65" i="3" a="1"/>
  <c r="E65" i="3" s="1"/>
  <c r="E64" i="3" a="1"/>
  <c r="E64" i="3" s="1"/>
  <c r="E62" i="3" a="1"/>
  <c r="E62" i="3" s="1"/>
  <c r="D148" i="3"/>
  <c r="E146" i="3" a="1"/>
  <c r="E146" i="3" s="1"/>
  <c r="E145" i="3" a="1"/>
  <c r="E145" i="3" s="1"/>
  <c r="E144" i="3" a="1"/>
  <c r="E144" i="3" s="1"/>
  <c r="E143" i="3" a="1"/>
  <c r="E143" i="3" s="1"/>
  <c r="E142" i="3" a="1"/>
  <c r="E142" i="3" s="1"/>
  <c r="E141" i="3" a="1"/>
  <c r="E141" i="3" s="1"/>
  <c r="D36" i="3"/>
  <c r="E34" i="3" a="1"/>
  <c r="E34" i="3" s="1"/>
  <c r="E33" i="3" a="1"/>
  <c r="E33" i="3" s="1"/>
  <c r="E31" i="3" a="1"/>
  <c r="E31" i="3" s="1"/>
  <c r="E30" i="3" a="1"/>
  <c r="E30" i="3" s="1"/>
  <c r="E29" i="3" a="1"/>
  <c r="E29" i="3" s="1"/>
  <c r="E32" i="3" a="1"/>
  <c r="E32" i="3" s="1"/>
  <c r="D172" i="3"/>
  <c r="D228" i="3"/>
  <c r="E170" i="3" a="1"/>
  <c r="E170" i="3" s="1"/>
  <c r="E169" i="3" a="1"/>
  <c r="E169" i="3" s="1"/>
  <c r="E168" i="3" a="1"/>
  <c r="E168" i="3" s="1"/>
  <c r="E167" i="3" a="1"/>
  <c r="E167" i="3" s="1"/>
  <c r="E223" i="3" a="1"/>
  <c r="E223" i="3" s="1"/>
  <c r="E222" i="3" a="1"/>
  <c r="E222" i="3" s="1"/>
  <c r="E221" i="3" a="1"/>
  <c r="E221" i="3" s="1"/>
  <c r="E166" i="3" a="1"/>
  <c r="E166" i="3" s="1"/>
  <c r="E224" i="3" a="1"/>
  <c r="E224" i="3" s="1"/>
  <c r="E165" i="3" a="1"/>
  <c r="E165" i="3" s="1"/>
  <c r="E226" i="3" a="1"/>
  <c r="E226" i="3" s="1"/>
  <c r="E225" i="3" a="1"/>
  <c r="E225" i="3" s="1"/>
  <c r="E129" i="3" a="1"/>
  <c r="E129" i="3" s="1"/>
  <c r="E130" i="3" a="1"/>
  <c r="E130" i="3" s="1"/>
  <c r="E127" i="3" a="1"/>
  <c r="E127" i="3" s="1"/>
  <c r="E126" i="3" a="1"/>
  <c r="E126" i="3" s="1"/>
  <c r="E125" i="3" a="1"/>
  <c r="E125" i="3" s="1"/>
  <c r="E128" i="3" a="1"/>
  <c r="E128" i="3" s="1"/>
  <c r="D132" i="3"/>
  <c r="E42" i="3" a="1"/>
  <c r="E42" i="3" s="1"/>
  <c r="E37" i="3" a="1"/>
  <c r="E37" i="3" s="1"/>
  <c r="E40" i="3" a="1"/>
  <c r="E40" i="3" s="1"/>
  <c r="E38" i="3" a="1"/>
  <c r="E38" i="3" s="1"/>
  <c r="E41" i="3" a="1"/>
  <c r="E41" i="3" s="1"/>
  <c r="E39" i="3" a="1"/>
  <c r="E39" i="3" s="1"/>
  <c r="D44" i="3"/>
  <c r="D140" i="3"/>
  <c r="E208" i="3" a="1"/>
  <c r="E208" i="3" s="1"/>
  <c r="E209" i="3" a="1"/>
  <c r="E209" i="3" s="1"/>
  <c r="E205" i="3" a="1"/>
  <c r="E205" i="3" s="1"/>
  <c r="E210" i="3" a="1"/>
  <c r="E210" i="3" s="1"/>
  <c r="E136" i="3" a="1"/>
  <c r="E136" i="3" s="1"/>
  <c r="E206" i="3" a="1"/>
  <c r="E206" i="3" s="1"/>
  <c r="E138" i="3" a="1"/>
  <c r="E138" i="3" s="1"/>
  <c r="E137" i="3" a="1"/>
  <c r="E137" i="3" s="1"/>
  <c r="E134" i="3" a="1"/>
  <c r="E134" i="3" s="1"/>
  <c r="E207" i="3" a="1"/>
  <c r="E207" i="3" s="1"/>
  <c r="E135" i="3" a="1"/>
  <c r="E135" i="3" s="1"/>
  <c r="E133" i="3" a="1"/>
  <c r="E133" i="3" s="1"/>
  <c r="D212" i="3"/>
  <c r="D220" i="3"/>
  <c r="E58" i="3" a="1"/>
  <c r="E58" i="3" s="1"/>
  <c r="E56" i="3" a="1"/>
  <c r="E56" i="3" s="1"/>
  <c r="E54" i="3" a="1"/>
  <c r="E54" i="3" s="1"/>
  <c r="E53" i="3" a="1"/>
  <c r="E53" i="3" s="1"/>
  <c r="E57" i="3" a="1"/>
  <c r="E57" i="3" s="1"/>
  <c r="E55" i="3" a="1"/>
  <c r="E55" i="3" s="1"/>
  <c r="E216" i="3" a="1"/>
  <c r="E216" i="3" s="1"/>
  <c r="E213" i="3" a="1"/>
  <c r="E213" i="3" s="1"/>
  <c r="E218" i="3" a="1"/>
  <c r="E218" i="3" s="1"/>
  <c r="E217" i="3" a="1"/>
  <c r="E217" i="3" s="1"/>
  <c r="E215" i="3" a="1"/>
  <c r="E215" i="3" s="1"/>
  <c r="E214" i="3" a="1"/>
  <c r="E214" i="3" s="1"/>
  <c r="D60" i="3"/>
  <c r="E121" i="3" a="1"/>
  <c r="E121" i="3" s="1"/>
  <c r="E120" i="3" a="1"/>
  <c r="E120" i="3" s="1"/>
  <c r="E122" i="3" a="1"/>
  <c r="E122" i="3" s="1"/>
  <c r="E118" i="3" a="1"/>
  <c r="E118" i="3" s="1"/>
  <c r="E117" i="3" a="1"/>
  <c r="E117" i="3" s="1"/>
  <c r="E119" i="3" a="1"/>
  <c r="E119" i="3" s="1"/>
  <c r="D124" i="3"/>
  <c r="E90" i="3" a="1"/>
  <c r="E90" i="3" s="1"/>
  <c r="E88" i="3" a="1"/>
  <c r="E88" i="3" s="1"/>
  <c r="E86" i="3" a="1"/>
  <c r="E86" i="3" s="1"/>
  <c r="E89" i="3" a="1"/>
  <c r="E89" i="3" s="1"/>
  <c r="E87" i="3" a="1"/>
  <c r="E87" i="3" s="1"/>
  <c r="E85" i="3" a="1"/>
  <c r="E85" i="3" s="1"/>
  <c r="D92" i="3"/>
  <c r="E152" i="3" a="1"/>
  <c r="E152" i="3" s="1"/>
  <c r="E150" i="3" a="1"/>
  <c r="E150" i="3" s="1"/>
  <c r="E154" i="3" a="1"/>
  <c r="E154" i="3" s="1"/>
  <c r="E153" i="3" a="1"/>
  <c r="E153" i="3" s="1"/>
  <c r="E151" i="3" a="1"/>
  <c r="E151" i="3" s="1"/>
  <c r="E149" i="3" a="1"/>
  <c r="E149" i="3" s="1"/>
  <c r="D156" i="3"/>
  <c r="D52" i="3"/>
  <c r="E50" i="3" a="1"/>
  <c r="E50" i="3" s="1"/>
  <c r="E49" i="3" a="1"/>
  <c r="E49" i="3" s="1"/>
  <c r="E46" i="3" a="1"/>
  <c r="E46" i="3" s="1"/>
  <c r="E47" i="3" a="1"/>
  <c r="E47" i="3" s="1"/>
  <c r="E48" i="3" a="1"/>
  <c r="E48" i="3" s="1"/>
  <c r="E45" i="3" a="1"/>
  <c r="E45" i="3" s="1"/>
  <c r="D46" i="12"/>
  <c r="D46" i="13"/>
  <c r="D46" i="6"/>
  <c r="D46" i="14"/>
  <c r="D46" i="8"/>
  <c r="D46" i="9"/>
  <c r="E45" i="13" a="1"/>
  <c r="E45" i="13" s="1"/>
  <c r="E43" i="13" a="1"/>
  <c r="E43" i="13" s="1"/>
  <c r="E41" i="13" a="1"/>
  <c r="E41" i="13" s="1"/>
  <c r="E44" i="13" a="1"/>
  <c r="E44" i="13" s="1"/>
  <c r="E42" i="13" a="1"/>
  <c r="E42" i="13" s="1"/>
  <c r="E40" i="13" a="1"/>
  <c r="E40" i="13" s="1"/>
  <c r="E45" i="12" a="1"/>
  <c r="E45" i="12" s="1"/>
  <c r="E43" i="12" a="1"/>
  <c r="E43" i="12" s="1"/>
  <c r="E42" i="12" a="1"/>
  <c r="E42" i="12" s="1"/>
  <c r="E41" i="12" a="1"/>
  <c r="E41" i="12" s="1"/>
  <c r="E40" i="12" a="1"/>
  <c r="E40" i="12" s="1"/>
  <c r="E44" i="12" a="1"/>
  <c r="E44" i="12" s="1"/>
  <c r="E44" i="6" a="1"/>
  <c r="E44" i="6" s="1"/>
  <c r="E42" i="6" a="1"/>
  <c r="E42" i="6" s="1"/>
  <c r="E40" i="6" a="1"/>
  <c r="E40" i="6" s="1"/>
  <c r="E45" i="6" a="1"/>
  <c r="E45" i="6" s="1"/>
  <c r="E43" i="6" a="1"/>
  <c r="E43" i="6" s="1"/>
  <c r="E41" i="6" a="1"/>
  <c r="E41" i="6" s="1"/>
  <c r="E45" i="9" a="1"/>
  <c r="E45" i="9" s="1"/>
  <c r="E43" i="9" a="1"/>
  <c r="E43" i="9" s="1"/>
  <c r="E41" i="9" a="1"/>
  <c r="E41" i="9" s="1"/>
  <c r="E44" i="9" a="1"/>
  <c r="E44" i="9" s="1"/>
  <c r="E42" i="9" a="1"/>
  <c r="E42" i="9" s="1"/>
  <c r="E40" i="9" a="1"/>
  <c r="E40" i="9" s="1"/>
  <c r="E44" i="8" a="1"/>
  <c r="E44" i="8" s="1"/>
  <c r="E42" i="8" a="1"/>
  <c r="E42" i="8" s="1"/>
  <c r="E40" i="8" a="1"/>
  <c r="E40" i="8" s="1"/>
  <c r="E43" i="8" a="1"/>
  <c r="E43" i="8" s="1"/>
  <c r="E45" i="8" a="1"/>
  <c r="E45" i="8" s="1"/>
  <c r="E41" i="8" a="1"/>
  <c r="E41" i="8" s="1"/>
  <c r="E45" i="14" a="1"/>
  <c r="E45" i="14" s="1"/>
  <c r="E43" i="14" a="1"/>
  <c r="E43" i="14" s="1"/>
  <c r="E41" i="14" a="1"/>
  <c r="E41" i="14" s="1"/>
  <c r="E44" i="14" a="1"/>
  <c r="E44" i="14" s="1"/>
  <c r="E42" i="14" a="1"/>
  <c r="E42" i="14" s="1"/>
  <c r="E40" i="14" a="1"/>
  <c r="E40" i="14" s="1"/>
  <c r="E98" i="3" a="1"/>
  <c r="E98" i="3" s="1"/>
  <c r="E97" i="3" a="1"/>
  <c r="E97" i="3" s="1"/>
  <c r="E96" i="3" a="1"/>
  <c r="E96" i="3" s="1"/>
  <c r="E95" i="3" a="1"/>
  <c r="E95" i="3" s="1"/>
  <c r="E94" i="3" a="1"/>
  <c r="E94" i="3" s="1"/>
  <c r="E93" i="3" a="1"/>
  <c r="E93" i="3" s="1"/>
  <c r="D100" i="3"/>
  <c r="E23" i="3" a="1"/>
  <c r="E23" i="3" s="1"/>
  <c r="E22" i="3" a="1"/>
  <c r="E22" i="3" s="1"/>
  <c r="E26" i="3" a="1"/>
  <c r="E26" i="3" s="1"/>
  <c r="E25" i="3" a="1"/>
  <c r="E25" i="3" s="1"/>
  <c r="E24" i="3" a="1"/>
  <c r="E24" i="3" s="1"/>
  <c r="E21" i="3" a="1"/>
  <c r="E21" i="3" s="1"/>
  <c r="D28" i="3"/>
  <c r="D39" i="14"/>
  <c r="E33" i="14" a="1"/>
  <c r="E33" i="14" s="1"/>
  <c r="E38" i="14" a="1"/>
  <c r="E38" i="14" s="1"/>
  <c r="E34" i="14" a="1"/>
  <c r="E34" i="14" s="1"/>
  <c r="E35" i="14" a="1"/>
  <c r="E35" i="14" s="1"/>
  <c r="E36" i="14" a="1"/>
  <c r="E36" i="14" s="1"/>
  <c r="E37" i="14" a="1"/>
  <c r="E37" i="14" s="1"/>
  <c r="E114" i="3" a="1"/>
  <c r="E114" i="3" s="1"/>
  <c r="E113" i="3" a="1"/>
  <c r="E113" i="3" s="1"/>
  <c r="E112" i="3" a="1"/>
  <c r="E112" i="3" s="1"/>
  <c r="E111" i="3" a="1"/>
  <c r="E111" i="3" s="1"/>
  <c r="E109" i="3" a="1"/>
  <c r="E109" i="3" s="1"/>
  <c r="E110" i="3" a="1"/>
  <c r="E110" i="3" s="1"/>
  <c r="D116" i="3"/>
  <c r="E162" i="3" a="1"/>
  <c r="E162" i="3" s="1"/>
  <c r="E161" i="3" a="1"/>
  <c r="E161" i="3" s="1"/>
  <c r="E159" i="3" a="1"/>
  <c r="E159" i="3" s="1"/>
  <c r="E157" i="3" a="1"/>
  <c r="E157" i="3" s="1"/>
  <c r="E160" i="3" a="1"/>
  <c r="E160" i="3" s="1"/>
  <c r="E158" i="3" a="1"/>
  <c r="E158" i="3" s="1"/>
  <c r="D164" i="3"/>
  <c r="E74" i="3" a="1"/>
  <c r="E74" i="3" s="1"/>
  <c r="E72" i="3" a="1"/>
  <c r="E72" i="3" s="1"/>
  <c r="E70" i="3" a="1"/>
  <c r="E70" i="3" s="1"/>
  <c r="E71" i="3" a="1"/>
  <c r="E71" i="3" s="1"/>
  <c r="E69" i="3" a="1"/>
  <c r="E69" i="3" s="1"/>
  <c r="E73" i="3" a="1"/>
  <c r="E73" i="3" s="1"/>
  <c r="D76" i="3"/>
  <c r="D236" i="3"/>
  <c r="E234" i="3" a="1"/>
  <c r="E234" i="3" s="1"/>
  <c r="E232" i="3" a="1"/>
  <c r="E232" i="3" s="1"/>
  <c r="E230" i="3" a="1"/>
  <c r="E230" i="3" s="1"/>
  <c r="E229" i="3" a="1"/>
  <c r="E229" i="3" s="1"/>
  <c r="E233" i="3" a="1"/>
  <c r="E233" i="3" s="1"/>
  <c r="E231" i="3" a="1"/>
  <c r="E231" i="3" s="1"/>
  <c r="E82" i="3" a="1"/>
  <c r="E82" i="3" s="1"/>
  <c r="E81" i="3" a="1"/>
  <c r="E81" i="3" s="1"/>
  <c r="E80" i="3" a="1"/>
  <c r="E80" i="3" s="1"/>
  <c r="E79" i="3" a="1"/>
  <c r="E79" i="3" s="1"/>
  <c r="E78" i="3" a="1"/>
  <c r="E78" i="3" s="1"/>
  <c r="E77" i="3" a="1"/>
  <c r="E77" i="3" s="1"/>
  <c r="D84" i="3"/>
  <c r="D32" i="13"/>
  <c r="D25" i="10"/>
  <c r="D39" i="9"/>
  <c r="D18" i="12"/>
  <c r="D25" i="6"/>
  <c r="D11" i="9"/>
  <c r="D18" i="6"/>
  <c r="D11" i="8"/>
  <c r="D39" i="8"/>
  <c r="D39" i="13"/>
  <c r="D18" i="9"/>
  <c r="D32" i="6"/>
  <c r="D32" i="8"/>
  <c r="D11" i="10"/>
  <c r="D32" i="9"/>
  <c r="D25" i="9"/>
  <c r="D32" i="12"/>
  <c r="D39" i="12"/>
  <c r="D18" i="13"/>
  <c r="D18" i="10"/>
  <c r="D39" i="10"/>
  <c r="D32" i="10"/>
  <c r="D11" i="12"/>
  <c r="D25" i="12"/>
  <c r="D11" i="6"/>
  <c r="D39" i="6"/>
  <c r="D25" i="8"/>
  <c r="D18" i="8"/>
  <c r="D11" i="13"/>
  <c r="D25" i="13"/>
  <c r="E38" i="9" a="1"/>
  <c r="E38" i="9" s="1"/>
  <c r="E35" i="9" a="1"/>
  <c r="E35" i="9" s="1"/>
  <c r="E36" i="9" a="1"/>
  <c r="E36" i="9" s="1"/>
  <c r="E37" i="9" a="1"/>
  <c r="E37" i="9" s="1"/>
  <c r="E34" i="9" a="1"/>
  <c r="E34" i="9" s="1"/>
  <c r="E33" i="9" a="1"/>
  <c r="E33" i="9" s="1"/>
  <c r="E22" i="9" a="1"/>
  <c r="E22" i="9" s="1"/>
  <c r="E21" i="9" a="1"/>
  <c r="E21" i="9" s="1"/>
  <c r="E17" i="9" a="1"/>
  <c r="E17" i="9" s="1"/>
  <c r="E13" i="9" a="1"/>
  <c r="E13" i="9" s="1"/>
  <c r="E24" i="9" a="1"/>
  <c r="E24" i="9" s="1"/>
  <c r="E20" i="9" a="1"/>
  <c r="E20" i="9" s="1"/>
  <c r="E31" i="9" a="1"/>
  <c r="E31" i="9" s="1"/>
  <c r="E30" i="9" a="1"/>
  <c r="E30" i="9" s="1"/>
  <c r="E29" i="9" a="1"/>
  <c r="E29" i="9" s="1"/>
  <c r="E23" i="9" a="1"/>
  <c r="E23" i="9" s="1"/>
  <c r="E19" i="9" a="1"/>
  <c r="E19" i="9" s="1"/>
  <c r="E28" i="9" a="1"/>
  <c r="E28" i="9" s="1"/>
  <c r="E27" i="9" a="1"/>
  <c r="E27" i="9" s="1"/>
  <c r="E15" i="9" a="1"/>
  <c r="E15" i="9" s="1"/>
  <c r="E14" i="9" a="1"/>
  <c r="E14" i="9" s="1"/>
  <c r="E26" i="9" a="1"/>
  <c r="E26" i="9" s="1"/>
  <c r="E16" i="9" a="1"/>
  <c r="E16" i="9" s="1"/>
  <c r="E12" i="9" a="1"/>
  <c r="E12" i="9" s="1"/>
  <c r="E10" i="9" a="1"/>
  <c r="E10" i="9" s="1"/>
  <c r="E5" i="9" a="1"/>
  <c r="E5" i="9" s="1"/>
  <c r="E6" i="9" a="1"/>
  <c r="E6" i="9" s="1"/>
  <c r="E7" i="9" a="1"/>
  <c r="E7" i="9" s="1"/>
  <c r="E9" i="9" a="1"/>
  <c r="E9" i="9" s="1"/>
  <c r="E8" i="9" a="1"/>
  <c r="E8" i="9" s="1"/>
  <c r="E3" i="9" a="1"/>
  <c r="E3" i="9" s="1"/>
  <c r="E4" i="9" a="1"/>
  <c r="E4" i="9" s="1"/>
  <c r="E38" i="8" a="1"/>
  <c r="E38" i="8" s="1"/>
  <c r="E37" i="8" a="1"/>
  <c r="E37" i="8" s="1"/>
  <c r="E36" i="8" a="1"/>
  <c r="E36" i="8" s="1"/>
  <c r="E35" i="8" a="1"/>
  <c r="E35" i="8" s="1"/>
  <c r="E34" i="8" a="1"/>
  <c r="E34" i="8" s="1"/>
  <c r="E33" i="8" a="1"/>
  <c r="E33" i="8" s="1"/>
  <c r="E29" i="8" a="1"/>
  <c r="E29" i="8" s="1"/>
  <c r="E16" i="8" a="1"/>
  <c r="E16" i="8" s="1"/>
  <c r="E28" i="8" a="1"/>
  <c r="E28" i="8" s="1"/>
  <c r="E24" i="8" a="1"/>
  <c r="E24" i="8" s="1"/>
  <c r="E23" i="8" a="1"/>
  <c r="E23" i="8" s="1"/>
  <c r="E22" i="8" a="1"/>
  <c r="E22" i="8" s="1"/>
  <c r="E21" i="8" a="1"/>
  <c r="E21" i="8" s="1"/>
  <c r="E31" i="8" a="1"/>
  <c r="E31" i="8" s="1"/>
  <c r="E27" i="8" a="1"/>
  <c r="E27" i="8" s="1"/>
  <c r="E14" i="8" a="1"/>
  <c r="E14" i="8" s="1"/>
  <c r="E30" i="8" a="1"/>
  <c r="E30" i="8" s="1"/>
  <c r="E26" i="8" a="1"/>
  <c r="E26" i="8" s="1"/>
  <c r="E15" i="8" a="1"/>
  <c r="E15" i="8" s="1"/>
  <c r="E12" i="8" a="1"/>
  <c r="E12" i="8" s="1"/>
  <c r="E20" i="8" a="1"/>
  <c r="E20" i="8" s="1"/>
  <c r="E19" i="8" a="1"/>
  <c r="E19" i="8" s="1"/>
  <c r="E13" i="8" a="1"/>
  <c r="E13" i="8" s="1"/>
  <c r="E17" i="8" a="1"/>
  <c r="E17" i="8" s="1"/>
  <c r="E7" i="8" a="1"/>
  <c r="E7" i="8" s="1"/>
  <c r="E6" i="8" a="1"/>
  <c r="E6" i="8" s="1"/>
  <c r="E5" i="8" a="1"/>
  <c r="E5" i="8" s="1"/>
  <c r="E8" i="8" a="1"/>
  <c r="E8" i="8" s="1"/>
  <c r="E9" i="8" a="1"/>
  <c r="E9" i="8" s="1"/>
  <c r="E10" i="8" a="1"/>
  <c r="E10" i="8" s="1"/>
  <c r="E3" i="8" a="1"/>
  <c r="E3" i="8" s="1"/>
  <c r="E4" i="8" a="1"/>
  <c r="E4" i="8" s="1"/>
  <c r="D25" i="14"/>
  <c r="D18" i="14"/>
  <c r="E38" i="12" a="1"/>
  <c r="E38" i="12" s="1"/>
  <c r="E36" i="12" a="1"/>
  <c r="E36" i="12" s="1"/>
  <c r="E34" i="12" a="1"/>
  <c r="E34" i="12" s="1"/>
  <c r="E37" i="12" a="1"/>
  <c r="E37" i="12" s="1"/>
  <c r="E35" i="12" a="1"/>
  <c r="E35" i="12" s="1"/>
  <c r="E33" i="12" a="1"/>
  <c r="E33" i="12" s="1"/>
  <c r="E31" i="12" a="1"/>
  <c r="E31" i="12" s="1"/>
  <c r="E29" i="12" a="1"/>
  <c r="E29" i="12" s="1"/>
  <c r="E27" i="12" a="1"/>
  <c r="E27" i="12" s="1"/>
  <c r="E24" i="12" a="1"/>
  <c r="E24" i="12" s="1"/>
  <c r="E22" i="12" a="1"/>
  <c r="E22" i="12" s="1"/>
  <c r="E20" i="12" a="1"/>
  <c r="E20" i="12" s="1"/>
  <c r="E17" i="12" a="1"/>
  <c r="E17" i="12" s="1"/>
  <c r="E15" i="12" a="1"/>
  <c r="E15" i="12" s="1"/>
  <c r="E13" i="12" a="1"/>
  <c r="E13" i="12" s="1"/>
  <c r="E30" i="12" a="1"/>
  <c r="E30" i="12" s="1"/>
  <c r="E28" i="12" a="1"/>
  <c r="E28" i="12" s="1"/>
  <c r="E26" i="12" a="1"/>
  <c r="E26" i="12" s="1"/>
  <c r="E23" i="12" a="1"/>
  <c r="E23" i="12" s="1"/>
  <c r="E21" i="12" a="1"/>
  <c r="E21" i="12" s="1"/>
  <c r="E19" i="12" a="1"/>
  <c r="E19" i="12" s="1"/>
  <c r="E16" i="12" a="1"/>
  <c r="E16" i="12" s="1"/>
  <c r="E14" i="12" a="1"/>
  <c r="E14" i="12" s="1"/>
  <c r="E12" i="12" a="1"/>
  <c r="E12" i="12" s="1"/>
  <c r="E8" i="12" a="1"/>
  <c r="E8" i="12" s="1"/>
  <c r="E9" i="12" a="1"/>
  <c r="E9" i="12" s="1"/>
  <c r="E10" i="12" a="1"/>
  <c r="E10" i="12" s="1"/>
  <c r="E5" i="12" a="1"/>
  <c r="E5" i="12" s="1"/>
  <c r="E6" i="12" a="1"/>
  <c r="E6" i="12" s="1"/>
  <c r="E7" i="12" a="1"/>
  <c r="E7" i="12" s="1"/>
  <c r="E3" i="12" a="1"/>
  <c r="E3" i="12" s="1"/>
  <c r="E4" i="12" a="1"/>
  <c r="E4" i="12" s="1"/>
  <c r="E37" i="13" a="1"/>
  <c r="E37" i="13" s="1"/>
  <c r="E35" i="13" a="1"/>
  <c r="E35" i="13" s="1"/>
  <c r="E33" i="13" a="1"/>
  <c r="E33" i="13" s="1"/>
  <c r="E38" i="13" a="1"/>
  <c r="E38" i="13" s="1"/>
  <c r="E36" i="13" a="1"/>
  <c r="E36" i="13" s="1"/>
  <c r="E34" i="13" a="1"/>
  <c r="E34" i="13" s="1"/>
  <c r="E29" i="13" a="1"/>
  <c r="E29" i="13" s="1"/>
  <c r="E24" i="13" a="1"/>
  <c r="E24" i="13" s="1"/>
  <c r="E28" i="13" a="1"/>
  <c r="E28" i="13" s="1"/>
  <c r="E23" i="13" a="1"/>
  <c r="E23" i="13" s="1"/>
  <c r="E31" i="13" a="1"/>
  <c r="E31" i="13" s="1"/>
  <c r="E27" i="13" a="1"/>
  <c r="E27" i="13" s="1"/>
  <c r="E22" i="13" a="1"/>
  <c r="E22" i="13" s="1"/>
  <c r="E30" i="13" a="1"/>
  <c r="E30" i="13" s="1"/>
  <c r="E26" i="13" a="1"/>
  <c r="E26" i="13" s="1"/>
  <c r="E20" i="13" a="1"/>
  <c r="E20" i="13" s="1"/>
  <c r="E15" i="13" a="1"/>
  <c r="E15" i="13" s="1"/>
  <c r="E19" i="13" a="1"/>
  <c r="E19" i="13" s="1"/>
  <c r="E14" i="13" a="1"/>
  <c r="E14" i="13" s="1"/>
  <c r="E17" i="13" a="1"/>
  <c r="E17" i="13" s="1"/>
  <c r="E13" i="13" a="1"/>
  <c r="E13" i="13" s="1"/>
  <c r="E21" i="13" a="1"/>
  <c r="E21" i="13" s="1"/>
  <c r="E16" i="13" a="1"/>
  <c r="E16" i="13" s="1"/>
  <c r="E12" i="13" a="1"/>
  <c r="E12" i="13" s="1"/>
  <c r="E8" i="13" a="1"/>
  <c r="E8" i="13" s="1"/>
  <c r="E9" i="13" a="1"/>
  <c r="E9" i="13" s="1"/>
  <c r="E10" i="13" a="1"/>
  <c r="E10" i="13" s="1"/>
  <c r="E5" i="13" a="1"/>
  <c r="E5" i="13" s="1"/>
  <c r="E7" i="13" a="1"/>
  <c r="E7" i="13" s="1"/>
  <c r="E6" i="13" a="1"/>
  <c r="E6" i="13" s="1"/>
  <c r="E3" i="13" a="1"/>
  <c r="E3" i="13" s="1"/>
  <c r="E4" i="13" a="1"/>
  <c r="E4" i="13" s="1"/>
  <c r="D11" i="14"/>
  <c r="E35" i="10" a="1"/>
  <c r="E35" i="10" s="1"/>
  <c r="E33" i="10" a="1"/>
  <c r="E33" i="10" s="1"/>
  <c r="E36" i="10" a="1"/>
  <c r="E36" i="10" s="1"/>
  <c r="E34" i="10" a="1"/>
  <c r="E34" i="10" s="1"/>
  <c r="E37" i="10" a="1"/>
  <c r="E37" i="10" s="1"/>
  <c r="E38" i="10" a="1"/>
  <c r="E38" i="10" s="1"/>
  <c r="E31" i="10" a="1"/>
  <c r="E31" i="10" s="1"/>
  <c r="E30" i="10" a="1"/>
  <c r="E30" i="10" s="1"/>
  <c r="E26" i="10" a="1"/>
  <c r="E26" i="10" s="1"/>
  <c r="E23" i="10" a="1"/>
  <c r="E23" i="10" s="1"/>
  <c r="E8" i="10" a="1"/>
  <c r="E8" i="10" s="1"/>
  <c r="E29" i="10" a="1"/>
  <c r="E29" i="10" s="1"/>
  <c r="E22" i="10" a="1"/>
  <c r="E22" i="10" s="1"/>
  <c r="E20" i="10" a="1"/>
  <c r="E20" i="10" s="1"/>
  <c r="E7" i="10" a="1"/>
  <c r="E7" i="10" s="1"/>
  <c r="E28" i="10" a="1"/>
  <c r="E28" i="10" s="1"/>
  <c r="E21" i="10" a="1"/>
  <c r="E21" i="10" s="1"/>
  <c r="E19" i="10" a="1"/>
  <c r="E19" i="10" s="1"/>
  <c r="E10" i="10" a="1"/>
  <c r="E10" i="10" s="1"/>
  <c r="E6" i="10" a="1"/>
  <c r="E6" i="10" s="1"/>
  <c r="E27" i="10" a="1"/>
  <c r="E27" i="10" s="1"/>
  <c r="E24" i="10" a="1"/>
  <c r="E24" i="10" s="1"/>
  <c r="E9" i="10" a="1"/>
  <c r="E9" i="10" s="1"/>
  <c r="E5" i="10" a="1"/>
  <c r="E5" i="10" s="1"/>
  <c r="E13" i="10" a="1"/>
  <c r="E13" i="10" s="1"/>
  <c r="E14" i="10" a="1"/>
  <c r="E14" i="10" s="1"/>
  <c r="E16" i="10" a="1"/>
  <c r="E16" i="10" s="1"/>
  <c r="E12" i="10" a="1"/>
  <c r="E12" i="10" s="1"/>
  <c r="E15" i="10" a="1"/>
  <c r="E15" i="10" s="1"/>
  <c r="E17" i="10" a="1"/>
  <c r="E17" i="10" s="1"/>
  <c r="E3" i="10" a="1"/>
  <c r="E3" i="10" s="1"/>
  <c r="E4" i="10" a="1"/>
  <c r="E4" i="10" s="1"/>
  <c r="E38" i="6" a="1"/>
  <c r="E38" i="6" s="1"/>
  <c r="E37" i="6" a="1"/>
  <c r="E37" i="6" s="1"/>
  <c r="E36" i="6" a="1"/>
  <c r="E36" i="6" s="1"/>
  <c r="E35" i="6" a="1"/>
  <c r="E35" i="6" s="1"/>
  <c r="E34" i="6" a="1"/>
  <c r="E34" i="6" s="1"/>
  <c r="E33" i="6" a="1"/>
  <c r="E33" i="6" s="1"/>
  <c r="E29" i="6" a="1"/>
  <c r="E29" i="6" s="1"/>
  <c r="E17" i="6" a="1"/>
  <c r="E17" i="6" s="1"/>
  <c r="E13" i="6" a="1"/>
  <c r="E13" i="6" s="1"/>
  <c r="E22" i="6" a="1"/>
  <c r="E22" i="6" s="1"/>
  <c r="E28" i="6" a="1"/>
  <c r="E28" i="6" s="1"/>
  <c r="E16" i="6" a="1"/>
  <c r="E16" i="6" s="1"/>
  <c r="E12" i="6" a="1"/>
  <c r="E12" i="6" s="1"/>
  <c r="E21" i="6" a="1"/>
  <c r="E21" i="6" s="1"/>
  <c r="E31" i="6" a="1"/>
  <c r="E31" i="6" s="1"/>
  <c r="E27" i="6" a="1"/>
  <c r="E27" i="6" s="1"/>
  <c r="E15" i="6" a="1"/>
  <c r="E15" i="6" s="1"/>
  <c r="E24" i="6" a="1"/>
  <c r="E24" i="6" s="1"/>
  <c r="E20" i="6" a="1"/>
  <c r="E20" i="6" s="1"/>
  <c r="E14" i="6" a="1"/>
  <c r="E14" i="6" s="1"/>
  <c r="E23" i="6" a="1"/>
  <c r="E23" i="6" s="1"/>
  <c r="E19" i="6" a="1"/>
  <c r="E19" i="6" s="1"/>
  <c r="E30" i="6" a="1"/>
  <c r="E30" i="6" s="1"/>
  <c r="E26" i="6" a="1"/>
  <c r="E26" i="6" s="1"/>
  <c r="E7" i="6" a="1"/>
  <c r="E7" i="6" s="1"/>
  <c r="E8" i="6" a="1"/>
  <c r="E8" i="6" s="1"/>
  <c r="E9" i="6" a="1"/>
  <c r="E9" i="6" s="1"/>
  <c r="E10" i="6" a="1"/>
  <c r="E10" i="6" s="1"/>
  <c r="E5" i="6" a="1"/>
  <c r="E5" i="6" s="1"/>
  <c r="E6" i="6" a="1"/>
  <c r="E6" i="6" s="1"/>
  <c r="E3" i="6" a="1"/>
  <c r="E3" i="6" s="1"/>
  <c r="E4" i="6" a="1"/>
  <c r="E4" i="6" s="1"/>
  <c r="D32" i="14"/>
  <c r="E24" i="14" a="1"/>
  <c r="E24" i="14" s="1"/>
  <c r="E22" i="14" a="1"/>
  <c r="E22" i="14" s="1"/>
  <c r="E20" i="14" a="1"/>
  <c r="E20" i="14" s="1"/>
  <c r="E19" i="14" a="1"/>
  <c r="E19" i="14" s="1"/>
  <c r="E31" i="14" a="1"/>
  <c r="E31" i="14" s="1"/>
  <c r="E23" i="14" a="1"/>
  <c r="E23" i="14" s="1"/>
  <c r="E21" i="14" a="1"/>
  <c r="E21" i="14" s="1"/>
  <c r="E30" i="14" a="1"/>
  <c r="E30" i="14" s="1"/>
  <c r="E29" i="14" a="1"/>
  <c r="E29" i="14" s="1"/>
  <c r="E28" i="14" a="1"/>
  <c r="E28" i="14" s="1"/>
  <c r="E27" i="14" a="1"/>
  <c r="E27" i="14" s="1"/>
  <c r="E26" i="14" a="1"/>
  <c r="E26" i="14" s="1"/>
  <c r="E17" i="14" a="1"/>
  <c r="E17" i="14" s="1"/>
  <c r="E16" i="14" a="1"/>
  <c r="E16" i="14" s="1"/>
  <c r="E15" i="14" a="1"/>
  <c r="E15" i="14" s="1"/>
  <c r="E14" i="14" a="1"/>
  <c r="E14" i="14" s="1"/>
  <c r="E13" i="14" a="1"/>
  <c r="E13" i="14" s="1"/>
  <c r="E12" i="14" a="1"/>
  <c r="E12" i="14" s="1"/>
  <c r="E5" i="14" a="1"/>
  <c r="E5" i="14" s="1"/>
  <c r="E7" i="14" a="1"/>
  <c r="E7" i="14" s="1"/>
  <c r="E10" i="14" a="1"/>
  <c r="E10" i="14" s="1"/>
  <c r="E8" i="14" a="1"/>
  <c r="E8" i="14" s="1"/>
  <c r="E9" i="14" a="1"/>
  <c r="E9" i="14" s="1"/>
  <c r="E3" i="14" a="1"/>
  <c r="E3" i="14" s="1"/>
  <c r="E6" i="14" a="1"/>
  <c r="E6" i="14" s="1"/>
  <c r="E4" i="14" a="1"/>
  <c r="E4" i="14" s="1"/>
  <c r="F2" i="3"/>
  <c r="EW87" i="17"/>
  <c r="BU55" i="17"/>
  <c r="EW88" i="17"/>
  <c r="AQ27" i="17"/>
  <c r="EW20" i="17"/>
  <c r="ED92" i="17"/>
  <c r="BT79" i="17"/>
  <c r="EW90" i="17"/>
  <c r="DI13" i="17"/>
  <c r="DI90" i="17"/>
  <c r="EC90" i="17"/>
  <c r="CO87" i="17"/>
  <c r="EC55" i="17"/>
  <c r="ED91" i="17"/>
  <c r="AR13" i="17"/>
  <c r="BU34" i="17"/>
  <c r="EC34" i="17"/>
  <c r="EC20" i="17"/>
  <c r="EW13" i="17"/>
  <c r="DI34" i="17"/>
  <c r="CO27" i="17"/>
  <c r="DI27" i="17"/>
  <c r="EW55" i="17"/>
  <c r="EC13" i="17"/>
  <c r="CN79" i="17"/>
  <c r="EX92" i="17"/>
  <c r="CO20" i="17"/>
  <c r="BU90" i="17"/>
  <c r="EC41" i="17"/>
  <c r="AQ89" i="17"/>
  <c r="BU27" i="17"/>
  <c r="FQ88" i="17"/>
  <c r="CO62" i="17"/>
  <c r="CP13" i="17"/>
  <c r="EX13" i="17"/>
  <c r="FQ62" i="17"/>
  <c r="ED13" i="17"/>
  <c r="CP92" i="17"/>
  <c r="CO13" i="17"/>
  <c r="DJ62" i="17"/>
  <c r="EC48" i="17"/>
  <c r="DJ92" i="17"/>
  <c r="BV62" i="17"/>
  <c r="CO79" i="17"/>
  <c r="DI89" i="17"/>
  <c r="AR62" i="17"/>
  <c r="AQ87" i="17"/>
  <c r="EC62" i="17"/>
  <c r="AQ55" i="17"/>
  <c r="AR91" i="17"/>
  <c r="DI41" i="17"/>
  <c r="BV13" i="17"/>
  <c r="EW34" i="17"/>
  <c r="CO55" i="17"/>
  <c r="CO48" i="17"/>
  <c r="CO88" i="17"/>
  <c r="EW27" i="17"/>
  <c r="EC88" i="17"/>
  <c r="AQ15" i="17"/>
  <c r="DJ91" i="17"/>
  <c r="AR92" i="17"/>
  <c r="AR90" i="17"/>
  <c r="AQ41" i="17"/>
  <c r="EW48" i="17"/>
  <c r="CP62" i="17"/>
  <c r="CO90" i="17"/>
  <c r="CO89" i="17"/>
  <c r="FR87" i="17"/>
  <c r="AQ34" i="17"/>
  <c r="DI48" i="17"/>
  <c r="EW41" i="17"/>
  <c r="EW89" i="17"/>
  <c r="AQ88" i="17"/>
  <c r="BV92" i="17"/>
  <c r="AQ20" i="17"/>
  <c r="AP79" i="17"/>
  <c r="EC87" i="17"/>
  <c r="ED62" i="17"/>
  <c r="BU48" i="17"/>
  <c r="CP91" i="17"/>
  <c r="FQ13" i="17"/>
  <c r="DI55" i="17"/>
  <c r="FR90" i="17"/>
  <c r="DI87" i="17"/>
  <c r="BU62" i="17"/>
  <c r="BV91" i="17"/>
  <c r="AQ13" i="17"/>
  <c r="CO34" i="17"/>
  <c r="BU13" i="17"/>
  <c r="AQ48" i="17"/>
  <c r="DI62" i="17"/>
  <c r="AQ62" i="17"/>
  <c r="BU88" i="17"/>
  <c r="EX91" i="17"/>
  <c r="BU87" i="17"/>
  <c r="EC27" i="17"/>
  <c r="DJ13" i="17"/>
  <c r="FR92" i="17"/>
  <c r="FQ89" i="17"/>
  <c r="DI20" i="17"/>
  <c r="EX62" i="17"/>
  <c r="BU89" i="17"/>
  <c r="BU20" i="17"/>
  <c r="CO41" i="17"/>
  <c r="BU41" i="17"/>
  <c r="EW62" i="17"/>
  <c r="EC89" i="17"/>
  <c r="DI88" i="17"/>
  <c r="FR91" i="17"/>
  <c r="F19" i="3" l="1" a="1"/>
  <c r="F19" i="3" s="1"/>
  <c r="F17" i="3" a="1"/>
  <c r="F17" i="3" s="1"/>
  <c r="F13" i="3" a="1"/>
  <c r="F13" i="3" s="1"/>
  <c r="F20" i="3" s="1"/>
  <c r="F16" i="3" a="1"/>
  <c r="F16" i="3" s="1"/>
  <c r="F15" i="3" a="1"/>
  <c r="F15" i="3" s="1"/>
  <c r="F14" i="3" a="1"/>
  <c r="F14" i="3" s="1"/>
  <c r="F18" i="3" a="1"/>
  <c r="F18" i="3" s="1"/>
  <c r="F203" i="3" a="1"/>
  <c r="F203" i="3" s="1"/>
  <c r="F199" i="3" a="1"/>
  <c r="F199" i="3" s="1"/>
  <c r="F198" i="3" a="1"/>
  <c r="F198" i="3" s="1"/>
  <c r="F197" i="3" a="1"/>
  <c r="F197" i="3" s="1"/>
  <c r="F204" i="3" s="1"/>
  <c r="F202" i="3" a="1"/>
  <c r="F202" i="3" s="1"/>
  <c r="F201" i="3" a="1"/>
  <c r="F201" i="3" s="1"/>
  <c r="F200" i="3" a="1"/>
  <c r="F200" i="3" s="1"/>
  <c r="F11" i="3" a="1"/>
  <c r="F11" i="3" s="1"/>
  <c r="F10" i="3" a="1"/>
  <c r="F10" i="3" s="1"/>
  <c r="F9" i="3" a="1"/>
  <c r="F9" i="3" s="1"/>
  <c r="F8" i="3" a="1"/>
  <c r="F8" i="3" s="1"/>
  <c r="F7" i="3" a="1"/>
  <c r="F7" i="3" s="1"/>
  <c r="F6" i="3" a="1"/>
  <c r="F6" i="3" s="1"/>
  <c r="F5" i="3" a="1"/>
  <c r="F5" i="3" s="1"/>
  <c r="F12" i="3" s="1"/>
  <c r="F107" i="3" a="1"/>
  <c r="F107" i="3" s="1"/>
  <c r="F106" i="3" a="1"/>
  <c r="F106" i="3" s="1"/>
  <c r="F105" i="3" a="1"/>
  <c r="F105" i="3" s="1"/>
  <c r="F104" i="3" a="1"/>
  <c r="F104" i="3" s="1"/>
  <c r="F103" i="3" a="1"/>
  <c r="F103" i="3" s="1"/>
  <c r="F102" i="3" a="1"/>
  <c r="F102" i="3" s="1"/>
  <c r="F101" i="3" a="1"/>
  <c r="F101" i="3" s="1"/>
  <c r="F108" i="3" s="1"/>
  <c r="E188" i="3"/>
  <c r="F186" i="3" a="1"/>
  <c r="F186" i="3" s="1"/>
  <c r="F184" i="3" a="1"/>
  <c r="F184" i="3" s="1"/>
  <c r="F182" i="3" a="1"/>
  <c r="F182" i="3" s="1"/>
  <c r="F187" i="3" a="1"/>
  <c r="F187" i="3" s="1"/>
  <c r="F185" i="3" a="1"/>
  <c r="F185" i="3" s="1"/>
  <c r="F183" i="3" a="1"/>
  <c r="F183" i="3" s="1"/>
  <c r="F181" i="3" a="1"/>
  <c r="F181" i="3" s="1"/>
  <c r="F188" i="3" s="1"/>
  <c r="F227" i="3" a="1"/>
  <c r="F227" i="3" s="1"/>
  <c r="F219" i="3" a="1"/>
  <c r="F219" i="3" s="1"/>
  <c r="F211" i="3" a="1"/>
  <c r="F211" i="3" s="1"/>
  <c r="F179" i="3" a="1"/>
  <c r="F179" i="3" s="1"/>
  <c r="F171" i="3" a="1"/>
  <c r="F171" i="3" s="1"/>
  <c r="F163" i="3" a="1"/>
  <c r="F163" i="3" s="1"/>
  <c r="F155" i="3" a="1"/>
  <c r="F155" i="3" s="1"/>
  <c r="F147" i="3" a="1"/>
  <c r="F147" i="3" s="1"/>
  <c r="F139" i="3" a="1"/>
  <c r="F139" i="3" s="1"/>
  <c r="F131" i="3" a="1"/>
  <c r="F131" i="3" s="1"/>
  <c r="F43" i="3" a="1"/>
  <c r="F43" i="3" s="1"/>
  <c r="F35" i="3" a="1"/>
  <c r="F35" i="3" s="1"/>
  <c r="F27" i="3" a="1"/>
  <c r="F27" i="3" s="1"/>
  <c r="F123" i="3" a="1"/>
  <c r="F123" i="3" s="1"/>
  <c r="F115" i="3" a="1"/>
  <c r="F115" i="3" s="1"/>
  <c r="F99" i="3" a="1"/>
  <c r="F99" i="3" s="1"/>
  <c r="F91" i="3" a="1"/>
  <c r="F91" i="3" s="1"/>
  <c r="F83" i="3" a="1"/>
  <c r="F83" i="3" s="1"/>
  <c r="F75" i="3" a="1"/>
  <c r="F75" i="3" s="1"/>
  <c r="F67" i="3" a="1"/>
  <c r="F67" i="3" s="1"/>
  <c r="F59" i="3" a="1"/>
  <c r="F59" i="3" s="1"/>
  <c r="F51" i="3" a="1"/>
  <c r="F51" i="3" s="1"/>
  <c r="F195" i="3" a="1"/>
  <c r="F195" i="3" s="1"/>
  <c r="F235" i="3" a="1"/>
  <c r="F235" i="3" s="1"/>
  <c r="E196" i="3"/>
  <c r="F194" i="3" a="1"/>
  <c r="F194" i="3" s="1"/>
  <c r="F191" i="3" a="1"/>
  <c r="F191" i="3" s="1"/>
  <c r="F189" i="3" a="1"/>
  <c r="F189" i="3" s="1"/>
  <c r="F193" i="3" a="1"/>
  <c r="F193" i="3" s="1"/>
  <c r="F192" i="3" a="1"/>
  <c r="F192" i="3" s="1"/>
  <c r="F190" i="3" a="1"/>
  <c r="F190" i="3" s="1"/>
  <c r="E180" i="3"/>
  <c r="F177" i="3" a="1"/>
  <c r="F177" i="3" s="1"/>
  <c r="F178" i="3" a="1"/>
  <c r="F178" i="3" s="1"/>
  <c r="F176" i="3" a="1"/>
  <c r="F176" i="3" s="1"/>
  <c r="F175" i="3" a="1"/>
  <c r="F175" i="3" s="1"/>
  <c r="F174" i="3" a="1"/>
  <c r="F174" i="3" s="1"/>
  <c r="F173" i="3" a="1"/>
  <c r="F173" i="3" s="1"/>
  <c r="E68" i="3"/>
  <c r="F66" i="3" a="1"/>
  <c r="F66" i="3" s="1"/>
  <c r="F65" i="3" a="1"/>
  <c r="F65" i="3" s="1"/>
  <c r="F64" i="3" a="1"/>
  <c r="F64" i="3" s="1"/>
  <c r="F62" i="3" a="1"/>
  <c r="F62" i="3" s="1"/>
  <c r="F63" i="3" a="1"/>
  <c r="F63" i="3" s="1"/>
  <c r="F61" i="3" a="1"/>
  <c r="F61" i="3" s="1"/>
  <c r="E148" i="3"/>
  <c r="F146" i="3" a="1"/>
  <c r="F146" i="3" s="1"/>
  <c r="F145" i="3" a="1"/>
  <c r="F145" i="3" s="1"/>
  <c r="F143" i="3" a="1"/>
  <c r="F143" i="3" s="1"/>
  <c r="F141" i="3" a="1"/>
  <c r="F141" i="3" s="1"/>
  <c r="F144" i="3" a="1"/>
  <c r="F144" i="3" s="1"/>
  <c r="F142" i="3" a="1"/>
  <c r="F142" i="3" s="1"/>
  <c r="E36" i="3"/>
  <c r="F34" i="3" a="1"/>
  <c r="F34" i="3" s="1"/>
  <c r="F33" i="3" a="1"/>
  <c r="F33" i="3" s="1"/>
  <c r="F31" i="3" a="1"/>
  <c r="F31" i="3" s="1"/>
  <c r="F30" i="3" a="1"/>
  <c r="F30" i="3" s="1"/>
  <c r="F29" i="3" a="1"/>
  <c r="F29" i="3" s="1"/>
  <c r="F32" i="3" a="1"/>
  <c r="F32" i="3" s="1"/>
  <c r="E228" i="3"/>
  <c r="E172" i="3"/>
  <c r="F170" i="3" a="1"/>
  <c r="F170" i="3" s="1"/>
  <c r="F169" i="3" a="1"/>
  <c r="F169" i="3" s="1"/>
  <c r="F224" i="3" a="1"/>
  <c r="F224" i="3" s="1"/>
  <c r="F223" i="3" a="1"/>
  <c r="F223" i="3" s="1"/>
  <c r="F222" i="3" a="1"/>
  <c r="F222" i="3" s="1"/>
  <c r="F221" i="3" a="1"/>
  <c r="F221" i="3" s="1"/>
  <c r="F167" i="3" a="1"/>
  <c r="F167" i="3" s="1"/>
  <c r="F165" i="3" a="1"/>
  <c r="F165" i="3" s="1"/>
  <c r="F226" i="3" a="1"/>
  <c r="F226" i="3" s="1"/>
  <c r="F225" i="3" a="1"/>
  <c r="F225" i="3" s="1"/>
  <c r="F168" i="3" a="1"/>
  <c r="F168" i="3" s="1"/>
  <c r="F166" i="3" a="1"/>
  <c r="F166" i="3" s="1"/>
  <c r="E132" i="3"/>
  <c r="F130" i="3" a="1"/>
  <c r="F130" i="3" s="1"/>
  <c r="F127" i="3" a="1"/>
  <c r="F127" i="3" s="1"/>
  <c r="F126" i="3" a="1"/>
  <c r="F126" i="3" s="1"/>
  <c r="F128" i="3" a="1"/>
  <c r="F128" i="3" s="1"/>
  <c r="F129" i="3" a="1"/>
  <c r="F129" i="3" s="1"/>
  <c r="F125" i="3" a="1"/>
  <c r="F125" i="3" s="1"/>
  <c r="F40" i="3" a="1"/>
  <c r="F40" i="3" s="1"/>
  <c r="F38" i="3" a="1"/>
  <c r="F38" i="3" s="1"/>
  <c r="F41" i="3" a="1"/>
  <c r="F41" i="3" s="1"/>
  <c r="F39" i="3" a="1"/>
  <c r="F39" i="3" s="1"/>
  <c r="F37" i="3" a="1"/>
  <c r="F37" i="3" s="1"/>
  <c r="F42" i="3" a="1"/>
  <c r="F42" i="3" s="1"/>
  <c r="E44" i="3"/>
  <c r="F210" i="3" a="1"/>
  <c r="F210" i="3" s="1"/>
  <c r="F207" i="3" a="1"/>
  <c r="F207" i="3" s="1"/>
  <c r="F208" i="3" a="1"/>
  <c r="F208" i="3" s="1"/>
  <c r="F138" i="3" a="1"/>
  <c r="F138" i="3" s="1"/>
  <c r="F209" i="3" a="1"/>
  <c r="F209" i="3" s="1"/>
  <c r="F136" i="3" a="1"/>
  <c r="F136" i="3" s="1"/>
  <c r="F134" i="3" a="1"/>
  <c r="F134" i="3" s="1"/>
  <c r="F206" i="3" a="1"/>
  <c r="F206" i="3" s="1"/>
  <c r="F137" i="3" a="1"/>
  <c r="F137" i="3" s="1"/>
  <c r="F133" i="3" a="1"/>
  <c r="F133" i="3" s="1"/>
  <c r="F205" i="3" a="1"/>
  <c r="F205" i="3" s="1"/>
  <c r="F135" i="3" a="1"/>
  <c r="F135" i="3" s="1"/>
  <c r="E140" i="3"/>
  <c r="E212" i="3"/>
  <c r="F57" i="3" a="1"/>
  <c r="F57" i="3" s="1"/>
  <c r="F58" i="3" a="1"/>
  <c r="F58" i="3" s="1"/>
  <c r="F54" i="3" a="1"/>
  <c r="F54" i="3" s="1"/>
  <c r="F55" i="3" a="1"/>
  <c r="F55" i="3" s="1"/>
  <c r="F53" i="3" a="1"/>
  <c r="F53" i="3" s="1"/>
  <c r="F56" i="3" a="1"/>
  <c r="F56" i="3" s="1"/>
  <c r="F217" i="3" a="1"/>
  <c r="F217" i="3" s="1"/>
  <c r="F216" i="3" a="1"/>
  <c r="F216" i="3" s="1"/>
  <c r="F213" i="3" a="1"/>
  <c r="F213" i="3" s="1"/>
  <c r="F218" i="3" a="1"/>
  <c r="F218" i="3" s="1"/>
  <c r="F215" i="3" a="1"/>
  <c r="F215" i="3" s="1"/>
  <c r="F214" i="3" a="1"/>
  <c r="F214" i="3" s="1"/>
  <c r="E220" i="3"/>
  <c r="E60" i="3"/>
  <c r="F45" i="10" a="1"/>
  <c r="F45" i="10" s="1"/>
  <c r="F43" i="10" a="1"/>
  <c r="F43" i="10" s="1"/>
  <c r="F41" i="10" a="1"/>
  <c r="F41" i="10" s="1"/>
  <c r="F44" i="10" a="1"/>
  <c r="F44" i="10" s="1"/>
  <c r="F42" i="10" a="1"/>
  <c r="F42" i="10" s="1"/>
  <c r="F40" i="10" a="1"/>
  <c r="F40" i="10" s="1"/>
  <c r="F120" i="3" a="1"/>
  <c r="F120" i="3" s="1"/>
  <c r="F119" i="3" a="1"/>
  <c r="F119" i="3" s="1"/>
  <c r="F121" i="3" a="1"/>
  <c r="F121" i="3" s="1"/>
  <c r="F122" i="3" a="1"/>
  <c r="F122" i="3" s="1"/>
  <c r="F118" i="3" a="1"/>
  <c r="F118" i="3" s="1"/>
  <c r="F117" i="3" a="1"/>
  <c r="F117" i="3" s="1"/>
  <c r="E124" i="3"/>
  <c r="F88" i="3" a="1"/>
  <c r="F88" i="3" s="1"/>
  <c r="F86" i="3" a="1"/>
  <c r="F86" i="3" s="1"/>
  <c r="F89" i="3" a="1"/>
  <c r="F89" i="3" s="1"/>
  <c r="F87" i="3" a="1"/>
  <c r="F87" i="3" s="1"/>
  <c r="F85" i="3" a="1"/>
  <c r="F85" i="3" s="1"/>
  <c r="F90" i="3" a="1"/>
  <c r="F90" i="3" s="1"/>
  <c r="E92" i="3"/>
  <c r="F152" i="3" a="1"/>
  <c r="F152" i="3" s="1"/>
  <c r="F149" i="3" a="1"/>
  <c r="F149" i="3" s="1"/>
  <c r="F153" i="3" a="1"/>
  <c r="F153" i="3" s="1"/>
  <c r="F151" i="3" a="1"/>
  <c r="F151" i="3" s="1"/>
  <c r="F154" i="3" a="1"/>
  <c r="F154" i="3" s="1"/>
  <c r="F150" i="3" a="1"/>
  <c r="F150" i="3" s="1"/>
  <c r="E156" i="3"/>
  <c r="E52" i="3"/>
  <c r="F47" i="3" a="1"/>
  <c r="F47" i="3" s="1"/>
  <c r="F48" i="3" a="1"/>
  <c r="F48" i="3" s="1"/>
  <c r="F50" i="3" a="1"/>
  <c r="F50" i="3" s="1"/>
  <c r="F46" i="3" a="1"/>
  <c r="F46" i="3" s="1"/>
  <c r="F49" i="3" a="1"/>
  <c r="F49" i="3" s="1"/>
  <c r="F45" i="3" a="1"/>
  <c r="F45" i="3" s="1"/>
  <c r="E46" i="14"/>
  <c r="E46" i="9"/>
  <c r="E46" i="8"/>
  <c r="E46" i="6"/>
  <c r="E46" i="12"/>
  <c r="E46" i="13"/>
  <c r="F44" i="14" a="1"/>
  <c r="F44" i="14" s="1"/>
  <c r="F42" i="14" a="1"/>
  <c r="F42" i="14" s="1"/>
  <c r="F40" i="14" a="1"/>
  <c r="F40" i="14" s="1"/>
  <c r="F41" i="14" a="1"/>
  <c r="F41" i="14" s="1"/>
  <c r="F43" i="14" a="1"/>
  <c r="F43" i="14" s="1"/>
  <c r="F45" i="14" a="1"/>
  <c r="F45" i="14" s="1"/>
  <c r="F44" i="9" a="1"/>
  <c r="F44" i="9" s="1"/>
  <c r="F42" i="9" a="1"/>
  <c r="F42" i="9" s="1"/>
  <c r="F40" i="9" a="1"/>
  <c r="F40" i="9" s="1"/>
  <c r="F41" i="9" a="1"/>
  <c r="F41" i="9" s="1"/>
  <c r="F45" i="9" a="1"/>
  <c r="F45" i="9" s="1"/>
  <c r="F43" i="9" a="1"/>
  <c r="F43" i="9" s="1"/>
  <c r="F45" i="6" a="1"/>
  <c r="F45" i="6" s="1"/>
  <c r="F43" i="6" a="1"/>
  <c r="F43" i="6" s="1"/>
  <c r="F41" i="6" a="1"/>
  <c r="F41" i="6" s="1"/>
  <c r="F44" i="6" a="1"/>
  <c r="F44" i="6" s="1"/>
  <c r="F42" i="6" a="1"/>
  <c r="F42" i="6" s="1"/>
  <c r="F40" i="6" a="1"/>
  <c r="F40" i="6" s="1"/>
  <c r="F44" i="13" a="1"/>
  <c r="F44" i="13" s="1"/>
  <c r="F42" i="13" a="1"/>
  <c r="F42" i="13" s="1"/>
  <c r="F41" i="13" a="1"/>
  <c r="F41" i="13" s="1"/>
  <c r="F40" i="13" a="1"/>
  <c r="F40" i="13" s="1"/>
  <c r="F43" i="13" a="1"/>
  <c r="F43" i="13" s="1"/>
  <c r="F45" i="13" a="1"/>
  <c r="F45" i="13" s="1"/>
  <c r="F45" i="12" a="1"/>
  <c r="F45" i="12" s="1"/>
  <c r="F44" i="12" a="1"/>
  <c r="F44" i="12" s="1"/>
  <c r="F42" i="12" a="1"/>
  <c r="F42" i="12" s="1"/>
  <c r="F40" i="12" a="1"/>
  <c r="F40" i="12" s="1"/>
  <c r="F43" i="12" a="1"/>
  <c r="F43" i="12" s="1"/>
  <c r="F41" i="12" a="1"/>
  <c r="F41" i="12" s="1"/>
  <c r="F44" i="8" a="1"/>
  <c r="F44" i="8" s="1"/>
  <c r="F42" i="8" a="1"/>
  <c r="F42" i="8" s="1"/>
  <c r="F40" i="8" a="1"/>
  <c r="F40" i="8" s="1"/>
  <c r="F45" i="8" a="1"/>
  <c r="F45" i="8" s="1"/>
  <c r="F43" i="8" a="1"/>
  <c r="F43" i="8" s="1"/>
  <c r="F41" i="8" a="1"/>
  <c r="F41" i="8" s="1"/>
  <c r="E100" i="3"/>
  <c r="F98" i="3" a="1"/>
  <c r="F98" i="3" s="1"/>
  <c r="F97" i="3" a="1"/>
  <c r="F97" i="3" s="1"/>
  <c r="F96" i="3" a="1"/>
  <c r="F96" i="3" s="1"/>
  <c r="F95" i="3" a="1"/>
  <c r="F95" i="3" s="1"/>
  <c r="F94" i="3" a="1"/>
  <c r="F94" i="3" s="1"/>
  <c r="F93" i="3" a="1"/>
  <c r="F93" i="3" s="1"/>
  <c r="F25" i="3" a="1"/>
  <c r="F25" i="3" s="1"/>
  <c r="F23" i="3" a="1"/>
  <c r="F23" i="3" s="1"/>
  <c r="F26" i="3" a="1"/>
  <c r="F26" i="3" s="1"/>
  <c r="F24" i="3" a="1"/>
  <c r="F24" i="3" s="1"/>
  <c r="F22" i="3" a="1"/>
  <c r="F22" i="3" s="1"/>
  <c r="F21" i="3" a="1"/>
  <c r="F21" i="3" s="1"/>
  <c r="E28" i="3"/>
  <c r="F38" i="14" a="1"/>
  <c r="F38" i="14" s="1"/>
  <c r="F34" i="14" a="1"/>
  <c r="F34" i="14" s="1"/>
  <c r="F35" i="14" a="1"/>
  <c r="F35" i="14" s="1"/>
  <c r="F33" i="14" a="1"/>
  <c r="F33" i="14" s="1"/>
  <c r="F37" i="14" a="1"/>
  <c r="F37" i="14" s="1"/>
  <c r="F36" i="14" a="1"/>
  <c r="F36" i="14" s="1"/>
  <c r="E39" i="14"/>
  <c r="F109" i="3" a="1"/>
  <c r="F109" i="3" s="1"/>
  <c r="F113" i="3" a="1"/>
  <c r="F113" i="3" s="1"/>
  <c r="F110" i="3" a="1"/>
  <c r="F110" i="3" s="1"/>
  <c r="F114" i="3" a="1"/>
  <c r="F114" i="3" s="1"/>
  <c r="F112" i="3" a="1"/>
  <c r="F112" i="3" s="1"/>
  <c r="F111" i="3" a="1"/>
  <c r="F111" i="3" s="1"/>
  <c r="E116" i="3"/>
  <c r="E164" i="3"/>
  <c r="F161" i="3" a="1"/>
  <c r="F161" i="3" s="1"/>
  <c r="F159" i="3" a="1"/>
  <c r="F159" i="3" s="1"/>
  <c r="F162" i="3" a="1"/>
  <c r="F162" i="3" s="1"/>
  <c r="F157" i="3" a="1"/>
  <c r="F157" i="3" s="1"/>
  <c r="F160" i="3" a="1"/>
  <c r="F160" i="3" s="1"/>
  <c r="F158" i="3" a="1"/>
  <c r="F158" i="3" s="1"/>
  <c r="F74" i="3" a="1"/>
  <c r="F74" i="3" s="1"/>
  <c r="F73" i="3" a="1"/>
  <c r="F73" i="3" s="1"/>
  <c r="F72" i="3" a="1"/>
  <c r="F72" i="3" s="1"/>
  <c r="F71" i="3" a="1"/>
  <c r="F71" i="3" s="1"/>
  <c r="F69" i="3" a="1"/>
  <c r="F69" i="3" s="1"/>
  <c r="F70" i="3" a="1"/>
  <c r="F70" i="3" s="1"/>
  <c r="E76" i="3"/>
  <c r="F233" i="3" a="1"/>
  <c r="F233" i="3" s="1"/>
  <c r="F231" i="3" a="1"/>
  <c r="F231" i="3" s="1"/>
  <c r="F229" i="3" a="1"/>
  <c r="F229" i="3" s="1"/>
  <c r="F234" i="3" a="1"/>
  <c r="F234" i="3" s="1"/>
  <c r="F232" i="3" a="1"/>
  <c r="F232" i="3" s="1"/>
  <c r="F230" i="3" a="1"/>
  <c r="F230" i="3" s="1"/>
  <c r="E236" i="3"/>
  <c r="F82" i="3" a="1"/>
  <c r="F82" i="3" s="1"/>
  <c r="F81" i="3" a="1"/>
  <c r="F81" i="3" s="1"/>
  <c r="F80" i="3" a="1"/>
  <c r="F80" i="3" s="1"/>
  <c r="F79" i="3" a="1"/>
  <c r="F79" i="3" s="1"/>
  <c r="F78" i="3" a="1"/>
  <c r="F78" i="3" s="1"/>
  <c r="F77" i="3" a="1"/>
  <c r="F77" i="3" s="1"/>
  <c r="E84" i="3"/>
  <c r="E18" i="10"/>
  <c r="E11" i="10"/>
  <c r="E32" i="13"/>
  <c r="E39" i="13"/>
  <c r="E11" i="12"/>
  <c r="E18" i="12"/>
  <c r="E11" i="9"/>
  <c r="E32" i="9"/>
  <c r="E39" i="9"/>
  <c r="E25" i="6"/>
  <c r="E18" i="8"/>
  <c r="E25" i="9"/>
  <c r="E25" i="13"/>
  <c r="E11" i="6"/>
  <c r="E25" i="10"/>
  <c r="E39" i="10"/>
  <c r="E32" i="12"/>
  <c r="E39" i="12"/>
  <c r="E11" i="8"/>
  <c r="E18" i="9"/>
  <c r="E39" i="6"/>
  <c r="E18" i="6"/>
  <c r="E32" i="6"/>
  <c r="E32" i="10"/>
  <c r="E11" i="13"/>
  <c r="E18" i="13"/>
  <c r="E25" i="12"/>
  <c r="E25" i="8"/>
  <c r="E32" i="8"/>
  <c r="E39" i="8"/>
  <c r="F35" i="9" a="1"/>
  <c r="F35" i="9" s="1"/>
  <c r="F36" i="9" a="1"/>
  <c r="F36" i="9" s="1"/>
  <c r="F34" i="9" a="1"/>
  <c r="F34" i="9" s="1"/>
  <c r="F37" i="9" a="1"/>
  <c r="F37" i="9" s="1"/>
  <c r="F33" i="9" a="1"/>
  <c r="F33" i="9" s="1"/>
  <c r="F38" i="9" a="1"/>
  <c r="F38" i="9" s="1"/>
  <c r="F21" i="9" a="1"/>
  <c r="F21" i="9" s="1"/>
  <c r="F31" i="9" a="1"/>
  <c r="F31" i="9" s="1"/>
  <c r="F30" i="9" a="1"/>
  <c r="F30" i="9" s="1"/>
  <c r="F29" i="9" a="1"/>
  <c r="F29" i="9" s="1"/>
  <c r="F28" i="9" a="1"/>
  <c r="F28" i="9" s="1"/>
  <c r="F27" i="9" a="1"/>
  <c r="F27" i="9" s="1"/>
  <c r="F24" i="9" a="1"/>
  <c r="F24" i="9" s="1"/>
  <c r="F20" i="9" a="1"/>
  <c r="F20" i="9" s="1"/>
  <c r="F15" i="9" a="1"/>
  <c r="F15" i="9" s="1"/>
  <c r="F23" i="9" a="1"/>
  <c r="F23" i="9" s="1"/>
  <c r="F19" i="9" a="1"/>
  <c r="F19" i="9" s="1"/>
  <c r="F22" i="9" a="1"/>
  <c r="F22" i="9" s="1"/>
  <c r="F14" i="9" a="1"/>
  <c r="F14" i="9" s="1"/>
  <c r="F26" i="9" a="1"/>
  <c r="F26" i="9" s="1"/>
  <c r="F16" i="9" a="1"/>
  <c r="F16" i="9" s="1"/>
  <c r="F17" i="9" a="1"/>
  <c r="F17" i="9" s="1"/>
  <c r="F13" i="9" a="1"/>
  <c r="F13" i="9" s="1"/>
  <c r="F12" i="9" a="1"/>
  <c r="F12" i="9" s="1"/>
  <c r="F10" i="9" a="1"/>
  <c r="F10" i="9" s="1"/>
  <c r="F6" i="9" a="1"/>
  <c r="F6" i="9" s="1"/>
  <c r="F7" i="9" a="1"/>
  <c r="F7" i="9" s="1"/>
  <c r="F9" i="9" a="1"/>
  <c r="F9" i="9" s="1"/>
  <c r="F5" i="9" a="1"/>
  <c r="F5" i="9" s="1"/>
  <c r="F8" i="9" a="1"/>
  <c r="F8" i="9" s="1"/>
  <c r="F3" i="9" a="1"/>
  <c r="F3" i="9" s="1"/>
  <c r="F4" i="9" a="1"/>
  <c r="F4" i="9" s="1"/>
  <c r="E32" i="14"/>
  <c r="E25" i="14"/>
  <c r="F33" i="6" a="1"/>
  <c r="F33" i="6" s="1"/>
  <c r="F37" i="6" a="1"/>
  <c r="F37" i="6" s="1"/>
  <c r="F35" i="6" a="1"/>
  <c r="F35" i="6" s="1"/>
  <c r="F38" i="6" a="1"/>
  <c r="F38" i="6" s="1"/>
  <c r="F36" i="6" a="1"/>
  <c r="F36" i="6" s="1"/>
  <c r="F34" i="6" a="1"/>
  <c r="F34" i="6" s="1"/>
  <c r="F28" i="6" a="1"/>
  <c r="F28" i="6" s="1"/>
  <c r="F16" i="6" a="1"/>
  <c r="F16" i="6" s="1"/>
  <c r="F12" i="6" a="1"/>
  <c r="F12" i="6" s="1"/>
  <c r="F21" i="6" a="1"/>
  <c r="F21" i="6" s="1"/>
  <c r="F31" i="6" a="1"/>
  <c r="F31" i="6" s="1"/>
  <c r="F27" i="6" a="1"/>
  <c r="F27" i="6" s="1"/>
  <c r="F15" i="6" a="1"/>
  <c r="F15" i="6" s="1"/>
  <c r="F24" i="6" a="1"/>
  <c r="F24" i="6" s="1"/>
  <c r="F20" i="6" a="1"/>
  <c r="F20" i="6" s="1"/>
  <c r="F30" i="6" a="1"/>
  <c r="F30" i="6" s="1"/>
  <c r="F26" i="6" a="1"/>
  <c r="F26" i="6" s="1"/>
  <c r="F14" i="6" a="1"/>
  <c r="F14" i="6" s="1"/>
  <c r="F23" i="6" a="1"/>
  <c r="F23" i="6" s="1"/>
  <c r="F19" i="6" a="1"/>
  <c r="F19" i="6" s="1"/>
  <c r="F22" i="6" a="1"/>
  <c r="F22" i="6" s="1"/>
  <c r="F29" i="6" a="1"/>
  <c r="F29" i="6" s="1"/>
  <c r="F17" i="6" a="1"/>
  <c r="F17" i="6" s="1"/>
  <c r="F13" i="6" a="1"/>
  <c r="F13" i="6" s="1"/>
  <c r="F5" i="6" a="1"/>
  <c r="F5" i="6" s="1"/>
  <c r="F6" i="6" a="1"/>
  <c r="F6" i="6" s="1"/>
  <c r="F7" i="6" a="1"/>
  <c r="F7" i="6" s="1"/>
  <c r="F8" i="6" a="1"/>
  <c r="F8" i="6" s="1"/>
  <c r="F9" i="6" a="1"/>
  <c r="F9" i="6" s="1"/>
  <c r="F10" i="6" a="1"/>
  <c r="F10" i="6" s="1"/>
  <c r="F4" i="6" a="1"/>
  <c r="F4" i="6" s="1"/>
  <c r="F3" i="6" a="1"/>
  <c r="F3" i="6" s="1"/>
  <c r="F37" i="12" a="1"/>
  <c r="F37" i="12" s="1"/>
  <c r="F35" i="12" a="1"/>
  <c r="F35" i="12" s="1"/>
  <c r="F33" i="12" a="1"/>
  <c r="F33" i="12" s="1"/>
  <c r="F38" i="12" a="1"/>
  <c r="F38" i="12" s="1"/>
  <c r="F36" i="12" a="1"/>
  <c r="F36" i="12" s="1"/>
  <c r="F34" i="12" a="1"/>
  <c r="F34" i="12" s="1"/>
  <c r="F30" i="12" a="1"/>
  <c r="F30" i="12" s="1"/>
  <c r="F28" i="12" a="1"/>
  <c r="F28" i="12" s="1"/>
  <c r="F26" i="12" a="1"/>
  <c r="F26" i="12" s="1"/>
  <c r="F23" i="12" a="1"/>
  <c r="F23" i="12" s="1"/>
  <c r="F21" i="12" a="1"/>
  <c r="F21" i="12" s="1"/>
  <c r="F19" i="12" a="1"/>
  <c r="F19" i="12" s="1"/>
  <c r="F16" i="12" a="1"/>
  <c r="F16" i="12" s="1"/>
  <c r="F14" i="12" a="1"/>
  <c r="F14" i="12" s="1"/>
  <c r="F12" i="12" a="1"/>
  <c r="F12" i="12" s="1"/>
  <c r="F31" i="12" a="1"/>
  <c r="F31" i="12" s="1"/>
  <c r="F29" i="12" a="1"/>
  <c r="F29" i="12" s="1"/>
  <c r="F27" i="12" a="1"/>
  <c r="F27" i="12" s="1"/>
  <c r="F24" i="12" a="1"/>
  <c r="F24" i="12" s="1"/>
  <c r="F22" i="12" a="1"/>
  <c r="F22" i="12" s="1"/>
  <c r="F20" i="12" a="1"/>
  <c r="F20" i="12" s="1"/>
  <c r="F17" i="12" a="1"/>
  <c r="F17" i="12" s="1"/>
  <c r="F15" i="12" a="1"/>
  <c r="F15" i="12" s="1"/>
  <c r="F13" i="12" a="1"/>
  <c r="F13" i="12" s="1"/>
  <c r="F9" i="12" a="1"/>
  <c r="F9" i="12" s="1"/>
  <c r="F10" i="12" a="1"/>
  <c r="F10" i="12" s="1"/>
  <c r="F5" i="12" a="1"/>
  <c r="F5" i="12" s="1"/>
  <c r="F6" i="12" a="1"/>
  <c r="F6" i="12" s="1"/>
  <c r="F7" i="12" a="1"/>
  <c r="F7" i="12" s="1"/>
  <c r="F8" i="12" a="1"/>
  <c r="F8" i="12" s="1"/>
  <c r="F3" i="12" a="1"/>
  <c r="F3" i="12" s="1"/>
  <c r="F4" i="12" a="1"/>
  <c r="F4" i="12" s="1"/>
  <c r="E11" i="14"/>
  <c r="F33" i="10" a="1"/>
  <c r="F33" i="10" s="1"/>
  <c r="F36" i="10" a="1"/>
  <c r="F36" i="10" s="1"/>
  <c r="F38" i="10" a="1"/>
  <c r="F38" i="10" s="1"/>
  <c r="F37" i="10" a="1"/>
  <c r="F37" i="10" s="1"/>
  <c r="F34" i="10" a="1"/>
  <c r="F34" i="10" s="1"/>
  <c r="F35" i="10" a="1"/>
  <c r="F35" i="10" s="1"/>
  <c r="F29" i="10" a="1"/>
  <c r="F29" i="10" s="1"/>
  <c r="F21" i="10" a="1"/>
  <c r="F21" i="10" s="1"/>
  <c r="F20" i="10" a="1"/>
  <c r="F20" i="10" s="1"/>
  <c r="F7" i="10" a="1"/>
  <c r="F7" i="10" s="1"/>
  <c r="F28" i="10" a="1"/>
  <c r="F28" i="10" s="1"/>
  <c r="F24" i="10" a="1"/>
  <c r="F24" i="10" s="1"/>
  <c r="F19" i="10" a="1"/>
  <c r="F19" i="10" s="1"/>
  <c r="F10" i="10" a="1"/>
  <c r="F10" i="10" s="1"/>
  <c r="F6" i="10" a="1"/>
  <c r="F6" i="10" s="1"/>
  <c r="F27" i="10" a="1"/>
  <c r="F27" i="10" s="1"/>
  <c r="F23" i="10" a="1"/>
  <c r="F23" i="10" s="1"/>
  <c r="F9" i="10" a="1"/>
  <c r="F9" i="10" s="1"/>
  <c r="F5" i="10" a="1"/>
  <c r="F5" i="10" s="1"/>
  <c r="F31" i="10" a="1"/>
  <c r="F31" i="10" s="1"/>
  <c r="F22" i="10" a="1"/>
  <c r="F22" i="10" s="1"/>
  <c r="F8" i="10" a="1"/>
  <c r="F8" i="10" s="1"/>
  <c r="F30" i="10" a="1"/>
  <c r="F30" i="10" s="1"/>
  <c r="F26" i="10" a="1"/>
  <c r="F26" i="10" s="1"/>
  <c r="F17" i="10" a="1"/>
  <c r="F17" i="10" s="1"/>
  <c r="F13" i="10" a="1"/>
  <c r="F13" i="10" s="1"/>
  <c r="F14" i="10" a="1"/>
  <c r="F14" i="10" s="1"/>
  <c r="F16" i="10" a="1"/>
  <c r="F16" i="10" s="1"/>
  <c r="F12" i="10" a="1"/>
  <c r="F12" i="10" s="1"/>
  <c r="F15" i="10" a="1"/>
  <c r="F15" i="10" s="1"/>
  <c r="F3" i="10" a="1"/>
  <c r="F3" i="10" s="1"/>
  <c r="F4" i="10" a="1"/>
  <c r="F4" i="10" s="1"/>
  <c r="F38" i="13" a="1"/>
  <c r="F38" i="13" s="1"/>
  <c r="F36" i="13" a="1"/>
  <c r="F36" i="13" s="1"/>
  <c r="F34" i="13" a="1"/>
  <c r="F34" i="13" s="1"/>
  <c r="F37" i="13" a="1"/>
  <c r="F37" i="13" s="1"/>
  <c r="F35" i="13" a="1"/>
  <c r="F35" i="13" s="1"/>
  <c r="F33" i="13" a="1"/>
  <c r="F33" i="13" s="1"/>
  <c r="F31" i="13" a="1"/>
  <c r="F31" i="13" s="1"/>
  <c r="F27" i="13" a="1"/>
  <c r="F27" i="13" s="1"/>
  <c r="F23" i="13" a="1"/>
  <c r="F23" i="13" s="1"/>
  <c r="F30" i="13" a="1"/>
  <c r="F30" i="13" s="1"/>
  <c r="F26" i="13" a="1"/>
  <c r="F26" i="13" s="1"/>
  <c r="F29" i="13" a="1"/>
  <c r="F29" i="13" s="1"/>
  <c r="F28" i="13" a="1"/>
  <c r="F28" i="13" s="1"/>
  <c r="F24" i="13" a="1"/>
  <c r="F24" i="13" s="1"/>
  <c r="F19" i="13" a="1"/>
  <c r="F19" i="13" s="1"/>
  <c r="F17" i="13" a="1"/>
  <c r="F17" i="13" s="1"/>
  <c r="F13" i="13" a="1"/>
  <c r="F13" i="13" s="1"/>
  <c r="F16" i="13" a="1"/>
  <c r="F16" i="13" s="1"/>
  <c r="F12" i="13" a="1"/>
  <c r="F12" i="13" s="1"/>
  <c r="F21" i="13" a="1"/>
  <c r="F21" i="13" s="1"/>
  <c r="F15" i="13" a="1"/>
  <c r="F15" i="13" s="1"/>
  <c r="F22" i="13" a="1"/>
  <c r="F22" i="13" s="1"/>
  <c r="F20" i="13" a="1"/>
  <c r="F20" i="13" s="1"/>
  <c r="F14" i="13" a="1"/>
  <c r="F14" i="13" s="1"/>
  <c r="F5" i="13" a="1"/>
  <c r="F5" i="13" s="1"/>
  <c r="F6" i="13" a="1"/>
  <c r="F6" i="13" s="1"/>
  <c r="F7" i="13" a="1"/>
  <c r="F7" i="13" s="1"/>
  <c r="F8" i="13" a="1"/>
  <c r="F8" i="13" s="1"/>
  <c r="F3" i="13" a="1"/>
  <c r="F3" i="13" s="1"/>
  <c r="F4" i="13" a="1"/>
  <c r="F4" i="13" s="1"/>
  <c r="F9" i="13" a="1"/>
  <c r="F9" i="13" s="1"/>
  <c r="F10" i="13" a="1"/>
  <c r="F10" i="13" s="1"/>
  <c r="F37" i="8" a="1"/>
  <c r="F37" i="8" s="1"/>
  <c r="F35" i="8" a="1"/>
  <c r="F35" i="8" s="1"/>
  <c r="F33" i="8" a="1"/>
  <c r="F33" i="8" s="1"/>
  <c r="F38" i="8" a="1"/>
  <c r="F38" i="8" s="1"/>
  <c r="F36" i="8" a="1"/>
  <c r="F36" i="8" s="1"/>
  <c r="F34" i="8" a="1"/>
  <c r="F34" i="8" s="1"/>
  <c r="F28" i="8" a="1"/>
  <c r="F28" i="8" s="1"/>
  <c r="F24" i="8" a="1"/>
  <c r="F24" i="8" s="1"/>
  <c r="F15" i="8" a="1"/>
  <c r="F15" i="8" s="1"/>
  <c r="F31" i="8" a="1"/>
  <c r="F31" i="8" s="1"/>
  <c r="F27" i="8" a="1"/>
  <c r="F27" i="8" s="1"/>
  <c r="F30" i="8" a="1"/>
  <c r="F30" i="8" s="1"/>
  <c r="F26" i="8" a="1"/>
  <c r="F26" i="8" s="1"/>
  <c r="F17" i="8" a="1"/>
  <c r="F17" i="8" s="1"/>
  <c r="F13" i="8" a="1"/>
  <c r="F13" i="8" s="1"/>
  <c r="F29" i="8" a="1"/>
  <c r="F29" i="8" s="1"/>
  <c r="F12" i="8" a="1"/>
  <c r="F12" i="8" s="1"/>
  <c r="F23" i="8" a="1"/>
  <c r="F23" i="8" s="1"/>
  <c r="F22" i="8" a="1"/>
  <c r="F22" i="8" s="1"/>
  <c r="F21" i="8" a="1"/>
  <c r="F21" i="8" s="1"/>
  <c r="F20" i="8" a="1"/>
  <c r="F20" i="8" s="1"/>
  <c r="F19" i="8" a="1"/>
  <c r="F19" i="8" s="1"/>
  <c r="F16" i="8" a="1"/>
  <c r="F16" i="8" s="1"/>
  <c r="F14" i="8" a="1"/>
  <c r="F14" i="8" s="1"/>
  <c r="F8" i="8" a="1"/>
  <c r="F8" i="8" s="1"/>
  <c r="F10" i="8" a="1"/>
  <c r="F10" i="8" s="1"/>
  <c r="F7" i="8" a="1"/>
  <c r="F7" i="8" s="1"/>
  <c r="F9" i="8" a="1"/>
  <c r="F9" i="8" s="1"/>
  <c r="F6" i="8" a="1"/>
  <c r="F6" i="8" s="1"/>
  <c r="F5" i="8" a="1"/>
  <c r="F5" i="8" s="1"/>
  <c r="F3" i="8" a="1"/>
  <c r="F3" i="8" s="1"/>
  <c r="F4" i="8" a="1"/>
  <c r="F4" i="8" s="1"/>
  <c r="E18" i="14"/>
  <c r="F23" i="14" a="1"/>
  <c r="F23" i="14" s="1"/>
  <c r="F21" i="14" a="1"/>
  <c r="F21" i="14" s="1"/>
  <c r="F24" i="14" a="1"/>
  <c r="F24" i="14" s="1"/>
  <c r="F22" i="14" a="1"/>
  <c r="F22" i="14" s="1"/>
  <c r="F31" i="14" a="1"/>
  <c r="F31" i="14" s="1"/>
  <c r="F19" i="14" a="1"/>
  <c r="F19" i="14" s="1"/>
  <c r="F30" i="14" a="1"/>
  <c r="F30" i="14" s="1"/>
  <c r="F20" i="14" a="1"/>
  <c r="F20" i="14" s="1"/>
  <c r="F29" i="14" a="1"/>
  <c r="F29" i="14" s="1"/>
  <c r="F28" i="14" a="1"/>
  <c r="F28" i="14" s="1"/>
  <c r="F27" i="14" a="1"/>
  <c r="F27" i="14" s="1"/>
  <c r="F26" i="14" a="1"/>
  <c r="F26" i="14" s="1"/>
  <c r="F17" i="14" a="1"/>
  <c r="F17" i="14" s="1"/>
  <c r="F16" i="14" a="1"/>
  <c r="F16" i="14" s="1"/>
  <c r="F15" i="14" a="1"/>
  <c r="F15" i="14" s="1"/>
  <c r="F14" i="14" a="1"/>
  <c r="F14" i="14" s="1"/>
  <c r="F13" i="14" a="1"/>
  <c r="F13" i="14" s="1"/>
  <c r="F12" i="14" a="1"/>
  <c r="F12" i="14" s="1"/>
  <c r="F6" i="14" a="1"/>
  <c r="F6" i="14" s="1"/>
  <c r="F10" i="14" a="1"/>
  <c r="F10" i="14" s="1"/>
  <c r="F4" i="14" a="1"/>
  <c r="F4" i="14" s="1"/>
  <c r="F5" i="14" a="1"/>
  <c r="F5" i="14" s="1"/>
  <c r="F7" i="14" a="1"/>
  <c r="F7" i="14" s="1"/>
  <c r="F8" i="14" a="1"/>
  <c r="F8" i="14" s="1"/>
  <c r="F9" i="14" a="1"/>
  <c r="F9" i="14" s="1"/>
  <c r="F3" i="14" a="1"/>
  <c r="F3" i="14" s="1"/>
  <c r="G2" i="3"/>
  <c r="CP89" i="17"/>
  <c r="BW41" i="17"/>
  <c r="BV87" i="17"/>
  <c r="CP88" i="17"/>
  <c r="DK91" i="17"/>
  <c r="DJ87" i="17"/>
  <c r="EY92" i="17"/>
  <c r="EE91" i="17"/>
  <c r="EX90" i="17"/>
  <c r="DK13" i="17"/>
  <c r="CQ91" i="17"/>
  <c r="AS90" i="17"/>
  <c r="FS90" i="17"/>
  <c r="AS13" i="17"/>
  <c r="DJ90" i="17"/>
  <c r="DK62" i="17"/>
  <c r="BW27" i="17"/>
  <c r="EX87" i="17"/>
  <c r="EE62" i="17"/>
  <c r="BW34" i="17"/>
  <c r="BV89" i="17"/>
  <c r="BW20" i="17"/>
  <c r="ED90" i="17"/>
  <c r="FR62" i="17"/>
  <c r="AS62" i="17"/>
  <c r="ED89" i="17"/>
  <c r="BW13" i="17"/>
  <c r="EY62" i="17"/>
  <c r="EE92" i="17"/>
  <c r="CQ13" i="17"/>
  <c r="AR89" i="17"/>
  <c r="AR87" i="17"/>
  <c r="EX88" i="17"/>
  <c r="BV88" i="17"/>
  <c r="CP87" i="17"/>
  <c r="FR13" i="17"/>
  <c r="FR88" i="17"/>
  <c r="DJ88" i="17"/>
  <c r="CQ92" i="17"/>
  <c r="ED87" i="17"/>
  <c r="DJ89" i="17"/>
  <c r="ED88" i="17"/>
  <c r="BW48" i="17"/>
  <c r="BW91" i="17"/>
  <c r="AS91" i="17"/>
  <c r="BW62" i="17"/>
  <c r="FS91" i="17"/>
  <c r="EE13" i="17"/>
  <c r="EY91" i="17"/>
  <c r="AR88" i="17"/>
  <c r="EX89" i="17"/>
  <c r="BW92" i="17"/>
  <c r="AS92" i="17"/>
  <c r="BV90" i="17"/>
  <c r="CQ62" i="17"/>
  <c r="FR89" i="17"/>
  <c r="CP90" i="17"/>
  <c r="EY13" i="17"/>
  <c r="FS92" i="17"/>
  <c r="DK92" i="17"/>
  <c r="FS87" i="17"/>
  <c r="G19" i="3" l="1" a="1"/>
  <c r="G19" i="3" s="1"/>
  <c r="G18" i="3" a="1"/>
  <c r="G18" i="3" s="1"/>
  <c r="G15" i="3" a="1"/>
  <c r="G15" i="3" s="1"/>
  <c r="G14" i="3" a="1"/>
  <c r="G14" i="3" s="1"/>
  <c r="G17" i="3" a="1"/>
  <c r="G17" i="3" s="1"/>
  <c r="G13" i="3" a="1"/>
  <c r="G13" i="3" s="1"/>
  <c r="G20" i="3" s="1"/>
  <c r="G16" i="3" a="1"/>
  <c r="G16" i="3" s="1"/>
  <c r="G203" i="3" a="1"/>
  <c r="G203" i="3" s="1"/>
  <c r="G202" i="3" a="1"/>
  <c r="G202" i="3" s="1"/>
  <c r="G201" i="3" a="1"/>
  <c r="G201" i="3" s="1"/>
  <c r="G197" i="3" a="1"/>
  <c r="G197" i="3" s="1"/>
  <c r="G204" i="3" s="1"/>
  <c r="G200" i="3" a="1"/>
  <c r="G200" i="3" s="1"/>
  <c r="G199" i="3" a="1"/>
  <c r="G199" i="3" s="1"/>
  <c r="G198" i="3" a="1"/>
  <c r="G198" i="3" s="1"/>
  <c r="G11" i="3" a="1"/>
  <c r="G11" i="3" s="1"/>
  <c r="G10" i="3" a="1"/>
  <c r="G10" i="3" s="1"/>
  <c r="G9" i="3" a="1"/>
  <c r="G9" i="3" s="1"/>
  <c r="G5" i="3" a="1"/>
  <c r="G5" i="3" s="1"/>
  <c r="G12" i="3" s="1"/>
  <c r="G8" i="3" a="1"/>
  <c r="G8" i="3" s="1"/>
  <c r="G7" i="3" a="1"/>
  <c r="G7" i="3" s="1"/>
  <c r="G6" i="3" a="1"/>
  <c r="G6" i="3" s="1"/>
  <c r="G107" i="3" a="1"/>
  <c r="G107" i="3" s="1"/>
  <c r="G106" i="3" a="1"/>
  <c r="G106" i="3" s="1"/>
  <c r="G105" i="3" a="1"/>
  <c r="G105" i="3" s="1"/>
  <c r="G104" i="3" a="1"/>
  <c r="G104" i="3" s="1"/>
  <c r="G103" i="3" a="1"/>
  <c r="G103" i="3" s="1"/>
  <c r="G101" i="3" a="1"/>
  <c r="G101" i="3" s="1"/>
  <c r="G108" i="3" s="1"/>
  <c r="G102" i="3" a="1"/>
  <c r="G102" i="3" s="1"/>
  <c r="G187" i="3" a="1"/>
  <c r="G187" i="3" s="1"/>
  <c r="G185" i="3" a="1"/>
  <c r="G185" i="3" s="1"/>
  <c r="G183" i="3" a="1"/>
  <c r="G183" i="3" s="1"/>
  <c r="G181" i="3" a="1"/>
  <c r="G181" i="3" s="1"/>
  <c r="G188" i="3" s="1"/>
  <c r="G186" i="3" a="1"/>
  <c r="G186" i="3" s="1"/>
  <c r="G184" i="3" a="1"/>
  <c r="G184" i="3" s="1"/>
  <c r="G182" i="3" a="1"/>
  <c r="G182" i="3" s="1"/>
  <c r="G227" i="3" a="1"/>
  <c r="G227" i="3" s="1"/>
  <c r="G219" i="3" a="1"/>
  <c r="G219" i="3" s="1"/>
  <c r="G211" i="3" a="1"/>
  <c r="G211" i="3" s="1"/>
  <c r="G179" i="3" a="1"/>
  <c r="G179" i="3" s="1"/>
  <c r="G171" i="3" a="1"/>
  <c r="G171" i="3" s="1"/>
  <c r="G163" i="3" a="1"/>
  <c r="G163" i="3" s="1"/>
  <c r="G155" i="3" a="1"/>
  <c r="G155" i="3" s="1"/>
  <c r="G147" i="3" a="1"/>
  <c r="G147" i="3" s="1"/>
  <c r="G139" i="3" a="1"/>
  <c r="G139" i="3" s="1"/>
  <c r="G131" i="3" a="1"/>
  <c r="G131" i="3" s="1"/>
  <c r="G195" i="3" a="1"/>
  <c r="G195" i="3" s="1"/>
  <c r="G123" i="3" a="1"/>
  <c r="G123" i="3" s="1"/>
  <c r="G115" i="3" a="1"/>
  <c r="G115" i="3" s="1"/>
  <c r="G99" i="3" a="1"/>
  <c r="G99" i="3" s="1"/>
  <c r="G91" i="3" a="1"/>
  <c r="G91" i="3" s="1"/>
  <c r="G83" i="3" a="1"/>
  <c r="G83" i="3" s="1"/>
  <c r="G75" i="3" a="1"/>
  <c r="G75" i="3" s="1"/>
  <c r="G67" i="3" a="1"/>
  <c r="G67" i="3" s="1"/>
  <c r="G59" i="3" a="1"/>
  <c r="G59" i="3" s="1"/>
  <c r="G51" i="3" a="1"/>
  <c r="G51" i="3" s="1"/>
  <c r="G43" i="3" a="1"/>
  <c r="G43" i="3" s="1"/>
  <c r="G35" i="3" a="1"/>
  <c r="G35" i="3" s="1"/>
  <c r="G27" i="3" a="1"/>
  <c r="G27" i="3" s="1"/>
  <c r="G235" i="3" a="1"/>
  <c r="G235" i="3" s="1"/>
  <c r="F196" i="3"/>
  <c r="G193" i="3" a="1"/>
  <c r="G193" i="3" s="1"/>
  <c r="G192" i="3" a="1"/>
  <c r="G192" i="3" s="1"/>
  <c r="G190" i="3" a="1"/>
  <c r="G190" i="3" s="1"/>
  <c r="G194" i="3" a="1"/>
  <c r="G194" i="3" s="1"/>
  <c r="G191" i="3" a="1"/>
  <c r="G191" i="3" s="1"/>
  <c r="G189" i="3" a="1"/>
  <c r="G189" i="3" s="1"/>
  <c r="G196" i="3" s="1"/>
  <c r="F180" i="3"/>
  <c r="G178" i="3" a="1"/>
  <c r="G178" i="3" s="1"/>
  <c r="G176" i="3" a="1"/>
  <c r="G176" i="3" s="1"/>
  <c r="G175" i="3" a="1"/>
  <c r="G175" i="3" s="1"/>
  <c r="G174" i="3" a="1"/>
  <c r="G174" i="3" s="1"/>
  <c r="G177" i="3" a="1"/>
  <c r="G177" i="3" s="1"/>
  <c r="G173" i="3" a="1"/>
  <c r="G173" i="3" s="1"/>
  <c r="G180" i="3" s="1"/>
  <c r="F68" i="3"/>
  <c r="G66" i="3" a="1"/>
  <c r="G66" i="3" s="1"/>
  <c r="G65" i="3" a="1"/>
  <c r="G65" i="3" s="1"/>
  <c r="G63" i="3" a="1"/>
  <c r="G63" i="3" s="1"/>
  <c r="G61" i="3" a="1"/>
  <c r="G61" i="3" s="1"/>
  <c r="G64" i="3" a="1"/>
  <c r="G64" i="3" s="1"/>
  <c r="G62" i="3" a="1"/>
  <c r="G62" i="3" s="1"/>
  <c r="F148" i="3"/>
  <c r="G146" i="3" a="1"/>
  <c r="G146" i="3" s="1"/>
  <c r="G145" i="3" a="1"/>
  <c r="G145" i="3" s="1"/>
  <c r="G144" i="3" a="1"/>
  <c r="G144" i="3" s="1"/>
  <c r="G143" i="3" a="1"/>
  <c r="G143" i="3" s="1"/>
  <c r="G142" i="3" a="1"/>
  <c r="G142" i="3" s="1"/>
  <c r="G141" i="3" a="1"/>
  <c r="G141" i="3" s="1"/>
  <c r="F36" i="3"/>
  <c r="G34" i="3" a="1"/>
  <c r="G34" i="3" s="1"/>
  <c r="G33" i="3" a="1"/>
  <c r="G33" i="3" s="1"/>
  <c r="G31" i="3" a="1"/>
  <c r="G31" i="3" s="1"/>
  <c r="G30" i="3" a="1"/>
  <c r="G30" i="3" s="1"/>
  <c r="G29" i="3" a="1"/>
  <c r="G29" i="3" s="1"/>
  <c r="G32" i="3" a="1"/>
  <c r="G32" i="3" s="1"/>
  <c r="F228" i="3"/>
  <c r="F172" i="3"/>
  <c r="G170" i="3" a="1"/>
  <c r="G170" i="3" s="1"/>
  <c r="G169" i="3" a="1"/>
  <c r="G169" i="3" s="1"/>
  <c r="G168" i="3" a="1"/>
  <c r="G168" i="3" s="1"/>
  <c r="G167" i="3" a="1"/>
  <c r="G167" i="3" s="1"/>
  <c r="G166" i="3" a="1"/>
  <c r="G166" i="3" s="1"/>
  <c r="G165" i="3" a="1"/>
  <c r="G165" i="3" s="1"/>
  <c r="G172" i="3" s="1"/>
  <c r="G226" i="3" a="1"/>
  <c r="G226" i="3" s="1"/>
  <c r="G225" i="3" a="1"/>
  <c r="G225" i="3" s="1"/>
  <c r="G223" i="3" a="1"/>
  <c r="G223" i="3" s="1"/>
  <c r="G222" i="3" a="1"/>
  <c r="G222" i="3" s="1"/>
  <c r="G221" i="3" a="1"/>
  <c r="G221" i="3" s="1"/>
  <c r="G224" i="3" a="1"/>
  <c r="G224" i="3" s="1"/>
  <c r="G128" i="3" a="1"/>
  <c r="G128" i="3" s="1"/>
  <c r="G129" i="3" a="1"/>
  <c r="G129" i="3" s="1"/>
  <c r="G130" i="3" a="1"/>
  <c r="G130" i="3" s="1"/>
  <c r="G127" i="3" a="1"/>
  <c r="G127" i="3" s="1"/>
  <c r="G126" i="3" a="1"/>
  <c r="G126" i="3" s="1"/>
  <c r="G125" i="3" a="1"/>
  <c r="G125" i="3" s="1"/>
  <c r="G132" i="3" s="1"/>
  <c r="F132" i="3"/>
  <c r="G42" i="3" a="1"/>
  <c r="G42" i="3" s="1"/>
  <c r="G38" i="3" a="1"/>
  <c r="G38" i="3" s="1"/>
  <c r="G41" i="3" a="1"/>
  <c r="G41" i="3" s="1"/>
  <c r="G39" i="3" a="1"/>
  <c r="G39" i="3" s="1"/>
  <c r="G37" i="3" a="1"/>
  <c r="G37" i="3" s="1"/>
  <c r="G44" i="3" s="1"/>
  <c r="G40" i="3" a="1"/>
  <c r="G40" i="3" s="1"/>
  <c r="F44" i="3"/>
  <c r="F212" i="3"/>
  <c r="G207" i="3" a="1"/>
  <c r="G207" i="3" s="1"/>
  <c r="G208" i="3" a="1"/>
  <c r="G208" i="3" s="1"/>
  <c r="G210" i="3" a="1"/>
  <c r="G210" i="3" s="1"/>
  <c r="G133" i="3" a="1"/>
  <c r="G133" i="3" s="1"/>
  <c r="G140" i="3" s="1"/>
  <c r="G138" i="3" a="1"/>
  <c r="G138" i="3" s="1"/>
  <c r="G137" i="3" a="1"/>
  <c r="G137" i="3" s="1"/>
  <c r="G135" i="3" a="1"/>
  <c r="G135" i="3" s="1"/>
  <c r="G136" i="3" a="1"/>
  <c r="G136" i="3" s="1"/>
  <c r="G134" i="3" a="1"/>
  <c r="G134" i="3" s="1"/>
  <c r="G206" i="3" a="1"/>
  <c r="G206" i="3" s="1"/>
  <c r="G205" i="3" a="1"/>
  <c r="G205" i="3" s="1"/>
  <c r="G212" i="3" s="1"/>
  <c r="G209" i="3" a="1"/>
  <c r="G209" i="3" s="1"/>
  <c r="F140" i="3"/>
  <c r="G58" i="3" a="1"/>
  <c r="G58" i="3" s="1"/>
  <c r="G55" i="3" a="1"/>
  <c r="G55" i="3" s="1"/>
  <c r="G53" i="3" a="1"/>
  <c r="G53" i="3" s="1"/>
  <c r="G60" i="3" s="1"/>
  <c r="G57" i="3" a="1"/>
  <c r="G57" i="3" s="1"/>
  <c r="G56" i="3" a="1"/>
  <c r="G56" i="3" s="1"/>
  <c r="G54" i="3" a="1"/>
  <c r="G54" i="3" s="1"/>
  <c r="G213" i="3" a="1"/>
  <c r="G213" i="3" s="1"/>
  <c r="G220" i="3" s="1"/>
  <c r="G217" i="3" a="1"/>
  <c r="G217" i="3" s="1"/>
  <c r="G215" i="3" a="1"/>
  <c r="G215" i="3" s="1"/>
  <c r="G214" i="3" a="1"/>
  <c r="G214" i="3" s="1"/>
  <c r="G218" i="3" a="1"/>
  <c r="G218" i="3" s="1"/>
  <c r="G216" i="3" a="1"/>
  <c r="G216" i="3" s="1"/>
  <c r="F220" i="3"/>
  <c r="F60" i="3"/>
  <c r="G44" i="10" a="1"/>
  <c r="G44" i="10" s="1"/>
  <c r="G42" i="10" a="1"/>
  <c r="G42" i="10" s="1"/>
  <c r="G40" i="10" a="1"/>
  <c r="G40" i="10" s="1"/>
  <c r="G45" i="10" a="1"/>
  <c r="G45" i="10" s="1"/>
  <c r="G43" i="10" a="1"/>
  <c r="G43" i="10" s="1"/>
  <c r="G41" i="10" a="1"/>
  <c r="G41" i="10" s="1"/>
  <c r="F46" i="10"/>
  <c r="G122" i="3" a="1"/>
  <c r="G122" i="3" s="1"/>
  <c r="G120" i="3" a="1"/>
  <c r="G120" i="3" s="1"/>
  <c r="G121" i="3" a="1"/>
  <c r="G121" i="3" s="1"/>
  <c r="G117" i="3" a="1"/>
  <c r="G117" i="3" s="1"/>
  <c r="G118" i="3" a="1"/>
  <c r="G118" i="3" s="1"/>
  <c r="G119" i="3" a="1"/>
  <c r="G119" i="3" s="1"/>
  <c r="F124" i="3"/>
  <c r="G90" i="3" a="1"/>
  <c r="G90" i="3" s="1"/>
  <c r="G85" i="3" a="1"/>
  <c r="G85" i="3" s="1"/>
  <c r="G92" i="3" s="1"/>
  <c r="G89" i="3" a="1"/>
  <c r="G89" i="3" s="1"/>
  <c r="G87" i="3" a="1"/>
  <c r="G87" i="3" s="1"/>
  <c r="G88" i="3" a="1"/>
  <c r="G88" i="3" s="1"/>
  <c r="G86" i="3" a="1"/>
  <c r="G86" i="3" s="1"/>
  <c r="F92" i="3"/>
  <c r="G153" i="3" a="1"/>
  <c r="G153" i="3" s="1"/>
  <c r="G151" i="3" a="1"/>
  <c r="G151" i="3" s="1"/>
  <c r="G154" i="3" a="1"/>
  <c r="G154" i="3" s="1"/>
  <c r="G152" i="3" a="1"/>
  <c r="G152" i="3" s="1"/>
  <c r="G150" i="3" a="1"/>
  <c r="G150" i="3" s="1"/>
  <c r="G149" i="3" a="1"/>
  <c r="G149" i="3" s="1"/>
  <c r="G156" i="3" s="1"/>
  <c r="F156" i="3"/>
  <c r="G49" i="3" a="1"/>
  <c r="G49" i="3" s="1"/>
  <c r="G50" i="3" a="1"/>
  <c r="G50" i="3" s="1"/>
  <c r="G45" i="3" a="1"/>
  <c r="G45" i="3" s="1"/>
  <c r="G52" i="3" s="1"/>
  <c r="G46" i="3" a="1"/>
  <c r="G46" i="3" s="1"/>
  <c r="G48" i="3" a="1"/>
  <c r="G48" i="3" s="1"/>
  <c r="G47" i="3" a="1"/>
  <c r="G47" i="3" s="1"/>
  <c r="F52" i="3"/>
  <c r="F46" i="14"/>
  <c r="F46" i="13"/>
  <c r="F46" i="6"/>
  <c r="F46" i="8"/>
  <c r="F46" i="9"/>
  <c r="F46" i="12"/>
  <c r="G45" i="14" a="1"/>
  <c r="G45" i="14" s="1"/>
  <c r="G44" i="14" a="1"/>
  <c r="G44" i="14" s="1"/>
  <c r="G42" i="14" a="1"/>
  <c r="G42" i="14" s="1"/>
  <c r="G40" i="14" a="1"/>
  <c r="G40" i="14" s="1"/>
  <c r="G43" i="14" a="1"/>
  <c r="G43" i="14" s="1"/>
  <c r="G41" i="14" a="1"/>
  <c r="G41" i="14" s="1"/>
  <c r="G44" i="13" a="1"/>
  <c r="G44" i="13" s="1"/>
  <c r="G42" i="13" a="1"/>
  <c r="G42" i="13" s="1"/>
  <c r="G41" i="13" a="1"/>
  <c r="G41" i="13" s="1"/>
  <c r="G45" i="13" a="1"/>
  <c r="G45" i="13" s="1"/>
  <c r="G43" i="13" a="1"/>
  <c r="G43" i="13" s="1"/>
  <c r="G40" i="13" a="1"/>
  <c r="G40" i="13" s="1"/>
  <c r="G44" i="12" a="1"/>
  <c r="G44" i="12" s="1"/>
  <c r="G43" i="12" a="1"/>
  <c r="G43" i="12" s="1"/>
  <c r="G42" i="12" a="1"/>
  <c r="G42" i="12" s="1"/>
  <c r="G41" i="12" a="1"/>
  <c r="G41" i="12" s="1"/>
  <c r="G40" i="12" a="1"/>
  <c r="G40" i="12" s="1"/>
  <c r="G45" i="12" a="1"/>
  <c r="G45" i="12" s="1"/>
  <c r="G45" i="6" a="1"/>
  <c r="G45" i="6" s="1"/>
  <c r="G43" i="6" a="1"/>
  <c r="G43" i="6" s="1"/>
  <c r="G41" i="6" a="1"/>
  <c r="G41" i="6" s="1"/>
  <c r="G44" i="6" a="1"/>
  <c r="G44" i="6" s="1"/>
  <c r="G42" i="6" a="1"/>
  <c r="G42" i="6" s="1"/>
  <c r="G40" i="6" a="1"/>
  <c r="G40" i="6" s="1"/>
  <c r="G45" i="8" a="1"/>
  <c r="G45" i="8" s="1"/>
  <c r="G43" i="8" a="1"/>
  <c r="G43" i="8" s="1"/>
  <c r="G41" i="8" a="1"/>
  <c r="G41" i="8" s="1"/>
  <c r="G44" i="8" a="1"/>
  <c r="G44" i="8" s="1"/>
  <c r="G40" i="8" a="1"/>
  <c r="G40" i="8" s="1"/>
  <c r="G42" i="8" a="1"/>
  <c r="G42" i="8" s="1"/>
  <c r="G44" i="9" a="1"/>
  <c r="G44" i="9" s="1"/>
  <c r="G42" i="9" a="1"/>
  <c r="G42" i="9" s="1"/>
  <c r="G40" i="9" a="1"/>
  <c r="G40" i="9" s="1"/>
  <c r="G45" i="9" a="1"/>
  <c r="G45" i="9" s="1"/>
  <c r="G43" i="9" a="1"/>
  <c r="G43" i="9" s="1"/>
  <c r="G41" i="9" a="1"/>
  <c r="G41" i="9" s="1"/>
  <c r="G98" i="3" a="1"/>
  <c r="G98" i="3" s="1"/>
  <c r="G97" i="3" a="1"/>
  <c r="G97" i="3" s="1"/>
  <c r="G96" i="3" a="1"/>
  <c r="G96" i="3" s="1"/>
  <c r="G95" i="3" a="1"/>
  <c r="G95" i="3" s="1"/>
  <c r="G94" i="3" a="1"/>
  <c r="G94" i="3" s="1"/>
  <c r="G93" i="3" a="1"/>
  <c r="G93" i="3" s="1"/>
  <c r="G100" i="3" s="1"/>
  <c r="F100" i="3"/>
  <c r="G23" i="3" a="1"/>
  <c r="G23" i="3" s="1"/>
  <c r="G22" i="3" a="1"/>
  <c r="G22" i="3" s="1"/>
  <c r="G26" i="3" a="1"/>
  <c r="G26" i="3" s="1"/>
  <c r="G25" i="3" a="1"/>
  <c r="G25" i="3" s="1"/>
  <c r="G24" i="3" a="1"/>
  <c r="G24" i="3" s="1"/>
  <c r="G21" i="3" a="1"/>
  <c r="G21" i="3" s="1"/>
  <c r="F28" i="3"/>
  <c r="F39" i="14"/>
  <c r="G33" i="14" a="1"/>
  <c r="G33" i="14" s="1"/>
  <c r="G35" i="14" a="1"/>
  <c r="G35" i="14" s="1"/>
  <c r="G38" i="14" a="1"/>
  <c r="G38" i="14" s="1"/>
  <c r="G34" i="14" a="1"/>
  <c r="G34" i="14" s="1"/>
  <c r="G37" i="14" a="1"/>
  <c r="G37" i="14" s="1"/>
  <c r="G36" i="14" a="1"/>
  <c r="G36" i="14" s="1"/>
  <c r="G112" i="3" a="1"/>
  <c r="G112" i="3" s="1"/>
  <c r="G114" i="3" a="1"/>
  <c r="G114" i="3" s="1"/>
  <c r="G113" i="3" a="1"/>
  <c r="G113" i="3" s="1"/>
  <c r="G110" i="3" a="1"/>
  <c r="G110" i="3" s="1"/>
  <c r="G111" i="3" a="1"/>
  <c r="G111" i="3" s="1"/>
  <c r="G109" i="3" a="1"/>
  <c r="G109" i="3" s="1"/>
  <c r="G116" i="3" s="1"/>
  <c r="F116" i="3"/>
  <c r="G162" i="3" a="1"/>
  <c r="G162" i="3" s="1"/>
  <c r="G160" i="3" a="1"/>
  <c r="G160" i="3" s="1"/>
  <c r="G158" i="3" a="1"/>
  <c r="G158" i="3" s="1"/>
  <c r="G161" i="3" a="1"/>
  <c r="G161" i="3" s="1"/>
  <c r="G159" i="3" a="1"/>
  <c r="G159" i="3" s="1"/>
  <c r="G157" i="3" a="1"/>
  <c r="G157" i="3" s="1"/>
  <c r="F164" i="3"/>
  <c r="G74" i="3" a="1"/>
  <c r="G74" i="3" s="1"/>
  <c r="G71" i="3" a="1"/>
  <c r="G71" i="3" s="1"/>
  <c r="G69" i="3" a="1"/>
  <c r="G69" i="3" s="1"/>
  <c r="G76" i="3" s="1"/>
  <c r="G70" i="3" a="1"/>
  <c r="G70" i="3" s="1"/>
  <c r="G72" i="3" a="1"/>
  <c r="G72" i="3" s="1"/>
  <c r="G73" i="3" a="1"/>
  <c r="G73" i="3" s="1"/>
  <c r="F76" i="3"/>
  <c r="G234" i="3" a="1"/>
  <c r="G234" i="3" s="1"/>
  <c r="G233" i="3" a="1"/>
  <c r="G233" i="3" s="1"/>
  <c r="G231" i="3" a="1"/>
  <c r="G231" i="3" s="1"/>
  <c r="G229" i="3" a="1"/>
  <c r="G229" i="3" s="1"/>
  <c r="G232" i="3" a="1"/>
  <c r="G232" i="3" s="1"/>
  <c r="G230" i="3" a="1"/>
  <c r="G230" i="3" s="1"/>
  <c r="F236" i="3"/>
  <c r="G80" i="3" a="1"/>
  <c r="G80" i="3" s="1"/>
  <c r="G82" i="3" a="1"/>
  <c r="G82" i="3" s="1"/>
  <c r="G81" i="3" a="1"/>
  <c r="G81" i="3" s="1"/>
  <c r="G79" i="3" a="1"/>
  <c r="G79" i="3" s="1"/>
  <c r="G78" i="3" a="1"/>
  <c r="G78" i="3" s="1"/>
  <c r="G77" i="3" a="1"/>
  <c r="G77" i="3" s="1"/>
  <c r="F84" i="3"/>
  <c r="F18" i="8"/>
  <c r="F25" i="6"/>
  <c r="F32" i="8"/>
  <c r="F11" i="13"/>
  <c r="F18" i="10"/>
  <c r="F25" i="10"/>
  <c r="F39" i="10"/>
  <c r="F11" i="12"/>
  <c r="F18" i="12"/>
  <c r="F39" i="12"/>
  <c r="F11" i="9"/>
  <c r="F25" i="9"/>
  <c r="F39" i="9"/>
  <c r="F25" i="12"/>
  <c r="F39" i="8"/>
  <c r="F18" i="13"/>
  <c r="F25" i="13"/>
  <c r="F32" i="13"/>
  <c r="F32" i="10"/>
  <c r="F18" i="9"/>
  <c r="F32" i="9"/>
  <c r="F11" i="8"/>
  <c r="F25" i="8"/>
  <c r="F39" i="13"/>
  <c r="F11" i="10"/>
  <c r="F32" i="12"/>
  <c r="F11" i="6"/>
  <c r="F32" i="6"/>
  <c r="F18" i="6"/>
  <c r="F39" i="6"/>
  <c r="F32" i="14"/>
  <c r="F11" i="14"/>
  <c r="F25" i="14"/>
  <c r="G37" i="13" a="1"/>
  <c r="G37" i="13" s="1"/>
  <c r="G35" i="13" a="1"/>
  <c r="G35" i="13" s="1"/>
  <c r="G33" i="13" a="1"/>
  <c r="G33" i="13" s="1"/>
  <c r="G38" i="13" a="1"/>
  <c r="G38" i="13" s="1"/>
  <c r="G36" i="13" a="1"/>
  <c r="G36" i="13" s="1"/>
  <c r="G34" i="13" a="1"/>
  <c r="G34" i="13" s="1"/>
  <c r="G30" i="13" a="1"/>
  <c r="G30" i="13" s="1"/>
  <c r="G26" i="13" a="1"/>
  <c r="G26" i="13" s="1"/>
  <c r="G22" i="13" a="1"/>
  <c r="G22" i="13" s="1"/>
  <c r="G29" i="13" a="1"/>
  <c r="G29" i="13" s="1"/>
  <c r="G28" i="13" a="1"/>
  <c r="G28" i="13" s="1"/>
  <c r="G24" i="13" a="1"/>
  <c r="G24" i="13" s="1"/>
  <c r="G31" i="13" a="1"/>
  <c r="G31" i="13" s="1"/>
  <c r="G27" i="13" a="1"/>
  <c r="G27" i="13" s="1"/>
  <c r="G23" i="13" a="1"/>
  <c r="G23" i="13" s="1"/>
  <c r="G16" i="13" a="1"/>
  <c r="G16" i="13" s="1"/>
  <c r="G12" i="13" a="1"/>
  <c r="G12" i="13" s="1"/>
  <c r="G21" i="13" a="1"/>
  <c r="G21" i="13" s="1"/>
  <c r="G15" i="13" a="1"/>
  <c r="G15" i="13" s="1"/>
  <c r="G20" i="13" a="1"/>
  <c r="G20" i="13" s="1"/>
  <c r="G14" i="13" a="1"/>
  <c r="G14" i="13" s="1"/>
  <c r="G19" i="13" a="1"/>
  <c r="G19" i="13" s="1"/>
  <c r="G17" i="13" a="1"/>
  <c r="G17" i="13" s="1"/>
  <c r="G13" i="13" a="1"/>
  <c r="G13" i="13" s="1"/>
  <c r="G5" i="13" a="1"/>
  <c r="G5" i="13" s="1"/>
  <c r="G10" i="13" a="1"/>
  <c r="G10" i="13" s="1"/>
  <c r="G6" i="13" a="1"/>
  <c r="G6" i="13" s="1"/>
  <c r="G7" i="13" a="1"/>
  <c r="G7" i="13" s="1"/>
  <c r="G8" i="13" a="1"/>
  <c r="G8" i="13" s="1"/>
  <c r="G9" i="13" a="1"/>
  <c r="G9" i="13" s="1"/>
  <c r="G3" i="13" a="1"/>
  <c r="G3" i="13" s="1"/>
  <c r="G4" i="13" a="1"/>
  <c r="G4" i="13" s="1"/>
  <c r="G36" i="10" a="1"/>
  <c r="G36" i="10" s="1"/>
  <c r="G38" i="10" a="1"/>
  <c r="G38" i="10" s="1"/>
  <c r="G37" i="10" a="1"/>
  <c r="G37" i="10" s="1"/>
  <c r="G34" i="10" a="1"/>
  <c r="G34" i="10" s="1"/>
  <c r="G35" i="10" a="1"/>
  <c r="G35" i="10" s="1"/>
  <c r="G33" i="10" a="1"/>
  <c r="G33" i="10" s="1"/>
  <c r="G28" i="10" a="1"/>
  <c r="G28" i="10" s="1"/>
  <c r="G24" i="10" a="1"/>
  <c r="G24" i="10" s="1"/>
  <c r="G19" i="10" a="1"/>
  <c r="G19" i="10" s="1"/>
  <c r="G9" i="10" a="1"/>
  <c r="G9" i="10" s="1"/>
  <c r="G5" i="10" a="1"/>
  <c r="G5" i="10" s="1"/>
  <c r="G27" i="10" a="1"/>
  <c r="G27" i="10" s="1"/>
  <c r="G23" i="10" a="1"/>
  <c r="G23" i="10" s="1"/>
  <c r="G8" i="10" a="1"/>
  <c r="G8" i="10" s="1"/>
  <c r="G31" i="10" a="1"/>
  <c r="G31" i="10" s="1"/>
  <c r="G30" i="10" a="1"/>
  <c r="G30" i="10" s="1"/>
  <c r="G26" i="10" a="1"/>
  <c r="G26" i="10" s="1"/>
  <c r="G22" i="10" a="1"/>
  <c r="G22" i="10" s="1"/>
  <c r="G7" i="10" a="1"/>
  <c r="G7" i="10" s="1"/>
  <c r="G29" i="10" a="1"/>
  <c r="G29" i="10" s="1"/>
  <c r="G21" i="10" a="1"/>
  <c r="G21" i="10" s="1"/>
  <c r="G10" i="10" a="1"/>
  <c r="G10" i="10" s="1"/>
  <c r="G6" i="10" a="1"/>
  <c r="G6" i="10" s="1"/>
  <c r="G20" i="10" a="1"/>
  <c r="G20" i="10" s="1"/>
  <c r="G17" i="10" a="1"/>
  <c r="G17" i="10" s="1"/>
  <c r="G13" i="10" a="1"/>
  <c r="G13" i="10" s="1"/>
  <c r="G14" i="10" a="1"/>
  <c r="G14" i="10" s="1"/>
  <c r="G16" i="10" a="1"/>
  <c r="G16" i="10" s="1"/>
  <c r="G12" i="10" a="1"/>
  <c r="G12" i="10" s="1"/>
  <c r="G15" i="10" a="1"/>
  <c r="G15" i="10" s="1"/>
  <c r="G3" i="10" a="1"/>
  <c r="G3" i="10" s="1"/>
  <c r="G4" i="10" a="1"/>
  <c r="G4" i="10" s="1"/>
  <c r="G36" i="9" a="1"/>
  <c r="G36" i="9" s="1"/>
  <c r="G37" i="9" a="1"/>
  <c r="G37" i="9" s="1"/>
  <c r="G38" i="9" a="1"/>
  <c r="G38" i="9" s="1"/>
  <c r="G35" i="9" a="1"/>
  <c r="G35" i="9" s="1"/>
  <c r="G34" i="9" a="1"/>
  <c r="G34" i="9" s="1"/>
  <c r="G33" i="9" a="1"/>
  <c r="G33" i="9" s="1"/>
  <c r="G23" i="9" a="1"/>
  <c r="G23" i="9" s="1"/>
  <c r="G19" i="9" a="1"/>
  <c r="G19" i="9" s="1"/>
  <c r="G22" i="9" a="1"/>
  <c r="G22" i="9" s="1"/>
  <c r="G26" i="9" a="1"/>
  <c r="G26" i="9" s="1"/>
  <c r="G14" i="9" a="1"/>
  <c r="G14" i="9" s="1"/>
  <c r="G21" i="9" a="1"/>
  <c r="G21" i="9" s="1"/>
  <c r="G31" i="9" a="1"/>
  <c r="G31" i="9" s="1"/>
  <c r="G30" i="9" a="1"/>
  <c r="G30" i="9" s="1"/>
  <c r="G29" i="9" a="1"/>
  <c r="G29" i="9" s="1"/>
  <c r="G15" i="9" a="1"/>
  <c r="G15" i="9" s="1"/>
  <c r="G12" i="9" a="1"/>
  <c r="G12" i="9" s="1"/>
  <c r="G24" i="9" a="1"/>
  <c r="G24" i="9" s="1"/>
  <c r="G20" i="9" a="1"/>
  <c r="G20" i="9" s="1"/>
  <c r="G16" i="9" a="1"/>
  <c r="G16" i="9" s="1"/>
  <c r="G17" i="9" a="1"/>
  <c r="G17" i="9" s="1"/>
  <c r="G13" i="9" a="1"/>
  <c r="G13" i="9" s="1"/>
  <c r="G28" i="9" a="1"/>
  <c r="G28" i="9" s="1"/>
  <c r="G27" i="9" a="1"/>
  <c r="G27" i="9" s="1"/>
  <c r="G5" i="9" a="1"/>
  <c r="G5" i="9" s="1"/>
  <c r="G6" i="9" a="1"/>
  <c r="G6" i="9" s="1"/>
  <c r="G8" i="9" a="1"/>
  <c r="G8" i="9" s="1"/>
  <c r="G10" i="9" a="1"/>
  <c r="G10" i="9" s="1"/>
  <c r="G7" i="9" a="1"/>
  <c r="G7" i="9" s="1"/>
  <c r="G9" i="9" a="1"/>
  <c r="G9" i="9" s="1"/>
  <c r="G3" i="9" a="1"/>
  <c r="G3" i="9" s="1"/>
  <c r="G4" i="9" a="1"/>
  <c r="G4" i="9" s="1"/>
  <c r="G38" i="8" a="1"/>
  <c r="G38" i="8" s="1"/>
  <c r="G37" i="8" a="1"/>
  <c r="G37" i="8" s="1"/>
  <c r="G36" i="8" a="1"/>
  <c r="G36" i="8" s="1"/>
  <c r="G35" i="8" a="1"/>
  <c r="G35" i="8" s="1"/>
  <c r="G34" i="8" a="1"/>
  <c r="G34" i="8" s="1"/>
  <c r="G33" i="8" a="1"/>
  <c r="G33" i="8" s="1"/>
  <c r="G31" i="8" a="1"/>
  <c r="G31" i="8" s="1"/>
  <c r="G27" i="8" a="1"/>
  <c r="G27" i="8" s="1"/>
  <c r="G17" i="8" a="1"/>
  <c r="G17" i="8" s="1"/>
  <c r="G30" i="8" a="1"/>
  <c r="G30" i="8" s="1"/>
  <c r="G26" i="8" a="1"/>
  <c r="G26" i="8" s="1"/>
  <c r="G23" i="8" a="1"/>
  <c r="G23" i="8" s="1"/>
  <c r="G22" i="8" a="1"/>
  <c r="G22" i="8" s="1"/>
  <c r="G21" i="8" a="1"/>
  <c r="G21" i="8" s="1"/>
  <c r="G29" i="8" a="1"/>
  <c r="G29" i="8" s="1"/>
  <c r="G24" i="8" a="1"/>
  <c r="G24" i="8" s="1"/>
  <c r="G15" i="8" a="1"/>
  <c r="G15" i="8" s="1"/>
  <c r="G20" i="8" a="1"/>
  <c r="G20" i="8" s="1"/>
  <c r="G19" i="8" a="1"/>
  <c r="G19" i="8" s="1"/>
  <c r="G13" i="8" a="1"/>
  <c r="G13" i="8" s="1"/>
  <c r="G14" i="8" a="1"/>
  <c r="G14" i="8" s="1"/>
  <c r="G28" i="8" a="1"/>
  <c r="G28" i="8" s="1"/>
  <c r="G16" i="8" a="1"/>
  <c r="G16" i="8" s="1"/>
  <c r="G12" i="8" a="1"/>
  <c r="G12" i="8" s="1"/>
  <c r="G5" i="8" a="1"/>
  <c r="G5" i="8" s="1"/>
  <c r="G8" i="8" a="1"/>
  <c r="G8" i="8" s="1"/>
  <c r="G7" i="8" a="1"/>
  <c r="G7" i="8" s="1"/>
  <c r="G9" i="8" a="1"/>
  <c r="G9" i="8" s="1"/>
  <c r="G10" i="8" a="1"/>
  <c r="G10" i="8" s="1"/>
  <c r="G6" i="8" a="1"/>
  <c r="G6" i="8" s="1"/>
  <c r="G3" i="8" a="1"/>
  <c r="G3" i="8" s="1"/>
  <c r="G4" i="8" a="1"/>
  <c r="G4" i="8" s="1"/>
  <c r="F18" i="14"/>
  <c r="G24" i="14" a="1"/>
  <c r="G24" i="14" s="1"/>
  <c r="G22" i="14" a="1"/>
  <c r="G22" i="14" s="1"/>
  <c r="G20" i="14" a="1"/>
  <c r="G20" i="14" s="1"/>
  <c r="G19" i="14" a="1"/>
  <c r="G19" i="14" s="1"/>
  <c r="G31" i="14" a="1"/>
  <c r="G31" i="14" s="1"/>
  <c r="G30" i="14" a="1"/>
  <c r="G30" i="14" s="1"/>
  <c r="G21" i="14" a="1"/>
  <c r="G21" i="14" s="1"/>
  <c r="G23" i="14" a="1"/>
  <c r="G23" i="14" s="1"/>
  <c r="G29" i="14" a="1"/>
  <c r="G29" i="14" s="1"/>
  <c r="G28" i="14" a="1"/>
  <c r="G28" i="14" s="1"/>
  <c r="G27" i="14" a="1"/>
  <c r="G27" i="14" s="1"/>
  <c r="G26" i="14" a="1"/>
  <c r="G26" i="14" s="1"/>
  <c r="G17" i="14" a="1"/>
  <c r="G17" i="14" s="1"/>
  <c r="G16" i="14" a="1"/>
  <c r="G16" i="14" s="1"/>
  <c r="G15" i="14" a="1"/>
  <c r="G15" i="14" s="1"/>
  <c r="G14" i="14" a="1"/>
  <c r="G14" i="14" s="1"/>
  <c r="G13" i="14" a="1"/>
  <c r="G13" i="14" s="1"/>
  <c r="G12" i="14" a="1"/>
  <c r="G12" i="14" s="1"/>
  <c r="G5" i="14" a="1"/>
  <c r="G5" i="14" s="1"/>
  <c r="G7" i="14" a="1"/>
  <c r="G7" i="14" s="1"/>
  <c r="G8" i="14" a="1"/>
  <c r="G8" i="14" s="1"/>
  <c r="G3" i="14" a="1"/>
  <c r="G3" i="14" s="1"/>
  <c r="G6" i="14" a="1"/>
  <c r="G6" i="14" s="1"/>
  <c r="G10" i="14" a="1"/>
  <c r="G10" i="14" s="1"/>
  <c r="G9" i="14" a="1"/>
  <c r="G9" i="14" s="1"/>
  <c r="G4" i="14" a="1"/>
  <c r="G4" i="14" s="1"/>
  <c r="G38" i="12" a="1"/>
  <c r="G38" i="12" s="1"/>
  <c r="G36" i="12" a="1"/>
  <c r="G36" i="12" s="1"/>
  <c r="G34" i="12" a="1"/>
  <c r="G34" i="12" s="1"/>
  <c r="G37" i="12" a="1"/>
  <c r="G37" i="12" s="1"/>
  <c r="G35" i="12" a="1"/>
  <c r="G35" i="12" s="1"/>
  <c r="G33" i="12" a="1"/>
  <c r="G33" i="12" s="1"/>
  <c r="G31" i="12" a="1"/>
  <c r="G31" i="12" s="1"/>
  <c r="G29" i="12" a="1"/>
  <c r="G29" i="12" s="1"/>
  <c r="G27" i="12" a="1"/>
  <c r="G27" i="12" s="1"/>
  <c r="G24" i="12" a="1"/>
  <c r="G24" i="12" s="1"/>
  <c r="G22" i="12" a="1"/>
  <c r="G22" i="12" s="1"/>
  <c r="G20" i="12" a="1"/>
  <c r="G20" i="12" s="1"/>
  <c r="G17" i="12" a="1"/>
  <c r="G17" i="12" s="1"/>
  <c r="G15" i="12" a="1"/>
  <c r="G15" i="12" s="1"/>
  <c r="G13" i="12" a="1"/>
  <c r="G13" i="12" s="1"/>
  <c r="G30" i="12" a="1"/>
  <c r="G30" i="12" s="1"/>
  <c r="G28" i="12" a="1"/>
  <c r="G28" i="12" s="1"/>
  <c r="G26" i="12" a="1"/>
  <c r="G26" i="12" s="1"/>
  <c r="G23" i="12" a="1"/>
  <c r="G23" i="12" s="1"/>
  <c r="G21" i="12" a="1"/>
  <c r="G21" i="12" s="1"/>
  <c r="G19" i="12" a="1"/>
  <c r="G19" i="12" s="1"/>
  <c r="G16" i="12" a="1"/>
  <c r="G16" i="12" s="1"/>
  <c r="G14" i="12" a="1"/>
  <c r="G14" i="12" s="1"/>
  <c r="G12" i="12" a="1"/>
  <c r="G12" i="12" s="1"/>
  <c r="G5" i="12" a="1"/>
  <c r="G5" i="12" s="1"/>
  <c r="G3" i="12" a="1"/>
  <c r="G3" i="12" s="1"/>
  <c r="G4" i="12" a="1"/>
  <c r="G4" i="12" s="1"/>
  <c r="G10" i="12" a="1"/>
  <c r="G10" i="12" s="1"/>
  <c r="G6" i="12" a="1"/>
  <c r="G6" i="12" s="1"/>
  <c r="G7" i="12" a="1"/>
  <c r="G7" i="12" s="1"/>
  <c r="G8" i="12" a="1"/>
  <c r="G8" i="12" s="1"/>
  <c r="G9" i="12" a="1"/>
  <c r="G9" i="12" s="1"/>
  <c r="G38" i="6" a="1"/>
  <c r="G38" i="6" s="1"/>
  <c r="G33" i="6" a="1"/>
  <c r="G33" i="6" s="1"/>
  <c r="G36" i="6" a="1"/>
  <c r="G36" i="6" s="1"/>
  <c r="G34" i="6" a="1"/>
  <c r="G34" i="6" s="1"/>
  <c r="G35" i="6" a="1"/>
  <c r="G35" i="6" s="1"/>
  <c r="G31" i="6" a="1"/>
  <c r="G31" i="6" s="1"/>
  <c r="G27" i="6" a="1"/>
  <c r="G27" i="6" s="1"/>
  <c r="G14" i="6" a="1"/>
  <c r="G14" i="6" s="1"/>
  <c r="G24" i="6" a="1"/>
  <c r="G24" i="6" s="1"/>
  <c r="G20" i="6" a="1"/>
  <c r="G20" i="6" s="1"/>
  <c r="G30" i="6" a="1"/>
  <c r="G30" i="6" s="1"/>
  <c r="G26" i="6" a="1"/>
  <c r="G26" i="6" s="1"/>
  <c r="G17" i="6" a="1"/>
  <c r="G17" i="6" s="1"/>
  <c r="G13" i="6" a="1"/>
  <c r="G13" i="6" s="1"/>
  <c r="G23" i="6" a="1"/>
  <c r="G23" i="6" s="1"/>
  <c r="G19" i="6" a="1"/>
  <c r="G19" i="6" s="1"/>
  <c r="G29" i="6" a="1"/>
  <c r="G29" i="6" s="1"/>
  <c r="G16" i="6" a="1"/>
  <c r="G16" i="6" s="1"/>
  <c r="G12" i="6" a="1"/>
  <c r="G12" i="6" s="1"/>
  <c r="G22" i="6" a="1"/>
  <c r="G22" i="6" s="1"/>
  <c r="G37" i="6" a="1"/>
  <c r="G37" i="6" s="1"/>
  <c r="G28" i="6" a="1"/>
  <c r="G28" i="6" s="1"/>
  <c r="G15" i="6" a="1"/>
  <c r="G15" i="6" s="1"/>
  <c r="G21" i="6" a="1"/>
  <c r="G21" i="6" s="1"/>
  <c r="G9" i="6" a="1"/>
  <c r="G9" i="6" s="1"/>
  <c r="G10" i="6" a="1"/>
  <c r="G10" i="6" s="1"/>
  <c r="G5" i="6" a="1"/>
  <c r="G5" i="6" s="1"/>
  <c r="G6" i="6" a="1"/>
  <c r="G6" i="6" s="1"/>
  <c r="G7" i="6" a="1"/>
  <c r="G7" i="6" s="1"/>
  <c r="G8" i="6" a="1"/>
  <c r="G8" i="6" s="1"/>
  <c r="G3" i="6" a="1"/>
  <c r="G3" i="6" s="1"/>
  <c r="G4" i="6" a="1"/>
  <c r="G4" i="6" s="1"/>
  <c r="H2" i="3"/>
  <c r="AA5" i="19"/>
  <c r="U5" i="19"/>
  <c r="N5" i="19"/>
  <c r="AL48" i="19"/>
  <c r="AL44" i="19"/>
  <c r="AL42" i="19"/>
  <c r="AL43" i="19"/>
  <c r="AL39" i="19"/>
  <c r="AL41" i="19"/>
  <c r="AL40" i="19"/>
  <c r="AL46" i="19"/>
  <c r="AL47" i="19"/>
  <c r="AL45" i="19"/>
  <c r="AL38" i="19"/>
  <c r="CQ87" i="17"/>
  <c r="CR13" i="17"/>
  <c r="AT92" i="17"/>
  <c r="EY89" i="17"/>
  <c r="DK88" i="17"/>
  <c r="BX91" i="17"/>
  <c r="AT13" i="17"/>
  <c r="CQ90" i="17"/>
  <c r="AS87" i="17"/>
  <c r="EZ13" i="17"/>
  <c r="EE90" i="17"/>
  <c r="DL92" i="17"/>
  <c r="EF62" i="17"/>
  <c r="CR62" i="17"/>
  <c r="EF13" i="17"/>
  <c r="EY88" i="17"/>
  <c r="FS13" i="17"/>
  <c r="DK89" i="17"/>
  <c r="EE87" i="17"/>
  <c r="BW87" i="17"/>
  <c r="AT91" i="17"/>
  <c r="BX13" i="17"/>
  <c r="FS88" i="17"/>
  <c r="BW89" i="17"/>
  <c r="FT92" i="17"/>
  <c r="FT87" i="17"/>
  <c r="EY90" i="17"/>
  <c r="AT62" i="17"/>
  <c r="BW90" i="17"/>
  <c r="EF91" i="17"/>
  <c r="DL13" i="17"/>
  <c r="EY87" i="17"/>
  <c r="DL62" i="17"/>
  <c r="EZ62" i="17"/>
  <c r="CQ89" i="17"/>
  <c r="CQ88" i="17"/>
  <c r="EZ91" i="17"/>
  <c r="EE88" i="17"/>
  <c r="DL91" i="17"/>
  <c r="DK90" i="17"/>
  <c r="CR92" i="17"/>
  <c r="BX92" i="17"/>
  <c r="FS89" i="17"/>
  <c r="FS62" i="17"/>
  <c r="EF92" i="17"/>
  <c r="AT90" i="17"/>
  <c r="AS88" i="17"/>
  <c r="AS89" i="17"/>
  <c r="BW88" i="17"/>
  <c r="DK87" i="17"/>
  <c r="EZ92" i="17"/>
  <c r="FT91" i="17"/>
  <c r="FT90" i="17"/>
  <c r="BX62" i="17"/>
  <c r="CR91" i="17"/>
  <c r="EE89" i="17"/>
  <c r="G36" i="3" l="1"/>
  <c r="H19" i="3" a="1"/>
  <c r="H19" i="3" s="1"/>
  <c r="H18" i="3" a="1"/>
  <c r="H18" i="3" s="1"/>
  <c r="H17" i="3" a="1"/>
  <c r="H17" i="3" s="1"/>
  <c r="H14" i="3" a="1"/>
  <c r="H14" i="3" s="1"/>
  <c r="H13" i="3" a="1"/>
  <c r="H13" i="3" s="1"/>
  <c r="H20" i="3" s="1"/>
  <c r="H16" i="3" a="1"/>
  <c r="H16" i="3" s="1"/>
  <c r="H15" i="3" a="1"/>
  <c r="H15" i="3" s="1"/>
  <c r="H203" i="3" a="1"/>
  <c r="H203" i="3" s="1"/>
  <c r="H201" i="3" a="1"/>
  <c r="H201" i="3" s="1"/>
  <c r="H200" i="3" a="1"/>
  <c r="H200" i="3" s="1"/>
  <c r="H199" i="3" a="1"/>
  <c r="H199" i="3" s="1"/>
  <c r="H198" i="3" a="1"/>
  <c r="H198" i="3" s="1"/>
  <c r="H197" i="3" a="1"/>
  <c r="H197" i="3" s="1"/>
  <c r="H204" i="3" s="1"/>
  <c r="H202" i="3" a="1"/>
  <c r="H202" i="3" s="1"/>
  <c r="G148" i="3"/>
  <c r="H11" i="3" a="1"/>
  <c r="H11" i="3" s="1"/>
  <c r="H10" i="3" a="1"/>
  <c r="H10" i="3" s="1"/>
  <c r="H9" i="3" a="1"/>
  <c r="H9" i="3" s="1"/>
  <c r="H8" i="3" a="1"/>
  <c r="H8" i="3" s="1"/>
  <c r="H6" i="3" a="1"/>
  <c r="H6" i="3" s="1"/>
  <c r="H7" i="3" a="1"/>
  <c r="H7" i="3" s="1"/>
  <c r="H5" i="3" a="1"/>
  <c r="H5" i="3" s="1"/>
  <c r="H12" i="3" s="1"/>
  <c r="H107" i="3" a="1"/>
  <c r="H107" i="3" s="1"/>
  <c r="H106" i="3" a="1"/>
  <c r="H106" i="3" s="1"/>
  <c r="H105" i="3" a="1"/>
  <c r="H105" i="3" s="1"/>
  <c r="H104" i="3" a="1"/>
  <c r="H104" i="3" s="1"/>
  <c r="H103" i="3" a="1"/>
  <c r="H103" i="3" s="1"/>
  <c r="H102" i="3" a="1"/>
  <c r="H102" i="3" s="1"/>
  <c r="H101" i="3" a="1"/>
  <c r="H101" i="3" s="1"/>
  <c r="G68" i="3"/>
  <c r="G124" i="3"/>
  <c r="H186" i="3" a="1"/>
  <c r="H186" i="3" s="1"/>
  <c r="H184" i="3" a="1"/>
  <c r="H184" i="3" s="1"/>
  <c r="H182" i="3" a="1"/>
  <c r="H182" i="3" s="1"/>
  <c r="H187" i="3" a="1"/>
  <c r="H187" i="3" s="1"/>
  <c r="H185" i="3" a="1"/>
  <c r="H185" i="3" s="1"/>
  <c r="H183" i="3" a="1"/>
  <c r="H183" i="3" s="1"/>
  <c r="H181" i="3" a="1"/>
  <c r="H181" i="3" s="1"/>
  <c r="H188" i="3" s="1"/>
  <c r="H227" i="3" a="1"/>
  <c r="H227" i="3" s="1"/>
  <c r="H219" i="3" a="1"/>
  <c r="H219" i="3" s="1"/>
  <c r="H211" i="3" a="1"/>
  <c r="H211" i="3" s="1"/>
  <c r="H179" i="3" a="1"/>
  <c r="H179" i="3" s="1"/>
  <c r="H171" i="3" a="1"/>
  <c r="H171" i="3" s="1"/>
  <c r="H163" i="3" a="1"/>
  <c r="H163" i="3" s="1"/>
  <c r="H155" i="3" a="1"/>
  <c r="H155" i="3" s="1"/>
  <c r="H147" i="3" a="1"/>
  <c r="H147" i="3" s="1"/>
  <c r="H139" i="3" a="1"/>
  <c r="H139" i="3" s="1"/>
  <c r="H131" i="3" a="1"/>
  <c r="H131" i="3" s="1"/>
  <c r="H43" i="3" a="1"/>
  <c r="H43" i="3" s="1"/>
  <c r="H35" i="3" a="1"/>
  <c r="H35" i="3" s="1"/>
  <c r="H27" i="3" a="1"/>
  <c r="H27" i="3" s="1"/>
  <c r="H235" i="3" a="1"/>
  <c r="H235" i="3" s="1"/>
  <c r="H123" i="3" a="1"/>
  <c r="H123" i="3" s="1"/>
  <c r="H115" i="3" a="1"/>
  <c r="H115" i="3" s="1"/>
  <c r="H99" i="3" a="1"/>
  <c r="H99" i="3" s="1"/>
  <c r="H91" i="3" a="1"/>
  <c r="H91" i="3" s="1"/>
  <c r="H83" i="3" a="1"/>
  <c r="H83" i="3" s="1"/>
  <c r="H75" i="3" a="1"/>
  <c r="H75" i="3" s="1"/>
  <c r="H67" i="3" a="1"/>
  <c r="H67" i="3" s="1"/>
  <c r="H59" i="3" a="1"/>
  <c r="H59" i="3" s="1"/>
  <c r="H51" i="3" a="1"/>
  <c r="H51" i="3" s="1"/>
  <c r="H195" i="3" a="1"/>
  <c r="H195" i="3" s="1"/>
  <c r="H194" i="3" a="1"/>
  <c r="H194" i="3" s="1"/>
  <c r="H192" i="3" a="1"/>
  <c r="H192" i="3" s="1"/>
  <c r="H191" i="3" a="1"/>
  <c r="H191" i="3" s="1"/>
  <c r="H189" i="3" a="1"/>
  <c r="H189" i="3" s="1"/>
  <c r="H193" i="3" a="1"/>
  <c r="H193" i="3" s="1"/>
  <c r="H190" i="3" a="1"/>
  <c r="H190" i="3" s="1"/>
  <c r="G228" i="3"/>
  <c r="H178" i="3" a="1"/>
  <c r="H178" i="3" s="1"/>
  <c r="H177" i="3" a="1"/>
  <c r="H177" i="3" s="1"/>
  <c r="H176" i="3" a="1"/>
  <c r="H176" i="3" s="1"/>
  <c r="H174" i="3" a="1"/>
  <c r="H174" i="3" s="1"/>
  <c r="H173" i="3" a="1"/>
  <c r="H173" i="3" s="1"/>
  <c r="H175" i="3" a="1"/>
  <c r="H175" i="3" s="1"/>
  <c r="H66" i="3" a="1"/>
  <c r="H66" i="3" s="1"/>
  <c r="H65" i="3" a="1"/>
  <c r="H65" i="3" s="1"/>
  <c r="H64" i="3" a="1"/>
  <c r="H64" i="3" s="1"/>
  <c r="H62" i="3" a="1"/>
  <c r="H62" i="3" s="1"/>
  <c r="H61" i="3" a="1"/>
  <c r="H61" i="3" s="1"/>
  <c r="H63" i="3" a="1"/>
  <c r="H63" i="3" s="1"/>
  <c r="H146" i="3" a="1"/>
  <c r="H146" i="3" s="1"/>
  <c r="H145" i="3" a="1"/>
  <c r="H145" i="3" s="1"/>
  <c r="H144" i="3" a="1"/>
  <c r="H144" i="3" s="1"/>
  <c r="H143" i="3" a="1"/>
  <c r="H143" i="3" s="1"/>
  <c r="H142" i="3" a="1"/>
  <c r="H142" i="3" s="1"/>
  <c r="H141" i="3" a="1"/>
  <c r="H141" i="3" s="1"/>
  <c r="H34" i="3" a="1"/>
  <c r="H34" i="3" s="1"/>
  <c r="H33" i="3" a="1"/>
  <c r="H33" i="3" s="1"/>
  <c r="H31" i="3" a="1"/>
  <c r="H31" i="3" s="1"/>
  <c r="H30" i="3" a="1"/>
  <c r="H30" i="3" s="1"/>
  <c r="H29" i="3" a="1"/>
  <c r="H29" i="3" s="1"/>
  <c r="H32" i="3" a="1"/>
  <c r="H32" i="3" s="1"/>
  <c r="H169" i="3" a="1"/>
  <c r="H169" i="3" s="1"/>
  <c r="H223" i="3" a="1"/>
  <c r="H223" i="3" s="1"/>
  <c r="H222" i="3" a="1"/>
  <c r="H222" i="3" s="1"/>
  <c r="H221" i="3" a="1"/>
  <c r="H221" i="3" s="1"/>
  <c r="H166" i="3" a="1"/>
  <c r="H166" i="3" s="1"/>
  <c r="H226" i="3" a="1"/>
  <c r="H226" i="3" s="1"/>
  <c r="H224" i="3" a="1"/>
  <c r="H224" i="3" s="1"/>
  <c r="H170" i="3" a="1"/>
  <c r="H170" i="3" s="1"/>
  <c r="H168" i="3" a="1"/>
  <c r="H168" i="3" s="1"/>
  <c r="H167" i="3" a="1"/>
  <c r="H167" i="3" s="1"/>
  <c r="H165" i="3" a="1"/>
  <c r="H165" i="3" s="1"/>
  <c r="H225" i="3" a="1"/>
  <c r="H225" i="3" s="1"/>
  <c r="G39" i="14"/>
  <c r="H129" i="3" a="1"/>
  <c r="H129" i="3" s="1"/>
  <c r="H127" i="3" a="1"/>
  <c r="H127" i="3" s="1"/>
  <c r="H126" i="3" a="1"/>
  <c r="H126" i="3" s="1"/>
  <c r="H130" i="3" a="1"/>
  <c r="H130" i="3" s="1"/>
  <c r="H125" i="3" a="1"/>
  <c r="H125" i="3" s="1"/>
  <c r="H128" i="3" a="1"/>
  <c r="H128" i="3" s="1"/>
  <c r="H41" i="3" a="1"/>
  <c r="H41" i="3" s="1"/>
  <c r="H39" i="3" a="1"/>
  <c r="H39" i="3" s="1"/>
  <c r="H37" i="3" a="1"/>
  <c r="H37" i="3" s="1"/>
  <c r="H42" i="3" a="1"/>
  <c r="H42" i="3" s="1"/>
  <c r="H40" i="3" a="1"/>
  <c r="H40" i="3" s="1"/>
  <c r="H38" i="3" a="1"/>
  <c r="H38" i="3" s="1"/>
  <c r="H209" i="3" a="1"/>
  <c r="H209" i="3" s="1"/>
  <c r="H210" i="3" a="1"/>
  <c r="H210" i="3" s="1"/>
  <c r="H206" i="3" a="1"/>
  <c r="H206" i="3" s="1"/>
  <c r="H207" i="3" a="1"/>
  <c r="H207" i="3" s="1"/>
  <c r="H137" i="3" a="1"/>
  <c r="H137" i="3" s="1"/>
  <c r="H138" i="3" a="1"/>
  <c r="H138" i="3" s="1"/>
  <c r="H135" i="3" a="1"/>
  <c r="H135" i="3" s="1"/>
  <c r="H136" i="3" a="1"/>
  <c r="H136" i="3" s="1"/>
  <c r="H133" i="3" a="1"/>
  <c r="H133" i="3" s="1"/>
  <c r="H205" i="3" a="1"/>
  <c r="H205" i="3" s="1"/>
  <c r="H208" i="3" a="1"/>
  <c r="H208" i="3" s="1"/>
  <c r="H134" i="3" a="1"/>
  <c r="H134" i="3" s="1"/>
  <c r="H58" i="3" a="1"/>
  <c r="H58" i="3" s="1"/>
  <c r="H57" i="3" a="1"/>
  <c r="H57" i="3" s="1"/>
  <c r="H55" i="3" a="1"/>
  <c r="H55" i="3" s="1"/>
  <c r="H53" i="3" a="1"/>
  <c r="H53" i="3" s="1"/>
  <c r="H56" i="3" a="1"/>
  <c r="H56" i="3" s="1"/>
  <c r="H54" i="3" a="1"/>
  <c r="H54" i="3" s="1"/>
  <c r="H218" i="3" a="1"/>
  <c r="H218" i="3" s="1"/>
  <c r="H215" i="3" a="1"/>
  <c r="H215" i="3" s="1"/>
  <c r="H214" i="3" a="1"/>
  <c r="H214" i="3" s="1"/>
  <c r="H217" i="3" a="1"/>
  <c r="H217" i="3" s="1"/>
  <c r="H216" i="3" a="1"/>
  <c r="H216" i="3" s="1"/>
  <c r="H213" i="3" a="1"/>
  <c r="H213" i="3" s="1"/>
  <c r="H44" i="10" a="1"/>
  <c r="H44" i="10" s="1"/>
  <c r="H42" i="10" a="1"/>
  <c r="H42" i="10" s="1"/>
  <c r="H40" i="10" a="1"/>
  <c r="H40" i="10" s="1"/>
  <c r="H45" i="10" a="1"/>
  <c r="H45" i="10" s="1"/>
  <c r="H43" i="10" a="1"/>
  <c r="H43" i="10" s="1"/>
  <c r="H41" i="10" a="1"/>
  <c r="H41" i="10" s="1"/>
  <c r="G46" i="10"/>
  <c r="H122" i="3" a="1"/>
  <c r="H122" i="3" s="1"/>
  <c r="H118" i="3" a="1"/>
  <c r="H118" i="3" s="1"/>
  <c r="H119" i="3" a="1"/>
  <c r="H119" i="3" s="1"/>
  <c r="H121" i="3" a="1"/>
  <c r="H121" i="3" s="1"/>
  <c r="H117" i="3" a="1"/>
  <c r="H117" i="3" s="1"/>
  <c r="H120" i="3" a="1"/>
  <c r="H120" i="3" s="1"/>
  <c r="H89" i="3" a="1"/>
  <c r="H89" i="3" s="1"/>
  <c r="H87" i="3" a="1"/>
  <c r="H87" i="3" s="1"/>
  <c r="H85" i="3" a="1"/>
  <c r="H85" i="3" s="1"/>
  <c r="H90" i="3" a="1"/>
  <c r="H90" i="3" s="1"/>
  <c r="H88" i="3" a="1"/>
  <c r="H88" i="3" s="1"/>
  <c r="H86" i="3" a="1"/>
  <c r="H86" i="3" s="1"/>
  <c r="H154" i="3" a="1"/>
  <c r="H154" i="3" s="1"/>
  <c r="H150" i="3" a="1"/>
  <c r="H150" i="3" s="1"/>
  <c r="H151" i="3" a="1"/>
  <c r="H151" i="3" s="1"/>
  <c r="H149" i="3" a="1"/>
  <c r="H149" i="3" s="1"/>
  <c r="H152" i="3" a="1"/>
  <c r="H152" i="3" s="1"/>
  <c r="H153" i="3" a="1"/>
  <c r="H153" i="3" s="1"/>
  <c r="H50" i="3" a="1"/>
  <c r="H50" i="3" s="1"/>
  <c r="H46" i="3" a="1"/>
  <c r="H46" i="3" s="1"/>
  <c r="H47" i="3" a="1"/>
  <c r="H47" i="3" s="1"/>
  <c r="H48" i="3" a="1"/>
  <c r="H48" i="3" s="1"/>
  <c r="H49" i="3" a="1"/>
  <c r="H49" i="3" s="1"/>
  <c r="H45" i="3" a="1"/>
  <c r="H45" i="3" s="1"/>
  <c r="G28" i="3"/>
  <c r="G46" i="9"/>
  <c r="G46" i="8"/>
  <c r="G46" i="12"/>
  <c r="G46" i="6"/>
  <c r="G46" i="13"/>
  <c r="G46" i="14"/>
  <c r="H44" i="12" a="1"/>
  <c r="H44" i="12" s="1"/>
  <c r="H45" i="12" a="1"/>
  <c r="H45" i="12" s="1"/>
  <c r="H43" i="12" a="1"/>
  <c r="H43" i="12" s="1"/>
  <c r="H41" i="12" a="1"/>
  <c r="H41" i="12" s="1"/>
  <c r="H42" i="12" a="1"/>
  <c r="H42" i="12" s="1"/>
  <c r="H40" i="12" a="1"/>
  <c r="H40" i="12" s="1"/>
  <c r="H45" i="9" a="1"/>
  <c r="H45" i="9" s="1"/>
  <c r="H43" i="9" a="1"/>
  <c r="H43" i="9" s="1"/>
  <c r="H41" i="9" a="1"/>
  <c r="H41" i="9" s="1"/>
  <c r="H44" i="9" a="1"/>
  <c r="H44" i="9" s="1"/>
  <c r="H42" i="9" a="1"/>
  <c r="H42" i="9" s="1"/>
  <c r="H40" i="9" a="1"/>
  <c r="H40" i="9" s="1"/>
  <c r="H45" i="13" a="1"/>
  <c r="H45" i="13" s="1"/>
  <c r="H43" i="13" a="1"/>
  <c r="H43" i="13" s="1"/>
  <c r="H44" i="13" a="1"/>
  <c r="H44" i="13" s="1"/>
  <c r="H40" i="13" a="1"/>
  <c r="H40" i="13" s="1"/>
  <c r="H41" i="13" a="1"/>
  <c r="H41" i="13" s="1"/>
  <c r="H42" i="13" a="1"/>
  <c r="H42" i="13" s="1"/>
  <c r="H45" i="6" a="1"/>
  <c r="H45" i="6" s="1"/>
  <c r="H44" i="6" a="1"/>
  <c r="H44" i="6" s="1"/>
  <c r="H42" i="6" a="1"/>
  <c r="H42" i="6" s="1"/>
  <c r="H40" i="6" a="1"/>
  <c r="H40" i="6" s="1"/>
  <c r="H43" i="6" a="1"/>
  <c r="H43" i="6" s="1"/>
  <c r="H41" i="6" a="1"/>
  <c r="H41" i="6" s="1"/>
  <c r="H43" i="14" a="1"/>
  <c r="H43" i="14" s="1"/>
  <c r="H41" i="14" a="1"/>
  <c r="H41" i="14" s="1"/>
  <c r="H45" i="14" a="1"/>
  <c r="H45" i="14" s="1"/>
  <c r="H40" i="14" a="1"/>
  <c r="H40" i="14" s="1"/>
  <c r="H42" i="14" a="1"/>
  <c r="H42" i="14" s="1"/>
  <c r="H44" i="14" a="1"/>
  <c r="H44" i="14" s="1"/>
  <c r="H45" i="8" a="1"/>
  <c r="H45" i="8" s="1"/>
  <c r="H43" i="8" a="1"/>
  <c r="H43" i="8" s="1"/>
  <c r="H41" i="8" a="1"/>
  <c r="H41" i="8" s="1"/>
  <c r="H44" i="8" a="1"/>
  <c r="H44" i="8" s="1"/>
  <c r="H42" i="8" a="1"/>
  <c r="H42" i="8" s="1"/>
  <c r="H40" i="8" a="1"/>
  <c r="H40" i="8" s="1"/>
  <c r="G164" i="3"/>
  <c r="H98" i="3" a="1"/>
  <c r="H98" i="3" s="1"/>
  <c r="H97" i="3" a="1"/>
  <c r="H97" i="3" s="1"/>
  <c r="H96" i="3" a="1"/>
  <c r="H96" i="3" s="1"/>
  <c r="H95" i="3" a="1"/>
  <c r="H95" i="3" s="1"/>
  <c r="H94" i="3" a="1"/>
  <c r="H94" i="3" s="1"/>
  <c r="H93" i="3" a="1"/>
  <c r="H93" i="3" s="1"/>
  <c r="H25" i="3" a="1"/>
  <c r="H25" i="3" s="1"/>
  <c r="H24" i="3" a="1"/>
  <c r="H24" i="3" s="1"/>
  <c r="H26" i="3" a="1"/>
  <c r="H26" i="3" s="1"/>
  <c r="H23" i="3" a="1"/>
  <c r="H23" i="3" s="1"/>
  <c r="H22" i="3" a="1"/>
  <c r="H22" i="3" s="1"/>
  <c r="H21" i="3" a="1"/>
  <c r="H21" i="3" s="1"/>
  <c r="H35" i="14" a="1"/>
  <c r="H35" i="14" s="1"/>
  <c r="H33" i="14" a="1"/>
  <c r="H33" i="14" s="1"/>
  <c r="H38" i="14" a="1"/>
  <c r="H38" i="14" s="1"/>
  <c r="H34" i="14" a="1"/>
  <c r="H34" i="14" s="1"/>
  <c r="H36" i="14" a="1"/>
  <c r="H36" i="14" s="1"/>
  <c r="H37" i="14" a="1"/>
  <c r="H37" i="14" s="1"/>
  <c r="H113" i="3" a="1"/>
  <c r="H113" i="3" s="1"/>
  <c r="H110" i="3" a="1"/>
  <c r="H110" i="3" s="1"/>
  <c r="H111" i="3" a="1"/>
  <c r="H111" i="3" s="1"/>
  <c r="H109" i="3" a="1"/>
  <c r="H109" i="3" s="1"/>
  <c r="H114" i="3" a="1"/>
  <c r="H114" i="3" s="1"/>
  <c r="H112" i="3" a="1"/>
  <c r="H112" i="3" s="1"/>
  <c r="H160" i="3" a="1"/>
  <c r="H160" i="3" s="1"/>
  <c r="H157" i="3" a="1"/>
  <c r="H157" i="3" s="1"/>
  <c r="H158" i="3" a="1"/>
  <c r="H158" i="3" s="1"/>
  <c r="H162" i="3" a="1"/>
  <c r="H162" i="3" s="1"/>
  <c r="H161" i="3" a="1"/>
  <c r="H161" i="3" s="1"/>
  <c r="H159" i="3" a="1"/>
  <c r="H159" i="3" s="1"/>
  <c r="H73" i="3" a="1"/>
  <c r="H73" i="3" s="1"/>
  <c r="H74" i="3" a="1"/>
  <c r="H74" i="3" s="1"/>
  <c r="H72" i="3" a="1"/>
  <c r="H72" i="3" s="1"/>
  <c r="H70" i="3" a="1"/>
  <c r="H70" i="3" s="1"/>
  <c r="H71" i="3" a="1"/>
  <c r="H71" i="3" s="1"/>
  <c r="H69" i="3" a="1"/>
  <c r="H69" i="3" s="1"/>
  <c r="G236" i="3"/>
  <c r="I2" i="3"/>
  <c r="H232" i="3" a="1"/>
  <c r="H232" i="3" s="1"/>
  <c r="H230" i="3" a="1"/>
  <c r="H230" i="3" s="1"/>
  <c r="H233" i="3" a="1"/>
  <c r="H233" i="3" s="1"/>
  <c r="H234" i="3" a="1"/>
  <c r="H234" i="3" s="1"/>
  <c r="H231" i="3" a="1"/>
  <c r="H231" i="3" s="1"/>
  <c r="H229" i="3" a="1"/>
  <c r="H229" i="3" s="1"/>
  <c r="G84" i="3"/>
  <c r="H79" i="3" a="1"/>
  <c r="H79" i="3" s="1"/>
  <c r="H77" i="3" a="1"/>
  <c r="H77" i="3" s="1"/>
  <c r="H78" i="3" a="1"/>
  <c r="H78" i="3" s="1"/>
  <c r="H82" i="3" a="1"/>
  <c r="H82" i="3" s="1"/>
  <c r="H81" i="3" a="1"/>
  <c r="H81" i="3" s="1"/>
  <c r="H80" i="3" a="1"/>
  <c r="H80" i="3" s="1"/>
  <c r="G32" i="8"/>
  <c r="G25" i="13"/>
  <c r="G25" i="9"/>
  <c r="G32" i="12"/>
  <c r="G39" i="12"/>
  <c r="G39" i="8"/>
  <c r="G39" i="10"/>
  <c r="G11" i="13"/>
  <c r="G18" i="13"/>
  <c r="G39" i="6"/>
  <c r="G25" i="8"/>
  <c r="G25" i="6"/>
  <c r="G32" i="6"/>
  <c r="G11" i="12"/>
  <c r="G25" i="12"/>
  <c r="G11" i="8"/>
  <c r="G32" i="9"/>
  <c r="G39" i="9"/>
  <c r="G18" i="10"/>
  <c r="G32" i="10"/>
  <c r="G25" i="10"/>
  <c r="G32" i="13"/>
  <c r="G11" i="10"/>
  <c r="G11" i="6"/>
  <c r="G18" i="6"/>
  <c r="G18" i="12"/>
  <c r="G18" i="8"/>
  <c r="G11" i="9"/>
  <c r="G18" i="9"/>
  <c r="G39" i="13"/>
  <c r="H23" i="14" a="1"/>
  <c r="H23" i="14" s="1"/>
  <c r="H24" i="14" a="1"/>
  <c r="H24" i="14" s="1"/>
  <c r="H19" i="14" a="1"/>
  <c r="H19" i="14" s="1"/>
  <c r="H30" i="14" a="1"/>
  <c r="H30" i="14" s="1"/>
  <c r="H29" i="14" a="1"/>
  <c r="H29" i="14" s="1"/>
  <c r="H28" i="14" a="1"/>
  <c r="H28" i="14" s="1"/>
  <c r="H27" i="14" a="1"/>
  <c r="H27" i="14" s="1"/>
  <c r="H26" i="14" a="1"/>
  <c r="H26" i="14" s="1"/>
  <c r="H17" i="14" a="1"/>
  <c r="H17" i="14" s="1"/>
  <c r="H16" i="14" a="1"/>
  <c r="H16" i="14" s="1"/>
  <c r="H15" i="14" a="1"/>
  <c r="H15" i="14" s="1"/>
  <c r="H14" i="14" a="1"/>
  <c r="H14" i="14" s="1"/>
  <c r="H13" i="14" a="1"/>
  <c r="H13" i="14" s="1"/>
  <c r="H12" i="14" a="1"/>
  <c r="H12" i="14" s="1"/>
  <c r="H22" i="14" a="1"/>
  <c r="H22" i="14" s="1"/>
  <c r="H20" i="14" a="1"/>
  <c r="H20" i="14" s="1"/>
  <c r="H21" i="14" a="1"/>
  <c r="H21" i="14" s="1"/>
  <c r="H31" i="14" a="1"/>
  <c r="H31" i="14" s="1"/>
  <c r="H6" i="14" a="1"/>
  <c r="H6" i="14" s="1"/>
  <c r="H9" i="14" a="1"/>
  <c r="H9" i="14" s="1"/>
  <c r="H8" i="14" a="1"/>
  <c r="H8" i="14" s="1"/>
  <c r="H3" i="14" a="1"/>
  <c r="H3" i="14" s="1"/>
  <c r="H4" i="14" a="1"/>
  <c r="H4" i="14" s="1"/>
  <c r="H5" i="14" a="1"/>
  <c r="H5" i="14" s="1"/>
  <c r="H7" i="14" a="1"/>
  <c r="H7" i="14" s="1"/>
  <c r="H10" i="14" a="1"/>
  <c r="H10" i="14" s="1"/>
  <c r="G18" i="14"/>
  <c r="H38" i="13" a="1"/>
  <c r="H38" i="13" s="1"/>
  <c r="H36" i="13" a="1"/>
  <c r="H36" i="13" s="1"/>
  <c r="H34" i="13" a="1"/>
  <c r="H34" i="13" s="1"/>
  <c r="H37" i="13" a="1"/>
  <c r="H37" i="13" s="1"/>
  <c r="H35" i="13" a="1"/>
  <c r="H35" i="13" s="1"/>
  <c r="H33" i="13" a="1"/>
  <c r="H33" i="13" s="1"/>
  <c r="H29" i="13" a="1"/>
  <c r="H29" i="13" s="1"/>
  <c r="H24" i="13" a="1"/>
  <c r="H24" i="13" s="1"/>
  <c r="H28" i="13" a="1"/>
  <c r="H28" i="13" s="1"/>
  <c r="H23" i="13" a="1"/>
  <c r="H23" i="13" s="1"/>
  <c r="H31" i="13" a="1"/>
  <c r="H31" i="13" s="1"/>
  <c r="H27" i="13" a="1"/>
  <c r="H27" i="13" s="1"/>
  <c r="H22" i="13" a="1"/>
  <c r="H22" i="13" s="1"/>
  <c r="H30" i="13" a="1"/>
  <c r="H30" i="13" s="1"/>
  <c r="H26" i="13" a="1"/>
  <c r="H26" i="13" s="1"/>
  <c r="H20" i="13" a="1"/>
  <c r="H20" i="13" s="1"/>
  <c r="H15" i="13" a="1"/>
  <c r="H15" i="13" s="1"/>
  <c r="H19" i="13" a="1"/>
  <c r="H19" i="13" s="1"/>
  <c r="H14" i="13" a="1"/>
  <c r="H14" i="13" s="1"/>
  <c r="H17" i="13" a="1"/>
  <c r="H17" i="13" s="1"/>
  <c r="H13" i="13" a="1"/>
  <c r="H13" i="13" s="1"/>
  <c r="H21" i="13" a="1"/>
  <c r="H21" i="13" s="1"/>
  <c r="H16" i="13" a="1"/>
  <c r="H16" i="13" s="1"/>
  <c r="H12" i="13" a="1"/>
  <c r="H12" i="13" s="1"/>
  <c r="H7" i="13" a="1"/>
  <c r="H7" i="13" s="1"/>
  <c r="H8" i="13" a="1"/>
  <c r="H8" i="13" s="1"/>
  <c r="H9" i="13" a="1"/>
  <c r="H9" i="13" s="1"/>
  <c r="H10" i="13" a="1"/>
  <c r="H10" i="13" s="1"/>
  <c r="H6" i="13" a="1"/>
  <c r="H6" i="13" s="1"/>
  <c r="H5" i="13" a="1"/>
  <c r="H5" i="13" s="1"/>
  <c r="H4" i="13" a="1"/>
  <c r="H4" i="13" s="1"/>
  <c r="H3" i="13" a="1"/>
  <c r="H3" i="13" s="1"/>
  <c r="H37" i="12" a="1"/>
  <c r="H37" i="12" s="1"/>
  <c r="H35" i="12" a="1"/>
  <c r="H35" i="12" s="1"/>
  <c r="H33" i="12" a="1"/>
  <c r="H33" i="12" s="1"/>
  <c r="H38" i="12" a="1"/>
  <c r="H38" i="12" s="1"/>
  <c r="H36" i="12" a="1"/>
  <c r="H36" i="12" s="1"/>
  <c r="H34" i="12" a="1"/>
  <c r="H34" i="12" s="1"/>
  <c r="H30" i="12" a="1"/>
  <c r="H30" i="12" s="1"/>
  <c r="H28" i="12" a="1"/>
  <c r="H28" i="12" s="1"/>
  <c r="H26" i="12" a="1"/>
  <c r="H26" i="12" s="1"/>
  <c r="H23" i="12" a="1"/>
  <c r="H23" i="12" s="1"/>
  <c r="H21" i="12" a="1"/>
  <c r="H21" i="12" s="1"/>
  <c r="H19" i="12" a="1"/>
  <c r="H19" i="12" s="1"/>
  <c r="H16" i="12" a="1"/>
  <c r="H16" i="12" s="1"/>
  <c r="H14" i="12" a="1"/>
  <c r="H14" i="12" s="1"/>
  <c r="H12" i="12" a="1"/>
  <c r="H12" i="12" s="1"/>
  <c r="H31" i="12" a="1"/>
  <c r="H31" i="12" s="1"/>
  <c r="H29" i="12" a="1"/>
  <c r="H29" i="12" s="1"/>
  <c r="H27" i="12" a="1"/>
  <c r="H27" i="12" s="1"/>
  <c r="H24" i="12" a="1"/>
  <c r="H24" i="12" s="1"/>
  <c r="H22" i="12" a="1"/>
  <c r="H22" i="12" s="1"/>
  <c r="H20" i="12" a="1"/>
  <c r="H20" i="12" s="1"/>
  <c r="H17" i="12" a="1"/>
  <c r="H17" i="12" s="1"/>
  <c r="H15" i="12" a="1"/>
  <c r="H15" i="12" s="1"/>
  <c r="H13" i="12" a="1"/>
  <c r="H13" i="12" s="1"/>
  <c r="H7" i="12" a="1"/>
  <c r="H7" i="12" s="1"/>
  <c r="H8" i="12" a="1"/>
  <c r="H8" i="12" s="1"/>
  <c r="H9" i="12" a="1"/>
  <c r="H9" i="12" s="1"/>
  <c r="H10" i="12" a="1"/>
  <c r="H10" i="12" s="1"/>
  <c r="H5" i="12" a="1"/>
  <c r="H5" i="12" s="1"/>
  <c r="H6" i="12" a="1"/>
  <c r="H6" i="12" s="1"/>
  <c r="H4" i="12" a="1"/>
  <c r="H4" i="12" s="1"/>
  <c r="H3" i="12" a="1"/>
  <c r="H3" i="12" s="1"/>
  <c r="H38" i="8" a="1"/>
  <c r="H38" i="8" s="1"/>
  <c r="H37" i="8" a="1"/>
  <c r="H37" i="8" s="1"/>
  <c r="H36" i="8" a="1"/>
  <c r="H36" i="8" s="1"/>
  <c r="H35" i="8" a="1"/>
  <c r="H35" i="8" s="1"/>
  <c r="H34" i="8" a="1"/>
  <c r="H34" i="8" s="1"/>
  <c r="H33" i="8" a="1"/>
  <c r="H33" i="8" s="1"/>
  <c r="H30" i="8" a="1"/>
  <c r="H30" i="8" s="1"/>
  <c r="H26" i="8" a="1"/>
  <c r="H26" i="8" s="1"/>
  <c r="H16" i="8" a="1"/>
  <c r="H16" i="8" s="1"/>
  <c r="H29" i="8" a="1"/>
  <c r="H29" i="8" s="1"/>
  <c r="H24" i="8" a="1"/>
  <c r="H24" i="8" s="1"/>
  <c r="H28" i="8" a="1"/>
  <c r="H28" i="8" s="1"/>
  <c r="H14" i="8" a="1"/>
  <c r="H14" i="8" s="1"/>
  <c r="H23" i="8" a="1"/>
  <c r="H23" i="8" s="1"/>
  <c r="H22" i="8" a="1"/>
  <c r="H22" i="8" s="1"/>
  <c r="H21" i="8" a="1"/>
  <c r="H21" i="8" s="1"/>
  <c r="H31" i="8" a="1"/>
  <c r="H31" i="8" s="1"/>
  <c r="H27" i="8" a="1"/>
  <c r="H27" i="8" s="1"/>
  <c r="H17" i="8" a="1"/>
  <c r="H17" i="8" s="1"/>
  <c r="H12" i="8" a="1"/>
  <c r="H12" i="8" s="1"/>
  <c r="H20" i="8" a="1"/>
  <c r="H20" i="8" s="1"/>
  <c r="H15" i="8" a="1"/>
  <c r="H15" i="8" s="1"/>
  <c r="H19" i="8" a="1"/>
  <c r="H19" i="8" s="1"/>
  <c r="H13" i="8" a="1"/>
  <c r="H13" i="8" s="1"/>
  <c r="H6" i="8" a="1"/>
  <c r="H6" i="8" s="1"/>
  <c r="H5" i="8" a="1"/>
  <c r="H5" i="8" s="1"/>
  <c r="H8" i="8" a="1"/>
  <c r="H8" i="8" s="1"/>
  <c r="H7" i="8" a="1"/>
  <c r="H7" i="8" s="1"/>
  <c r="H9" i="8" a="1"/>
  <c r="H9" i="8" s="1"/>
  <c r="H10" i="8" a="1"/>
  <c r="H10" i="8" s="1"/>
  <c r="H4" i="8" a="1"/>
  <c r="H4" i="8" s="1"/>
  <c r="H3" i="8" a="1"/>
  <c r="H3" i="8" s="1"/>
  <c r="H37" i="10" a="1"/>
  <c r="H37" i="10" s="1"/>
  <c r="H35" i="10" a="1"/>
  <c r="H35" i="10" s="1"/>
  <c r="H36" i="10" a="1"/>
  <c r="H36" i="10" s="1"/>
  <c r="H33" i="10" a="1"/>
  <c r="H33" i="10" s="1"/>
  <c r="H38" i="10" a="1"/>
  <c r="H38" i="10" s="1"/>
  <c r="H34" i="10" a="1"/>
  <c r="H34" i="10" s="1"/>
  <c r="H26" i="10" a="1"/>
  <c r="H26" i="10" s="1"/>
  <c r="H23" i="10" a="1"/>
  <c r="H23" i="10" s="1"/>
  <c r="H8" i="10" a="1"/>
  <c r="H8" i="10" s="1"/>
  <c r="H31" i="10" a="1"/>
  <c r="H31" i="10" s="1"/>
  <c r="H30" i="10" a="1"/>
  <c r="H30" i="10" s="1"/>
  <c r="H29" i="10" a="1"/>
  <c r="H29" i="10" s="1"/>
  <c r="H22" i="10" a="1"/>
  <c r="H22" i="10" s="1"/>
  <c r="H7" i="10" a="1"/>
  <c r="H7" i="10" s="1"/>
  <c r="H28" i="10" a="1"/>
  <c r="H28" i="10" s="1"/>
  <c r="H21" i="10" a="1"/>
  <c r="H21" i="10" s="1"/>
  <c r="H20" i="10" a="1"/>
  <c r="H20" i="10" s="1"/>
  <c r="H10" i="10" a="1"/>
  <c r="H10" i="10" s="1"/>
  <c r="H6" i="10" a="1"/>
  <c r="H6" i="10" s="1"/>
  <c r="H24" i="10" a="1"/>
  <c r="H24" i="10" s="1"/>
  <c r="H9" i="10" a="1"/>
  <c r="H9" i="10" s="1"/>
  <c r="H5" i="10" a="1"/>
  <c r="H5" i="10" s="1"/>
  <c r="H19" i="10" a="1"/>
  <c r="H19" i="10" s="1"/>
  <c r="H27" i="10" a="1"/>
  <c r="H27" i="10" s="1"/>
  <c r="H12" i="10" a="1"/>
  <c r="H12" i="10" s="1"/>
  <c r="H15" i="10" a="1"/>
  <c r="H15" i="10" s="1"/>
  <c r="H17" i="10" a="1"/>
  <c r="H17" i="10" s="1"/>
  <c r="H13" i="10" a="1"/>
  <c r="H13" i="10" s="1"/>
  <c r="H14" i="10" a="1"/>
  <c r="H14" i="10" s="1"/>
  <c r="H16" i="10" a="1"/>
  <c r="H16" i="10" s="1"/>
  <c r="H3" i="10" a="1"/>
  <c r="H3" i="10" s="1"/>
  <c r="H4" i="10" a="1"/>
  <c r="H4" i="10" s="1"/>
  <c r="G11" i="14"/>
  <c r="H38" i="6" a="1"/>
  <c r="H38" i="6" s="1"/>
  <c r="H37" i="6" a="1"/>
  <c r="H37" i="6" s="1"/>
  <c r="H36" i="6" a="1"/>
  <c r="H36" i="6" s="1"/>
  <c r="H35" i="6" a="1"/>
  <c r="H35" i="6" s="1"/>
  <c r="H34" i="6" a="1"/>
  <c r="H34" i="6" s="1"/>
  <c r="H33" i="6" a="1"/>
  <c r="H33" i="6" s="1"/>
  <c r="H30" i="6" a="1"/>
  <c r="H30" i="6" s="1"/>
  <c r="H26" i="6" a="1"/>
  <c r="H26" i="6" s="1"/>
  <c r="H17" i="6" a="1"/>
  <c r="H17" i="6" s="1"/>
  <c r="H13" i="6" a="1"/>
  <c r="H13" i="6" s="1"/>
  <c r="H23" i="6" a="1"/>
  <c r="H23" i="6" s="1"/>
  <c r="H19" i="6" a="1"/>
  <c r="H19" i="6" s="1"/>
  <c r="H29" i="6" a="1"/>
  <c r="H29" i="6" s="1"/>
  <c r="H16" i="6" a="1"/>
  <c r="H16" i="6" s="1"/>
  <c r="H12" i="6" a="1"/>
  <c r="H12" i="6" s="1"/>
  <c r="H22" i="6" a="1"/>
  <c r="H22" i="6" s="1"/>
  <c r="H28" i="6" a="1"/>
  <c r="H28" i="6" s="1"/>
  <c r="H15" i="6" a="1"/>
  <c r="H15" i="6" s="1"/>
  <c r="H21" i="6" a="1"/>
  <c r="H21" i="6" s="1"/>
  <c r="H24" i="6" a="1"/>
  <c r="H24" i="6" s="1"/>
  <c r="H20" i="6" a="1"/>
  <c r="H20" i="6" s="1"/>
  <c r="H31" i="6" a="1"/>
  <c r="H31" i="6" s="1"/>
  <c r="H27" i="6" a="1"/>
  <c r="H27" i="6" s="1"/>
  <c r="H14" i="6" a="1"/>
  <c r="H14" i="6" s="1"/>
  <c r="H10" i="6" a="1"/>
  <c r="H10" i="6" s="1"/>
  <c r="H6" i="6" a="1"/>
  <c r="H6" i="6" s="1"/>
  <c r="H7" i="6" a="1"/>
  <c r="H7" i="6" s="1"/>
  <c r="H8" i="6" a="1"/>
  <c r="H8" i="6" s="1"/>
  <c r="H9" i="6" a="1"/>
  <c r="H9" i="6" s="1"/>
  <c r="H5" i="6" a="1"/>
  <c r="H5" i="6" s="1"/>
  <c r="H3" i="6" a="1"/>
  <c r="H3" i="6" s="1"/>
  <c r="H4" i="6" a="1"/>
  <c r="H4" i="6" s="1"/>
  <c r="G32" i="14"/>
  <c r="G25" i="14"/>
  <c r="H37" i="9" a="1"/>
  <c r="H37" i="9" s="1"/>
  <c r="H38" i="9" a="1"/>
  <c r="H38" i="9" s="1"/>
  <c r="H33" i="9" a="1"/>
  <c r="H33" i="9" s="1"/>
  <c r="H36" i="9" a="1"/>
  <c r="H36" i="9" s="1"/>
  <c r="H35" i="9" a="1"/>
  <c r="H35" i="9" s="1"/>
  <c r="H34" i="9" a="1"/>
  <c r="H34" i="9" s="1"/>
  <c r="H22" i="9" a="1"/>
  <c r="H22" i="9" s="1"/>
  <c r="H31" i="9" a="1"/>
  <c r="H31" i="9" s="1"/>
  <c r="H30" i="9" a="1"/>
  <c r="H30" i="9" s="1"/>
  <c r="H29" i="9" a="1"/>
  <c r="H29" i="9" s="1"/>
  <c r="H28" i="9" a="1"/>
  <c r="H28" i="9" s="1"/>
  <c r="H27" i="9" a="1"/>
  <c r="H27" i="9" s="1"/>
  <c r="H21" i="9" a="1"/>
  <c r="H21" i="9" s="1"/>
  <c r="H17" i="9" a="1"/>
  <c r="H17" i="9" s="1"/>
  <c r="H13" i="9" a="1"/>
  <c r="H13" i="9" s="1"/>
  <c r="H24" i="9" a="1"/>
  <c r="H24" i="9" s="1"/>
  <c r="H20" i="9" a="1"/>
  <c r="H20" i="9" s="1"/>
  <c r="H23" i="9" a="1"/>
  <c r="H23" i="9" s="1"/>
  <c r="H19" i="9" a="1"/>
  <c r="H19" i="9" s="1"/>
  <c r="H26" i="9" a="1"/>
  <c r="H26" i="9" s="1"/>
  <c r="H16" i="9" a="1"/>
  <c r="H16" i="9" s="1"/>
  <c r="H14" i="9" a="1"/>
  <c r="H14" i="9" s="1"/>
  <c r="H12" i="9" a="1"/>
  <c r="H12" i="9" s="1"/>
  <c r="H15" i="9" a="1"/>
  <c r="H15" i="9" s="1"/>
  <c r="H9" i="9" a="1"/>
  <c r="H9" i="9" s="1"/>
  <c r="H5" i="9" a="1"/>
  <c r="H5" i="9" s="1"/>
  <c r="H6" i="9" a="1"/>
  <c r="H6" i="9" s="1"/>
  <c r="H7" i="9" a="1"/>
  <c r="H7" i="9" s="1"/>
  <c r="H8" i="9" a="1"/>
  <c r="H8" i="9" s="1"/>
  <c r="H10" i="9" a="1"/>
  <c r="H10" i="9" s="1"/>
  <c r="H4" i="9" a="1"/>
  <c r="H4" i="9" s="1"/>
  <c r="H3" i="9" a="1"/>
  <c r="H3" i="9" s="1"/>
  <c r="EF90" i="17"/>
  <c r="EZ88" i="17"/>
  <c r="CS62" i="17"/>
  <c r="EZ89" i="17"/>
  <c r="FA92" i="17"/>
  <c r="DM91" i="17"/>
  <c r="FU91" i="17"/>
  <c r="BX88" i="17"/>
  <c r="CR89" i="17"/>
  <c r="EG92" i="17"/>
  <c r="AU91" i="17"/>
  <c r="FA62" i="17"/>
  <c r="FA13" i="17"/>
  <c r="CR88" i="17"/>
  <c r="DL90" i="17"/>
  <c r="AU92" i="17"/>
  <c r="AT89" i="17"/>
  <c r="DL89" i="17"/>
  <c r="BY62" i="17"/>
  <c r="DL88" i="17"/>
  <c r="CS13" i="17"/>
  <c r="BY13" i="17"/>
  <c r="EZ90" i="17"/>
  <c r="DM92" i="17"/>
  <c r="FA91" i="17"/>
  <c r="EF88" i="17"/>
  <c r="CS91" i="17"/>
  <c r="EG91" i="17"/>
  <c r="BY92" i="17"/>
  <c r="CS92" i="17"/>
  <c r="EG13" i="17"/>
  <c r="DM13" i="17"/>
  <c r="FU87" i="17"/>
  <c r="AT88" i="17"/>
  <c r="AU13" i="17"/>
  <c r="CR87" i="17"/>
  <c r="EF89" i="17"/>
  <c r="FU92" i="17"/>
  <c r="DL87" i="17"/>
  <c r="AT87" i="17"/>
  <c r="DM62" i="17"/>
  <c r="BY91" i="17"/>
  <c r="FT88" i="17"/>
  <c r="FT89" i="17"/>
  <c r="AU62" i="17"/>
  <c r="EF87" i="17"/>
  <c r="EZ87" i="17"/>
  <c r="BX90" i="17"/>
  <c r="FT62" i="17"/>
  <c r="BX89" i="17"/>
  <c r="FT13" i="17"/>
  <c r="BX87" i="17"/>
  <c r="EG62" i="17"/>
  <c r="CR90" i="17"/>
  <c r="AU90" i="17"/>
  <c r="FU90" i="17"/>
  <c r="H108" i="3" l="1"/>
  <c r="I19" i="3" a="1"/>
  <c r="I19" i="3" s="1"/>
  <c r="I18" i="3" a="1"/>
  <c r="I18" i="3" s="1"/>
  <c r="I17" i="3" a="1"/>
  <c r="I17" i="3" s="1"/>
  <c r="I16" i="3" a="1"/>
  <c r="I16" i="3" s="1"/>
  <c r="I15" i="3" a="1"/>
  <c r="I15" i="3" s="1"/>
  <c r="I14" i="3" a="1"/>
  <c r="I14" i="3" s="1"/>
  <c r="I13" i="3" a="1"/>
  <c r="I13" i="3" s="1"/>
  <c r="I20" i="3" s="1"/>
  <c r="I203" i="3" a="1"/>
  <c r="I203" i="3" s="1"/>
  <c r="I198" i="3" a="1"/>
  <c r="I198" i="3" s="1"/>
  <c r="I197" i="3" a="1"/>
  <c r="I197" i="3" s="1"/>
  <c r="I204" i="3" s="1"/>
  <c r="I202" i="3" a="1"/>
  <c r="I202" i="3" s="1"/>
  <c r="I201" i="3" a="1"/>
  <c r="I201" i="3" s="1"/>
  <c r="I200" i="3" a="1"/>
  <c r="I200" i="3" s="1"/>
  <c r="I199" i="3" a="1"/>
  <c r="I199" i="3" s="1"/>
  <c r="I11" i="3" a="1"/>
  <c r="I11" i="3" s="1"/>
  <c r="I10" i="3" a="1"/>
  <c r="I10" i="3" s="1"/>
  <c r="I9" i="3" a="1"/>
  <c r="I9" i="3" s="1"/>
  <c r="I7" i="3" a="1"/>
  <c r="I7" i="3" s="1"/>
  <c r="I5" i="3" a="1"/>
  <c r="I5" i="3" s="1"/>
  <c r="I12" i="3" s="1"/>
  <c r="I8" i="3" a="1"/>
  <c r="I8" i="3" s="1"/>
  <c r="I6" i="3" a="1"/>
  <c r="I6" i="3" s="1"/>
  <c r="I107" i="3" a="1"/>
  <c r="I107" i="3" s="1"/>
  <c r="I106" i="3" a="1"/>
  <c r="I106" i="3" s="1"/>
  <c r="I105" i="3" a="1"/>
  <c r="I105" i="3" s="1"/>
  <c r="I104" i="3" a="1"/>
  <c r="I104" i="3" s="1"/>
  <c r="I103" i="3" a="1"/>
  <c r="I103" i="3" s="1"/>
  <c r="I102" i="3" a="1"/>
  <c r="I102" i="3" s="1"/>
  <c r="I101" i="3" a="1"/>
  <c r="I101" i="3" s="1"/>
  <c r="I108" i="3" s="1"/>
  <c r="I187" i="3" a="1"/>
  <c r="I187" i="3" s="1"/>
  <c r="I185" i="3" a="1"/>
  <c r="I185" i="3" s="1"/>
  <c r="I183" i="3" a="1"/>
  <c r="I183" i="3" s="1"/>
  <c r="I181" i="3" a="1"/>
  <c r="I181" i="3" s="1"/>
  <c r="I188" i="3" s="1"/>
  <c r="I186" i="3" a="1"/>
  <c r="I186" i="3" s="1"/>
  <c r="I184" i="3" a="1"/>
  <c r="I184" i="3" s="1"/>
  <c r="I182" i="3" a="1"/>
  <c r="I182" i="3" s="1"/>
  <c r="I227" i="3" a="1"/>
  <c r="I227" i="3" s="1"/>
  <c r="I219" i="3" a="1"/>
  <c r="I219" i="3" s="1"/>
  <c r="I211" i="3" a="1"/>
  <c r="I211" i="3" s="1"/>
  <c r="I179" i="3" a="1"/>
  <c r="I179" i="3" s="1"/>
  <c r="I171" i="3" a="1"/>
  <c r="I171" i="3" s="1"/>
  <c r="I163" i="3" a="1"/>
  <c r="I163" i="3" s="1"/>
  <c r="I155" i="3" a="1"/>
  <c r="I155" i="3" s="1"/>
  <c r="I147" i="3" a="1"/>
  <c r="I147" i="3" s="1"/>
  <c r="I139" i="3" a="1"/>
  <c r="I139" i="3" s="1"/>
  <c r="I131" i="3" a="1"/>
  <c r="I131" i="3" s="1"/>
  <c r="I195" i="3" a="1"/>
  <c r="I195" i="3" s="1"/>
  <c r="I123" i="3" a="1"/>
  <c r="I123" i="3" s="1"/>
  <c r="I115" i="3" a="1"/>
  <c r="I115" i="3" s="1"/>
  <c r="I99" i="3" a="1"/>
  <c r="I99" i="3" s="1"/>
  <c r="I91" i="3" a="1"/>
  <c r="I91" i="3" s="1"/>
  <c r="I83" i="3" a="1"/>
  <c r="I83" i="3" s="1"/>
  <c r="I75" i="3" a="1"/>
  <c r="I75" i="3" s="1"/>
  <c r="I67" i="3" a="1"/>
  <c r="I67" i="3" s="1"/>
  <c r="I59" i="3" a="1"/>
  <c r="I59" i="3" s="1"/>
  <c r="I51" i="3" a="1"/>
  <c r="I51" i="3" s="1"/>
  <c r="I43" i="3" a="1"/>
  <c r="I43" i="3" s="1"/>
  <c r="I35" i="3" a="1"/>
  <c r="I35" i="3" s="1"/>
  <c r="I27" i="3" a="1"/>
  <c r="I27" i="3" s="1"/>
  <c r="I235" i="3" a="1"/>
  <c r="I235" i="3" s="1"/>
  <c r="H196" i="3"/>
  <c r="I193" i="3" a="1"/>
  <c r="I193" i="3" s="1"/>
  <c r="I190" i="3" a="1"/>
  <c r="I190" i="3" s="1"/>
  <c r="I194" i="3" a="1"/>
  <c r="I194" i="3" s="1"/>
  <c r="I192" i="3" a="1"/>
  <c r="I192" i="3" s="1"/>
  <c r="I191" i="3" a="1"/>
  <c r="I191" i="3" s="1"/>
  <c r="I189" i="3" a="1"/>
  <c r="I189" i="3" s="1"/>
  <c r="H180" i="3"/>
  <c r="I178" i="3" a="1"/>
  <c r="I178" i="3" s="1"/>
  <c r="I177" i="3" a="1"/>
  <c r="I177" i="3" s="1"/>
  <c r="I173" i="3" a="1"/>
  <c r="I173" i="3" s="1"/>
  <c r="I176" i="3" a="1"/>
  <c r="I176" i="3" s="1"/>
  <c r="I175" i="3" a="1"/>
  <c r="I175" i="3" s="1"/>
  <c r="I174" i="3" a="1"/>
  <c r="I174" i="3" s="1"/>
  <c r="H68" i="3"/>
  <c r="I66" i="3" a="1"/>
  <c r="I66" i="3" s="1"/>
  <c r="I65" i="3" a="1"/>
  <c r="I65" i="3" s="1"/>
  <c r="I63" i="3" a="1"/>
  <c r="I63" i="3" s="1"/>
  <c r="I64" i="3" a="1"/>
  <c r="I64" i="3" s="1"/>
  <c r="I62" i="3" a="1"/>
  <c r="I62" i="3" s="1"/>
  <c r="I61" i="3" a="1"/>
  <c r="I61" i="3" s="1"/>
  <c r="H148" i="3"/>
  <c r="I146" i="3" a="1"/>
  <c r="I146" i="3" s="1"/>
  <c r="I145" i="3" a="1"/>
  <c r="I145" i="3" s="1"/>
  <c r="I144" i="3" a="1"/>
  <c r="I144" i="3" s="1"/>
  <c r="I143" i="3" a="1"/>
  <c r="I143" i="3" s="1"/>
  <c r="I142" i="3" a="1"/>
  <c r="I142" i="3" s="1"/>
  <c r="I141" i="3" a="1"/>
  <c r="I141" i="3" s="1"/>
  <c r="H36" i="3"/>
  <c r="I34" i="3" a="1"/>
  <c r="I34" i="3" s="1"/>
  <c r="I33" i="3" a="1"/>
  <c r="I33" i="3" s="1"/>
  <c r="I31" i="3" a="1"/>
  <c r="I31" i="3" s="1"/>
  <c r="I30" i="3" a="1"/>
  <c r="I30" i="3" s="1"/>
  <c r="I29" i="3" a="1"/>
  <c r="I29" i="3" s="1"/>
  <c r="I32" i="3" a="1"/>
  <c r="I32" i="3" s="1"/>
  <c r="H228" i="3"/>
  <c r="H172" i="3"/>
  <c r="I169" i="3" a="1"/>
  <c r="I169" i="3" s="1"/>
  <c r="I168" i="3" a="1"/>
  <c r="I168" i="3" s="1"/>
  <c r="I225" i="3" a="1"/>
  <c r="I225" i="3" s="1"/>
  <c r="I224" i="3" a="1"/>
  <c r="I224" i="3" s="1"/>
  <c r="I223" i="3" a="1"/>
  <c r="I223" i="3" s="1"/>
  <c r="I222" i="3" a="1"/>
  <c r="I222" i="3" s="1"/>
  <c r="I221" i="3" a="1"/>
  <c r="I221" i="3" s="1"/>
  <c r="I167" i="3" a="1"/>
  <c r="I167" i="3" s="1"/>
  <c r="I165" i="3" a="1"/>
  <c r="I165" i="3" s="1"/>
  <c r="I170" i="3" a="1"/>
  <c r="I170" i="3" s="1"/>
  <c r="I166" i="3" a="1"/>
  <c r="I166" i="3" s="1"/>
  <c r="I226" i="3" a="1"/>
  <c r="I226" i="3" s="1"/>
  <c r="I128" i="3" a="1"/>
  <c r="I128" i="3" s="1"/>
  <c r="I127" i="3" a="1"/>
  <c r="I127" i="3" s="1"/>
  <c r="I126" i="3" a="1"/>
  <c r="I126" i="3" s="1"/>
  <c r="I129" i="3" a="1"/>
  <c r="I129" i="3" s="1"/>
  <c r="I125" i="3" a="1"/>
  <c r="I125" i="3" s="1"/>
  <c r="I130" i="3" a="1"/>
  <c r="I130" i="3" s="1"/>
  <c r="H132" i="3"/>
  <c r="I42" i="3" a="1"/>
  <c r="I42" i="3" s="1"/>
  <c r="I40" i="3" a="1"/>
  <c r="I40" i="3" s="1"/>
  <c r="I38" i="3" a="1"/>
  <c r="I38" i="3" s="1"/>
  <c r="I41" i="3" a="1"/>
  <c r="I41" i="3" s="1"/>
  <c r="I39" i="3" a="1"/>
  <c r="I39" i="3" s="1"/>
  <c r="I37" i="3" a="1"/>
  <c r="I37" i="3" s="1"/>
  <c r="H44" i="3"/>
  <c r="H212" i="3"/>
  <c r="H140" i="3"/>
  <c r="I210" i="3" a="1"/>
  <c r="I210" i="3" s="1"/>
  <c r="I207" i="3" a="1"/>
  <c r="I207" i="3" s="1"/>
  <c r="I209" i="3" a="1"/>
  <c r="I209" i="3" s="1"/>
  <c r="I205" i="3" a="1"/>
  <c r="I205" i="3" s="1"/>
  <c r="I138" i="3" a="1"/>
  <c r="I138" i="3" s="1"/>
  <c r="I137" i="3" a="1"/>
  <c r="I137" i="3" s="1"/>
  <c r="I135" i="3" a="1"/>
  <c r="I135" i="3" s="1"/>
  <c r="I206" i="3" a="1"/>
  <c r="I206" i="3" s="1"/>
  <c r="I136" i="3" a="1"/>
  <c r="I136" i="3" s="1"/>
  <c r="I133" i="3" a="1"/>
  <c r="I133" i="3" s="1"/>
  <c r="I208" i="3" a="1"/>
  <c r="I208" i="3" s="1"/>
  <c r="I134" i="3" a="1"/>
  <c r="I134" i="3" s="1"/>
  <c r="I58" i="3" a="1"/>
  <c r="I58" i="3" s="1"/>
  <c r="I57" i="3" a="1"/>
  <c r="I57" i="3" s="1"/>
  <c r="I56" i="3" a="1"/>
  <c r="I56" i="3" s="1"/>
  <c r="I54" i="3" a="1"/>
  <c r="I54" i="3" s="1"/>
  <c r="I53" i="3" a="1"/>
  <c r="I53" i="3" s="1"/>
  <c r="I55" i="3" a="1"/>
  <c r="I55" i="3" s="1"/>
  <c r="I214" i="3" a="1"/>
  <c r="I214" i="3" s="1"/>
  <c r="I216" i="3" a="1"/>
  <c r="I216" i="3" s="1"/>
  <c r="I215" i="3" a="1"/>
  <c r="I215" i="3" s="1"/>
  <c r="I218" i="3" a="1"/>
  <c r="I218" i="3" s="1"/>
  <c r="I217" i="3" a="1"/>
  <c r="I217" i="3" s="1"/>
  <c r="I213" i="3" a="1"/>
  <c r="I213" i="3" s="1"/>
  <c r="H220" i="3"/>
  <c r="H60" i="3"/>
  <c r="I45" i="10" a="1"/>
  <c r="I45" i="10" s="1"/>
  <c r="I43" i="10" a="1"/>
  <c r="I43" i="10" s="1"/>
  <c r="I41" i="10" a="1"/>
  <c r="I41" i="10" s="1"/>
  <c r="I44" i="10" a="1"/>
  <c r="I44" i="10" s="1"/>
  <c r="I42" i="10" a="1"/>
  <c r="I42" i="10" s="1"/>
  <c r="I40" i="10" a="1"/>
  <c r="I40" i="10" s="1"/>
  <c r="H46" i="10"/>
  <c r="I121" i="3" a="1"/>
  <c r="I121" i="3" s="1"/>
  <c r="I122" i="3" a="1"/>
  <c r="I122" i="3" s="1"/>
  <c r="I120" i="3" a="1"/>
  <c r="I120" i="3" s="1"/>
  <c r="I119" i="3" a="1"/>
  <c r="I119" i="3" s="1"/>
  <c r="I118" i="3" a="1"/>
  <c r="I118" i="3" s="1"/>
  <c r="I117" i="3" a="1"/>
  <c r="I117" i="3" s="1"/>
  <c r="H124" i="3"/>
  <c r="I90" i="3" a="1"/>
  <c r="I90" i="3" s="1"/>
  <c r="I86" i="3" a="1"/>
  <c r="I86" i="3" s="1"/>
  <c r="I87" i="3" a="1"/>
  <c r="I87" i="3" s="1"/>
  <c r="I85" i="3" a="1"/>
  <c r="I85" i="3" s="1"/>
  <c r="I88" i="3" a="1"/>
  <c r="I88" i="3" s="1"/>
  <c r="I89" i="3" a="1"/>
  <c r="I89" i="3" s="1"/>
  <c r="H92" i="3"/>
  <c r="I154" i="3" a="1"/>
  <c r="I154" i="3" s="1"/>
  <c r="I152" i="3" a="1"/>
  <c r="I152" i="3" s="1"/>
  <c r="I150" i="3" a="1"/>
  <c r="I150" i="3" s="1"/>
  <c r="I153" i="3" a="1"/>
  <c r="I153" i="3" s="1"/>
  <c r="I151" i="3" a="1"/>
  <c r="I151" i="3" s="1"/>
  <c r="I149" i="3" a="1"/>
  <c r="I149" i="3" s="1"/>
  <c r="H156" i="3"/>
  <c r="H52" i="3"/>
  <c r="I50" i="3" a="1"/>
  <c r="I50" i="3" s="1"/>
  <c r="I49" i="3" a="1"/>
  <c r="I49" i="3" s="1"/>
  <c r="I48" i="3" a="1"/>
  <c r="I48" i="3" s="1"/>
  <c r="I45" i="3" a="1"/>
  <c r="I45" i="3" s="1"/>
  <c r="I46" i="3" a="1"/>
  <c r="I46" i="3" s="1"/>
  <c r="I47" i="3" a="1"/>
  <c r="I47" i="3" s="1"/>
  <c r="H46" i="14"/>
  <c r="H46" i="13"/>
  <c r="H46" i="12"/>
  <c r="H46" i="6"/>
  <c r="H46" i="9"/>
  <c r="H46" i="8"/>
  <c r="I45" i="14" a="1"/>
  <c r="I45" i="14" s="1"/>
  <c r="I43" i="14" a="1"/>
  <c r="I43" i="14" s="1"/>
  <c r="I41" i="14" a="1"/>
  <c r="I41" i="14" s="1"/>
  <c r="I44" i="14" a="1"/>
  <c r="I44" i="14" s="1"/>
  <c r="I42" i="14" a="1"/>
  <c r="I42" i="14" s="1"/>
  <c r="I40" i="14" a="1"/>
  <c r="I40" i="14" s="1"/>
  <c r="I45" i="9" a="1"/>
  <c r="I45" i="9" s="1"/>
  <c r="I43" i="9" a="1"/>
  <c r="I43" i="9" s="1"/>
  <c r="I41" i="9" a="1"/>
  <c r="I41" i="9" s="1"/>
  <c r="I44" i="9" a="1"/>
  <c r="I44" i="9" s="1"/>
  <c r="I42" i="9" a="1"/>
  <c r="I42" i="9" s="1"/>
  <c r="I40" i="9" a="1"/>
  <c r="I40" i="9" s="1"/>
  <c r="I44" i="8" a="1"/>
  <c r="I44" i="8" s="1"/>
  <c r="I42" i="8" a="1"/>
  <c r="I42" i="8" s="1"/>
  <c r="I40" i="8" a="1"/>
  <c r="I40" i="8" s="1"/>
  <c r="I43" i="8" a="1"/>
  <c r="I43" i="8" s="1"/>
  <c r="I45" i="8" a="1"/>
  <c r="I45" i="8" s="1"/>
  <c r="I41" i="8" a="1"/>
  <c r="I41" i="8" s="1"/>
  <c r="I45" i="13" a="1"/>
  <c r="I45" i="13" s="1"/>
  <c r="I43" i="13" a="1"/>
  <c r="I43" i="13" s="1"/>
  <c r="I41" i="13" a="1"/>
  <c r="I41" i="13" s="1"/>
  <c r="I44" i="13" a="1"/>
  <c r="I44" i="13" s="1"/>
  <c r="I42" i="13" a="1"/>
  <c r="I42" i="13" s="1"/>
  <c r="I40" i="13" a="1"/>
  <c r="I40" i="13" s="1"/>
  <c r="I44" i="6" a="1"/>
  <c r="I44" i="6" s="1"/>
  <c r="I42" i="6" a="1"/>
  <c r="I42" i="6" s="1"/>
  <c r="I40" i="6" a="1"/>
  <c r="I40" i="6" s="1"/>
  <c r="I45" i="6" a="1"/>
  <c r="I45" i="6" s="1"/>
  <c r="I43" i="6" a="1"/>
  <c r="I43" i="6" s="1"/>
  <c r="I41" i="6" a="1"/>
  <c r="I41" i="6" s="1"/>
  <c r="I45" i="12" a="1"/>
  <c r="I45" i="12" s="1"/>
  <c r="I43" i="12" a="1"/>
  <c r="I43" i="12" s="1"/>
  <c r="I42" i="12" a="1"/>
  <c r="I42" i="12" s="1"/>
  <c r="I41" i="12" a="1"/>
  <c r="I41" i="12" s="1"/>
  <c r="I40" i="12" a="1"/>
  <c r="I40" i="12" s="1"/>
  <c r="I44" i="12" a="1"/>
  <c r="I44" i="12" s="1"/>
  <c r="H100" i="3"/>
  <c r="I98" i="3" a="1"/>
  <c r="I98" i="3" s="1"/>
  <c r="I97" i="3" a="1"/>
  <c r="I97" i="3" s="1"/>
  <c r="I96" i="3" a="1"/>
  <c r="I96" i="3" s="1"/>
  <c r="I95" i="3" a="1"/>
  <c r="I95" i="3" s="1"/>
  <c r="I94" i="3" a="1"/>
  <c r="I94" i="3" s="1"/>
  <c r="I93" i="3" a="1"/>
  <c r="I93" i="3" s="1"/>
  <c r="H28" i="3"/>
  <c r="I23" i="3" a="1"/>
  <c r="I23" i="3" s="1"/>
  <c r="I22" i="3" a="1"/>
  <c r="I22" i="3" s="1"/>
  <c r="I26" i="3" a="1"/>
  <c r="I26" i="3" s="1"/>
  <c r="I25" i="3" a="1"/>
  <c r="I25" i="3" s="1"/>
  <c r="I24" i="3" a="1"/>
  <c r="I24" i="3" s="1"/>
  <c r="I21" i="3" a="1"/>
  <c r="I21" i="3" s="1"/>
  <c r="H39" i="14"/>
  <c r="I38" i="14" a="1"/>
  <c r="I38" i="14" s="1"/>
  <c r="I34" i="14" a="1"/>
  <c r="I34" i="14" s="1"/>
  <c r="I33" i="14" a="1"/>
  <c r="I33" i="14" s="1"/>
  <c r="I35" i="14" a="1"/>
  <c r="I35" i="14" s="1"/>
  <c r="I36" i="14" a="1"/>
  <c r="I36" i="14" s="1"/>
  <c r="I37" i="14" a="1"/>
  <c r="I37" i="14" s="1"/>
  <c r="H116" i="3"/>
  <c r="I114" i="3" a="1"/>
  <c r="I114" i="3" s="1"/>
  <c r="I113" i="3" a="1"/>
  <c r="I113" i="3" s="1"/>
  <c r="I112" i="3" a="1"/>
  <c r="I112" i="3" s="1"/>
  <c r="I111" i="3" a="1"/>
  <c r="I111" i="3" s="1"/>
  <c r="I109" i="3" a="1"/>
  <c r="I109" i="3" s="1"/>
  <c r="I110" i="3" a="1"/>
  <c r="I110" i="3" s="1"/>
  <c r="I162" i="3" a="1"/>
  <c r="I162" i="3" s="1"/>
  <c r="I161" i="3" a="1"/>
  <c r="I161" i="3" s="1"/>
  <c r="I159" i="3" a="1"/>
  <c r="I159" i="3" s="1"/>
  <c r="I157" i="3" a="1"/>
  <c r="I157" i="3" s="1"/>
  <c r="I160" i="3" a="1"/>
  <c r="I160" i="3" s="1"/>
  <c r="I158" i="3" a="1"/>
  <c r="I158" i="3" s="1"/>
  <c r="H164" i="3"/>
  <c r="H76" i="3"/>
  <c r="I74" i="3" a="1"/>
  <c r="I74" i="3" s="1"/>
  <c r="I73" i="3" a="1"/>
  <c r="I73" i="3" s="1"/>
  <c r="I72" i="3" a="1"/>
  <c r="I72" i="3" s="1"/>
  <c r="I70" i="3" a="1"/>
  <c r="I70" i="3" s="1"/>
  <c r="I71" i="3" a="1"/>
  <c r="I71" i="3" s="1"/>
  <c r="I69" i="3" a="1"/>
  <c r="I69" i="3" s="1"/>
  <c r="H236" i="3"/>
  <c r="I234" i="3" a="1"/>
  <c r="I234" i="3" s="1"/>
  <c r="I232" i="3" a="1"/>
  <c r="I232" i="3" s="1"/>
  <c r="I230" i="3" a="1"/>
  <c r="I230" i="3" s="1"/>
  <c r="I233" i="3" a="1"/>
  <c r="I233" i="3" s="1"/>
  <c r="I231" i="3" a="1"/>
  <c r="I231" i="3" s="1"/>
  <c r="I229" i="3" a="1"/>
  <c r="I229" i="3" s="1"/>
  <c r="H84" i="3"/>
  <c r="H25" i="6"/>
  <c r="H25" i="10"/>
  <c r="H32" i="10"/>
  <c r="H18" i="8"/>
  <c r="H11" i="12"/>
  <c r="H18" i="9"/>
  <c r="H25" i="9"/>
  <c r="H39" i="9"/>
  <c r="H18" i="6"/>
  <c r="H11" i="10"/>
  <c r="H25" i="8"/>
  <c r="H25" i="12"/>
  <c r="H32" i="9"/>
  <c r="H32" i="6"/>
  <c r="H11" i="9"/>
  <c r="H11" i="6"/>
  <c r="H39" i="6"/>
  <c r="H18" i="10"/>
  <c r="H11" i="8"/>
  <c r="H39" i="8"/>
  <c r="H18" i="12"/>
  <c r="H39" i="12"/>
  <c r="H18" i="13"/>
  <c r="H32" i="8"/>
  <c r="H39" i="10"/>
  <c r="H32" i="13"/>
  <c r="H32" i="12"/>
  <c r="H11" i="13"/>
  <c r="H25" i="13"/>
  <c r="H39" i="13"/>
  <c r="H11" i="14"/>
  <c r="H32" i="14"/>
  <c r="H25" i="14"/>
  <c r="H18" i="14"/>
  <c r="EG88" i="17"/>
  <c r="DM89" i="17"/>
  <c r="CS90" i="17"/>
  <c r="EG87" i="17"/>
  <c r="FA87" i="17"/>
  <c r="DN91" i="17"/>
  <c r="DN92" i="17"/>
  <c r="FB62" i="17"/>
  <c r="FU88" i="17"/>
  <c r="BZ92" i="17"/>
  <c r="AV92" i="17"/>
  <c r="FA88" i="17"/>
  <c r="FV92" i="17"/>
  <c r="FB91" i="17"/>
  <c r="CT92" i="17"/>
  <c r="FV91" i="17"/>
  <c r="DM87" i="17"/>
  <c r="BY87" i="17"/>
  <c r="AV62" i="17"/>
  <c r="BY90" i="17"/>
  <c r="FV87" i="17"/>
  <c r="DN62" i="17"/>
  <c r="AV90" i="17"/>
  <c r="AU88" i="17"/>
  <c r="CS87" i="17"/>
  <c r="FV90" i="17"/>
  <c r="EH92" i="17"/>
  <c r="FA90" i="17"/>
  <c r="FU89" i="17"/>
  <c r="BY89" i="17"/>
  <c r="EH62" i="17"/>
  <c r="EH91" i="17"/>
  <c r="CS89" i="17"/>
  <c r="CT91" i="17"/>
  <c r="AU87" i="17"/>
  <c r="BZ62" i="17"/>
  <c r="FU62" i="17"/>
  <c r="BY88" i="17"/>
  <c r="AV91" i="17"/>
  <c r="FA89" i="17"/>
  <c r="BZ91" i="17"/>
  <c r="FB92" i="17"/>
  <c r="DM88" i="17"/>
  <c r="CT62" i="17"/>
  <c r="EG90" i="17"/>
  <c r="EG89" i="17"/>
  <c r="DM90" i="17"/>
  <c r="CS88" i="17"/>
  <c r="AU89" i="17"/>
  <c r="I196" i="3" l="1"/>
  <c r="I180" i="3"/>
  <c r="I68" i="3"/>
  <c r="I148" i="3"/>
  <c r="I36" i="3"/>
  <c r="I228" i="3"/>
  <c r="I172" i="3"/>
  <c r="I132" i="3"/>
  <c r="I44" i="3"/>
  <c r="I212" i="3"/>
  <c r="I140" i="3"/>
  <c r="I220" i="3"/>
  <c r="I60" i="3"/>
  <c r="I46" i="10"/>
  <c r="I124" i="3"/>
  <c r="I92" i="3"/>
  <c r="I156" i="3"/>
  <c r="I52" i="3"/>
  <c r="I46" i="14"/>
  <c r="I46" i="13"/>
  <c r="I46" i="9"/>
  <c r="I46" i="12"/>
  <c r="I46" i="6"/>
  <c r="I46" i="8"/>
  <c r="I100" i="3"/>
  <c r="I28" i="3"/>
  <c r="I39" i="14"/>
  <c r="I116" i="3"/>
  <c r="I164" i="3"/>
  <c r="I76" i="3"/>
  <c r="I236" i="3"/>
  <c r="I82" i="3" a="1"/>
  <c r="I82" i="3" s="1"/>
  <c r="I81" i="3" a="1"/>
  <c r="I81" i="3" s="1"/>
  <c r="I80" i="3" a="1"/>
  <c r="I80" i="3" s="1"/>
  <c r="I79" i="3" a="1"/>
  <c r="I79" i="3" s="1"/>
  <c r="I78" i="3" a="1"/>
  <c r="I78" i="3" s="1"/>
  <c r="I77" i="3" a="1"/>
  <c r="I77" i="3" s="1"/>
  <c r="I36" i="10" a="1"/>
  <c r="I36" i="10" s="1"/>
  <c r="I33" i="10" a="1"/>
  <c r="I33" i="10" s="1"/>
  <c r="I38" i="10" a="1"/>
  <c r="I38" i="10" s="1"/>
  <c r="I34" i="10" a="1"/>
  <c r="I34" i="10" s="1"/>
  <c r="I37" i="10" a="1"/>
  <c r="I37" i="10" s="1"/>
  <c r="I35" i="10" a="1"/>
  <c r="I35" i="10" s="1"/>
  <c r="I28" i="10" a="1"/>
  <c r="I28" i="10" s="1"/>
  <c r="I24" i="10" a="1"/>
  <c r="I24" i="10" s="1"/>
  <c r="I19" i="10" a="1"/>
  <c r="I19" i="10" s="1"/>
  <c r="I10" i="10" a="1"/>
  <c r="I10" i="10" s="1"/>
  <c r="I6" i="10" a="1"/>
  <c r="I6" i="10" s="1"/>
  <c r="I27" i="10" a="1"/>
  <c r="I27" i="10" s="1"/>
  <c r="I23" i="10" a="1"/>
  <c r="I23" i="10" s="1"/>
  <c r="I9" i="10" a="1"/>
  <c r="I9" i="10" s="1"/>
  <c r="I5" i="10" a="1"/>
  <c r="I5" i="10" s="1"/>
  <c r="I26" i="10" a="1"/>
  <c r="I26" i="10" s="1"/>
  <c r="I22" i="10" a="1"/>
  <c r="I22" i="10" s="1"/>
  <c r="I20" i="10" a="1"/>
  <c r="I20" i="10" s="1"/>
  <c r="I8" i="10" a="1"/>
  <c r="I8" i="10" s="1"/>
  <c r="I30" i="10" a="1"/>
  <c r="I30" i="10" s="1"/>
  <c r="I21" i="10" a="1"/>
  <c r="I21" i="10" s="1"/>
  <c r="I31" i="10" a="1"/>
  <c r="I31" i="10" s="1"/>
  <c r="I29" i="10" a="1"/>
  <c r="I29" i="10" s="1"/>
  <c r="I7" i="10" a="1"/>
  <c r="I7" i="10" s="1"/>
  <c r="I17" i="10" a="1"/>
  <c r="I17" i="10" s="1"/>
  <c r="I13" i="10" a="1"/>
  <c r="I13" i="10" s="1"/>
  <c r="I14" i="10" a="1"/>
  <c r="I14" i="10" s="1"/>
  <c r="I16" i="10" a="1"/>
  <c r="I16" i="10" s="1"/>
  <c r="I12" i="10" a="1"/>
  <c r="I12" i="10" s="1"/>
  <c r="I15" i="10" a="1"/>
  <c r="I15" i="10" s="1"/>
  <c r="I4" i="10" a="1"/>
  <c r="I4" i="10" s="1"/>
  <c r="I3" i="10" a="1"/>
  <c r="I3" i="10" s="1"/>
  <c r="I37" i="9" a="1"/>
  <c r="I37" i="9" s="1"/>
  <c r="I36" i="9" a="1"/>
  <c r="I36" i="9" s="1"/>
  <c r="I38" i="9" a="1"/>
  <c r="I38" i="9" s="1"/>
  <c r="I35" i="9" a="1"/>
  <c r="I35" i="9" s="1"/>
  <c r="I34" i="9" a="1"/>
  <c r="I34" i="9" s="1"/>
  <c r="I33" i="9" a="1"/>
  <c r="I33" i="9" s="1"/>
  <c r="I24" i="9" a="1"/>
  <c r="I24" i="9" s="1"/>
  <c r="I20" i="9" a="1"/>
  <c r="I20" i="9" s="1"/>
  <c r="I31" i="9" a="1"/>
  <c r="I31" i="9" s="1"/>
  <c r="I30" i="9" a="1"/>
  <c r="I30" i="9" s="1"/>
  <c r="I29" i="9" a="1"/>
  <c r="I29" i="9" s="1"/>
  <c r="I28" i="9" a="1"/>
  <c r="I28" i="9" s="1"/>
  <c r="I27" i="9" a="1"/>
  <c r="I27" i="9" s="1"/>
  <c r="I23" i="9" a="1"/>
  <c r="I23" i="9" s="1"/>
  <c r="I19" i="9" a="1"/>
  <c r="I19" i="9" s="1"/>
  <c r="I26" i="9" a="1"/>
  <c r="I26" i="9" s="1"/>
  <c r="I14" i="9" a="1"/>
  <c r="I14" i="9" s="1"/>
  <c r="I22" i="9" a="1"/>
  <c r="I22" i="9" s="1"/>
  <c r="I12" i="9" a="1"/>
  <c r="I12" i="9" s="1"/>
  <c r="I15" i="9" a="1"/>
  <c r="I15" i="9" s="1"/>
  <c r="I21" i="9" a="1"/>
  <c r="I21" i="9" s="1"/>
  <c r="I16" i="9" a="1"/>
  <c r="I16" i="9" s="1"/>
  <c r="I17" i="9" a="1"/>
  <c r="I17" i="9" s="1"/>
  <c r="I13" i="9" a="1"/>
  <c r="I13" i="9" s="1"/>
  <c r="I5" i="9" a="1"/>
  <c r="I5" i="9" s="1"/>
  <c r="I10" i="9" a="1"/>
  <c r="I10" i="9" s="1"/>
  <c r="I9" i="9" a="1"/>
  <c r="I9" i="9" s="1"/>
  <c r="I6" i="9" a="1"/>
  <c r="I6" i="9" s="1"/>
  <c r="I7" i="9" a="1"/>
  <c r="I7" i="9" s="1"/>
  <c r="I8" i="9" a="1"/>
  <c r="I8" i="9" s="1"/>
  <c r="I3" i="9" a="1"/>
  <c r="I3" i="9" s="1"/>
  <c r="I4" i="9" a="1"/>
  <c r="I4" i="9" s="1"/>
  <c r="I24" i="14" a="1"/>
  <c r="I24" i="14" s="1"/>
  <c r="I22" i="14" a="1"/>
  <c r="I22" i="14" s="1"/>
  <c r="I23" i="14" a="1"/>
  <c r="I23" i="14" s="1"/>
  <c r="I21" i="14" a="1"/>
  <c r="I21" i="14" s="1"/>
  <c r="I20" i="14" a="1"/>
  <c r="I20" i="14" s="1"/>
  <c r="I31" i="14" a="1"/>
  <c r="I31" i="14" s="1"/>
  <c r="I30" i="14" a="1"/>
  <c r="I30" i="14" s="1"/>
  <c r="I29" i="14" a="1"/>
  <c r="I29" i="14" s="1"/>
  <c r="I28" i="14" a="1"/>
  <c r="I28" i="14" s="1"/>
  <c r="I27" i="14" a="1"/>
  <c r="I27" i="14" s="1"/>
  <c r="I26" i="14" a="1"/>
  <c r="I26" i="14" s="1"/>
  <c r="I17" i="14" a="1"/>
  <c r="I17" i="14" s="1"/>
  <c r="I16" i="14" a="1"/>
  <c r="I16" i="14" s="1"/>
  <c r="I15" i="14" a="1"/>
  <c r="I15" i="14" s="1"/>
  <c r="I14" i="14" a="1"/>
  <c r="I14" i="14" s="1"/>
  <c r="I13" i="14" a="1"/>
  <c r="I13" i="14" s="1"/>
  <c r="I12" i="14" a="1"/>
  <c r="I12" i="14" s="1"/>
  <c r="I19" i="14" a="1"/>
  <c r="I19" i="14" s="1"/>
  <c r="I6" i="14" a="1"/>
  <c r="I6" i="14" s="1"/>
  <c r="I3" i="14" a="1"/>
  <c r="I3" i="14" s="1"/>
  <c r="I10" i="14" a="1"/>
  <c r="I10" i="14" s="1"/>
  <c r="I4" i="14" a="1"/>
  <c r="I4" i="14" s="1"/>
  <c r="I5" i="14" a="1"/>
  <c r="I5" i="14" s="1"/>
  <c r="I7" i="14" a="1"/>
  <c r="I7" i="14" s="1"/>
  <c r="I9" i="14" a="1"/>
  <c r="I9" i="14" s="1"/>
  <c r="I8" i="14" a="1"/>
  <c r="I8" i="14" s="1"/>
  <c r="I38" i="8" a="1"/>
  <c r="I38" i="8" s="1"/>
  <c r="I36" i="8" a="1"/>
  <c r="I36" i="8" s="1"/>
  <c r="I34" i="8" a="1"/>
  <c r="I34" i="8" s="1"/>
  <c r="I37" i="8" a="1"/>
  <c r="I37" i="8" s="1"/>
  <c r="I35" i="8" a="1"/>
  <c r="I35" i="8" s="1"/>
  <c r="I33" i="8" a="1"/>
  <c r="I33" i="8" s="1"/>
  <c r="I31" i="8" a="1"/>
  <c r="I31" i="8" s="1"/>
  <c r="I27" i="8" a="1"/>
  <c r="I27" i="8" s="1"/>
  <c r="I17" i="8" a="1"/>
  <c r="I17" i="8" s="1"/>
  <c r="I30" i="8" a="1"/>
  <c r="I30" i="8" s="1"/>
  <c r="I26" i="8" a="1"/>
  <c r="I26" i="8" s="1"/>
  <c r="I29" i="8" a="1"/>
  <c r="I29" i="8" s="1"/>
  <c r="I16" i="8" a="1"/>
  <c r="I16" i="8" s="1"/>
  <c r="I12" i="8" a="1"/>
  <c r="I12" i="8" s="1"/>
  <c r="I24" i="8" a="1"/>
  <c r="I24" i="8" s="1"/>
  <c r="I28" i="8" a="1"/>
  <c r="I28" i="8" s="1"/>
  <c r="I20" i="8" a="1"/>
  <c r="I20" i="8" s="1"/>
  <c r="I19" i="8" a="1"/>
  <c r="I19" i="8" s="1"/>
  <c r="I15" i="8" a="1"/>
  <c r="I15" i="8" s="1"/>
  <c r="I13" i="8" a="1"/>
  <c r="I13" i="8" s="1"/>
  <c r="I23" i="8" a="1"/>
  <c r="I23" i="8" s="1"/>
  <c r="I22" i="8" a="1"/>
  <c r="I22" i="8" s="1"/>
  <c r="I21" i="8" a="1"/>
  <c r="I21" i="8" s="1"/>
  <c r="I14" i="8" a="1"/>
  <c r="I14" i="8" s="1"/>
  <c r="I8" i="8" a="1"/>
  <c r="I8" i="8" s="1"/>
  <c r="I7" i="8" a="1"/>
  <c r="I7" i="8" s="1"/>
  <c r="I10" i="8" a="1"/>
  <c r="I10" i="8" s="1"/>
  <c r="I6" i="8" a="1"/>
  <c r="I6" i="8" s="1"/>
  <c r="I9" i="8" a="1"/>
  <c r="I9" i="8" s="1"/>
  <c r="I5" i="8" a="1"/>
  <c r="I5" i="8" s="1"/>
  <c r="I3" i="8" a="1"/>
  <c r="I3" i="8" s="1"/>
  <c r="I4" i="8" a="1"/>
  <c r="I4" i="8" s="1"/>
  <c r="I37" i="13" a="1"/>
  <c r="I37" i="13" s="1"/>
  <c r="I35" i="13" a="1"/>
  <c r="I35" i="13" s="1"/>
  <c r="I33" i="13" a="1"/>
  <c r="I33" i="13" s="1"/>
  <c r="I38" i="13" a="1"/>
  <c r="I38" i="13" s="1"/>
  <c r="I36" i="13" a="1"/>
  <c r="I36" i="13" s="1"/>
  <c r="I34" i="13" a="1"/>
  <c r="I34" i="13" s="1"/>
  <c r="I30" i="13" a="1"/>
  <c r="I30" i="13" s="1"/>
  <c r="I26" i="13" a="1"/>
  <c r="I26" i="13" s="1"/>
  <c r="I22" i="13" a="1"/>
  <c r="I22" i="13" s="1"/>
  <c r="I29" i="13" a="1"/>
  <c r="I29" i="13" s="1"/>
  <c r="I28" i="13" a="1"/>
  <c r="I28" i="13" s="1"/>
  <c r="I24" i="13" a="1"/>
  <c r="I24" i="13" s="1"/>
  <c r="I31" i="13" a="1"/>
  <c r="I31" i="13" s="1"/>
  <c r="I27" i="13" a="1"/>
  <c r="I27" i="13" s="1"/>
  <c r="I23" i="13" a="1"/>
  <c r="I23" i="13" s="1"/>
  <c r="I16" i="13" a="1"/>
  <c r="I16" i="13" s="1"/>
  <c r="I12" i="13" a="1"/>
  <c r="I12" i="13" s="1"/>
  <c r="I15" i="13" a="1"/>
  <c r="I15" i="13" s="1"/>
  <c r="I21" i="13" a="1"/>
  <c r="I21" i="13" s="1"/>
  <c r="I20" i="13" a="1"/>
  <c r="I20" i="13" s="1"/>
  <c r="I14" i="13" a="1"/>
  <c r="I14" i="13" s="1"/>
  <c r="I19" i="13" a="1"/>
  <c r="I19" i="13" s="1"/>
  <c r="I17" i="13" a="1"/>
  <c r="I17" i="13" s="1"/>
  <c r="I13" i="13" a="1"/>
  <c r="I13" i="13" s="1"/>
  <c r="I9" i="13" a="1"/>
  <c r="I9" i="13" s="1"/>
  <c r="I10" i="13" a="1"/>
  <c r="I10" i="13" s="1"/>
  <c r="I5" i="13" a="1"/>
  <c r="I5" i="13" s="1"/>
  <c r="I6" i="13" a="1"/>
  <c r="I6" i="13" s="1"/>
  <c r="I7" i="13" a="1"/>
  <c r="I7" i="13" s="1"/>
  <c r="I8" i="13" a="1"/>
  <c r="I8" i="13" s="1"/>
  <c r="I3" i="13" a="1"/>
  <c r="I3" i="13" s="1"/>
  <c r="I4" i="13" a="1"/>
  <c r="I4" i="13" s="1"/>
  <c r="I38" i="12" a="1"/>
  <c r="I38" i="12" s="1"/>
  <c r="I36" i="12" a="1"/>
  <c r="I36" i="12" s="1"/>
  <c r="I34" i="12" a="1"/>
  <c r="I34" i="12" s="1"/>
  <c r="I37" i="12" a="1"/>
  <c r="I37" i="12" s="1"/>
  <c r="I35" i="12" a="1"/>
  <c r="I35" i="12" s="1"/>
  <c r="I33" i="12" a="1"/>
  <c r="I33" i="12" s="1"/>
  <c r="I29" i="12" a="1"/>
  <c r="I29" i="12" s="1"/>
  <c r="I27" i="12" a="1"/>
  <c r="I27" i="12" s="1"/>
  <c r="I24" i="12" a="1"/>
  <c r="I24" i="12" s="1"/>
  <c r="I22" i="12" a="1"/>
  <c r="I22" i="12" s="1"/>
  <c r="I20" i="12" a="1"/>
  <c r="I20" i="12" s="1"/>
  <c r="I17" i="12" a="1"/>
  <c r="I17" i="12" s="1"/>
  <c r="I15" i="12" a="1"/>
  <c r="I15" i="12" s="1"/>
  <c r="I13" i="12" a="1"/>
  <c r="I13" i="12" s="1"/>
  <c r="I31" i="12" a="1"/>
  <c r="I31" i="12" s="1"/>
  <c r="I30" i="12" a="1"/>
  <c r="I30" i="12" s="1"/>
  <c r="I28" i="12" a="1"/>
  <c r="I28" i="12" s="1"/>
  <c r="I26" i="12" a="1"/>
  <c r="I26" i="12" s="1"/>
  <c r="I23" i="12" a="1"/>
  <c r="I23" i="12" s="1"/>
  <c r="I21" i="12" a="1"/>
  <c r="I21" i="12" s="1"/>
  <c r="I19" i="12" a="1"/>
  <c r="I19" i="12" s="1"/>
  <c r="I16" i="12" a="1"/>
  <c r="I16" i="12" s="1"/>
  <c r="I14" i="12" a="1"/>
  <c r="I14" i="12" s="1"/>
  <c r="I12" i="12" a="1"/>
  <c r="I12" i="12" s="1"/>
  <c r="I3" i="12" a="1"/>
  <c r="I3" i="12" s="1"/>
  <c r="I4" i="12" a="1"/>
  <c r="I4" i="12" s="1"/>
  <c r="I9" i="12" a="1"/>
  <c r="I9" i="12" s="1"/>
  <c r="I10" i="12" a="1"/>
  <c r="I10" i="12" s="1"/>
  <c r="I5" i="12" a="1"/>
  <c r="I5" i="12" s="1"/>
  <c r="I6" i="12" a="1"/>
  <c r="I6" i="12" s="1"/>
  <c r="I7" i="12" a="1"/>
  <c r="I7" i="12" s="1"/>
  <c r="I8" i="12" a="1"/>
  <c r="I8" i="12" s="1"/>
  <c r="I33" i="6" a="1"/>
  <c r="I33" i="6" s="1"/>
  <c r="I36" i="6" a="1"/>
  <c r="I36" i="6" s="1"/>
  <c r="I34" i="6" a="1"/>
  <c r="I34" i="6" s="1"/>
  <c r="I38" i="6" a="1"/>
  <c r="I38" i="6" s="1"/>
  <c r="I37" i="6" a="1"/>
  <c r="I37" i="6" s="1"/>
  <c r="I35" i="6" a="1"/>
  <c r="I35" i="6" s="1"/>
  <c r="I31" i="6" a="1"/>
  <c r="I31" i="6" s="1"/>
  <c r="I27" i="6" a="1"/>
  <c r="I27" i="6" s="1"/>
  <c r="I15" i="6" a="1"/>
  <c r="I15" i="6" s="1"/>
  <c r="I24" i="6" a="1"/>
  <c r="I24" i="6" s="1"/>
  <c r="I20" i="6" a="1"/>
  <c r="I20" i="6" s="1"/>
  <c r="I30" i="6" a="1"/>
  <c r="I30" i="6" s="1"/>
  <c r="I26" i="6" a="1"/>
  <c r="I26" i="6" s="1"/>
  <c r="I14" i="6" a="1"/>
  <c r="I14" i="6" s="1"/>
  <c r="I23" i="6" a="1"/>
  <c r="I23" i="6" s="1"/>
  <c r="I19" i="6" a="1"/>
  <c r="I19" i="6" s="1"/>
  <c r="I29" i="6" a="1"/>
  <c r="I29" i="6" s="1"/>
  <c r="I17" i="6" a="1"/>
  <c r="I17" i="6" s="1"/>
  <c r="I13" i="6" a="1"/>
  <c r="I13" i="6" s="1"/>
  <c r="I22" i="6" a="1"/>
  <c r="I22" i="6" s="1"/>
  <c r="I16" i="6" a="1"/>
  <c r="I16" i="6" s="1"/>
  <c r="I12" i="6" a="1"/>
  <c r="I12" i="6" s="1"/>
  <c r="I21" i="6" a="1"/>
  <c r="I21" i="6" s="1"/>
  <c r="I28" i="6" a="1"/>
  <c r="I28" i="6" s="1"/>
  <c r="I8" i="6" a="1"/>
  <c r="I8" i="6" s="1"/>
  <c r="I9" i="6" a="1"/>
  <c r="I9" i="6" s="1"/>
  <c r="I10" i="6" a="1"/>
  <c r="I10" i="6" s="1"/>
  <c r="I5" i="6" a="1"/>
  <c r="I5" i="6" s="1"/>
  <c r="I6" i="6" a="1"/>
  <c r="I6" i="6" s="1"/>
  <c r="I7" i="6" a="1"/>
  <c r="I7" i="6" s="1"/>
  <c r="I3" i="6" a="1"/>
  <c r="I3" i="6" s="1"/>
  <c r="I4" i="6" a="1"/>
  <c r="I4" i="6" s="1"/>
  <c r="J2" i="3"/>
  <c r="BZ89" i="17"/>
  <c r="DN89" i="17"/>
  <c r="CT89" i="17"/>
  <c r="BZ90" i="17"/>
  <c r="BZ87" i="17"/>
  <c r="AV88" i="17"/>
  <c r="FB89" i="17"/>
  <c r="AV89" i="17"/>
  <c r="FV88" i="17"/>
  <c r="EH87" i="17"/>
  <c r="FB88" i="17"/>
  <c r="CT90" i="17"/>
  <c r="DN90" i="17"/>
  <c r="DN87" i="17"/>
  <c r="BZ88" i="17"/>
  <c r="FV62" i="17"/>
  <c r="DN88" i="17"/>
  <c r="FB87" i="17"/>
  <c r="CT87" i="17"/>
  <c r="EH89" i="17"/>
  <c r="FB90" i="17"/>
  <c r="CT88" i="17"/>
  <c r="EH88" i="17"/>
  <c r="AV87" i="17"/>
  <c r="FV89" i="17"/>
  <c r="EH90" i="17"/>
  <c r="J19" i="3" l="1" a="1"/>
  <c r="J19" i="3" s="1"/>
  <c r="J14" i="3" a="1"/>
  <c r="J14" i="3" s="1"/>
  <c r="J13" i="3" a="1"/>
  <c r="J13" i="3" s="1"/>
  <c r="J20" i="3" s="1"/>
  <c r="J16" i="3" a="1"/>
  <c r="J16" i="3" s="1"/>
  <c r="J15" i="3" a="1"/>
  <c r="J15" i="3" s="1"/>
  <c r="J18" i="3" a="1"/>
  <c r="J18" i="3" s="1"/>
  <c r="J17" i="3" a="1"/>
  <c r="J17" i="3" s="1"/>
  <c r="J203" i="3" a="1"/>
  <c r="J203" i="3" s="1"/>
  <c r="J202" i="3" a="1"/>
  <c r="J202" i="3" s="1"/>
  <c r="J201" i="3" a="1"/>
  <c r="J201" i="3" s="1"/>
  <c r="J200" i="3" a="1"/>
  <c r="J200" i="3" s="1"/>
  <c r="J199" i="3" a="1"/>
  <c r="J199" i="3" s="1"/>
  <c r="J198" i="3" a="1"/>
  <c r="J198" i="3" s="1"/>
  <c r="J197" i="3" a="1"/>
  <c r="J197" i="3" s="1"/>
  <c r="J204" i="3" s="1"/>
  <c r="J11" i="3" a="1"/>
  <c r="J11" i="3" s="1"/>
  <c r="J10" i="3" a="1"/>
  <c r="J10" i="3" s="1"/>
  <c r="J9" i="3" a="1"/>
  <c r="J9" i="3" s="1"/>
  <c r="J6" i="3" a="1"/>
  <c r="J6" i="3" s="1"/>
  <c r="J8" i="3" a="1"/>
  <c r="J8" i="3" s="1"/>
  <c r="J7" i="3" a="1"/>
  <c r="J7" i="3" s="1"/>
  <c r="J5" i="3" a="1"/>
  <c r="J5" i="3" s="1"/>
  <c r="J12" i="3" s="1"/>
  <c r="J107" i="3" a="1"/>
  <c r="J107" i="3" s="1"/>
  <c r="J106" i="3" a="1"/>
  <c r="J106" i="3" s="1"/>
  <c r="J105" i="3" a="1"/>
  <c r="J105" i="3" s="1"/>
  <c r="J104" i="3" a="1"/>
  <c r="J104" i="3" s="1"/>
  <c r="J103" i="3" a="1"/>
  <c r="J103" i="3" s="1"/>
  <c r="J102" i="3" a="1"/>
  <c r="J102" i="3" s="1"/>
  <c r="J101" i="3" a="1"/>
  <c r="J101" i="3" s="1"/>
  <c r="J108" i="3" s="1"/>
  <c r="J186" i="3" a="1"/>
  <c r="J186" i="3" s="1"/>
  <c r="J184" i="3" a="1"/>
  <c r="J184" i="3" s="1"/>
  <c r="J182" i="3" a="1"/>
  <c r="J182" i="3" s="1"/>
  <c r="J187" i="3" a="1"/>
  <c r="J187" i="3" s="1"/>
  <c r="J185" i="3" a="1"/>
  <c r="J185" i="3" s="1"/>
  <c r="J183" i="3" a="1"/>
  <c r="J183" i="3" s="1"/>
  <c r="J181" i="3" a="1"/>
  <c r="J181" i="3" s="1"/>
  <c r="J188" i="3" s="1"/>
  <c r="J227" i="3" a="1"/>
  <c r="J227" i="3" s="1"/>
  <c r="J219" i="3" a="1"/>
  <c r="J219" i="3" s="1"/>
  <c r="J211" i="3" a="1"/>
  <c r="J211" i="3" s="1"/>
  <c r="J179" i="3" a="1"/>
  <c r="J179" i="3" s="1"/>
  <c r="J171" i="3" a="1"/>
  <c r="J171" i="3" s="1"/>
  <c r="J163" i="3" a="1"/>
  <c r="J163" i="3" s="1"/>
  <c r="J155" i="3" a="1"/>
  <c r="J155" i="3" s="1"/>
  <c r="J147" i="3" a="1"/>
  <c r="J147" i="3" s="1"/>
  <c r="J139" i="3" a="1"/>
  <c r="J139" i="3" s="1"/>
  <c r="J131" i="3" a="1"/>
  <c r="J131" i="3" s="1"/>
  <c r="J35" i="3" a="1"/>
  <c r="J35" i="3" s="1"/>
  <c r="J27" i="3" a="1"/>
  <c r="J27" i="3" s="1"/>
  <c r="J235" i="3" a="1"/>
  <c r="J235" i="3" s="1"/>
  <c r="J123" i="3" a="1"/>
  <c r="J123" i="3" s="1"/>
  <c r="J115" i="3" a="1"/>
  <c r="J115" i="3" s="1"/>
  <c r="J99" i="3" a="1"/>
  <c r="J99" i="3" s="1"/>
  <c r="J91" i="3" a="1"/>
  <c r="J91" i="3" s="1"/>
  <c r="J83" i="3" a="1"/>
  <c r="J83" i="3" s="1"/>
  <c r="J75" i="3" a="1"/>
  <c r="J75" i="3" s="1"/>
  <c r="J67" i="3" a="1"/>
  <c r="J67" i="3" s="1"/>
  <c r="J59" i="3" a="1"/>
  <c r="J59" i="3" s="1"/>
  <c r="J51" i="3" a="1"/>
  <c r="J51" i="3" s="1"/>
  <c r="J43" i="3" a="1"/>
  <c r="J43" i="3" s="1"/>
  <c r="J195" i="3" a="1"/>
  <c r="J195" i="3" s="1"/>
  <c r="J194" i="3" a="1"/>
  <c r="J194" i="3" s="1"/>
  <c r="J192" i="3" a="1"/>
  <c r="J192" i="3" s="1"/>
  <c r="J191" i="3" a="1"/>
  <c r="J191" i="3" s="1"/>
  <c r="J189" i="3" a="1"/>
  <c r="J189" i="3" s="1"/>
  <c r="J193" i="3" a="1"/>
  <c r="J193" i="3" s="1"/>
  <c r="J190" i="3" a="1"/>
  <c r="J190" i="3" s="1"/>
  <c r="J178" i="3" a="1"/>
  <c r="J178" i="3" s="1"/>
  <c r="J176" i="3" a="1"/>
  <c r="J176" i="3" s="1"/>
  <c r="J175" i="3" a="1"/>
  <c r="J175" i="3" s="1"/>
  <c r="J174" i="3" a="1"/>
  <c r="J174" i="3" s="1"/>
  <c r="J177" i="3" a="1"/>
  <c r="J177" i="3" s="1"/>
  <c r="J173" i="3" a="1"/>
  <c r="J173" i="3" s="1"/>
  <c r="J66" i="3" a="1"/>
  <c r="J66" i="3" s="1"/>
  <c r="J65" i="3" a="1"/>
  <c r="J65" i="3" s="1"/>
  <c r="J64" i="3" a="1"/>
  <c r="J64" i="3" s="1"/>
  <c r="J62" i="3" a="1"/>
  <c r="J62" i="3" s="1"/>
  <c r="J63" i="3" a="1"/>
  <c r="J63" i="3" s="1"/>
  <c r="J61" i="3" a="1"/>
  <c r="J61" i="3" s="1"/>
  <c r="J146" i="3" a="1"/>
  <c r="J146" i="3" s="1"/>
  <c r="J145" i="3" a="1"/>
  <c r="J145" i="3" s="1"/>
  <c r="J144" i="3" a="1"/>
  <c r="J144" i="3" s="1"/>
  <c r="J143" i="3" a="1"/>
  <c r="J143" i="3" s="1"/>
  <c r="J142" i="3" a="1"/>
  <c r="J142" i="3" s="1"/>
  <c r="J141" i="3" a="1"/>
  <c r="J141" i="3" s="1"/>
  <c r="J34" i="3" a="1"/>
  <c r="J34" i="3" s="1"/>
  <c r="J33" i="3" a="1"/>
  <c r="J33" i="3" s="1"/>
  <c r="J31" i="3" a="1"/>
  <c r="J31" i="3" s="1"/>
  <c r="J30" i="3" a="1"/>
  <c r="J30" i="3" s="1"/>
  <c r="J29" i="3" a="1"/>
  <c r="J29" i="3" s="1"/>
  <c r="J32" i="3" a="1"/>
  <c r="J32" i="3" s="1"/>
  <c r="J170" i="3" a="1"/>
  <c r="J170" i="3" s="1"/>
  <c r="J169" i="3" a="1"/>
  <c r="J169" i="3" s="1"/>
  <c r="J167" i="3" a="1"/>
  <c r="J167" i="3" s="1"/>
  <c r="J166" i="3" a="1"/>
  <c r="J166" i="3" s="1"/>
  <c r="J165" i="3" a="1"/>
  <c r="J165" i="3" s="1"/>
  <c r="J226" i="3" a="1"/>
  <c r="J226" i="3" s="1"/>
  <c r="J222" i="3" a="1"/>
  <c r="J222" i="3" s="1"/>
  <c r="J221" i="3" a="1"/>
  <c r="J221" i="3" s="1"/>
  <c r="J225" i="3" a="1"/>
  <c r="J225" i="3" s="1"/>
  <c r="J223" i="3" a="1"/>
  <c r="J223" i="3" s="1"/>
  <c r="J168" i="3" a="1"/>
  <c r="J168" i="3" s="1"/>
  <c r="J224" i="3" a="1"/>
  <c r="J224" i="3" s="1"/>
  <c r="J128" i="3" a="1"/>
  <c r="J128" i="3" s="1"/>
  <c r="J127" i="3" a="1"/>
  <c r="J127" i="3" s="1"/>
  <c r="J126" i="3" a="1"/>
  <c r="J126" i="3" s="1"/>
  <c r="J129" i="3" a="1"/>
  <c r="J129" i="3" s="1"/>
  <c r="J130" i="3" a="1"/>
  <c r="J130" i="3" s="1"/>
  <c r="J125" i="3" a="1"/>
  <c r="J125" i="3" s="1"/>
  <c r="J40" i="3" a="1"/>
  <c r="J40" i="3" s="1"/>
  <c r="J38" i="3" a="1"/>
  <c r="J38" i="3" s="1"/>
  <c r="J42" i="3" a="1"/>
  <c r="J42" i="3" s="1"/>
  <c r="J41" i="3" a="1"/>
  <c r="J41" i="3" s="1"/>
  <c r="J39" i="3" a="1"/>
  <c r="J39" i="3" s="1"/>
  <c r="J37" i="3" a="1"/>
  <c r="J37" i="3" s="1"/>
  <c r="J208" i="3" a="1"/>
  <c r="J208" i="3" s="1"/>
  <c r="J209" i="3" a="1"/>
  <c r="J209" i="3" s="1"/>
  <c r="J205" i="3" a="1"/>
  <c r="J205" i="3" s="1"/>
  <c r="J210" i="3" a="1"/>
  <c r="J210" i="3" s="1"/>
  <c r="J136" i="3" a="1"/>
  <c r="J136" i="3" s="1"/>
  <c r="J207" i="3" a="1"/>
  <c r="J207" i="3" s="1"/>
  <c r="J134" i="3" a="1"/>
  <c r="J134" i="3" s="1"/>
  <c r="J137" i="3" a="1"/>
  <c r="J137" i="3" s="1"/>
  <c r="J135" i="3" a="1"/>
  <c r="J135" i="3" s="1"/>
  <c r="J138" i="3" a="1"/>
  <c r="J138" i="3" s="1"/>
  <c r="J206" i="3" a="1"/>
  <c r="J206" i="3" s="1"/>
  <c r="J133" i="3" a="1"/>
  <c r="J133" i="3" s="1"/>
  <c r="J57" i="3" a="1"/>
  <c r="J57" i="3" s="1"/>
  <c r="J58" i="3" a="1"/>
  <c r="J58" i="3" s="1"/>
  <c r="J54" i="3" a="1"/>
  <c r="J54" i="3" s="1"/>
  <c r="J55" i="3" a="1"/>
  <c r="J55" i="3" s="1"/>
  <c r="J53" i="3" a="1"/>
  <c r="J53" i="3" s="1"/>
  <c r="J56" i="3" a="1"/>
  <c r="J56" i="3" s="1"/>
  <c r="J217" i="3" a="1"/>
  <c r="J217" i="3" s="1"/>
  <c r="J216" i="3" a="1"/>
  <c r="J216" i="3" s="1"/>
  <c r="J213" i="3" a="1"/>
  <c r="J213" i="3" s="1"/>
  <c r="J218" i="3" a="1"/>
  <c r="J218" i="3" s="1"/>
  <c r="J215" i="3" a="1"/>
  <c r="J215" i="3" s="1"/>
  <c r="J214" i="3" a="1"/>
  <c r="J214" i="3" s="1"/>
  <c r="J45" i="10" a="1"/>
  <c r="J45" i="10" s="1"/>
  <c r="J43" i="10" a="1"/>
  <c r="J43" i="10" s="1"/>
  <c r="J41" i="10" a="1"/>
  <c r="J41" i="10" s="1"/>
  <c r="J44" i="10" a="1"/>
  <c r="J44" i="10" s="1"/>
  <c r="J42" i="10" a="1"/>
  <c r="J42" i="10" s="1"/>
  <c r="J40" i="10" a="1"/>
  <c r="J40" i="10" s="1"/>
  <c r="J120" i="3" a="1"/>
  <c r="J120" i="3" s="1"/>
  <c r="J117" i="3" a="1"/>
  <c r="J117" i="3" s="1"/>
  <c r="J119" i="3" a="1"/>
  <c r="J119" i="3" s="1"/>
  <c r="J121" i="3" a="1"/>
  <c r="J121" i="3" s="1"/>
  <c r="J118" i="3" a="1"/>
  <c r="J118" i="3" s="1"/>
  <c r="J122" i="3" a="1"/>
  <c r="J122" i="3" s="1"/>
  <c r="J88" i="3" a="1"/>
  <c r="J88" i="3" s="1"/>
  <c r="J86" i="3" a="1"/>
  <c r="J86" i="3" s="1"/>
  <c r="J90" i="3" a="1"/>
  <c r="J90" i="3" s="1"/>
  <c r="J89" i="3" a="1"/>
  <c r="J89" i="3" s="1"/>
  <c r="J87" i="3" a="1"/>
  <c r="J87" i="3" s="1"/>
  <c r="J85" i="3" a="1"/>
  <c r="J85" i="3" s="1"/>
  <c r="J152" i="3" a="1"/>
  <c r="J152" i="3" s="1"/>
  <c r="J153" i="3" a="1"/>
  <c r="J153" i="3" s="1"/>
  <c r="J149" i="3" a="1"/>
  <c r="J149" i="3" s="1"/>
  <c r="J154" i="3" a="1"/>
  <c r="J154" i="3" s="1"/>
  <c r="J150" i="3" a="1"/>
  <c r="J150" i="3" s="1"/>
  <c r="J151" i="3" a="1"/>
  <c r="J151" i="3" s="1"/>
  <c r="J45" i="3" a="1"/>
  <c r="J45" i="3" s="1"/>
  <c r="J46" i="3" a="1"/>
  <c r="J46" i="3" s="1"/>
  <c r="J50" i="3" a="1"/>
  <c r="J50" i="3" s="1"/>
  <c r="J47" i="3" a="1"/>
  <c r="J47" i="3" s="1"/>
  <c r="J49" i="3" a="1"/>
  <c r="J49" i="3" s="1"/>
  <c r="J48" i="3" a="1"/>
  <c r="J48" i="3" s="1"/>
  <c r="J45" i="14" a="1"/>
  <c r="J45" i="14" s="1"/>
  <c r="J44" i="14" a="1"/>
  <c r="J44" i="14" s="1"/>
  <c r="J42" i="14" a="1"/>
  <c r="J42" i="14" s="1"/>
  <c r="J40" i="14" a="1"/>
  <c r="J40" i="14" s="1"/>
  <c r="J43" i="14" a="1"/>
  <c r="J43" i="14" s="1"/>
  <c r="J41" i="14" a="1"/>
  <c r="J41" i="14" s="1"/>
  <c r="J42" i="6" a="1"/>
  <c r="J42" i="6" s="1"/>
  <c r="J40" i="6" a="1"/>
  <c r="J40" i="6" s="1"/>
  <c r="J45" i="6" a="1"/>
  <c r="J45" i="6" s="1"/>
  <c r="J43" i="6" a="1"/>
  <c r="J43" i="6" s="1"/>
  <c r="J41" i="6" a="1"/>
  <c r="J41" i="6" s="1"/>
  <c r="J44" i="6" a="1"/>
  <c r="J44" i="6" s="1"/>
  <c r="J44" i="8" a="1"/>
  <c r="J44" i="8" s="1"/>
  <c r="J42" i="8" a="1"/>
  <c r="J42" i="8" s="1"/>
  <c r="J40" i="8" a="1"/>
  <c r="J40" i="8" s="1"/>
  <c r="J45" i="8" a="1"/>
  <c r="J45" i="8" s="1"/>
  <c r="J43" i="8" a="1"/>
  <c r="J43" i="8" s="1"/>
  <c r="J41" i="8" a="1"/>
  <c r="J41" i="8" s="1"/>
  <c r="J44" i="9" a="1"/>
  <c r="J44" i="9" s="1"/>
  <c r="J42" i="9" a="1"/>
  <c r="J42" i="9" s="1"/>
  <c r="J40" i="9" a="1"/>
  <c r="J40" i="9" s="1"/>
  <c r="J41" i="9" a="1"/>
  <c r="J41" i="9" s="1"/>
  <c r="J43" i="9" a="1"/>
  <c r="J43" i="9" s="1"/>
  <c r="J45" i="9" a="1"/>
  <c r="J45" i="9" s="1"/>
  <c r="J45" i="12" a="1"/>
  <c r="J45" i="12" s="1"/>
  <c r="J44" i="12" a="1"/>
  <c r="J44" i="12" s="1"/>
  <c r="J41" i="12" a="1"/>
  <c r="J41" i="12" s="1"/>
  <c r="J42" i="12" a="1"/>
  <c r="J42" i="12" s="1"/>
  <c r="J40" i="12" a="1"/>
  <c r="J40" i="12" s="1"/>
  <c r="J43" i="12" a="1"/>
  <c r="J43" i="12" s="1"/>
  <c r="J44" i="13" a="1"/>
  <c r="J44" i="13" s="1"/>
  <c r="J42" i="13" a="1"/>
  <c r="J42" i="13" s="1"/>
  <c r="J40" i="13" a="1"/>
  <c r="J40" i="13" s="1"/>
  <c r="J43" i="13" a="1"/>
  <c r="J43" i="13" s="1"/>
  <c r="J45" i="13" a="1"/>
  <c r="J45" i="13" s="1"/>
  <c r="J41" i="13" a="1"/>
  <c r="J41" i="13" s="1"/>
  <c r="J98" i="3" a="1"/>
  <c r="J98" i="3" s="1"/>
  <c r="J97" i="3" a="1"/>
  <c r="J97" i="3" s="1"/>
  <c r="J96" i="3" a="1"/>
  <c r="J96" i="3" s="1"/>
  <c r="J95" i="3" a="1"/>
  <c r="J95" i="3" s="1"/>
  <c r="J94" i="3" a="1"/>
  <c r="J94" i="3" s="1"/>
  <c r="J93" i="3" a="1"/>
  <c r="J93" i="3" s="1"/>
  <c r="J23" i="3" a="1"/>
  <c r="J23" i="3" s="1"/>
  <c r="J22" i="3" a="1"/>
  <c r="J22" i="3" s="1"/>
  <c r="J26" i="3" a="1"/>
  <c r="J26" i="3" s="1"/>
  <c r="J25" i="3" a="1"/>
  <c r="J25" i="3" s="1"/>
  <c r="J24" i="3" a="1"/>
  <c r="J24" i="3" s="1"/>
  <c r="J21" i="3" a="1"/>
  <c r="J21" i="3" s="1"/>
  <c r="J38" i="14" a="1"/>
  <c r="J38" i="14" s="1"/>
  <c r="J34" i="14" a="1"/>
  <c r="J34" i="14" s="1"/>
  <c r="J35" i="14" a="1"/>
  <c r="J35" i="14" s="1"/>
  <c r="J33" i="14" a="1"/>
  <c r="J33" i="14" s="1"/>
  <c r="J37" i="14" a="1"/>
  <c r="J37" i="14" s="1"/>
  <c r="J36" i="14" a="1"/>
  <c r="J36" i="14" s="1"/>
  <c r="J111" i="3" a="1"/>
  <c r="J111" i="3" s="1"/>
  <c r="J114" i="3" a="1"/>
  <c r="J114" i="3" s="1"/>
  <c r="J112" i="3" a="1"/>
  <c r="J112" i="3" s="1"/>
  <c r="J110" i="3" a="1"/>
  <c r="J110" i="3" s="1"/>
  <c r="J113" i="3" a="1"/>
  <c r="J113" i="3" s="1"/>
  <c r="J109" i="3" a="1"/>
  <c r="J109" i="3" s="1"/>
  <c r="J161" i="3" a="1"/>
  <c r="J161" i="3" s="1"/>
  <c r="J159" i="3" a="1"/>
  <c r="J159" i="3" s="1"/>
  <c r="J162" i="3" a="1"/>
  <c r="J162" i="3" s="1"/>
  <c r="J158" i="3" a="1"/>
  <c r="J158" i="3" s="1"/>
  <c r="J157" i="3" a="1"/>
  <c r="J157" i="3" s="1"/>
  <c r="J160" i="3" a="1"/>
  <c r="J160" i="3" s="1"/>
  <c r="J74" i="3" a="1"/>
  <c r="J74" i="3" s="1"/>
  <c r="J73" i="3" a="1"/>
  <c r="J73" i="3" s="1"/>
  <c r="J70" i="3" a="1"/>
  <c r="J70" i="3" s="1"/>
  <c r="J71" i="3" a="1"/>
  <c r="J71" i="3" s="1"/>
  <c r="J69" i="3" a="1"/>
  <c r="J69" i="3" s="1"/>
  <c r="J72" i="3" a="1"/>
  <c r="J72" i="3" s="1"/>
  <c r="J234" i="3" a="1"/>
  <c r="J234" i="3" s="1"/>
  <c r="J233" i="3" a="1"/>
  <c r="J233" i="3" s="1"/>
  <c r="J231" i="3" a="1"/>
  <c r="J231" i="3" s="1"/>
  <c r="J229" i="3" a="1"/>
  <c r="J229" i="3" s="1"/>
  <c r="J232" i="3" a="1"/>
  <c r="J232" i="3" s="1"/>
  <c r="J230" i="3" a="1"/>
  <c r="J230" i="3" s="1"/>
  <c r="I84" i="3"/>
  <c r="J79" i="3" a="1"/>
  <c r="J79" i="3" s="1"/>
  <c r="J77" i="3" a="1"/>
  <c r="J77" i="3" s="1"/>
  <c r="J82" i="3" a="1"/>
  <c r="J82" i="3" s="1"/>
  <c r="J81" i="3" a="1"/>
  <c r="J81" i="3" s="1"/>
  <c r="J80" i="3" a="1"/>
  <c r="J80" i="3" s="1"/>
  <c r="J78" i="3" a="1"/>
  <c r="J78" i="3" s="1"/>
  <c r="I32" i="12"/>
  <c r="I39" i="12"/>
  <c r="I11" i="9"/>
  <c r="I39" i="10"/>
  <c r="I32" i="6"/>
  <c r="I39" i="6"/>
  <c r="I32" i="8"/>
  <c r="I11" i="6"/>
  <c r="I25" i="6"/>
  <c r="I11" i="12"/>
  <c r="I25" i="12"/>
  <c r="I32" i="13"/>
  <c r="I11" i="8"/>
  <c r="I25" i="8"/>
  <c r="I18" i="8"/>
  <c r="I39" i="8"/>
  <c r="I32" i="9"/>
  <c r="I18" i="10"/>
  <c r="I25" i="10"/>
  <c r="I11" i="13"/>
  <c r="I39" i="13"/>
  <c r="I18" i="9"/>
  <c r="I25" i="9"/>
  <c r="I32" i="10"/>
  <c r="I18" i="13"/>
  <c r="I18" i="6"/>
  <c r="I25" i="13"/>
  <c r="I39" i="9"/>
  <c r="I11" i="10"/>
  <c r="J38" i="13" a="1"/>
  <c r="J38" i="13" s="1"/>
  <c r="J36" i="13" a="1"/>
  <c r="J36" i="13" s="1"/>
  <c r="J34" i="13" a="1"/>
  <c r="J34" i="13" s="1"/>
  <c r="J35" i="13" a="1"/>
  <c r="J35" i="13" s="1"/>
  <c r="J37" i="13" a="1"/>
  <c r="J37" i="13" s="1"/>
  <c r="J33" i="13" a="1"/>
  <c r="J33" i="13" s="1"/>
  <c r="J29" i="13" a="1"/>
  <c r="J29" i="13" s="1"/>
  <c r="J28" i="13" a="1"/>
  <c r="J28" i="13" s="1"/>
  <c r="J24" i="13" a="1"/>
  <c r="J24" i="13" s="1"/>
  <c r="J31" i="13" a="1"/>
  <c r="J31" i="13" s="1"/>
  <c r="J27" i="13" a="1"/>
  <c r="J27" i="13" s="1"/>
  <c r="J23" i="13" a="1"/>
  <c r="J23" i="13" s="1"/>
  <c r="J30" i="13" a="1"/>
  <c r="J30" i="13" s="1"/>
  <c r="J26" i="13" a="1"/>
  <c r="J26" i="13" s="1"/>
  <c r="J22" i="13" a="1"/>
  <c r="J22" i="13" s="1"/>
  <c r="J15" i="13" a="1"/>
  <c r="J15" i="13" s="1"/>
  <c r="J21" i="13" a="1"/>
  <c r="J21" i="13" s="1"/>
  <c r="J20" i="13" a="1"/>
  <c r="J20" i="13" s="1"/>
  <c r="J14" i="13" a="1"/>
  <c r="J14" i="13" s="1"/>
  <c r="J19" i="13" a="1"/>
  <c r="J19" i="13" s="1"/>
  <c r="J17" i="13" a="1"/>
  <c r="J17" i="13" s="1"/>
  <c r="J13" i="13" a="1"/>
  <c r="J13" i="13" s="1"/>
  <c r="J16" i="13" a="1"/>
  <c r="J16" i="13" s="1"/>
  <c r="J12" i="13" a="1"/>
  <c r="J12" i="13" s="1"/>
  <c r="J6" i="13" a="1"/>
  <c r="J6" i="13" s="1"/>
  <c r="J7" i="13" a="1"/>
  <c r="J7" i="13" s="1"/>
  <c r="J8" i="13" a="1"/>
  <c r="J8" i="13" s="1"/>
  <c r="J9" i="13" a="1"/>
  <c r="J9" i="13" s="1"/>
  <c r="J10" i="13" a="1"/>
  <c r="J10" i="13" s="1"/>
  <c r="J3" i="13" a="1"/>
  <c r="J3" i="13" s="1"/>
  <c r="J4" i="13" a="1"/>
  <c r="J4" i="13" s="1"/>
  <c r="J5" i="13" a="1"/>
  <c r="J5" i="13" s="1"/>
  <c r="I11" i="14"/>
  <c r="I32" i="14"/>
  <c r="J37" i="9" a="1"/>
  <c r="J37" i="9" s="1"/>
  <c r="J36" i="9" a="1"/>
  <c r="J36" i="9" s="1"/>
  <c r="J33" i="9" a="1"/>
  <c r="J33" i="9" s="1"/>
  <c r="J38" i="9" a="1"/>
  <c r="J38" i="9" s="1"/>
  <c r="J35" i="9" a="1"/>
  <c r="J35" i="9" s="1"/>
  <c r="J34" i="9" a="1"/>
  <c r="J34" i="9" s="1"/>
  <c r="J22" i="9" a="1"/>
  <c r="J22" i="9" s="1"/>
  <c r="J21" i="9" a="1"/>
  <c r="J21" i="9" s="1"/>
  <c r="J17" i="9" a="1"/>
  <c r="J17" i="9" s="1"/>
  <c r="J13" i="9" a="1"/>
  <c r="J13" i="9" s="1"/>
  <c r="J24" i="9" a="1"/>
  <c r="J24" i="9" s="1"/>
  <c r="J20" i="9" a="1"/>
  <c r="J20" i="9" s="1"/>
  <c r="J31" i="9" a="1"/>
  <c r="J31" i="9" s="1"/>
  <c r="J30" i="9" a="1"/>
  <c r="J30" i="9" s="1"/>
  <c r="J29" i="9" a="1"/>
  <c r="J29" i="9" s="1"/>
  <c r="J28" i="9" a="1"/>
  <c r="J28" i="9" s="1"/>
  <c r="J26" i="9" a="1"/>
  <c r="J26" i="9" s="1"/>
  <c r="J15" i="9" a="1"/>
  <c r="J15" i="9" s="1"/>
  <c r="J14" i="9" a="1"/>
  <c r="J14" i="9" s="1"/>
  <c r="J16" i="9" a="1"/>
  <c r="J16" i="9" s="1"/>
  <c r="J23" i="9" a="1"/>
  <c r="J23" i="9" s="1"/>
  <c r="J19" i="9" a="1"/>
  <c r="J19" i="9" s="1"/>
  <c r="J27" i="9" a="1"/>
  <c r="J27" i="9" s="1"/>
  <c r="J12" i="9" a="1"/>
  <c r="J12" i="9" s="1"/>
  <c r="J7" i="9" a="1"/>
  <c r="J7" i="9" s="1"/>
  <c r="J8" i="9" a="1"/>
  <c r="J8" i="9" s="1"/>
  <c r="J5" i="9" a="1"/>
  <c r="J5" i="9" s="1"/>
  <c r="J6" i="9" a="1"/>
  <c r="J6" i="9" s="1"/>
  <c r="J10" i="9" a="1"/>
  <c r="J10" i="9" s="1"/>
  <c r="J9" i="9" a="1"/>
  <c r="J9" i="9" s="1"/>
  <c r="J3" i="9" a="1"/>
  <c r="J3" i="9" s="1"/>
  <c r="J4" i="9" a="1"/>
  <c r="J4" i="9" s="1"/>
  <c r="J38" i="6" a="1"/>
  <c r="J38" i="6" s="1"/>
  <c r="J37" i="6" a="1"/>
  <c r="J37" i="6" s="1"/>
  <c r="J35" i="6" a="1"/>
  <c r="J35" i="6" s="1"/>
  <c r="J33" i="6" a="1"/>
  <c r="J33" i="6" s="1"/>
  <c r="J34" i="6" a="1"/>
  <c r="J34" i="6" s="1"/>
  <c r="J36" i="6" a="1"/>
  <c r="J36" i="6" s="1"/>
  <c r="J30" i="6" a="1"/>
  <c r="J30" i="6" s="1"/>
  <c r="J26" i="6" a="1"/>
  <c r="J26" i="6" s="1"/>
  <c r="J17" i="6" a="1"/>
  <c r="J17" i="6" s="1"/>
  <c r="J13" i="6" a="1"/>
  <c r="J13" i="6" s="1"/>
  <c r="J23" i="6" a="1"/>
  <c r="J23" i="6" s="1"/>
  <c r="J19" i="6" a="1"/>
  <c r="J19" i="6" s="1"/>
  <c r="J29" i="6" a="1"/>
  <c r="J29" i="6" s="1"/>
  <c r="J16" i="6" a="1"/>
  <c r="J16" i="6" s="1"/>
  <c r="J12" i="6" a="1"/>
  <c r="J12" i="6" s="1"/>
  <c r="J22" i="6" a="1"/>
  <c r="J22" i="6" s="1"/>
  <c r="J28" i="6" a="1"/>
  <c r="J28" i="6" s="1"/>
  <c r="J15" i="6" a="1"/>
  <c r="J15" i="6" s="1"/>
  <c r="J21" i="6" a="1"/>
  <c r="J21" i="6" s="1"/>
  <c r="J24" i="6" a="1"/>
  <c r="J24" i="6" s="1"/>
  <c r="J20" i="6" a="1"/>
  <c r="J20" i="6" s="1"/>
  <c r="J31" i="6" a="1"/>
  <c r="J31" i="6" s="1"/>
  <c r="J27" i="6" a="1"/>
  <c r="J27" i="6" s="1"/>
  <c r="J14" i="6" a="1"/>
  <c r="J14" i="6" s="1"/>
  <c r="J9" i="6" a="1"/>
  <c r="J9" i="6" s="1"/>
  <c r="J10" i="6" a="1"/>
  <c r="J10" i="6" s="1"/>
  <c r="J5" i="6" a="1"/>
  <c r="J5" i="6" s="1"/>
  <c r="J6" i="6" a="1"/>
  <c r="J6" i="6" s="1"/>
  <c r="J7" i="6" a="1"/>
  <c r="J7" i="6" s="1"/>
  <c r="J8" i="6" a="1"/>
  <c r="J8" i="6" s="1"/>
  <c r="J3" i="6" a="1"/>
  <c r="J3" i="6" s="1"/>
  <c r="J4" i="6" a="1"/>
  <c r="J4" i="6" s="1"/>
  <c r="I18" i="12"/>
  <c r="J37" i="12" a="1"/>
  <c r="J37" i="12" s="1"/>
  <c r="J35" i="12" a="1"/>
  <c r="J35" i="12" s="1"/>
  <c r="J33" i="12" a="1"/>
  <c r="J33" i="12" s="1"/>
  <c r="J38" i="12" a="1"/>
  <c r="J38" i="12" s="1"/>
  <c r="J36" i="12" a="1"/>
  <c r="J36" i="12" s="1"/>
  <c r="J34" i="12" a="1"/>
  <c r="J34" i="12" s="1"/>
  <c r="J31" i="12" a="1"/>
  <c r="J31" i="12" s="1"/>
  <c r="J30" i="12" a="1"/>
  <c r="J30" i="12" s="1"/>
  <c r="J28" i="12" a="1"/>
  <c r="J28" i="12" s="1"/>
  <c r="J26" i="12" a="1"/>
  <c r="J26" i="12" s="1"/>
  <c r="J23" i="12" a="1"/>
  <c r="J23" i="12" s="1"/>
  <c r="J21" i="12" a="1"/>
  <c r="J21" i="12" s="1"/>
  <c r="J19" i="12" a="1"/>
  <c r="J19" i="12" s="1"/>
  <c r="J16" i="12" a="1"/>
  <c r="J16" i="12" s="1"/>
  <c r="J14" i="12" a="1"/>
  <c r="J14" i="12" s="1"/>
  <c r="J12" i="12" a="1"/>
  <c r="J12" i="12" s="1"/>
  <c r="J29" i="12" a="1"/>
  <c r="J29" i="12" s="1"/>
  <c r="J27" i="12" a="1"/>
  <c r="J27" i="12" s="1"/>
  <c r="J24" i="12" a="1"/>
  <c r="J24" i="12" s="1"/>
  <c r="J22" i="12" a="1"/>
  <c r="J22" i="12" s="1"/>
  <c r="J20" i="12" a="1"/>
  <c r="J20" i="12" s="1"/>
  <c r="J17" i="12" a="1"/>
  <c r="J17" i="12" s="1"/>
  <c r="J15" i="12" a="1"/>
  <c r="J15" i="12" s="1"/>
  <c r="J13" i="12" a="1"/>
  <c r="J13" i="12" s="1"/>
  <c r="J6" i="12" a="1"/>
  <c r="J6" i="12" s="1"/>
  <c r="J7" i="12" a="1"/>
  <c r="J7" i="12" s="1"/>
  <c r="J8" i="12" a="1"/>
  <c r="J8" i="12" s="1"/>
  <c r="J9" i="12" a="1"/>
  <c r="J9" i="12" s="1"/>
  <c r="J5" i="12" a="1"/>
  <c r="J5" i="12" s="1"/>
  <c r="J3" i="12" a="1"/>
  <c r="J3" i="12" s="1"/>
  <c r="J4" i="12" a="1"/>
  <c r="J4" i="12" s="1"/>
  <c r="J10" i="12" a="1"/>
  <c r="J10" i="12" s="1"/>
  <c r="J38" i="8" a="1"/>
  <c r="J38" i="8" s="1"/>
  <c r="J37" i="8" a="1"/>
  <c r="J37" i="8" s="1"/>
  <c r="J36" i="8" a="1"/>
  <c r="J36" i="8" s="1"/>
  <c r="J35" i="8" a="1"/>
  <c r="J35" i="8" s="1"/>
  <c r="J34" i="8" a="1"/>
  <c r="J34" i="8" s="1"/>
  <c r="J33" i="8" a="1"/>
  <c r="J33" i="8" s="1"/>
  <c r="J30" i="8" a="1"/>
  <c r="J30" i="8" s="1"/>
  <c r="J26" i="8" a="1"/>
  <c r="J26" i="8" s="1"/>
  <c r="J16" i="8" a="1"/>
  <c r="J16" i="8" s="1"/>
  <c r="J29" i="8" a="1"/>
  <c r="J29" i="8" s="1"/>
  <c r="J24" i="8" a="1"/>
  <c r="J24" i="8" s="1"/>
  <c r="J23" i="8" a="1"/>
  <c r="J23" i="8" s="1"/>
  <c r="J22" i="8" a="1"/>
  <c r="J22" i="8" s="1"/>
  <c r="J21" i="8" a="1"/>
  <c r="J21" i="8" s="1"/>
  <c r="J28" i="8" a="1"/>
  <c r="J28" i="8" s="1"/>
  <c r="J17" i="8" a="1"/>
  <c r="J17" i="8" s="1"/>
  <c r="J14" i="8" a="1"/>
  <c r="J14" i="8" s="1"/>
  <c r="J31" i="8" a="1"/>
  <c r="J31" i="8" s="1"/>
  <c r="J27" i="8" a="1"/>
  <c r="J27" i="8" s="1"/>
  <c r="J20" i="8" a="1"/>
  <c r="J20" i="8" s="1"/>
  <c r="J19" i="8" a="1"/>
  <c r="J19" i="8" s="1"/>
  <c r="J13" i="8" a="1"/>
  <c r="J13" i="8" s="1"/>
  <c r="J15" i="8" a="1"/>
  <c r="J15" i="8" s="1"/>
  <c r="J12" i="8" a="1"/>
  <c r="J12" i="8" s="1"/>
  <c r="J5" i="8" a="1"/>
  <c r="J5" i="8" s="1"/>
  <c r="J8" i="8" a="1"/>
  <c r="J8" i="8" s="1"/>
  <c r="J7" i="8" a="1"/>
  <c r="J7" i="8" s="1"/>
  <c r="J6" i="8" a="1"/>
  <c r="J6" i="8" s="1"/>
  <c r="J9" i="8" a="1"/>
  <c r="J9" i="8" s="1"/>
  <c r="J10" i="8" a="1"/>
  <c r="J10" i="8" s="1"/>
  <c r="J3" i="8" a="1"/>
  <c r="J3" i="8" s="1"/>
  <c r="J4" i="8" a="1"/>
  <c r="J4" i="8" s="1"/>
  <c r="I25" i="14"/>
  <c r="J23" i="14" a="1"/>
  <c r="J23" i="14" s="1"/>
  <c r="J20" i="14" a="1"/>
  <c r="J20" i="14" s="1"/>
  <c r="J19" i="14" a="1"/>
  <c r="J19" i="14" s="1"/>
  <c r="J31" i="14" a="1"/>
  <c r="J31" i="14" s="1"/>
  <c r="J30" i="14" a="1"/>
  <c r="J30" i="14" s="1"/>
  <c r="J29" i="14" a="1"/>
  <c r="J29" i="14" s="1"/>
  <c r="J24" i="14" a="1"/>
  <c r="J24" i="14" s="1"/>
  <c r="J22" i="14" a="1"/>
  <c r="J22" i="14" s="1"/>
  <c r="J21" i="14" a="1"/>
  <c r="J21" i="14" s="1"/>
  <c r="J28" i="14" a="1"/>
  <c r="J28" i="14" s="1"/>
  <c r="J27" i="14" a="1"/>
  <c r="J27" i="14" s="1"/>
  <c r="J26" i="14" a="1"/>
  <c r="J26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5" i="14" a="1"/>
  <c r="J5" i="14" s="1"/>
  <c r="J7" i="14" a="1"/>
  <c r="J7" i="14" s="1"/>
  <c r="J8" i="14" a="1"/>
  <c r="J8" i="14" s="1"/>
  <c r="J3" i="14" a="1"/>
  <c r="J3" i="14" s="1"/>
  <c r="J6" i="14" a="1"/>
  <c r="J6" i="14" s="1"/>
  <c r="J10" i="14" a="1"/>
  <c r="J10" i="14" s="1"/>
  <c r="J9" i="14" a="1"/>
  <c r="J9" i="14" s="1"/>
  <c r="J4" i="14" a="1"/>
  <c r="J4" i="14" s="1"/>
  <c r="J38" i="10" a="1"/>
  <c r="J38" i="10" s="1"/>
  <c r="J34" i="10" a="1"/>
  <c r="J34" i="10" s="1"/>
  <c r="J37" i="10" a="1"/>
  <c r="J37" i="10" s="1"/>
  <c r="J35" i="10" a="1"/>
  <c r="J35" i="10" s="1"/>
  <c r="J33" i="10" a="1"/>
  <c r="J33" i="10" s="1"/>
  <c r="J36" i="10" a="1"/>
  <c r="J36" i="10" s="1"/>
  <c r="J27" i="10" a="1"/>
  <c r="J27" i="10" s="1"/>
  <c r="J23" i="10" a="1"/>
  <c r="J23" i="10" s="1"/>
  <c r="J20" i="10" a="1"/>
  <c r="J20" i="10" s="1"/>
  <c r="J8" i="10" a="1"/>
  <c r="J8" i="10" s="1"/>
  <c r="J26" i="10" a="1"/>
  <c r="J26" i="10" s="1"/>
  <c r="J22" i="10" a="1"/>
  <c r="J22" i="10" s="1"/>
  <c r="J7" i="10" a="1"/>
  <c r="J7" i="10" s="1"/>
  <c r="J31" i="10" a="1"/>
  <c r="J31" i="10" s="1"/>
  <c r="J30" i="10" a="1"/>
  <c r="J30" i="10" s="1"/>
  <c r="J29" i="10" a="1"/>
  <c r="J29" i="10" s="1"/>
  <c r="J21" i="10" a="1"/>
  <c r="J21" i="10" s="1"/>
  <c r="J10" i="10" a="1"/>
  <c r="J10" i="10" s="1"/>
  <c r="J6" i="10" a="1"/>
  <c r="J6" i="10" s="1"/>
  <c r="J24" i="10" a="1"/>
  <c r="J24" i="10" s="1"/>
  <c r="J9" i="10" a="1"/>
  <c r="J9" i="10" s="1"/>
  <c r="J5" i="10" a="1"/>
  <c r="J5" i="10" s="1"/>
  <c r="J19" i="10" a="1"/>
  <c r="J19" i="10" s="1"/>
  <c r="J28" i="10" a="1"/>
  <c r="J28" i="10" s="1"/>
  <c r="J17" i="10" a="1"/>
  <c r="J17" i="10" s="1"/>
  <c r="J13" i="10" a="1"/>
  <c r="J13" i="10" s="1"/>
  <c r="J14" i="10" a="1"/>
  <c r="J14" i="10" s="1"/>
  <c r="J16" i="10" a="1"/>
  <c r="J16" i="10" s="1"/>
  <c r="J12" i="10" a="1"/>
  <c r="J12" i="10" s="1"/>
  <c r="J15" i="10" a="1"/>
  <c r="J15" i="10" s="1"/>
  <c r="J3" i="10" a="1"/>
  <c r="J3" i="10" s="1"/>
  <c r="J4" i="10" a="1"/>
  <c r="J4" i="10" s="1"/>
  <c r="I18" i="14"/>
  <c r="K2" i="3"/>
  <c r="DO62" i="17"/>
  <c r="EI91" i="17"/>
  <c r="CU62" i="17"/>
  <c r="FC92" i="17"/>
  <c r="FW91" i="17"/>
  <c r="CA92" i="17"/>
  <c r="DO92" i="17"/>
  <c r="CA91" i="17"/>
  <c r="DO91" i="17"/>
  <c r="FW90" i="17"/>
  <c r="AW92" i="17"/>
  <c r="CA62" i="17"/>
  <c r="AW62" i="17"/>
  <c r="CU92" i="17"/>
  <c r="FW87" i="17"/>
  <c r="FC91" i="17"/>
  <c r="FC62" i="17"/>
  <c r="EI62" i="17"/>
  <c r="CU91" i="17"/>
  <c r="EI92" i="17"/>
  <c r="FW92" i="17"/>
  <c r="AW90" i="17"/>
  <c r="AW91" i="17"/>
  <c r="K19" i="3" l="1" a="1"/>
  <c r="K19" i="3" s="1"/>
  <c r="K18" i="3" a="1"/>
  <c r="K18" i="3" s="1"/>
  <c r="K13" i="3" a="1"/>
  <c r="K13" i="3" s="1"/>
  <c r="K20" i="3" s="1"/>
  <c r="K17" i="3" a="1"/>
  <c r="K17" i="3" s="1"/>
  <c r="K16" i="3" a="1"/>
  <c r="K16" i="3" s="1"/>
  <c r="K14" i="3" a="1"/>
  <c r="K14" i="3" s="1"/>
  <c r="K15" i="3" a="1"/>
  <c r="K15" i="3" s="1"/>
  <c r="K203" i="3" a="1"/>
  <c r="K203" i="3" s="1"/>
  <c r="K200" i="3" a="1"/>
  <c r="K200" i="3" s="1"/>
  <c r="K199" i="3" a="1"/>
  <c r="K199" i="3" s="1"/>
  <c r="K198" i="3" a="1"/>
  <c r="K198" i="3" s="1"/>
  <c r="K197" i="3" a="1"/>
  <c r="K197" i="3" s="1"/>
  <c r="K204" i="3" s="1"/>
  <c r="K202" i="3" a="1"/>
  <c r="K202" i="3" s="1"/>
  <c r="K201" i="3" a="1"/>
  <c r="K201" i="3" s="1"/>
  <c r="K11" i="3" a="1"/>
  <c r="K11" i="3" s="1"/>
  <c r="K10" i="3" a="1"/>
  <c r="K10" i="3" s="1"/>
  <c r="K9" i="3" a="1"/>
  <c r="K9" i="3" s="1"/>
  <c r="K8" i="3" a="1"/>
  <c r="K8" i="3" s="1"/>
  <c r="K7" i="3" a="1"/>
  <c r="K7" i="3" s="1"/>
  <c r="K6" i="3" a="1"/>
  <c r="K6" i="3" s="1"/>
  <c r="K5" i="3" a="1"/>
  <c r="K5" i="3" s="1"/>
  <c r="K12" i="3" s="1"/>
  <c r="K107" i="3" a="1"/>
  <c r="K107" i="3" s="1"/>
  <c r="K106" i="3" a="1"/>
  <c r="K106" i="3" s="1"/>
  <c r="K105" i="3" a="1"/>
  <c r="K105" i="3" s="1"/>
  <c r="K104" i="3" a="1"/>
  <c r="K104" i="3" s="1"/>
  <c r="K103" i="3" a="1"/>
  <c r="K103" i="3" s="1"/>
  <c r="K102" i="3" a="1"/>
  <c r="K102" i="3" s="1"/>
  <c r="K101" i="3" a="1"/>
  <c r="K101" i="3" s="1"/>
  <c r="K108" i="3" s="1"/>
  <c r="K187" i="3" a="1"/>
  <c r="K187" i="3" s="1"/>
  <c r="K185" i="3" a="1"/>
  <c r="K185" i="3" s="1"/>
  <c r="K183" i="3" a="1"/>
  <c r="K183" i="3" s="1"/>
  <c r="K181" i="3" a="1"/>
  <c r="K181" i="3" s="1"/>
  <c r="K188" i="3" s="1"/>
  <c r="K186" i="3" a="1"/>
  <c r="K186" i="3" s="1"/>
  <c r="K184" i="3" a="1"/>
  <c r="K184" i="3" s="1"/>
  <c r="K182" i="3" a="1"/>
  <c r="K182" i="3" s="1"/>
  <c r="K227" i="3" a="1"/>
  <c r="K227" i="3" s="1"/>
  <c r="K219" i="3" a="1"/>
  <c r="K219" i="3" s="1"/>
  <c r="K211" i="3" a="1"/>
  <c r="K211" i="3" s="1"/>
  <c r="K179" i="3" a="1"/>
  <c r="K179" i="3" s="1"/>
  <c r="K171" i="3" a="1"/>
  <c r="K171" i="3" s="1"/>
  <c r="K163" i="3" a="1"/>
  <c r="K163" i="3" s="1"/>
  <c r="K155" i="3" a="1"/>
  <c r="K155" i="3" s="1"/>
  <c r="K147" i="3" a="1"/>
  <c r="K147" i="3" s="1"/>
  <c r="K139" i="3" a="1"/>
  <c r="K139" i="3" s="1"/>
  <c r="K131" i="3" a="1"/>
  <c r="K131" i="3" s="1"/>
  <c r="K27" i="3" a="1"/>
  <c r="K27" i="3" s="1"/>
  <c r="K195" i="3" a="1"/>
  <c r="K195" i="3" s="1"/>
  <c r="K123" i="3" a="1"/>
  <c r="K123" i="3" s="1"/>
  <c r="K115" i="3" a="1"/>
  <c r="K115" i="3" s="1"/>
  <c r="K99" i="3" a="1"/>
  <c r="K99" i="3" s="1"/>
  <c r="K91" i="3" a="1"/>
  <c r="K91" i="3" s="1"/>
  <c r="K83" i="3" a="1"/>
  <c r="K83" i="3" s="1"/>
  <c r="K75" i="3" a="1"/>
  <c r="K75" i="3" s="1"/>
  <c r="K67" i="3" a="1"/>
  <c r="K67" i="3" s="1"/>
  <c r="K59" i="3" a="1"/>
  <c r="K59" i="3" s="1"/>
  <c r="K51" i="3" a="1"/>
  <c r="K51" i="3" s="1"/>
  <c r="K43" i="3" a="1"/>
  <c r="K43" i="3" s="1"/>
  <c r="K35" i="3" a="1"/>
  <c r="K35" i="3" s="1"/>
  <c r="K235" i="3" a="1"/>
  <c r="K235" i="3" s="1"/>
  <c r="J196" i="3"/>
  <c r="K193" i="3" a="1"/>
  <c r="K193" i="3" s="1"/>
  <c r="K190" i="3" a="1"/>
  <c r="K190" i="3" s="1"/>
  <c r="K194" i="3" a="1"/>
  <c r="K194" i="3" s="1"/>
  <c r="K192" i="3" a="1"/>
  <c r="K192" i="3" s="1"/>
  <c r="K191" i="3" a="1"/>
  <c r="K191" i="3" s="1"/>
  <c r="K189" i="3" a="1"/>
  <c r="K189" i="3" s="1"/>
  <c r="K196" i="3" s="1"/>
  <c r="J180" i="3"/>
  <c r="K178" i="3" a="1"/>
  <c r="K178" i="3" s="1"/>
  <c r="K177" i="3" a="1"/>
  <c r="K177" i="3" s="1"/>
  <c r="K176" i="3" a="1"/>
  <c r="K176" i="3" s="1"/>
  <c r="K174" i="3" a="1"/>
  <c r="K174" i="3" s="1"/>
  <c r="K173" i="3" a="1"/>
  <c r="K173" i="3" s="1"/>
  <c r="K180" i="3" s="1"/>
  <c r="K175" i="3" a="1"/>
  <c r="K175" i="3" s="1"/>
  <c r="J68" i="3"/>
  <c r="K66" i="3" a="1"/>
  <c r="K66" i="3" s="1"/>
  <c r="K65" i="3" a="1"/>
  <c r="K65" i="3" s="1"/>
  <c r="K63" i="3" a="1"/>
  <c r="K63" i="3" s="1"/>
  <c r="K61" i="3" a="1"/>
  <c r="K61" i="3" s="1"/>
  <c r="K68" i="3" s="1"/>
  <c r="K64" i="3" a="1"/>
  <c r="K64" i="3" s="1"/>
  <c r="K62" i="3" a="1"/>
  <c r="K62" i="3" s="1"/>
  <c r="J148" i="3"/>
  <c r="K146" i="3" a="1"/>
  <c r="K146" i="3" s="1"/>
  <c r="K145" i="3" a="1"/>
  <c r="K145" i="3" s="1"/>
  <c r="K144" i="3" a="1"/>
  <c r="K144" i="3" s="1"/>
  <c r="K143" i="3" a="1"/>
  <c r="K143" i="3" s="1"/>
  <c r="K142" i="3" a="1"/>
  <c r="K142" i="3" s="1"/>
  <c r="K141" i="3" a="1"/>
  <c r="K141" i="3" s="1"/>
  <c r="K148" i="3" s="1"/>
  <c r="J36" i="3"/>
  <c r="L2" i="3"/>
  <c r="K33" i="3" a="1"/>
  <c r="K33" i="3" s="1"/>
  <c r="K30" i="3" a="1"/>
  <c r="K30" i="3" s="1"/>
  <c r="K34" i="3" a="1"/>
  <c r="K34" i="3" s="1"/>
  <c r="K31" i="3" a="1"/>
  <c r="K31" i="3" s="1"/>
  <c r="K32" i="3" a="1"/>
  <c r="K32" i="3" s="1"/>
  <c r="K29" i="3" a="1"/>
  <c r="K29" i="3" s="1"/>
  <c r="K36" i="3" s="1"/>
  <c r="J172" i="3"/>
  <c r="J228" i="3"/>
  <c r="K169" i="3" a="1"/>
  <c r="K169" i="3" s="1"/>
  <c r="K168" i="3" a="1"/>
  <c r="K168" i="3" s="1"/>
  <c r="K225" i="3" a="1"/>
  <c r="K225" i="3" s="1"/>
  <c r="K223" i="3" a="1"/>
  <c r="K223" i="3" s="1"/>
  <c r="K222" i="3" a="1"/>
  <c r="K222" i="3" s="1"/>
  <c r="K221" i="3" a="1"/>
  <c r="K221" i="3" s="1"/>
  <c r="K166" i="3" a="1"/>
  <c r="K166" i="3" s="1"/>
  <c r="K224" i="3" a="1"/>
  <c r="K224" i="3" s="1"/>
  <c r="K170" i="3" a="1"/>
  <c r="K170" i="3" s="1"/>
  <c r="K167" i="3" a="1"/>
  <c r="K167" i="3" s="1"/>
  <c r="K165" i="3" a="1"/>
  <c r="K165" i="3" s="1"/>
  <c r="K172" i="3" s="1"/>
  <c r="K226" i="3" a="1"/>
  <c r="K226" i="3" s="1"/>
  <c r="J132" i="3"/>
  <c r="K130" i="3" a="1"/>
  <c r="K130" i="3" s="1"/>
  <c r="K128" i="3" a="1"/>
  <c r="K128" i="3" s="1"/>
  <c r="K127" i="3" a="1"/>
  <c r="K127" i="3" s="1"/>
  <c r="K126" i="3" a="1"/>
  <c r="K126" i="3" s="1"/>
  <c r="K125" i="3" a="1"/>
  <c r="K125" i="3" s="1"/>
  <c r="K132" i="3" s="1"/>
  <c r="K129" i="3" a="1"/>
  <c r="K129" i="3" s="1"/>
  <c r="J44" i="3"/>
  <c r="K42" i="3" a="1"/>
  <c r="K42" i="3" s="1"/>
  <c r="K37" i="3" a="1"/>
  <c r="K37" i="3" s="1"/>
  <c r="K44" i="3" s="1"/>
  <c r="K41" i="3" a="1"/>
  <c r="K41" i="3" s="1"/>
  <c r="K39" i="3" a="1"/>
  <c r="K39" i="3" s="1"/>
  <c r="K40" i="3" a="1"/>
  <c r="K40" i="3" s="1"/>
  <c r="K38" i="3" a="1"/>
  <c r="K38" i="3" s="1"/>
  <c r="J212" i="3"/>
  <c r="K209" i="3" a="1"/>
  <c r="K209" i="3" s="1"/>
  <c r="K210" i="3" a="1"/>
  <c r="K210" i="3" s="1"/>
  <c r="K206" i="3" a="1"/>
  <c r="K206" i="3" s="1"/>
  <c r="K137" i="3" a="1"/>
  <c r="K137" i="3" s="1"/>
  <c r="K135" i="3" a="1"/>
  <c r="K135" i="3" s="1"/>
  <c r="K205" i="3" a="1"/>
  <c r="K205" i="3" s="1"/>
  <c r="K212" i="3" s="1"/>
  <c r="K208" i="3" a="1"/>
  <c r="K208" i="3" s="1"/>
  <c r="K138" i="3" a="1"/>
  <c r="K138" i="3" s="1"/>
  <c r="K133" i="3" a="1"/>
  <c r="K133" i="3" s="1"/>
  <c r="K140" i="3" s="1"/>
  <c r="K207" i="3" a="1"/>
  <c r="K207" i="3" s="1"/>
  <c r="K136" i="3" a="1"/>
  <c r="K136" i="3" s="1"/>
  <c r="K134" i="3" a="1"/>
  <c r="K134" i="3" s="1"/>
  <c r="J140" i="3"/>
  <c r="J220" i="3"/>
  <c r="J60" i="3"/>
  <c r="K58" i="3" a="1"/>
  <c r="K58" i="3" s="1"/>
  <c r="K55" i="3" a="1"/>
  <c r="K55" i="3" s="1"/>
  <c r="K53" i="3" a="1"/>
  <c r="K53" i="3" s="1"/>
  <c r="K60" i="3" s="1"/>
  <c r="K54" i="3" a="1"/>
  <c r="K54" i="3" s="1"/>
  <c r="K56" i="3" a="1"/>
  <c r="K56" i="3" s="1"/>
  <c r="K57" i="3" a="1"/>
  <c r="K57" i="3" s="1"/>
  <c r="K217" i="3" a="1"/>
  <c r="K217" i="3" s="1"/>
  <c r="K215" i="3" a="1"/>
  <c r="K215" i="3" s="1"/>
  <c r="K213" i="3" a="1"/>
  <c r="K213" i="3" s="1"/>
  <c r="K220" i="3" s="1"/>
  <c r="K218" i="3" a="1"/>
  <c r="K218" i="3" s="1"/>
  <c r="K216" i="3" a="1"/>
  <c r="K216" i="3" s="1"/>
  <c r="K214" i="3" a="1"/>
  <c r="K214" i="3" s="1"/>
  <c r="K44" i="10" a="1"/>
  <c r="K44" i="10" s="1"/>
  <c r="K42" i="10" a="1"/>
  <c r="K42" i="10" s="1"/>
  <c r="K40" i="10" a="1"/>
  <c r="K40" i="10" s="1"/>
  <c r="K45" i="10" a="1"/>
  <c r="K45" i="10" s="1"/>
  <c r="K43" i="10" a="1"/>
  <c r="K43" i="10" s="1"/>
  <c r="K41" i="10" a="1"/>
  <c r="K41" i="10" s="1"/>
  <c r="J46" i="10"/>
  <c r="K122" i="3" a="1"/>
  <c r="K122" i="3" s="1"/>
  <c r="K120" i="3" a="1"/>
  <c r="K120" i="3" s="1"/>
  <c r="K119" i="3" a="1"/>
  <c r="K119" i="3" s="1"/>
  <c r="K121" i="3" a="1"/>
  <c r="K121" i="3" s="1"/>
  <c r="K117" i="3" a="1"/>
  <c r="K117" i="3" s="1"/>
  <c r="K124" i="3" s="1"/>
  <c r="K118" i="3" a="1"/>
  <c r="K118" i="3" s="1"/>
  <c r="J124" i="3"/>
  <c r="J92" i="3"/>
  <c r="K90" i="3" a="1"/>
  <c r="K90" i="3" s="1"/>
  <c r="K86" i="3" a="1"/>
  <c r="K86" i="3" s="1"/>
  <c r="K89" i="3" a="1"/>
  <c r="K89" i="3" s="1"/>
  <c r="K87" i="3" a="1"/>
  <c r="K87" i="3" s="1"/>
  <c r="K85" i="3" a="1"/>
  <c r="K85" i="3" s="1"/>
  <c r="K92" i="3" s="1"/>
  <c r="K88" i="3" a="1"/>
  <c r="K88" i="3" s="1"/>
  <c r="J156" i="3"/>
  <c r="K154" i="3" a="1"/>
  <c r="K154" i="3" s="1"/>
  <c r="K151" i="3" a="1"/>
  <c r="K151" i="3" s="1"/>
  <c r="K153" i="3" a="1"/>
  <c r="K153" i="3" s="1"/>
  <c r="K152" i="3" a="1"/>
  <c r="K152" i="3" s="1"/>
  <c r="K150" i="3" a="1"/>
  <c r="K150" i="3" s="1"/>
  <c r="K149" i="3" a="1"/>
  <c r="K149" i="3" s="1"/>
  <c r="K156" i="3" s="1"/>
  <c r="K49" i="3" a="1"/>
  <c r="K49" i="3" s="1"/>
  <c r="K50" i="3" a="1"/>
  <c r="K50" i="3" s="1"/>
  <c r="K47" i="3" a="1"/>
  <c r="K47" i="3" s="1"/>
  <c r="K48" i="3" a="1"/>
  <c r="K48" i="3" s="1"/>
  <c r="K45" i="3" a="1"/>
  <c r="K45" i="3" s="1"/>
  <c r="K46" i="3" a="1"/>
  <c r="K46" i="3" s="1"/>
  <c r="J52" i="3"/>
  <c r="J46" i="13"/>
  <c r="J46" i="12"/>
  <c r="J46" i="9"/>
  <c r="J46" i="6"/>
  <c r="J46" i="14"/>
  <c r="J46" i="8"/>
  <c r="K45" i="6" a="1"/>
  <c r="K45" i="6" s="1"/>
  <c r="K43" i="6" a="1"/>
  <c r="K43" i="6" s="1"/>
  <c r="K41" i="6" a="1"/>
  <c r="K41" i="6" s="1"/>
  <c r="K44" i="6" a="1"/>
  <c r="K44" i="6" s="1"/>
  <c r="K42" i="6" a="1"/>
  <c r="K42" i="6" s="1"/>
  <c r="K40" i="6" a="1"/>
  <c r="K40" i="6" s="1"/>
  <c r="K44" i="9" a="1"/>
  <c r="K44" i="9" s="1"/>
  <c r="K42" i="9" a="1"/>
  <c r="K42" i="9" s="1"/>
  <c r="K40" i="9" a="1"/>
  <c r="K40" i="9" s="1"/>
  <c r="K45" i="9" a="1"/>
  <c r="K45" i="9" s="1"/>
  <c r="K43" i="9" a="1"/>
  <c r="K43" i="9" s="1"/>
  <c r="K41" i="9" a="1"/>
  <c r="K41" i="9" s="1"/>
  <c r="K45" i="8" a="1"/>
  <c r="K45" i="8" s="1"/>
  <c r="K43" i="8" a="1"/>
  <c r="K43" i="8" s="1"/>
  <c r="K41" i="8" a="1"/>
  <c r="K41" i="8" s="1"/>
  <c r="K42" i="8" a="1"/>
  <c r="K42" i="8" s="1"/>
  <c r="K44" i="8" a="1"/>
  <c r="K44" i="8" s="1"/>
  <c r="K40" i="8" a="1"/>
  <c r="K40" i="8" s="1"/>
  <c r="K44" i="13" a="1"/>
  <c r="K44" i="13" s="1"/>
  <c r="K42" i="13" a="1"/>
  <c r="K42" i="13" s="1"/>
  <c r="K41" i="13" a="1"/>
  <c r="K41" i="13" s="1"/>
  <c r="K40" i="13" a="1"/>
  <c r="K40" i="13" s="1"/>
  <c r="K45" i="13" a="1"/>
  <c r="K45" i="13" s="1"/>
  <c r="K43" i="13" a="1"/>
  <c r="K43" i="13" s="1"/>
  <c r="K44" i="12" a="1"/>
  <c r="K44" i="12" s="1"/>
  <c r="K43" i="12" a="1"/>
  <c r="K43" i="12" s="1"/>
  <c r="K42" i="12" a="1"/>
  <c r="K42" i="12" s="1"/>
  <c r="K41" i="12" a="1"/>
  <c r="K41" i="12" s="1"/>
  <c r="K40" i="12" a="1"/>
  <c r="K40" i="12" s="1"/>
  <c r="K45" i="12" a="1"/>
  <c r="K45" i="12" s="1"/>
  <c r="K45" i="14" a="1"/>
  <c r="K45" i="14" s="1"/>
  <c r="K44" i="14" a="1"/>
  <c r="K44" i="14" s="1"/>
  <c r="K42" i="14" a="1"/>
  <c r="K42" i="14" s="1"/>
  <c r="K40" i="14" a="1"/>
  <c r="K40" i="14" s="1"/>
  <c r="K43" i="14" a="1"/>
  <c r="K43" i="14" s="1"/>
  <c r="K41" i="14" a="1"/>
  <c r="K41" i="14" s="1"/>
  <c r="K98" i="3" a="1"/>
  <c r="K98" i="3" s="1"/>
  <c r="K97" i="3" a="1"/>
  <c r="K97" i="3" s="1"/>
  <c r="K96" i="3" a="1"/>
  <c r="K96" i="3" s="1"/>
  <c r="K95" i="3" a="1"/>
  <c r="K95" i="3" s="1"/>
  <c r="K94" i="3" a="1"/>
  <c r="K94" i="3" s="1"/>
  <c r="K93" i="3" a="1"/>
  <c r="K93" i="3" s="1"/>
  <c r="K100" i="3" s="1"/>
  <c r="J100" i="3"/>
  <c r="K23" i="3" a="1"/>
  <c r="K23" i="3" s="1"/>
  <c r="K22" i="3" a="1"/>
  <c r="K22" i="3" s="1"/>
  <c r="K26" i="3" a="1"/>
  <c r="K26" i="3" s="1"/>
  <c r="K25" i="3" a="1"/>
  <c r="K25" i="3" s="1"/>
  <c r="K24" i="3" a="1"/>
  <c r="K24" i="3" s="1"/>
  <c r="K21" i="3" a="1"/>
  <c r="K21" i="3" s="1"/>
  <c r="K28" i="3" s="1"/>
  <c r="J28" i="3"/>
  <c r="J39" i="14"/>
  <c r="K35" i="14" a="1"/>
  <c r="K35" i="14" s="1"/>
  <c r="K33" i="14" a="1"/>
  <c r="K33" i="14" s="1"/>
  <c r="K38" i="14" a="1"/>
  <c r="K38" i="14" s="1"/>
  <c r="K34" i="14" a="1"/>
  <c r="K34" i="14" s="1"/>
  <c r="K37" i="14" a="1"/>
  <c r="K37" i="14" s="1"/>
  <c r="K36" i="14" a="1"/>
  <c r="K36" i="14" s="1"/>
  <c r="J116" i="3"/>
  <c r="K112" i="3" a="1"/>
  <c r="K112" i="3" s="1"/>
  <c r="K114" i="3" a="1"/>
  <c r="K114" i="3" s="1"/>
  <c r="K113" i="3" a="1"/>
  <c r="K113" i="3" s="1"/>
  <c r="K111" i="3" a="1"/>
  <c r="K111" i="3" s="1"/>
  <c r="K110" i="3" a="1"/>
  <c r="K110" i="3" s="1"/>
  <c r="K109" i="3" a="1"/>
  <c r="K109" i="3" s="1"/>
  <c r="K116" i="3" s="1"/>
  <c r="K162" i="3" a="1"/>
  <c r="K162" i="3" s="1"/>
  <c r="K160" i="3" a="1"/>
  <c r="K160" i="3" s="1"/>
  <c r="K158" i="3" a="1"/>
  <c r="K158" i="3" s="1"/>
  <c r="K159" i="3" a="1"/>
  <c r="K159" i="3" s="1"/>
  <c r="K157" i="3" a="1"/>
  <c r="K157" i="3" s="1"/>
  <c r="K161" i="3" a="1"/>
  <c r="K161" i="3" s="1"/>
  <c r="J164" i="3"/>
  <c r="K73" i="3" a="1"/>
  <c r="K73" i="3" s="1"/>
  <c r="K74" i="3" a="1"/>
  <c r="K74" i="3" s="1"/>
  <c r="K71" i="3" a="1"/>
  <c r="K71" i="3" s="1"/>
  <c r="K69" i="3" a="1"/>
  <c r="K69" i="3" s="1"/>
  <c r="K76" i="3" s="1"/>
  <c r="K70" i="3" a="1"/>
  <c r="K70" i="3" s="1"/>
  <c r="K72" i="3" a="1"/>
  <c r="K72" i="3" s="1"/>
  <c r="J76" i="3"/>
  <c r="K234" i="3" a="1"/>
  <c r="K234" i="3" s="1"/>
  <c r="K233" i="3" a="1"/>
  <c r="K233" i="3" s="1"/>
  <c r="K231" i="3" a="1"/>
  <c r="K231" i="3" s="1"/>
  <c r="K229" i="3" a="1"/>
  <c r="K229" i="3" s="1"/>
  <c r="K230" i="3" a="1"/>
  <c r="K230" i="3" s="1"/>
  <c r="K232" i="3" a="1"/>
  <c r="K232" i="3" s="1"/>
  <c r="J236" i="3"/>
  <c r="J84" i="3"/>
  <c r="K78" i="3" a="1"/>
  <c r="K78" i="3" s="1"/>
  <c r="K79" i="3" a="1"/>
  <c r="K79" i="3" s="1"/>
  <c r="K77" i="3" a="1"/>
  <c r="K77" i="3" s="1"/>
  <c r="K82" i="3" a="1"/>
  <c r="K82" i="3" s="1"/>
  <c r="K81" i="3" a="1"/>
  <c r="K81" i="3" s="1"/>
  <c r="K80" i="3" a="1"/>
  <c r="K80" i="3" s="1"/>
  <c r="J11" i="10"/>
  <c r="J11" i="12"/>
  <c r="J25" i="12"/>
  <c r="J25" i="6"/>
  <c r="J32" i="6"/>
  <c r="J39" i="6"/>
  <c r="J11" i="9"/>
  <c r="J39" i="9"/>
  <c r="J18" i="10"/>
  <c r="J39" i="10"/>
  <c r="J39" i="8"/>
  <c r="J18" i="12"/>
  <c r="J11" i="6"/>
  <c r="J18" i="6"/>
  <c r="J25" i="9"/>
  <c r="J11" i="13"/>
  <c r="J18" i="13"/>
  <c r="J25" i="13"/>
  <c r="J11" i="8"/>
  <c r="J25" i="8"/>
  <c r="J39" i="12"/>
  <c r="J32" i="9"/>
  <c r="J25" i="10"/>
  <c r="J32" i="10"/>
  <c r="J18" i="8"/>
  <c r="J32" i="8"/>
  <c r="J32" i="12"/>
  <c r="J18" i="9"/>
  <c r="J32" i="13"/>
  <c r="J39" i="13"/>
  <c r="J25" i="14"/>
  <c r="J18" i="14"/>
  <c r="K24" i="14" a="1"/>
  <c r="K24" i="14" s="1"/>
  <c r="K22" i="14" a="1"/>
  <c r="K22" i="14" s="1"/>
  <c r="K21" i="14" a="1"/>
  <c r="K21" i="14" s="1"/>
  <c r="K28" i="14" a="1"/>
  <c r="K28" i="14" s="1"/>
  <c r="K27" i="14" a="1"/>
  <c r="K27" i="14" s="1"/>
  <c r="K26" i="14" a="1"/>
  <c r="K26" i="14" s="1"/>
  <c r="K17" i="14" a="1"/>
  <c r="K17" i="14" s="1"/>
  <c r="K16" i="14" a="1"/>
  <c r="K16" i="14" s="1"/>
  <c r="K15" i="14" a="1"/>
  <c r="K15" i="14" s="1"/>
  <c r="K14" i="14" a="1"/>
  <c r="K14" i="14" s="1"/>
  <c r="K13" i="14" a="1"/>
  <c r="K13" i="14" s="1"/>
  <c r="K12" i="14" a="1"/>
  <c r="K12" i="14" s="1"/>
  <c r="K31" i="14" a="1"/>
  <c r="K31" i="14" s="1"/>
  <c r="K30" i="14" a="1"/>
  <c r="K30" i="14" s="1"/>
  <c r="K29" i="14" a="1"/>
  <c r="K29" i="14" s="1"/>
  <c r="K19" i="14" a="1"/>
  <c r="K19" i="14" s="1"/>
  <c r="K23" i="14" a="1"/>
  <c r="K23" i="14" s="1"/>
  <c r="K20" i="14" a="1"/>
  <c r="K20" i="14" s="1"/>
  <c r="K6" i="14" a="1"/>
  <c r="K6" i="14" s="1"/>
  <c r="K9" i="14" a="1"/>
  <c r="K9" i="14" s="1"/>
  <c r="K8" i="14" a="1"/>
  <c r="K8" i="14" s="1"/>
  <c r="K4" i="14" a="1"/>
  <c r="K4" i="14" s="1"/>
  <c r="K5" i="14" a="1"/>
  <c r="K5" i="14" s="1"/>
  <c r="K7" i="14" a="1"/>
  <c r="K7" i="14" s="1"/>
  <c r="K3" i="14" a="1"/>
  <c r="K3" i="14" s="1"/>
  <c r="K10" i="14" a="1"/>
  <c r="K10" i="14" s="1"/>
  <c r="K38" i="8" a="1"/>
  <c r="K38" i="8" s="1"/>
  <c r="K37" i="8" a="1"/>
  <c r="K37" i="8" s="1"/>
  <c r="K36" i="8" a="1"/>
  <c r="K36" i="8" s="1"/>
  <c r="K35" i="8" a="1"/>
  <c r="K35" i="8" s="1"/>
  <c r="K34" i="8" a="1"/>
  <c r="K34" i="8" s="1"/>
  <c r="K33" i="8" a="1"/>
  <c r="K33" i="8" s="1"/>
  <c r="K29" i="8" a="1"/>
  <c r="K29" i="8" s="1"/>
  <c r="K24" i="8" a="1"/>
  <c r="K24" i="8" s="1"/>
  <c r="K15" i="8" a="1"/>
  <c r="K15" i="8" s="1"/>
  <c r="K28" i="8" a="1"/>
  <c r="K28" i="8" s="1"/>
  <c r="K31" i="8" a="1"/>
  <c r="K31" i="8" s="1"/>
  <c r="K27" i="8" a="1"/>
  <c r="K27" i="8" s="1"/>
  <c r="K13" i="8" a="1"/>
  <c r="K13" i="8" s="1"/>
  <c r="K14" i="8" a="1"/>
  <c r="K14" i="8" s="1"/>
  <c r="K23" i="8" a="1"/>
  <c r="K23" i="8" s="1"/>
  <c r="K22" i="8" a="1"/>
  <c r="K22" i="8" s="1"/>
  <c r="K21" i="8" a="1"/>
  <c r="K21" i="8" s="1"/>
  <c r="K17" i="8" a="1"/>
  <c r="K17" i="8" s="1"/>
  <c r="K12" i="8" a="1"/>
  <c r="K12" i="8" s="1"/>
  <c r="K30" i="8" a="1"/>
  <c r="K30" i="8" s="1"/>
  <c r="K19" i="8" a="1"/>
  <c r="K19" i="8" s="1"/>
  <c r="K26" i="8" a="1"/>
  <c r="K26" i="8" s="1"/>
  <c r="K20" i="8" a="1"/>
  <c r="K20" i="8" s="1"/>
  <c r="K16" i="8" a="1"/>
  <c r="K16" i="8" s="1"/>
  <c r="K6" i="8" a="1"/>
  <c r="K6" i="8" s="1"/>
  <c r="K9" i="8" a="1"/>
  <c r="K9" i="8" s="1"/>
  <c r="K10" i="8" a="1"/>
  <c r="K10" i="8" s="1"/>
  <c r="K5" i="8" a="1"/>
  <c r="K5" i="8" s="1"/>
  <c r="K8" i="8" a="1"/>
  <c r="K8" i="8" s="1"/>
  <c r="K7" i="8" a="1"/>
  <c r="K7" i="8" s="1"/>
  <c r="K4" i="8" a="1"/>
  <c r="K4" i="8" s="1"/>
  <c r="K3" i="8" a="1"/>
  <c r="K3" i="8" s="1"/>
  <c r="K35" i="10" a="1"/>
  <c r="K35" i="10" s="1"/>
  <c r="K33" i="10" a="1"/>
  <c r="K33" i="10" s="1"/>
  <c r="K38" i="10" a="1"/>
  <c r="K38" i="10" s="1"/>
  <c r="K36" i="10" a="1"/>
  <c r="K36" i="10" s="1"/>
  <c r="K34" i="10" a="1"/>
  <c r="K34" i="10" s="1"/>
  <c r="K37" i="10" a="1"/>
  <c r="K37" i="10" s="1"/>
  <c r="K22" i="10" a="1"/>
  <c r="K22" i="10" s="1"/>
  <c r="K7" i="10" a="1"/>
  <c r="K7" i="10" s="1"/>
  <c r="K31" i="10" a="1"/>
  <c r="K31" i="10" s="1"/>
  <c r="K30" i="10" a="1"/>
  <c r="K30" i="10" s="1"/>
  <c r="K29" i="10" a="1"/>
  <c r="K29" i="10" s="1"/>
  <c r="K28" i="10" a="1"/>
  <c r="K28" i="10" s="1"/>
  <c r="K21" i="10" a="1"/>
  <c r="K21" i="10" s="1"/>
  <c r="K10" i="10" a="1"/>
  <c r="K10" i="10" s="1"/>
  <c r="K6" i="10" a="1"/>
  <c r="K6" i="10" s="1"/>
  <c r="K27" i="10" a="1"/>
  <c r="K27" i="10" s="1"/>
  <c r="K24" i="10" a="1"/>
  <c r="K24" i="10" s="1"/>
  <c r="K20" i="10" a="1"/>
  <c r="K20" i="10" s="1"/>
  <c r="K19" i="10" a="1"/>
  <c r="K19" i="10" s="1"/>
  <c r="K9" i="10" a="1"/>
  <c r="K9" i="10" s="1"/>
  <c r="K5" i="10" a="1"/>
  <c r="K5" i="10" s="1"/>
  <c r="K26" i="10" a="1"/>
  <c r="K26" i="10" s="1"/>
  <c r="K8" i="10" a="1"/>
  <c r="K8" i="10" s="1"/>
  <c r="K23" i="10" a="1"/>
  <c r="K23" i="10" s="1"/>
  <c r="K12" i="10" a="1"/>
  <c r="K12" i="10" s="1"/>
  <c r="K15" i="10" a="1"/>
  <c r="K15" i="10" s="1"/>
  <c r="K17" i="10" a="1"/>
  <c r="K17" i="10" s="1"/>
  <c r="K13" i="10" a="1"/>
  <c r="K13" i="10" s="1"/>
  <c r="K14" i="10" a="1"/>
  <c r="K14" i="10" s="1"/>
  <c r="K16" i="10" a="1"/>
  <c r="K16" i="10" s="1"/>
  <c r="K3" i="10" a="1"/>
  <c r="K3" i="10" s="1"/>
  <c r="K4" i="10" a="1"/>
  <c r="K4" i="10" s="1"/>
  <c r="K37" i="13" a="1"/>
  <c r="K37" i="13" s="1"/>
  <c r="K35" i="13" a="1"/>
  <c r="K35" i="13" s="1"/>
  <c r="K33" i="13" a="1"/>
  <c r="K33" i="13" s="1"/>
  <c r="K38" i="13" a="1"/>
  <c r="K38" i="13" s="1"/>
  <c r="K36" i="13" a="1"/>
  <c r="K36" i="13" s="1"/>
  <c r="K34" i="13" a="1"/>
  <c r="K34" i="13" s="1"/>
  <c r="K28" i="13" a="1"/>
  <c r="K28" i="13" s="1"/>
  <c r="K23" i="13" a="1"/>
  <c r="K23" i="13" s="1"/>
  <c r="K31" i="13" a="1"/>
  <c r="K31" i="13" s="1"/>
  <c r="K27" i="13" a="1"/>
  <c r="K27" i="13" s="1"/>
  <c r="K30" i="13" a="1"/>
  <c r="K30" i="13" s="1"/>
  <c r="K26" i="13" a="1"/>
  <c r="K26" i="13" s="1"/>
  <c r="K21" i="13" a="1"/>
  <c r="K21" i="13" s="1"/>
  <c r="K29" i="13" a="1"/>
  <c r="K29" i="13" s="1"/>
  <c r="K24" i="13" a="1"/>
  <c r="K24" i="13" s="1"/>
  <c r="K19" i="13" a="1"/>
  <c r="K19" i="13" s="1"/>
  <c r="K14" i="13" a="1"/>
  <c r="K14" i="13" s="1"/>
  <c r="K22" i="13" a="1"/>
  <c r="K22" i="13" s="1"/>
  <c r="K17" i="13" a="1"/>
  <c r="K17" i="13" s="1"/>
  <c r="K13" i="13" a="1"/>
  <c r="K13" i="13" s="1"/>
  <c r="K16" i="13" a="1"/>
  <c r="K16" i="13" s="1"/>
  <c r="K12" i="13" a="1"/>
  <c r="K12" i="13" s="1"/>
  <c r="K20" i="13" a="1"/>
  <c r="K20" i="13" s="1"/>
  <c r="K15" i="13" a="1"/>
  <c r="K15" i="13" s="1"/>
  <c r="K5" i="13" a="1"/>
  <c r="K5" i="13" s="1"/>
  <c r="K6" i="13" a="1"/>
  <c r="K6" i="13" s="1"/>
  <c r="K3" i="13" a="1"/>
  <c r="K3" i="13" s="1"/>
  <c r="K8" i="13" a="1"/>
  <c r="K8" i="13" s="1"/>
  <c r="K10" i="13" a="1"/>
  <c r="K10" i="13" s="1"/>
  <c r="K7" i="13" a="1"/>
  <c r="K7" i="13" s="1"/>
  <c r="K9" i="13" a="1"/>
  <c r="K9" i="13" s="1"/>
  <c r="K4" i="13" a="1"/>
  <c r="K4" i="13" s="1"/>
  <c r="K38" i="6" a="1"/>
  <c r="K38" i="6" s="1"/>
  <c r="K37" i="6" a="1"/>
  <c r="K37" i="6" s="1"/>
  <c r="K36" i="6" a="1"/>
  <c r="K36" i="6" s="1"/>
  <c r="K35" i="6" a="1"/>
  <c r="K35" i="6" s="1"/>
  <c r="K34" i="6" a="1"/>
  <c r="K34" i="6" s="1"/>
  <c r="K33" i="6" a="1"/>
  <c r="K33" i="6" s="1"/>
  <c r="K29" i="6" a="1"/>
  <c r="K29" i="6" s="1"/>
  <c r="K16" i="6" a="1"/>
  <c r="K16" i="6" s="1"/>
  <c r="K12" i="6" a="1"/>
  <c r="K12" i="6" s="1"/>
  <c r="K22" i="6" a="1"/>
  <c r="K22" i="6" s="1"/>
  <c r="K28" i="6" a="1"/>
  <c r="K28" i="6" s="1"/>
  <c r="K15" i="6" a="1"/>
  <c r="K15" i="6" s="1"/>
  <c r="K21" i="6" a="1"/>
  <c r="K21" i="6" s="1"/>
  <c r="K31" i="6" a="1"/>
  <c r="K31" i="6" s="1"/>
  <c r="K27" i="6" a="1"/>
  <c r="K27" i="6" s="1"/>
  <c r="K14" i="6" a="1"/>
  <c r="K14" i="6" s="1"/>
  <c r="K24" i="6" a="1"/>
  <c r="K24" i="6" s="1"/>
  <c r="K20" i="6" a="1"/>
  <c r="K20" i="6" s="1"/>
  <c r="K30" i="6" a="1"/>
  <c r="K30" i="6" s="1"/>
  <c r="K26" i="6" a="1"/>
  <c r="K26" i="6" s="1"/>
  <c r="K17" i="6" a="1"/>
  <c r="K17" i="6" s="1"/>
  <c r="K13" i="6" a="1"/>
  <c r="K13" i="6" s="1"/>
  <c r="K23" i="6" a="1"/>
  <c r="K23" i="6" s="1"/>
  <c r="K19" i="6" a="1"/>
  <c r="K19" i="6" s="1"/>
  <c r="K5" i="6" a="1"/>
  <c r="K5" i="6" s="1"/>
  <c r="K10" i="6" a="1"/>
  <c r="K10" i="6" s="1"/>
  <c r="K6" i="6" a="1"/>
  <c r="K6" i="6" s="1"/>
  <c r="K7" i="6" a="1"/>
  <c r="K7" i="6" s="1"/>
  <c r="K8" i="6" a="1"/>
  <c r="K8" i="6" s="1"/>
  <c r="K9" i="6" a="1"/>
  <c r="K9" i="6" s="1"/>
  <c r="K3" i="6" a="1"/>
  <c r="K3" i="6" s="1"/>
  <c r="K4" i="6" a="1"/>
  <c r="K4" i="6" s="1"/>
  <c r="K38" i="9" a="1"/>
  <c r="K38" i="9" s="1"/>
  <c r="K35" i="9" a="1"/>
  <c r="K35" i="9" s="1"/>
  <c r="K34" i="9" a="1"/>
  <c r="K34" i="9" s="1"/>
  <c r="K37" i="9" a="1"/>
  <c r="K37" i="9" s="1"/>
  <c r="K36" i="9" a="1"/>
  <c r="K36" i="9" s="1"/>
  <c r="K33" i="9" a="1"/>
  <c r="K33" i="9" s="1"/>
  <c r="K21" i="9" a="1"/>
  <c r="K21" i="9" s="1"/>
  <c r="K31" i="9" a="1"/>
  <c r="K31" i="9" s="1"/>
  <c r="K30" i="9" a="1"/>
  <c r="K30" i="9" s="1"/>
  <c r="K29" i="9" a="1"/>
  <c r="K29" i="9" s="1"/>
  <c r="K28" i="9" a="1"/>
  <c r="K28" i="9" s="1"/>
  <c r="K27" i="9" a="1"/>
  <c r="K27" i="9" s="1"/>
  <c r="K24" i="9" a="1"/>
  <c r="K24" i="9" s="1"/>
  <c r="K20" i="9" a="1"/>
  <c r="K20" i="9" s="1"/>
  <c r="K16" i="9" a="1"/>
  <c r="K16" i="9" s="1"/>
  <c r="K23" i="9" a="1"/>
  <c r="K23" i="9" s="1"/>
  <c r="K19" i="9" a="1"/>
  <c r="K19" i="9" s="1"/>
  <c r="K22" i="9" a="1"/>
  <c r="K22" i="9" s="1"/>
  <c r="K17" i="9" a="1"/>
  <c r="K17" i="9" s="1"/>
  <c r="K13" i="9" a="1"/>
  <c r="K13" i="9" s="1"/>
  <c r="K12" i="9" a="1"/>
  <c r="K12" i="9" s="1"/>
  <c r="K26" i="9" a="1"/>
  <c r="K26" i="9" s="1"/>
  <c r="K15" i="9" a="1"/>
  <c r="K15" i="9" s="1"/>
  <c r="K14" i="9" a="1"/>
  <c r="K14" i="9" s="1"/>
  <c r="K9" i="9" a="1"/>
  <c r="K9" i="9" s="1"/>
  <c r="K8" i="9" a="1"/>
  <c r="K8" i="9" s="1"/>
  <c r="K5" i="9" a="1"/>
  <c r="K5" i="9" s="1"/>
  <c r="K6" i="9" a="1"/>
  <c r="K6" i="9" s="1"/>
  <c r="K7" i="9" a="1"/>
  <c r="K7" i="9" s="1"/>
  <c r="K10" i="9" a="1"/>
  <c r="K10" i="9" s="1"/>
  <c r="K4" i="9" a="1"/>
  <c r="K4" i="9" s="1"/>
  <c r="K3" i="9" a="1"/>
  <c r="K3" i="9" s="1"/>
  <c r="J11" i="14"/>
  <c r="J32" i="14"/>
  <c r="K38" i="12" a="1"/>
  <c r="K38" i="12" s="1"/>
  <c r="K36" i="12" a="1"/>
  <c r="K36" i="12" s="1"/>
  <c r="K34" i="12" a="1"/>
  <c r="K34" i="12" s="1"/>
  <c r="K37" i="12" a="1"/>
  <c r="K37" i="12" s="1"/>
  <c r="K35" i="12" a="1"/>
  <c r="K35" i="12" s="1"/>
  <c r="K33" i="12" a="1"/>
  <c r="K33" i="12" s="1"/>
  <c r="K29" i="12" a="1"/>
  <c r="K29" i="12" s="1"/>
  <c r="K27" i="12" a="1"/>
  <c r="K27" i="12" s="1"/>
  <c r="K24" i="12" a="1"/>
  <c r="K24" i="12" s="1"/>
  <c r="K22" i="12" a="1"/>
  <c r="K22" i="12" s="1"/>
  <c r="K20" i="12" a="1"/>
  <c r="K20" i="12" s="1"/>
  <c r="K17" i="12" a="1"/>
  <c r="K17" i="12" s="1"/>
  <c r="K15" i="12" a="1"/>
  <c r="K15" i="12" s="1"/>
  <c r="K13" i="12" a="1"/>
  <c r="K13" i="12" s="1"/>
  <c r="K31" i="12" a="1"/>
  <c r="K31" i="12" s="1"/>
  <c r="K30" i="12" a="1"/>
  <c r="K30" i="12" s="1"/>
  <c r="K28" i="12" a="1"/>
  <c r="K28" i="12" s="1"/>
  <c r="K26" i="12" a="1"/>
  <c r="K26" i="12" s="1"/>
  <c r="K23" i="12" a="1"/>
  <c r="K23" i="12" s="1"/>
  <c r="K21" i="12" a="1"/>
  <c r="K21" i="12" s="1"/>
  <c r="K19" i="12" a="1"/>
  <c r="K19" i="12" s="1"/>
  <c r="K16" i="12" a="1"/>
  <c r="K16" i="12" s="1"/>
  <c r="K14" i="12" a="1"/>
  <c r="K14" i="12" s="1"/>
  <c r="K12" i="12" a="1"/>
  <c r="K12" i="12" s="1"/>
  <c r="K7" i="12" a="1"/>
  <c r="K7" i="12" s="1"/>
  <c r="K8" i="12" a="1"/>
  <c r="K8" i="12" s="1"/>
  <c r="K9" i="12" a="1"/>
  <c r="K9" i="12" s="1"/>
  <c r="K10" i="12" a="1"/>
  <c r="K10" i="12" s="1"/>
  <c r="K5" i="12" a="1"/>
  <c r="K5" i="12" s="1"/>
  <c r="K6" i="12" a="1"/>
  <c r="K6" i="12" s="1"/>
  <c r="K4" i="12" a="1"/>
  <c r="K4" i="12" s="1"/>
  <c r="K3" i="12" a="1"/>
  <c r="K3" i="12" s="1"/>
  <c r="FX90" i="17"/>
  <c r="CA89" i="17"/>
  <c r="AW87" i="17"/>
  <c r="CA90" i="17"/>
  <c r="DP92" i="17"/>
  <c r="DP91" i="17"/>
  <c r="CU87" i="17"/>
  <c r="EI88" i="17"/>
  <c r="FD92" i="17"/>
  <c r="DO90" i="17"/>
  <c r="FX87" i="17"/>
  <c r="FX91" i="17"/>
  <c r="DP62" i="17"/>
  <c r="FX92" i="17"/>
  <c r="CV91" i="17"/>
  <c r="AW88" i="17"/>
  <c r="EI90" i="17"/>
  <c r="DO88" i="17"/>
  <c r="AX92" i="17"/>
  <c r="CU88" i="17"/>
  <c r="FW88" i="17"/>
  <c r="FW89" i="17"/>
  <c r="CA88" i="17"/>
  <c r="FC89" i="17"/>
  <c r="CA87" i="17"/>
  <c r="FC90" i="17"/>
  <c r="CV92" i="17"/>
  <c r="EJ62" i="17"/>
  <c r="CU90" i="17"/>
  <c r="FD91" i="17"/>
  <c r="CB91" i="17"/>
  <c r="FW62" i="17"/>
  <c r="DO87" i="17"/>
  <c r="AW89" i="17"/>
  <c r="DO89" i="17"/>
  <c r="CV62" i="17"/>
  <c r="AX91" i="17"/>
  <c r="AX62" i="17"/>
  <c r="FC87" i="17"/>
  <c r="EI89" i="17"/>
  <c r="FD62" i="17"/>
  <c r="CB92" i="17"/>
  <c r="CB62" i="17"/>
  <c r="AX90" i="17"/>
  <c r="EJ92" i="17"/>
  <c r="FC88" i="17"/>
  <c r="EI87" i="17"/>
  <c r="EJ91" i="17"/>
  <c r="CU89" i="17"/>
  <c r="L17" i="3" l="1" a="1"/>
  <c r="L17" i="3" s="1"/>
  <c r="L19" i="3" a="1"/>
  <c r="L19" i="3" s="1"/>
  <c r="L18" i="3" a="1"/>
  <c r="L18" i="3" s="1"/>
  <c r="L16" i="3" a="1"/>
  <c r="L16" i="3" s="1"/>
  <c r="L15" i="3" a="1"/>
  <c r="L15" i="3" s="1"/>
  <c r="L13" i="3" a="1"/>
  <c r="L13" i="3" s="1"/>
  <c r="L20" i="3" s="1"/>
  <c r="L14" i="3" a="1"/>
  <c r="L14" i="3" s="1"/>
  <c r="L203" i="3" a="1"/>
  <c r="L203" i="3" s="1"/>
  <c r="L197" i="3" a="1"/>
  <c r="L197" i="3" s="1"/>
  <c r="L204" i="3" s="1"/>
  <c r="L202" i="3" a="1"/>
  <c r="L202" i="3" s="1"/>
  <c r="L201" i="3" a="1"/>
  <c r="L201" i="3" s="1"/>
  <c r="L200" i="3" a="1"/>
  <c r="L200" i="3" s="1"/>
  <c r="L199" i="3" a="1"/>
  <c r="L199" i="3" s="1"/>
  <c r="L198" i="3" a="1"/>
  <c r="L198" i="3" s="1"/>
  <c r="K39" i="14"/>
  <c r="L11" i="3" a="1"/>
  <c r="L11" i="3" s="1"/>
  <c r="L10" i="3" a="1"/>
  <c r="L10" i="3" s="1"/>
  <c r="L9" i="3" a="1"/>
  <c r="L9" i="3" s="1"/>
  <c r="L8" i="3" a="1"/>
  <c r="L8" i="3" s="1"/>
  <c r="L7" i="3" a="1"/>
  <c r="L7" i="3" s="1"/>
  <c r="L6" i="3" a="1"/>
  <c r="L6" i="3" s="1"/>
  <c r="L5" i="3" a="1"/>
  <c r="L5" i="3" s="1"/>
  <c r="L107" i="3" a="1"/>
  <c r="L107" i="3" s="1"/>
  <c r="L106" i="3" a="1"/>
  <c r="L106" i="3" s="1"/>
  <c r="L105" i="3" a="1"/>
  <c r="L105" i="3" s="1"/>
  <c r="L104" i="3" a="1"/>
  <c r="L104" i="3" s="1"/>
  <c r="L103" i="3" a="1"/>
  <c r="L103" i="3" s="1"/>
  <c r="L102" i="3" a="1"/>
  <c r="L102" i="3" s="1"/>
  <c r="L101" i="3" a="1"/>
  <c r="L101" i="3" s="1"/>
  <c r="L108" i="3" s="1"/>
  <c r="L186" i="3" a="1"/>
  <c r="L186" i="3" s="1"/>
  <c r="L184" i="3" a="1"/>
  <c r="L184" i="3" s="1"/>
  <c r="L182" i="3" a="1"/>
  <c r="L182" i="3" s="1"/>
  <c r="L187" i="3" a="1"/>
  <c r="L187" i="3" s="1"/>
  <c r="L185" i="3" a="1"/>
  <c r="L185" i="3" s="1"/>
  <c r="L183" i="3" a="1"/>
  <c r="L183" i="3" s="1"/>
  <c r="L181" i="3" a="1"/>
  <c r="L181" i="3" s="1"/>
  <c r="L188" i="3" s="1"/>
  <c r="L227" i="3" a="1"/>
  <c r="L227" i="3" s="1"/>
  <c r="L219" i="3" a="1"/>
  <c r="L219" i="3" s="1"/>
  <c r="L211" i="3" a="1"/>
  <c r="L211" i="3" s="1"/>
  <c r="L179" i="3" a="1"/>
  <c r="L179" i="3" s="1"/>
  <c r="L171" i="3" a="1"/>
  <c r="L171" i="3" s="1"/>
  <c r="L163" i="3" a="1"/>
  <c r="L163" i="3" s="1"/>
  <c r="L155" i="3" a="1"/>
  <c r="L155" i="3" s="1"/>
  <c r="L147" i="3" a="1"/>
  <c r="L147" i="3" s="1"/>
  <c r="L139" i="3" a="1"/>
  <c r="L139" i="3" s="1"/>
  <c r="L131" i="3" a="1"/>
  <c r="L131" i="3" s="1"/>
  <c r="L35" i="3" a="1"/>
  <c r="L35" i="3" s="1"/>
  <c r="L235" i="3" a="1"/>
  <c r="L235" i="3" s="1"/>
  <c r="L123" i="3" a="1"/>
  <c r="L123" i="3" s="1"/>
  <c r="L115" i="3" a="1"/>
  <c r="L115" i="3" s="1"/>
  <c r="L99" i="3" a="1"/>
  <c r="L99" i="3" s="1"/>
  <c r="L91" i="3" a="1"/>
  <c r="L91" i="3" s="1"/>
  <c r="L83" i="3" a="1"/>
  <c r="L83" i="3" s="1"/>
  <c r="L75" i="3" a="1"/>
  <c r="L75" i="3" s="1"/>
  <c r="L67" i="3" a="1"/>
  <c r="L67" i="3" s="1"/>
  <c r="L59" i="3" a="1"/>
  <c r="L59" i="3" s="1"/>
  <c r="L51" i="3" a="1"/>
  <c r="L51" i="3" s="1"/>
  <c r="L43" i="3" a="1"/>
  <c r="L43" i="3" s="1"/>
  <c r="L27" i="3" a="1"/>
  <c r="L27" i="3" s="1"/>
  <c r="L195" i="3" a="1"/>
  <c r="L195" i="3" s="1"/>
  <c r="L194" i="3" a="1"/>
  <c r="L194" i="3" s="1"/>
  <c r="L192" i="3" a="1"/>
  <c r="L192" i="3" s="1"/>
  <c r="L191" i="3" a="1"/>
  <c r="L191" i="3" s="1"/>
  <c r="L189" i="3" a="1"/>
  <c r="L189" i="3" s="1"/>
  <c r="L193" i="3" a="1"/>
  <c r="L193" i="3" s="1"/>
  <c r="L190" i="3" a="1"/>
  <c r="L190" i="3" s="1"/>
  <c r="K228" i="3"/>
  <c r="L178" i="3" a="1"/>
  <c r="L178" i="3" s="1"/>
  <c r="L177" i="3" a="1"/>
  <c r="L177" i="3" s="1"/>
  <c r="L173" i="3" a="1"/>
  <c r="L173" i="3" s="1"/>
  <c r="L176" i="3" a="1"/>
  <c r="L176" i="3" s="1"/>
  <c r="L175" i="3" a="1"/>
  <c r="L175" i="3" s="1"/>
  <c r="L174" i="3" a="1"/>
  <c r="L174" i="3" s="1"/>
  <c r="L66" i="3" a="1"/>
  <c r="L66" i="3" s="1"/>
  <c r="L65" i="3" a="1"/>
  <c r="L65" i="3" s="1"/>
  <c r="L64" i="3" a="1"/>
  <c r="L64" i="3" s="1"/>
  <c r="L62" i="3" a="1"/>
  <c r="L62" i="3" s="1"/>
  <c r="L63" i="3" a="1"/>
  <c r="L63" i="3" s="1"/>
  <c r="L61" i="3" a="1"/>
  <c r="L61" i="3" s="1"/>
  <c r="L146" i="3" a="1"/>
  <c r="L146" i="3" s="1"/>
  <c r="L145" i="3" a="1"/>
  <c r="L145" i="3" s="1"/>
  <c r="L144" i="3" a="1"/>
  <c r="L144" i="3" s="1"/>
  <c r="L143" i="3" a="1"/>
  <c r="L143" i="3" s="1"/>
  <c r="L142" i="3" a="1"/>
  <c r="L142" i="3" s="1"/>
  <c r="L141" i="3" a="1"/>
  <c r="L141" i="3" s="1"/>
  <c r="L31" i="3" a="1"/>
  <c r="L31" i="3" s="1"/>
  <c r="L32" i="3" a="1"/>
  <c r="L32" i="3" s="1"/>
  <c r="L34" i="3" a="1"/>
  <c r="L34" i="3" s="1"/>
  <c r="L30" i="3" a="1"/>
  <c r="L30" i="3" s="1"/>
  <c r="L29" i="3" a="1"/>
  <c r="L29" i="3" s="1"/>
  <c r="L33" i="3" a="1"/>
  <c r="L33" i="3" s="1"/>
  <c r="M2" i="3"/>
  <c r="L170" i="3" a="1"/>
  <c r="L170" i="3" s="1"/>
  <c r="L169" i="3" a="1"/>
  <c r="L169" i="3" s="1"/>
  <c r="L165" i="3" a="1"/>
  <c r="L165" i="3" s="1"/>
  <c r="L224" i="3" a="1"/>
  <c r="L224" i="3" s="1"/>
  <c r="L222" i="3" a="1"/>
  <c r="L222" i="3" s="1"/>
  <c r="L221" i="3" a="1"/>
  <c r="L221" i="3" s="1"/>
  <c r="L167" i="3" a="1"/>
  <c r="L167" i="3" s="1"/>
  <c r="L226" i="3" a="1"/>
  <c r="L226" i="3" s="1"/>
  <c r="L225" i="3" a="1"/>
  <c r="L225" i="3" s="1"/>
  <c r="L168" i="3" a="1"/>
  <c r="L168" i="3" s="1"/>
  <c r="L166" i="3" a="1"/>
  <c r="L166" i="3" s="1"/>
  <c r="L223" i="3" a="1"/>
  <c r="L223" i="3" s="1"/>
  <c r="L127" i="3" a="1"/>
  <c r="L127" i="3" s="1"/>
  <c r="L126" i="3" a="1"/>
  <c r="L126" i="3" s="1"/>
  <c r="L128" i="3" a="1"/>
  <c r="L128" i="3" s="1"/>
  <c r="L129" i="3" a="1"/>
  <c r="L129" i="3" s="1"/>
  <c r="L125" i="3" a="1"/>
  <c r="L125" i="3" s="1"/>
  <c r="L130" i="3" a="1"/>
  <c r="L130" i="3" s="1"/>
  <c r="L42" i="3" a="1"/>
  <c r="L42" i="3" s="1"/>
  <c r="L41" i="3" a="1"/>
  <c r="L41" i="3" s="1"/>
  <c r="L39" i="3" a="1"/>
  <c r="L39" i="3" s="1"/>
  <c r="L37" i="3" a="1"/>
  <c r="L37" i="3" s="1"/>
  <c r="L40" i="3" a="1"/>
  <c r="L40" i="3" s="1"/>
  <c r="L38" i="3" a="1"/>
  <c r="L38" i="3" s="1"/>
  <c r="L207" i="3" a="1"/>
  <c r="L207" i="3" s="1"/>
  <c r="L208" i="3" a="1"/>
  <c r="L208" i="3" s="1"/>
  <c r="L205" i="3" a="1"/>
  <c r="L205" i="3" s="1"/>
  <c r="L209" i="3" a="1"/>
  <c r="L209" i="3" s="1"/>
  <c r="L138" i="3" a="1"/>
  <c r="L138" i="3" s="1"/>
  <c r="L137" i="3" a="1"/>
  <c r="L137" i="3" s="1"/>
  <c r="L133" i="3" a="1"/>
  <c r="L133" i="3" s="1"/>
  <c r="L206" i="3" a="1"/>
  <c r="L206" i="3" s="1"/>
  <c r="L136" i="3" a="1"/>
  <c r="L136" i="3" s="1"/>
  <c r="L134" i="3" a="1"/>
  <c r="L134" i="3" s="1"/>
  <c r="L210" i="3" a="1"/>
  <c r="L210" i="3" s="1"/>
  <c r="L135" i="3" a="1"/>
  <c r="L135" i="3" s="1"/>
  <c r="L58" i="3" a="1"/>
  <c r="L58" i="3" s="1"/>
  <c r="L57" i="3" a="1"/>
  <c r="L57" i="3" s="1"/>
  <c r="L55" i="3" a="1"/>
  <c r="L55" i="3" s="1"/>
  <c r="L53" i="3" a="1"/>
  <c r="L53" i="3" s="1"/>
  <c r="L56" i="3" a="1"/>
  <c r="L56" i="3" s="1"/>
  <c r="L54" i="3" a="1"/>
  <c r="L54" i="3" s="1"/>
  <c r="L218" i="3" a="1"/>
  <c r="L218" i="3" s="1"/>
  <c r="L217" i="3" a="1"/>
  <c r="L217" i="3" s="1"/>
  <c r="L215" i="3" a="1"/>
  <c r="L215" i="3" s="1"/>
  <c r="L214" i="3" a="1"/>
  <c r="L214" i="3" s="1"/>
  <c r="L216" i="3" a="1"/>
  <c r="L216" i="3" s="1"/>
  <c r="L213" i="3" a="1"/>
  <c r="L213" i="3" s="1"/>
  <c r="K46" i="10"/>
  <c r="L44" i="10" a="1"/>
  <c r="L44" i="10" s="1"/>
  <c r="L42" i="10" a="1"/>
  <c r="L42" i="10" s="1"/>
  <c r="L40" i="10" a="1"/>
  <c r="L40" i="10" s="1"/>
  <c r="L45" i="10" a="1"/>
  <c r="L45" i="10" s="1"/>
  <c r="L43" i="10" a="1"/>
  <c r="L43" i="10" s="1"/>
  <c r="L41" i="10" a="1"/>
  <c r="L41" i="10" s="1"/>
  <c r="L122" i="3" a="1"/>
  <c r="L122" i="3" s="1"/>
  <c r="L117" i="3" a="1"/>
  <c r="L117" i="3" s="1"/>
  <c r="L119" i="3" a="1"/>
  <c r="L119" i="3" s="1"/>
  <c r="L120" i="3" a="1"/>
  <c r="L120" i="3" s="1"/>
  <c r="L118" i="3" a="1"/>
  <c r="L118" i="3" s="1"/>
  <c r="L121" i="3" a="1"/>
  <c r="L121" i="3" s="1"/>
  <c r="K52" i="3"/>
  <c r="L90" i="3" a="1"/>
  <c r="L90" i="3" s="1"/>
  <c r="L89" i="3" a="1"/>
  <c r="L89" i="3" s="1"/>
  <c r="L87" i="3" a="1"/>
  <c r="L87" i="3" s="1"/>
  <c r="L85" i="3" a="1"/>
  <c r="L85" i="3" s="1"/>
  <c r="L88" i="3" a="1"/>
  <c r="L88" i="3" s="1"/>
  <c r="L86" i="3" a="1"/>
  <c r="L86" i="3" s="1"/>
  <c r="L154" i="3" a="1"/>
  <c r="L154" i="3" s="1"/>
  <c r="L150" i="3" a="1"/>
  <c r="L150" i="3" s="1"/>
  <c r="L151" i="3" a="1"/>
  <c r="L151" i="3" s="1"/>
  <c r="L153" i="3" a="1"/>
  <c r="L153" i="3" s="1"/>
  <c r="L149" i="3" a="1"/>
  <c r="L149" i="3" s="1"/>
  <c r="L152" i="3" a="1"/>
  <c r="L152" i="3" s="1"/>
  <c r="L50" i="3" a="1"/>
  <c r="L50" i="3" s="1"/>
  <c r="L48" i="3" a="1"/>
  <c r="L48" i="3" s="1"/>
  <c r="L45" i="3" a="1"/>
  <c r="L45" i="3" s="1"/>
  <c r="L49" i="3" a="1"/>
  <c r="L49" i="3" s="1"/>
  <c r="L46" i="3" a="1"/>
  <c r="L46" i="3" s="1"/>
  <c r="L47" i="3" a="1"/>
  <c r="L47" i="3" s="1"/>
  <c r="K46" i="14"/>
  <c r="K46" i="13"/>
  <c r="K46" i="8"/>
  <c r="K46" i="6"/>
  <c r="K46" i="12"/>
  <c r="K46" i="9"/>
  <c r="L45" i="14" a="1"/>
  <c r="L45" i="14" s="1"/>
  <c r="L43" i="14" a="1"/>
  <c r="L43" i="14" s="1"/>
  <c r="L41" i="14" a="1"/>
  <c r="L41" i="14" s="1"/>
  <c r="L40" i="14" a="1"/>
  <c r="L40" i="14" s="1"/>
  <c r="L42" i="14" a="1"/>
  <c r="L42" i="14" s="1"/>
  <c r="L44" i="14" a="1"/>
  <c r="L44" i="14" s="1"/>
  <c r="L45" i="9" a="1"/>
  <c r="L45" i="9" s="1"/>
  <c r="L43" i="9" a="1"/>
  <c r="L43" i="9" s="1"/>
  <c r="L41" i="9" a="1"/>
  <c r="L41" i="9" s="1"/>
  <c r="L44" i="9" a="1"/>
  <c r="L44" i="9" s="1"/>
  <c r="L40" i="9" a="1"/>
  <c r="L40" i="9" s="1"/>
  <c r="L42" i="9" a="1"/>
  <c r="L42" i="9" s="1"/>
  <c r="L45" i="13" a="1"/>
  <c r="L45" i="13" s="1"/>
  <c r="L43" i="13" a="1"/>
  <c r="L43" i="13" s="1"/>
  <c r="L41" i="13" a="1"/>
  <c r="L41" i="13" s="1"/>
  <c r="L42" i="13" a="1"/>
  <c r="L42" i="13" s="1"/>
  <c r="L40" i="13" a="1"/>
  <c r="L40" i="13" s="1"/>
  <c r="L44" i="13" a="1"/>
  <c r="L44" i="13" s="1"/>
  <c r="L45" i="8" a="1"/>
  <c r="L45" i="8" s="1"/>
  <c r="L43" i="8" a="1"/>
  <c r="L43" i="8" s="1"/>
  <c r="L41" i="8" a="1"/>
  <c r="L41" i="8" s="1"/>
  <c r="L44" i="8" a="1"/>
  <c r="L44" i="8" s="1"/>
  <c r="L42" i="8" a="1"/>
  <c r="L42" i="8" s="1"/>
  <c r="L40" i="8" a="1"/>
  <c r="L40" i="8" s="1"/>
  <c r="L44" i="12" a="1"/>
  <c r="L44" i="12" s="1"/>
  <c r="L45" i="12" a="1"/>
  <c r="L45" i="12" s="1"/>
  <c r="L42" i="12" a="1"/>
  <c r="L42" i="12" s="1"/>
  <c r="L40" i="12" a="1"/>
  <c r="L40" i="12" s="1"/>
  <c r="L43" i="12" a="1"/>
  <c r="L43" i="12" s="1"/>
  <c r="L41" i="12" a="1"/>
  <c r="L41" i="12" s="1"/>
  <c r="L44" i="6" a="1"/>
  <c r="L44" i="6" s="1"/>
  <c r="L42" i="6" a="1"/>
  <c r="L42" i="6" s="1"/>
  <c r="L40" i="6" a="1"/>
  <c r="L40" i="6" s="1"/>
  <c r="L45" i="6" a="1"/>
  <c r="L45" i="6" s="1"/>
  <c r="L43" i="6" a="1"/>
  <c r="L43" i="6" s="1"/>
  <c r="L41" i="6" a="1"/>
  <c r="L41" i="6" s="1"/>
  <c r="K164" i="3"/>
  <c r="L98" i="3" a="1"/>
  <c r="L98" i="3" s="1"/>
  <c r="L97" i="3" a="1"/>
  <c r="L97" i="3" s="1"/>
  <c r="L96" i="3" a="1"/>
  <c r="L96" i="3" s="1"/>
  <c r="L95" i="3" a="1"/>
  <c r="L95" i="3" s="1"/>
  <c r="L94" i="3" a="1"/>
  <c r="L94" i="3" s="1"/>
  <c r="L93" i="3" a="1"/>
  <c r="L93" i="3" s="1"/>
  <c r="L25" i="3" a="1"/>
  <c r="L25" i="3" s="1"/>
  <c r="L24" i="3" a="1"/>
  <c r="L24" i="3" s="1"/>
  <c r="L22" i="3" a="1"/>
  <c r="L22" i="3" s="1"/>
  <c r="L26" i="3" a="1"/>
  <c r="L26" i="3" s="1"/>
  <c r="L23" i="3" a="1"/>
  <c r="L23" i="3" s="1"/>
  <c r="L21" i="3" a="1"/>
  <c r="L21" i="3" s="1"/>
  <c r="L35" i="14" a="1"/>
  <c r="L35" i="14" s="1"/>
  <c r="L33" i="14" a="1"/>
  <c r="L33" i="14" s="1"/>
  <c r="L38" i="14" a="1"/>
  <c r="L38" i="14" s="1"/>
  <c r="L34" i="14" a="1"/>
  <c r="L34" i="14" s="1"/>
  <c r="L37" i="14" a="1"/>
  <c r="L37" i="14" s="1"/>
  <c r="L36" i="14" a="1"/>
  <c r="L36" i="14" s="1"/>
  <c r="L114" i="3" a="1"/>
  <c r="L114" i="3" s="1"/>
  <c r="L112" i="3" a="1"/>
  <c r="L112" i="3" s="1"/>
  <c r="L109" i="3" a="1"/>
  <c r="L109" i="3" s="1"/>
  <c r="L113" i="3" a="1"/>
  <c r="L113" i="3" s="1"/>
  <c r="L111" i="3" a="1"/>
  <c r="L111" i="3" s="1"/>
  <c r="L110" i="3" a="1"/>
  <c r="L110" i="3" s="1"/>
  <c r="L162" i="3" a="1"/>
  <c r="L162" i="3" s="1"/>
  <c r="L160" i="3" a="1"/>
  <c r="L160" i="3" s="1"/>
  <c r="L159" i="3" a="1"/>
  <c r="L159" i="3" s="1"/>
  <c r="L158" i="3" a="1"/>
  <c r="L158" i="3" s="1"/>
  <c r="L161" i="3" a="1"/>
  <c r="L161" i="3" s="1"/>
  <c r="L157" i="3" a="1"/>
  <c r="L157" i="3" s="1"/>
  <c r="L73" i="3" a="1"/>
  <c r="L73" i="3" s="1"/>
  <c r="L74" i="3" a="1"/>
  <c r="L74" i="3" s="1"/>
  <c r="L71" i="3" a="1"/>
  <c r="L71" i="3" s="1"/>
  <c r="L72" i="3" a="1"/>
  <c r="L72" i="3" s="1"/>
  <c r="L70" i="3" a="1"/>
  <c r="L70" i="3" s="1"/>
  <c r="L69" i="3" a="1"/>
  <c r="L69" i="3" s="1"/>
  <c r="K236" i="3"/>
  <c r="L234" i="3" a="1"/>
  <c r="L234" i="3" s="1"/>
  <c r="L232" i="3" a="1"/>
  <c r="L232" i="3" s="1"/>
  <c r="L230" i="3" a="1"/>
  <c r="L230" i="3" s="1"/>
  <c r="L231" i="3" a="1"/>
  <c r="L231" i="3" s="1"/>
  <c r="L229" i="3" a="1"/>
  <c r="L229" i="3" s="1"/>
  <c r="L233" i="3" a="1"/>
  <c r="L233" i="3" s="1"/>
  <c r="L5" i="14" a="1"/>
  <c r="L5" i="14" s="1"/>
  <c r="L82" i="3" a="1"/>
  <c r="L82" i="3" s="1"/>
  <c r="L81" i="3" a="1"/>
  <c r="L81" i="3" s="1"/>
  <c r="L80" i="3" a="1"/>
  <c r="L80" i="3" s="1"/>
  <c r="L79" i="3" a="1"/>
  <c r="L79" i="3" s="1"/>
  <c r="L78" i="3" a="1"/>
  <c r="L78" i="3" s="1"/>
  <c r="L77" i="3" a="1"/>
  <c r="L77" i="3" s="1"/>
  <c r="K84" i="3"/>
  <c r="K11" i="9"/>
  <c r="K11" i="6"/>
  <c r="K18" i="6"/>
  <c r="K18" i="13"/>
  <c r="K25" i="10"/>
  <c r="K25" i="8"/>
  <c r="K32" i="12"/>
  <c r="K39" i="12"/>
  <c r="K32" i="6"/>
  <c r="K32" i="10"/>
  <c r="K11" i="12"/>
  <c r="K25" i="12"/>
  <c r="K32" i="9"/>
  <c r="K39" i="9"/>
  <c r="K25" i="13"/>
  <c r="K32" i="13"/>
  <c r="K18" i="10"/>
  <c r="K11" i="10"/>
  <c r="K18" i="8"/>
  <c r="K25" i="6"/>
  <c r="K11" i="13"/>
  <c r="K39" i="10"/>
  <c r="K11" i="8"/>
  <c r="K18" i="12"/>
  <c r="K18" i="9"/>
  <c r="K25" i="9"/>
  <c r="K39" i="6"/>
  <c r="K39" i="13"/>
  <c r="K32" i="8"/>
  <c r="K39" i="8"/>
  <c r="L33" i="10" a="1"/>
  <c r="L33" i="10" s="1"/>
  <c r="L38" i="10" a="1"/>
  <c r="L38" i="10" s="1"/>
  <c r="L36" i="10" a="1"/>
  <c r="L36" i="10" s="1"/>
  <c r="L37" i="10" a="1"/>
  <c r="L37" i="10" s="1"/>
  <c r="L34" i="10" a="1"/>
  <c r="L34" i="10" s="1"/>
  <c r="L35" i="10" a="1"/>
  <c r="L35" i="10" s="1"/>
  <c r="L31" i="10" a="1"/>
  <c r="L31" i="10" s="1"/>
  <c r="L30" i="10" a="1"/>
  <c r="L30" i="10" s="1"/>
  <c r="L29" i="10" a="1"/>
  <c r="L29" i="10" s="1"/>
  <c r="L28" i="10" a="1"/>
  <c r="L28" i="10" s="1"/>
  <c r="L21" i="10" a="1"/>
  <c r="L21" i="10" s="1"/>
  <c r="L20" i="10" a="1"/>
  <c r="L20" i="10" s="1"/>
  <c r="L19" i="10" a="1"/>
  <c r="L19" i="10" s="1"/>
  <c r="L10" i="10" a="1"/>
  <c r="L10" i="10" s="1"/>
  <c r="L6" i="10" a="1"/>
  <c r="L6" i="10" s="1"/>
  <c r="L27" i="10" a="1"/>
  <c r="L27" i="10" s="1"/>
  <c r="L24" i="10" a="1"/>
  <c r="L24" i="10" s="1"/>
  <c r="L9" i="10" a="1"/>
  <c r="L9" i="10" s="1"/>
  <c r="L5" i="10" a="1"/>
  <c r="L5" i="10" s="1"/>
  <c r="L26" i="10" a="1"/>
  <c r="L26" i="10" s="1"/>
  <c r="L23" i="10" a="1"/>
  <c r="L23" i="10" s="1"/>
  <c r="L8" i="10" a="1"/>
  <c r="L8" i="10" s="1"/>
  <c r="L22" i="10" a="1"/>
  <c r="L22" i="10" s="1"/>
  <c r="L7" i="10" a="1"/>
  <c r="L7" i="10" s="1"/>
  <c r="L13" i="10" a="1"/>
  <c r="L13" i="10" s="1"/>
  <c r="L16" i="10" a="1"/>
  <c r="L16" i="10" s="1"/>
  <c r="L12" i="10" a="1"/>
  <c r="L12" i="10" s="1"/>
  <c r="L14" i="10" a="1"/>
  <c r="L14" i="10" s="1"/>
  <c r="L15" i="10" a="1"/>
  <c r="L15" i="10" s="1"/>
  <c r="L17" i="10" a="1"/>
  <c r="L17" i="10" s="1"/>
  <c r="L3" i="10" a="1"/>
  <c r="L3" i="10" s="1"/>
  <c r="L4" i="10" a="1"/>
  <c r="L4" i="10" s="1"/>
  <c r="K32" i="14"/>
  <c r="L24" i="14" a="1"/>
  <c r="L24" i="14" s="1"/>
  <c r="L22" i="14" a="1"/>
  <c r="L22" i="14" s="1"/>
  <c r="L20" i="14" a="1"/>
  <c r="L20" i="14" s="1"/>
  <c r="L19" i="14" a="1"/>
  <c r="L19" i="14" s="1"/>
  <c r="L31" i="14" a="1"/>
  <c r="L31" i="14" s="1"/>
  <c r="L23" i="14" a="1"/>
  <c r="L23" i="14" s="1"/>
  <c r="L21" i="14" a="1"/>
  <c r="L21" i="14" s="1"/>
  <c r="L30" i="14" a="1"/>
  <c r="L30" i="14" s="1"/>
  <c r="L29" i="14" a="1"/>
  <c r="L29" i="14" s="1"/>
  <c r="L28" i="14" a="1"/>
  <c r="L28" i="14" s="1"/>
  <c r="L27" i="14" a="1"/>
  <c r="L27" i="14" s="1"/>
  <c r="L26" i="14" a="1"/>
  <c r="L26" i="14" s="1"/>
  <c r="L17" i="14" a="1"/>
  <c r="L17" i="14" s="1"/>
  <c r="L16" i="14" a="1"/>
  <c r="L16" i="14" s="1"/>
  <c r="L15" i="14" a="1"/>
  <c r="L15" i="14" s="1"/>
  <c r="L14" i="14" a="1"/>
  <c r="L14" i="14" s="1"/>
  <c r="L13" i="14" a="1"/>
  <c r="L13" i="14" s="1"/>
  <c r="L12" i="14" a="1"/>
  <c r="L12" i="14" s="1"/>
  <c r="L7" i="14" a="1"/>
  <c r="L7" i="14" s="1"/>
  <c r="L10" i="14" a="1"/>
  <c r="L10" i="14" s="1"/>
  <c r="L9" i="14" a="1"/>
  <c r="L9" i="14" s="1"/>
  <c r="L6" i="14" a="1"/>
  <c r="L6" i="14" s="1"/>
  <c r="L8" i="14" a="1"/>
  <c r="L8" i="14" s="1"/>
  <c r="L3" i="14" a="1"/>
  <c r="L3" i="14" s="1"/>
  <c r="L4" i="14" a="1"/>
  <c r="L4" i="14" s="1"/>
  <c r="L35" i="9" a="1"/>
  <c r="L35" i="9" s="1"/>
  <c r="L37" i="9" a="1"/>
  <c r="L37" i="9" s="1"/>
  <c r="L36" i="9" a="1"/>
  <c r="L36" i="9" s="1"/>
  <c r="L34" i="9" a="1"/>
  <c r="L34" i="9" s="1"/>
  <c r="L33" i="9" a="1"/>
  <c r="L33" i="9" s="1"/>
  <c r="L38" i="9" a="1"/>
  <c r="L38" i="9" s="1"/>
  <c r="L24" i="9" a="1"/>
  <c r="L24" i="9" s="1"/>
  <c r="L20" i="9" a="1"/>
  <c r="L20" i="9" s="1"/>
  <c r="L23" i="9" a="1"/>
  <c r="L23" i="9" s="1"/>
  <c r="L19" i="9" a="1"/>
  <c r="L19" i="9" s="1"/>
  <c r="L15" i="9" a="1"/>
  <c r="L15" i="9" s="1"/>
  <c r="L22" i="9" a="1"/>
  <c r="L22" i="9" s="1"/>
  <c r="L31" i="9" a="1"/>
  <c r="L31" i="9" s="1"/>
  <c r="L30" i="9" a="1"/>
  <c r="L30" i="9" s="1"/>
  <c r="L29" i="9" a="1"/>
  <c r="L29" i="9" s="1"/>
  <c r="L28" i="9" a="1"/>
  <c r="L28" i="9" s="1"/>
  <c r="L17" i="9" a="1"/>
  <c r="L17" i="9" s="1"/>
  <c r="L16" i="9" a="1"/>
  <c r="L16" i="9" s="1"/>
  <c r="L21" i="9" a="1"/>
  <c r="L21" i="9" s="1"/>
  <c r="L27" i="9" a="1"/>
  <c r="L27" i="9" s="1"/>
  <c r="L13" i="9" a="1"/>
  <c r="L13" i="9" s="1"/>
  <c r="L26" i="9" a="1"/>
  <c r="L26" i="9" s="1"/>
  <c r="L14" i="9" a="1"/>
  <c r="L14" i="9" s="1"/>
  <c r="L12" i="9" a="1"/>
  <c r="L12" i="9" s="1"/>
  <c r="L10" i="9" a="1"/>
  <c r="L10" i="9" s="1"/>
  <c r="L9" i="9" a="1"/>
  <c r="L9" i="9" s="1"/>
  <c r="L8" i="9" a="1"/>
  <c r="L8" i="9" s="1"/>
  <c r="L5" i="9" a="1"/>
  <c r="L5" i="9" s="1"/>
  <c r="L6" i="9" a="1"/>
  <c r="L6" i="9" s="1"/>
  <c r="L7" i="9" a="1"/>
  <c r="L7" i="9" s="1"/>
  <c r="L3" i="9" a="1"/>
  <c r="L3" i="9" s="1"/>
  <c r="L4" i="9" a="1"/>
  <c r="L4" i="9" s="1"/>
  <c r="L38" i="6" a="1"/>
  <c r="L38" i="6" s="1"/>
  <c r="L37" i="6" a="1"/>
  <c r="L37" i="6" s="1"/>
  <c r="L36" i="6" a="1"/>
  <c r="L36" i="6" s="1"/>
  <c r="L35" i="6" a="1"/>
  <c r="L35" i="6" s="1"/>
  <c r="L34" i="6" a="1"/>
  <c r="L34" i="6" s="1"/>
  <c r="L33" i="6" a="1"/>
  <c r="L33" i="6" s="1"/>
  <c r="L31" i="6" a="1"/>
  <c r="L31" i="6" s="1"/>
  <c r="L27" i="6" a="1"/>
  <c r="L27" i="6" s="1"/>
  <c r="L15" i="6" a="1"/>
  <c r="L15" i="6" s="1"/>
  <c r="L24" i="6" a="1"/>
  <c r="L24" i="6" s="1"/>
  <c r="L20" i="6" a="1"/>
  <c r="L20" i="6" s="1"/>
  <c r="L30" i="6" a="1"/>
  <c r="L30" i="6" s="1"/>
  <c r="L26" i="6" a="1"/>
  <c r="L26" i="6" s="1"/>
  <c r="L14" i="6" a="1"/>
  <c r="L14" i="6" s="1"/>
  <c r="L23" i="6" a="1"/>
  <c r="L23" i="6" s="1"/>
  <c r="L19" i="6" a="1"/>
  <c r="L19" i="6" s="1"/>
  <c r="L29" i="6" a="1"/>
  <c r="L29" i="6" s="1"/>
  <c r="L17" i="6" a="1"/>
  <c r="L17" i="6" s="1"/>
  <c r="L13" i="6" a="1"/>
  <c r="L13" i="6" s="1"/>
  <c r="L22" i="6" a="1"/>
  <c r="L22" i="6" s="1"/>
  <c r="L16" i="6" a="1"/>
  <c r="L16" i="6" s="1"/>
  <c r="L12" i="6" a="1"/>
  <c r="L12" i="6" s="1"/>
  <c r="L21" i="6" a="1"/>
  <c r="L21" i="6" s="1"/>
  <c r="L28" i="6" a="1"/>
  <c r="L28" i="6" s="1"/>
  <c r="L7" i="6" a="1"/>
  <c r="L7" i="6" s="1"/>
  <c r="L8" i="6" a="1"/>
  <c r="L8" i="6" s="1"/>
  <c r="L9" i="6" a="1"/>
  <c r="L9" i="6" s="1"/>
  <c r="L10" i="6" a="1"/>
  <c r="L10" i="6" s="1"/>
  <c r="L5" i="6" a="1"/>
  <c r="L5" i="6" s="1"/>
  <c r="L6" i="6" a="1"/>
  <c r="L6" i="6" s="1"/>
  <c r="L3" i="6" a="1"/>
  <c r="L3" i="6" s="1"/>
  <c r="L4" i="6" a="1"/>
  <c r="L4" i="6" s="1"/>
  <c r="K25" i="14"/>
  <c r="K18" i="14"/>
  <c r="L38" i="12" a="1"/>
  <c r="L38" i="12" s="1"/>
  <c r="L36" i="12" a="1"/>
  <c r="L36" i="12" s="1"/>
  <c r="L34" i="12" a="1"/>
  <c r="L34" i="12" s="1"/>
  <c r="L37" i="12" a="1"/>
  <c r="L37" i="12" s="1"/>
  <c r="L35" i="12" a="1"/>
  <c r="L35" i="12" s="1"/>
  <c r="L33" i="12" a="1"/>
  <c r="L33" i="12" s="1"/>
  <c r="L29" i="12" a="1"/>
  <c r="L29" i="12" s="1"/>
  <c r="L27" i="12" a="1"/>
  <c r="L27" i="12" s="1"/>
  <c r="L24" i="12" a="1"/>
  <c r="L24" i="12" s="1"/>
  <c r="L22" i="12" a="1"/>
  <c r="L22" i="12" s="1"/>
  <c r="L20" i="12" a="1"/>
  <c r="L20" i="12" s="1"/>
  <c r="L17" i="12" a="1"/>
  <c r="L17" i="12" s="1"/>
  <c r="L15" i="12" a="1"/>
  <c r="L15" i="12" s="1"/>
  <c r="L13" i="12" a="1"/>
  <c r="L13" i="12" s="1"/>
  <c r="L31" i="12" a="1"/>
  <c r="L31" i="12" s="1"/>
  <c r="L30" i="12" a="1"/>
  <c r="L30" i="12" s="1"/>
  <c r="L28" i="12" a="1"/>
  <c r="L28" i="12" s="1"/>
  <c r="L26" i="12" a="1"/>
  <c r="L26" i="12" s="1"/>
  <c r="L23" i="12" a="1"/>
  <c r="L23" i="12" s="1"/>
  <c r="L21" i="12" a="1"/>
  <c r="L21" i="12" s="1"/>
  <c r="L19" i="12" a="1"/>
  <c r="L19" i="12" s="1"/>
  <c r="L16" i="12" a="1"/>
  <c r="L16" i="12" s="1"/>
  <c r="L14" i="12" a="1"/>
  <c r="L14" i="12" s="1"/>
  <c r="L12" i="12" a="1"/>
  <c r="L12" i="12" s="1"/>
  <c r="L3" i="12" a="1"/>
  <c r="L3" i="12" s="1"/>
  <c r="L4" i="12" a="1"/>
  <c r="L4" i="12" s="1"/>
  <c r="L8" i="12" a="1"/>
  <c r="L8" i="12" s="1"/>
  <c r="L9" i="12" a="1"/>
  <c r="L9" i="12" s="1"/>
  <c r="L10" i="12" a="1"/>
  <c r="L10" i="12" s="1"/>
  <c r="L5" i="12" a="1"/>
  <c r="L5" i="12" s="1"/>
  <c r="L6" i="12" a="1"/>
  <c r="L6" i="12" s="1"/>
  <c r="L7" i="12" a="1"/>
  <c r="L7" i="12" s="1"/>
  <c r="L37" i="13" a="1"/>
  <c r="L37" i="13" s="1"/>
  <c r="L35" i="13" a="1"/>
  <c r="L35" i="13" s="1"/>
  <c r="L33" i="13" a="1"/>
  <c r="L33" i="13" s="1"/>
  <c r="L38" i="13" a="1"/>
  <c r="L38" i="13" s="1"/>
  <c r="L36" i="13" a="1"/>
  <c r="L36" i="13" s="1"/>
  <c r="L34" i="13" a="1"/>
  <c r="L34" i="13" s="1"/>
  <c r="L31" i="13" a="1"/>
  <c r="L31" i="13" s="1"/>
  <c r="L27" i="13" a="1"/>
  <c r="L27" i="13" s="1"/>
  <c r="L22" i="13" a="1"/>
  <c r="L22" i="13" s="1"/>
  <c r="L30" i="13" a="1"/>
  <c r="L30" i="13" s="1"/>
  <c r="L26" i="13" a="1"/>
  <c r="L26" i="13" s="1"/>
  <c r="L29" i="13" a="1"/>
  <c r="L29" i="13" s="1"/>
  <c r="L24" i="13" a="1"/>
  <c r="L24" i="13" s="1"/>
  <c r="L28" i="13" a="1"/>
  <c r="L28" i="13" s="1"/>
  <c r="L23" i="13" a="1"/>
  <c r="L23" i="13" s="1"/>
  <c r="L17" i="13" a="1"/>
  <c r="L17" i="13" s="1"/>
  <c r="L13" i="13" a="1"/>
  <c r="L13" i="13" s="1"/>
  <c r="L16" i="13" a="1"/>
  <c r="L16" i="13" s="1"/>
  <c r="L12" i="13" a="1"/>
  <c r="L12" i="13" s="1"/>
  <c r="L20" i="13" a="1"/>
  <c r="L20" i="13" s="1"/>
  <c r="L15" i="13" a="1"/>
  <c r="L15" i="13" s="1"/>
  <c r="L21" i="13" a="1"/>
  <c r="L21" i="13" s="1"/>
  <c r="L19" i="13" a="1"/>
  <c r="L19" i="13" s="1"/>
  <c r="L14" i="13" a="1"/>
  <c r="L14" i="13" s="1"/>
  <c r="L8" i="13" a="1"/>
  <c r="L8" i="13" s="1"/>
  <c r="L9" i="13" a="1"/>
  <c r="L9" i="13" s="1"/>
  <c r="L10" i="13" a="1"/>
  <c r="L10" i="13" s="1"/>
  <c r="L5" i="13" a="1"/>
  <c r="L5" i="13" s="1"/>
  <c r="L6" i="13" a="1"/>
  <c r="L6" i="13" s="1"/>
  <c r="L7" i="13" a="1"/>
  <c r="L7" i="13" s="1"/>
  <c r="L3" i="13" a="1"/>
  <c r="L3" i="13" s="1"/>
  <c r="L4" i="13" a="1"/>
  <c r="L4" i="13" s="1"/>
  <c r="L36" i="8" a="1"/>
  <c r="L36" i="8" s="1"/>
  <c r="L35" i="8" a="1"/>
  <c r="L35" i="8" s="1"/>
  <c r="L34" i="8" a="1"/>
  <c r="L34" i="8" s="1"/>
  <c r="L33" i="8" a="1"/>
  <c r="L33" i="8" s="1"/>
  <c r="L37" i="8" a="1"/>
  <c r="L37" i="8" s="1"/>
  <c r="L31" i="8" a="1"/>
  <c r="L31" i="8" s="1"/>
  <c r="L27" i="8" a="1"/>
  <c r="L27" i="8" s="1"/>
  <c r="L30" i="8" a="1"/>
  <c r="L30" i="8" s="1"/>
  <c r="L26" i="8" a="1"/>
  <c r="L26" i="8" s="1"/>
  <c r="L23" i="8" a="1"/>
  <c r="L23" i="8" s="1"/>
  <c r="L22" i="8" a="1"/>
  <c r="L22" i="8" s="1"/>
  <c r="L21" i="8" a="1"/>
  <c r="L21" i="8" s="1"/>
  <c r="L29" i="8" a="1"/>
  <c r="L29" i="8" s="1"/>
  <c r="L16" i="8" a="1"/>
  <c r="L16" i="8" s="1"/>
  <c r="L12" i="8" a="1"/>
  <c r="L12" i="8" s="1"/>
  <c r="L28" i="8" a="1"/>
  <c r="L28" i="8" s="1"/>
  <c r="L15" i="8" a="1"/>
  <c r="L15" i="8" s="1"/>
  <c r="L14" i="8" a="1"/>
  <c r="L14" i="8" s="1"/>
  <c r="L17" i="8" a="1"/>
  <c r="L17" i="8" s="1"/>
  <c r="L20" i="8" a="1"/>
  <c r="L20" i="8" s="1"/>
  <c r="L19" i="8" a="1"/>
  <c r="L19" i="8" s="1"/>
  <c r="L38" i="8" a="1"/>
  <c r="L38" i="8" s="1"/>
  <c r="L24" i="8" a="1"/>
  <c r="L24" i="8" s="1"/>
  <c r="L13" i="8" a="1"/>
  <c r="L13" i="8" s="1"/>
  <c r="L7" i="8" a="1"/>
  <c r="L7" i="8" s="1"/>
  <c r="L6" i="8" a="1"/>
  <c r="L6" i="8" s="1"/>
  <c r="L9" i="8" a="1"/>
  <c r="L9" i="8" s="1"/>
  <c r="L10" i="8" a="1"/>
  <c r="L10" i="8" s="1"/>
  <c r="L5" i="8" a="1"/>
  <c r="L5" i="8" s="1"/>
  <c r="L8" i="8" a="1"/>
  <c r="L8" i="8" s="1"/>
  <c r="L3" i="8" a="1"/>
  <c r="L3" i="8" s="1"/>
  <c r="L4" i="8" a="1"/>
  <c r="L4" i="8" s="1"/>
  <c r="K11" i="14"/>
  <c r="AY90" i="17"/>
  <c r="DQ91" i="17"/>
  <c r="FY92" i="17"/>
  <c r="FY87" i="17"/>
  <c r="FE92" i="17"/>
  <c r="FD87" i="17"/>
  <c r="DQ92" i="17"/>
  <c r="AX88" i="17"/>
  <c r="AY91" i="17"/>
  <c r="DP90" i="17"/>
  <c r="EJ89" i="17"/>
  <c r="CB89" i="17"/>
  <c r="EJ87" i="17"/>
  <c r="CV89" i="17"/>
  <c r="CB87" i="17"/>
  <c r="CW92" i="17"/>
  <c r="FD88" i="17"/>
  <c r="EJ90" i="17"/>
  <c r="CB88" i="17"/>
  <c r="AX89" i="17"/>
  <c r="AX87" i="17"/>
  <c r="CW91" i="17"/>
  <c r="CV87" i="17"/>
  <c r="DP89" i="17"/>
  <c r="FD89" i="17"/>
  <c r="FY90" i="17"/>
  <c r="CC91" i="17"/>
  <c r="AY92" i="17"/>
  <c r="DP88" i="17"/>
  <c r="CV88" i="17"/>
  <c r="CB90" i="17"/>
  <c r="FE91" i="17"/>
  <c r="EK92" i="17"/>
  <c r="FX88" i="17"/>
  <c r="CC92" i="17"/>
  <c r="FY91" i="17"/>
  <c r="EJ88" i="17"/>
  <c r="CV90" i="17"/>
  <c r="FD90" i="17"/>
  <c r="FX89" i="17"/>
  <c r="DP87" i="17"/>
  <c r="EK91" i="17"/>
  <c r="L12" i="3" l="1"/>
  <c r="M19" i="3" a="1"/>
  <c r="M19" i="3" s="1"/>
  <c r="M18" i="3" a="1"/>
  <c r="M18" i="3" s="1"/>
  <c r="M13" i="3" a="1"/>
  <c r="M13" i="3" s="1"/>
  <c r="M20" i="3" s="1"/>
  <c r="M17" i="3" a="1"/>
  <c r="M17" i="3" s="1"/>
  <c r="M15" i="3" a="1"/>
  <c r="M15" i="3" s="1"/>
  <c r="M14" i="3" a="1"/>
  <c r="M14" i="3" s="1"/>
  <c r="M16" i="3" a="1"/>
  <c r="M16" i="3" s="1"/>
  <c r="M203" i="3" a="1"/>
  <c r="M203" i="3" s="1"/>
  <c r="M202" i="3" a="1"/>
  <c r="M202" i="3" s="1"/>
  <c r="M201" i="3" a="1"/>
  <c r="M201" i="3" s="1"/>
  <c r="M200" i="3" a="1"/>
  <c r="M200" i="3" s="1"/>
  <c r="M199" i="3" a="1"/>
  <c r="M199" i="3" s="1"/>
  <c r="M198" i="3" a="1"/>
  <c r="M198" i="3" s="1"/>
  <c r="M197" i="3" a="1"/>
  <c r="M197" i="3" s="1"/>
  <c r="M204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12" i="3" s="1"/>
  <c r="M107" i="3" a="1"/>
  <c r="M107" i="3" s="1"/>
  <c r="M106" i="3" a="1"/>
  <c r="M106" i="3" s="1"/>
  <c r="M105" i="3" a="1"/>
  <c r="M105" i="3" s="1"/>
  <c r="M104" i="3" a="1"/>
  <c r="M104" i="3" s="1"/>
  <c r="M103" i="3" a="1"/>
  <c r="M103" i="3" s="1"/>
  <c r="M102" i="3" a="1"/>
  <c r="M102" i="3" s="1"/>
  <c r="M101" i="3" a="1"/>
  <c r="M101" i="3" s="1"/>
  <c r="M108" i="3" s="1"/>
  <c r="M187" i="3" a="1"/>
  <c r="M187" i="3" s="1"/>
  <c r="M185" i="3" a="1"/>
  <c r="M185" i="3" s="1"/>
  <c r="M183" i="3" a="1"/>
  <c r="M183" i="3" s="1"/>
  <c r="M181" i="3" a="1"/>
  <c r="M181" i="3" s="1"/>
  <c r="M188" i="3" s="1"/>
  <c r="M186" i="3" a="1"/>
  <c r="M186" i="3" s="1"/>
  <c r="M184" i="3" a="1"/>
  <c r="M184" i="3" s="1"/>
  <c r="M182" i="3" a="1"/>
  <c r="M182" i="3" s="1"/>
  <c r="M227" i="3" a="1"/>
  <c r="M227" i="3" s="1"/>
  <c r="M219" i="3" a="1"/>
  <c r="M219" i="3" s="1"/>
  <c r="M211" i="3" a="1"/>
  <c r="M211" i="3" s="1"/>
  <c r="M179" i="3" a="1"/>
  <c r="M179" i="3" s="1"/>
  <c r="M171" i="3" a="1"/>
  <c r="M171" i="3" s="1"/>
  <c r="M163" i="3" a="1"/>
  <c r="M163" i="3" s="1"/>
  <c r="M155" i="3" a="1"/>
  <c r="M155" i="3" s="1"/>
  <c r="M147" i="3" a="1"/>
  <c r="M147" i="3" s="1"/>
  <c r="M139" i="3" a="1"/>
  <c r="M139" i="3" s="1"/>
  <c r="M131" i="3" a="1"/>
  <c r="M131" i="3" s="1"/>
  <c r="M195" i="3" a="1"/>
  <c r="M195" i="3" s="1"/>
  <c r="M123" i="3" a="1"/>
  <c r="M123" i="3" s="1"/>
  <c r="M115" i="3" a="1"/>
  <c r="M115" i="3" s="1"/>
  <c r="M99" i="3" a="1"/>
  <c r="M99" i="3" s="1"/>
  <c r="M91" i="3" a="1"/>
  <c r="M91" i="3" s="1"/>
  <c r="M83" i="3" a="1"/>
  <c r="M83" i="3" s="1"/>
  <c r="M75" i="3" a="1"/>
  <c r="M75" i="3" s="1"/>
  <c r="M67" i="3" a="1"/>
  <c r="M67" i="3" s="1"/>
  <c r="M59" i="3" a="1"/>
  <c r="M59" i="3" s="1"/>
  <c r="M51" i="3" a="1"/>
  <c r="M51" i="3" s="1"/>
  <c r="M43" i="3" a="1"/>
  <c r="M43" i="3" s="1"/>
  <c r="M35" i="3" a="1"/>
  <c r="M35" i="3" s="1"/>
  <c r="M27" i="3" a="1"/>
  <c r="M27" i="3" s="1"/>
  <c r="M235" i="3" a="1"/>
  <c r="M235" i="3" s="1"/>
  <c r="L196" i="3"/>
  <c r="M193" i="3" a="1"/>
  <c r="M193" i="3" s="1"/>
  <c r="M190" i="3" a="1"/>
  <c r="M190" i="3" s="1"/>
  <c r="M194" i="3" a="1"/>
  <c r="M194" i="3" s="1"/>
  <c r="M192" i="3" a="1"/>
  <c r="M192" i="3" s="1"/>
  <c r="M191" i="3" a="1"/>
  <c r="M191" i="3" s="1"/>
  <c r="M189" i="3" a="1"/>
  <c r="M189" i="3" s="1"/>
  <c r="L180" i="3"/>
  <c r="M178" i="3" a="1"/>
  <c r="M178" i="3" s="1"/>
  <c r="M176" i="3" a="1"/>
  <c r="M176" i="3" s="1"/>
  <c r="M175" i="3" a="1"/>
  <c r="M175" i="3" s="1"/>
  <c r="M174" i="3" a="1"/>
  <c r="M174" i="3" s="1"/>
  <c r="M177" i="3" a="1"/>
  <c r="M177" i="3" s="1"/>
  <c r="M173" i="3" a="1"/>
  <c r="M173" i="3" s="1"/>
  <c r="L68" i="3"/>
  <c r="M66" i="3" a="1"/>
  <c r="M66" i="3" s="1"/>
  <c r="M65" i="3" a="1"/>
  <c r="M65" i="3" s="1"/>
  <c r="M63" i="3" a="1"/>
  <c r="M63" i="3" s="1"/>
  <c r="M61" i="3" a="1"/>
  <c r="M61" i="3" s="1"/>
  <c r="M64" i="3" a="1"/>
  <c r="M64" i="3" s="1"/>
  <c r="M62" i="3" a="1"/>
  <c r="M62" i="3" s="1"/>
  <c r="L148" i="3"/>
  <c r="M146" i="3" a="1"/>
  <c r="M146" i="3" s="1"/>
  <c r="M145" i="3" a="1"/>
  <c r="M145" i="3" s="1"/>
  <c r="M144" i="3" a="1"/>
  <c r="M144" i="3" s="1"/>
  <c r="M143" i="3" a="1"/>
  <c r="M143" i="3" s="1"/>
  <c r="M141" i="3" a="1"/>
  <c r="M141" i="3" s="1"/>
  <c r="M142" i="3" a="1"/>
  <c r="M142" i="3" s="1"/>
  <c r="L36" i="3"/>
  <c r="M33" i="3" a="1"/>
  <c r="M33" i="3" s="1"/>
  <c r="M32" i="3" a="1"/>
  <c r="M32" i="3" s="1"/>
  <c r="M31" i="3" a="1"/>
  <c r="M31" i="3" s="1"/>
  <c r="M34" i="3" a="1"/>
  <c r="M34" i="3" s="1"/>
  <c r="M30" i="3" a="1"/>
  <c r="M30" i="3" s="1"/>
  <c r="M29" i="3" a="1"/>
  <c r="M29" i="3" s="1"/>
  <c r="N2" i="3"/>
  <c r="L172" i="3"/>
  <c r="L228" i="3"/>
  <c r="M169" i="3" a="1"/>
  <c r="M169" i="3" s="1"/>
  <c r="M168" i="3" a="1"/>
  <c r="M168" i="3" s="1"/>
  <c r="M167" i="3" a="1"/>
  <c r="M167" i="3" s="1"/>
  <c r="M166" i="3" a="1"/>
  <c r="M166" i="3" s="1"/>
  <c r="M226" i="3" a="1"/>
  <c r="M226" i="3" s="1"/>
  <c r="M225" i="3" a="1"/>
  <c r="M225" i="3" s="1"/>
  <c r="M222" i="3" a="1"/>
  <c r="M222" i="3" s="1"/>
  <c r="M221" i="3" a="1"/>
  <c r="M221" i="3" s="1"/>
  <c r="M165" i="3" a="1"/>
  <c r="M165" i="3" s="1"/>
  <c r="M223" i="3" a="1"/>
  <c r="M223" i="3" s="1"/>
  <c r="M170" i="3" a="1"/>
  <c r="M170" i="3" s="1"/>
  <c r="M224" i="3" a="1"/>
  <c r="M224" i="3" s="1"/>
  <c r="M129" i="3" a="1"/>
  <c r="M129" i="3" s="1"/>
  <c r="M130" i="3" a="1"/>
  <c r="M130" i="3" s="1"/>
  <c r="M127" i="3" a="1"/>
  <c r="M127" i="3" s="1"/>
  <c r="M126" i="3" a="1"/>
  <c r="M126" i="3" s="1"/>
  <c r="M125" i="3" a="1"/>
  <c r="M125" i="3" s="1"/>
  <c r="M128" i="3" a="1"/>
  <c r="M128" i="3" s="1"/>
  <c r="L132" i="3"/>
  <c r="M42" i="3" a="1"/>
  <c r="M42" i="3" s="1"/>
  <c r="M37" i="3" a="1"/>
  <c r="M37" i="3" s="1"/>
  <c r="M40" i="3" a="1"/>
  <c r="M40" i="3" s="1"/>
  <c r="M38" i="3" a="1"/>
  <c r="M38" i="3" s="1"/>
  <c r="M41" i="3" a="1"/>
  <c r="M41" i="3" s="1"/>
  <c r="M39" i="3" a="1"/>
  <c r="M39" i="3" s="1"/>
  <c r="L44" i="3"/>
  <c r="L140" i="3"/>
  <c r="L212" i="3"/>
  <c r="M208" i="3" a="1"/>
  <c r="M208" i="3" s="1"/>
  <c r="M209" i="3" a="1"/>
  <c r="M209" i="3" s="1"/>
  <c r="M205" i="3" a="1"/>
  <c r="M205" i="3" s="1"/>
  <c r="M136" i="3" a="1"/>
  <c r="M136" i="3" s="1"/>
  <c r="M134" i="3" a="1"/>
  <c r="M134" i="3" s="1"/>
  <c r="M210" i="3" a="1"/>
  <c r="M210" i="3" s="1"/>
  <c r="M206" i="3" a="1"/>
  <c r="M206" i="3" s="1"/>
  <c r="M135" i="3" a="1"/>
  <c r="M135" i="3" s="1"/>
  <c r="M207" i="3" a="1"/>
  <c r="M207" i="3" s="1"/>
  <c r="M138" i="3" a="1"/>
  <c r="M138" i="3" s="1"/>
  <c r="M137" i="3" a="1"/>
  <c r="M137" i="3" s="1"/>
  <c r="M133" i="3" a="1"/>
  <c r="M133" i="3" s="1"/>
  <c r="L220" i="3"/>
  <c r="L60" i="3"/>
  <c r="M58" i="3" a="1"/>
  <c r="M58" i="3" s="1"/>
  <c r="M56" i="3" a="1"/>
  <c r="M56" i="3" s="1"/>
  <c r="M54" i="3" a="1"/>
  <c r="M54" i="3" s="1"/>
  <c r="M53" i="3" a="1"/>
  <c r="M53" i="3" s="1"/>
  <c r="M57" i="3" a="1"/>
  <c r="M57" i="3" s="1"/>
  <c r="M55" i="3" a="1"/>
  <c r="M55" i="3" s="1"/>
  <c r="M213" i="3" a="1"/>
  <c r="M213" i="3" s="1"/>
  <c r="M216" i="3" a="1"/>
  <c r="M216" i="3" s="1"/>
  <c r="M215" i="3" a="1"/>
  <c r="M215" i="3" s="1"/>
  <c r="M214" i="3" a="1"/>
  <c r="M214" i="3" s="1"/>
  <c r="M218" i="3" a="1"/>
  <c r="M218" i="3" s="1"/>
  <c r="M217" i="3" a="1"/>
  <c r="M217" i="3" s="1"/>
  <c r="M45" i="10" a="1"/>
  <c r="M45" i="10" s="1"/>
  <c r="M43" i="10" a="1"/>
  <c r="M43" i="10" s="1"/>
  <c r="M41" i="10" a="1"/>
  <c r="M41" i="10" s="1"/>
  <c r="M44" i="10" a="1"/>
  <c r="M44" i="10" s="1"/>
  <c r="M42" i="10" a="1"/>
  <c r="M42" i="10" s="1"/>
  <c r="M40" i="10" a="1"/>
  <c r="M40" i="10" s="1"/>
  <c r="L46" i="10"/>
  <c r="L124" i="3"/>
  <c r="M122" i="3" a="1"/>
  <c r="M122" i="3" s="1"/>
  <c r="M121" i="3" a="1"/>
  <c r="M121" i="3" s="1"/>
  <c r="M120" i="3" a="1"/>
  <c r="M120" i="3" s="1"/>
  <c r="M119" i="3" a="1"/>
  <c r="M119" i="3" s="1"/>
  <c r="M118" i="3" a="1"/>
  <c r="M118" i="3" s="1"/>
  <c r="M117" i="3" a="1"/>
  <c r="M117" i="3" s="1"/>
  <c r="L92" i="3"/>
  <c r="M90" i="3" a="1"/>
  <c r="M90" i="3" s="1"/>
  <c r="M88" i="3" a="1"/>
  <c r="M88" i="3" s="1"/>
  <c r="M86" i="3" a="1"/>
  <c r="M86" i="3" s="1"/>
  <c r="M89" i="3" a="1"/>
  <c r="M89" i="3" s="1"/>
  <c r="M87" i="3" a="1"/>
  <c r="M87" i="3" s="1"/>
  <c r="M85" i="3" a="1"/>
  <c r="M85" i="3" s="1"/>
  <c r="M152" i="3" a="1"/>
  <c r="M152" i="3" s="1"/>
  <c r="M150" i="3" a="1"/>
  <c r="M150" i="3" s="1"/>
  <c r="M154" i="3" a="1"/>
  <c r="M154" i="3" s="1"/>
  <c r="M153" i="3" a="1"/>
  <c r="M153" i="3" s="1"/>
  <c r="M151" i="3" a="1"/>
  <c r="M151" i="3" s="1"/>
  <c r="M149" i="3" a="1"/>
  <c r="M149" i="3" s="1"/>
  <c r="L156" i="3"/>
  <c r="L52" i="3"/>
  <c r="M50" i="3" a="1"/>
  <c r="M50" i="3" s="1"/>
  <c r="M49" i="3" a="1"/>
  <c r="M49" i="3" s="1"/>
  <c r="M46" i="3" a="1"/>
  <c r="M46" i="3" s="1"/>
  <c r="M47" i="3" a="1"/>
  <c r="M47" i="3" s="1"/>
  <c r="M48" i="3" a="1"/>
  <c r="M48" i="3" s="1"/>
  <c r="M45" i="3" a="1"/>
  <c r="M45" i="3" s="1"/>
  <c r="L46" i="12"/>
  <c r="L46" i="9"/>
  <c r="L46" i="14"/>
  <c r="L46" i="8"/>
  <c r="L46" i="13"/>
  <c r="L46" i="6"/>
  <c r="M45" i="12" a="1"/>
  <c r="M45" i="12" s="1"/>
  <c r="M43" i="12" a="1"/>
  <c r="M43" i="12" s="1"/>
  <c r="M42" i="12" a="1"/>
  <c r="M42" i="12" s="1"/>
  <c r="M41" i="12" a="1"/>
  <c r="M41" i="12" s="1"/>
  <c r="M40" i="12" a="1"/>
  <c r="M40" i="12" s="1"/>
  <c r="M44" i="12" a="1"/>
  <c r="M44" i="12" s="1"/>
  <c r="M45" i="14" a="1"/>
  <c r="M45" i="14" s="1"/>
  <c r="M43" i="14" a="1"/>
  <c r="M43" i="14" s="1"/>
  <c r="M41" i="14" a="1"/>
  <c r="M41" i="14" s="1"/>
  <c r="M44" i="14" a="1"/>
  <c r="M44" i="14" s="1"/>
  <c r="M42" i="14" a="1"/>
  <c r="M42" i="14" s="1"/>
  <c r="M40" i="14" a="1"/>
  <c r="M40" i="14" s="1"/>
  <c r="M44" i="6" a="1"/>
  <c r="M44" i="6" s="1"/>
  <c r="M42" i="6" a="1"/>
  <c r="M42" i="6" s="1"/>
  <c r="M40" i="6" a="1"/>
  <c r="M40" i="6" s="1"/>
  <c r="M45" i="6" a="1"/>
  <c r="M45" i="6" s="1"/>
  <c r="M43" i="6" a="1"/>
  <c r="M43" i="6" s="1"/>
  <c r="M41" i="6" a="1"/>
  <c r="M41" i="6" s="1"/>
  <c r="M45" i="9" a="1"/>
  <c r="M45" i="9" s="1"/>
  <c r="M43" i="9" a="1"/>
  <c r="M43" i="9" s="1"/>
  <c r="M41" i="9" a="1"/>
  <c r="M41" i="9" s="1"/>
  <c r="M44" i="9" a="1"/>
  <c r="M44" i="9" s="1"/>
  <c r="M42" i="9" a="1"/>
  <c r="M42" i="9" s="1"/>
  <c r="M40" i="9" a="1"/>
  <c r="M40" i="9" s="1"/>
  <c r="M45" i="13" a="1"/>
  <c r="M45" i="13" s="1"/>
  <c r="M43" i="13" a="1"/>
  <c r="M43" i="13" s="1"/>
  <c r="M41" i="13" a="1"/>
  <c r="M41" i="13" s="1"/>
  <c r="M40" i="13" a="1"/>
  <c r="M40" i="13" s="1"/>
  <c r="M44" i="13" a="1"/>
  <c r="M44" i="13" s="1"/>
  <c r="M42" i="13" a="1"/>
  <c r="M42" i="13" s="1"/>
  <c r="M44" i="8" a="1"/>
  <c r="M44" i="8" s="1"/>
  <c r="M42" i="8" a="1"/>
  <c r="M42" i="8" s="1"/>
  <c r="M40" i="8" a="1"/>
  <c r="M40" i="8" s="1"/>
  <c r="M45" i="8" a="1"/>
  <c r="M45" i="8" s="1"/>
  <c r="M41" i="8" a="1"/>
  <c r="M41" i="8" s="1"/>
  <c r="M43" i="8" a="1"/>
  <c r="M43" i="8" s="1"/>
  <c r="M98" i="3" a="1"/>
  <c r="M98" i="3" s="1"/>
  <c r="M97" i="3" a="1"/>
  <c r="M97" i="3" s="1"/>
  <c r="M96" i="3" a="1"/>
  <c r="M96" i="3" s="1"/>
  <c r="M95" i="3" a="1"/>
  <c r="M95" i="3" s="1"/>
  <c r="M94" i="3" a="1"/>
  <c r="M94" i="3" s="1"/>
  <c r="M93" i="3" a="1"/>
  <c r="M93" i="3" s="1"/>
  <c r="L100" i="3"/>
  <c r="L28" i="3"/>
  <c r="M23" i="3" a="1"/>
  <c r="M23" i="3" s="1"/>
  <c r="M22" i="3" a="1"/>
  <c r="M22" i="3" s="1"/>
  <c r="M26" i="3" a="1"/>
  <c r="M26" i="3" s="1"/>
  <c r="M25" i="3" a="1"/>
  <c r="M25" i="3" s="1"/>
  <c r="M24" i="3" a="1"/>
  <c r="M24" i="3" s="1"/>
  <c r="M21" i="3" a="1"/>
  <c r="M21" i="3" s="1"/>
  <c r="M38" i="14" a="1"/>
  <c r="M38" i="14" s="1"/>
  <c r="M34" i="14" a="1"/>
  <c r="M34" i="14" s="1"/>
  <c r="M33" i="14" a="1"/>
  <c r="M33" i="14" s="1"/>
  <c r="M35" i="14" a="1"/>
  <c r="M35" i="14" s="1"/>
  <c r="M36" i="14" a="1"/>
  <c r="M36" i="14" s="1"/>
  <c r="M37" i="14" a="1"/>
  <c r="M37" i="14" s="1"/>
  <c r="L39" i="14"/>
  <c r="L116" i="3"/>
  <c r="M111" i="3" a="1"/>
  <c r="M111" i="3" s="1"/>
  <c r="M114" i="3" a="1"/>
  <c r="M114" i="3" s="1"/>
  <c r="M113" i="3" a="1"/>
  <c r="M113" i="3" s="1"/>
  <c r="M112" i="3" a="1"/>
  <c r="M112" i="3" s="1"/>
  <c r="M109" i="3" a="1"/>
  <c r="M109" i="3" s="1"/>
  <c r="M110" i="3" a="1"/>
  <c r="M110" i="3" s="1"/>
  <c r="M162" i="3" a="1"/>
  <c r="M162" i="3" s="1"/>
  <c r="M161" i="3" a="1"/>
  <c r="M161" i="3" s="1"/>
  <c r="M159" i="3" a="1"/>
  <c r="M159" i="3" s="1"/>
  <c r="M157" i="3" a="1"/>
  <c r="M157" i="3" s="1"/>
  <c r="M160" i="3" a="1"/>
  <c r="M160" i="3" s="1"/>
  <c r="M158" i="3" a="1"/>
  <c r="M158" i="3" s="1"/>
  <c r="L164" i="3"/>
  <c r="L76" i="3"/>
  <c r="M74" i="3" a="1"/>
  <c r="M74" i="3" s="1"/>
  <c r="M73" i="3" a="1"/>
  <c r="M73" i="3" s="1"/>
  <c r="M72" i="3" a="1"/>
  <c r="M72" i="3" s="1"/>
  <c r="M70" i="3" a="1"/>
  <c r="M70" i="3" s="1"/>
  <c r="M71" i="3" a="1"/>
  <c r="M71" i="3" s="1"/>
  <c r="M69" i="3" a="1"/>
  <c r="M69" i="3" s="1"/>
  <c r="L236" i="3"/>
  <c r="M234" i="3" a="1"/>
  <c r="M234" i="3" s="1"/>
  <c r="M232" i="3" a="1"/>
  <c r="M232" i="3" s="1"/>
  <c r="M230" i="3" a="1"/>
  <c r="M230" i="3" s="1"/>
  <c r="M231" i="3" a="1"/>
  <c r="M231" i="3" s="1"/>
  <c r="M233" i="3" a="1"/>
  <c r="M233" i="3" s="1"/>
  <c r="M229" i="3" a="1"/>
  <c r="M229" i="3" s="1"/>
  <c r="L84" i="3"/>
  <c r="L11" i="8"/>
  <c r="L25" i="13"/>
  <c r="L32" i="13"/>
  <c r="L11" i="13"/>
  <c r="L25" i="12"/>
  <c r="L18" i="6"/>
  <c r="L39" i="6"/>
  <c r="L32" i="9"/>
  <c r="L25" i="9"/>
  <c r="L32" i="10"/>
  <c r="L18" i="12"/>
  <c r="L11" i="6"/>
  <c r="L32" i="6"/>
  <c r="L39" i="9"/>
  <c r="L18" i="10"/>
  <c r="L11" i="10"/>
  <c r="L32" i="8"/>
  <c r="L18" i="13"/>
  <c r="L39" i="13"/>
  <c r="L39" i="8"/>
  <c r="L25" i="6"/>
  <c r="L11" i="9"/>
  <c r="L18" i="9"/>
  <c r="L25" i="8"/>
  <c r="L18" i="8"/>
  <c r="L11" i="12"/>
  <c r="L32" i="12"/>
  <c r="L39" i="12"/>
  <c r="L25" i="10"/>
  <c r="L39" i="10"/>
  <c r="L32" i="14"/>
  <c r="L25" i="14"/>
  <c r="L11" i="14"/>
  <c r="L18" i="14"/>
  <c r="FE87" i="17"/>
  <c r="CW87" i="17"/>
  <c r="FY89" i="17"/>
  <c r="AZ91" i="17"/>
  <c r="FZ92" i="17"/>
  <c r="CX92" i="17"/>
  <c r="EK88" i="17"/>
  <c r="CC88" i="17"/>
  <c r="CD92" i="17"/>
  <c r="DQ88" i="17"/>
  <c r="FZ90" i="17"/>
  <c r="DR92" i="17"/>
  <c r="FY88" i="17"/>
  <c r="FF92" i="17"/>
  <c r="CW89" i="17"/>
  <c r="CD91" i="17"/>
  <c r="CX91" i="17"/>
  <c r="CW90" i="17"/>
  <c r="CC87" i="17"/>
  <c r="DQ90" i="17"/>
  <c r="EL92" i="17"/>
  <c r="AZ92" i="17"/>
  <c r="AY88" i="17"/>
  <c r="FE89" i="17"/>
  <c r="EL91" i="17"/>
  <c r="AY89" i="17"/>
  <c r="AZ90" i="17"/>
  <c r="FE90" i="17"/>
  <c r="AY87" i="17"/>
  <c r="CW88" i="17"/>
  <c r="FE88" i="17"/>
  <c r="EK90" i="17"/>
  <c r="FZ87" i="17"/>
  <c r="DR91" i="17"/>
  <c r="EK87" i="17"/>
  <c r="FF91" i="17"/>
  <c r="EK89" i="17"/>
  <c r="CC90" i="17"/>
  <c r="DQ87" i="17"/>
  <c r="DQ89" i="17"/>
  <c r="FZ91" i="17"/>
  <c r="CC89" i="17"/>
  <c r="N18" i="3" l="1" a="1"/>
  <c r="N18" i="3" s="1"/>
  <c r="N19" i="3" a="1"/>
  <c r="N19" i="3" s="1"/>
  <c r="N17" i="3" a="1"/>
  <c r="N17" i="3" s="1"/>
  <c r="N16" i="3" a="1"/>
  <c r="N16" i="3" s="1"/>
  <c r="N15" i="3" a="1"/>
  <c r="N15" i="3" s="1"/>
  <c r="N14" i="3" a="1"/>
  <c r="N14" i="3" s="1"/>
  <c r="N13" i="3" a="1"/>
  <c r="N13" i="3" s="1"/>
  <c r="N20" i="3" s="1"/>
  <c r="N203" i="3" a="1"/>
  <c r="N203" i="3" s="1"/>
  <c r="N199" i="3" a="1"/>
  <c r="N199" i="3" s="1"/>
  <c r="N198" i="3" a="1"/>
  <c r="N198" i="3" s="1"/>
  <c r="N197" i="3" a="1"/>
  <c r="N197" i="3" s="1"/>
  <c r="N204" i="3" s="1"/>
  <c r="N202" i="3" a="1"/>
  <c r="N202" i="3" s="1"/>
  <c r="N201" i="3" a="1"/>
  <c r="N201" i="3" s="1"/>
  <c r="N200" i="3" a="1"/>
  <c r="N200" i="3" s="1"/>
  <c r="N11" i="3" a="1"/>
  <c r="N11" i="3" s="1"/>
  <c r="N10" i="3" a="1"/>
  <c r="N10" i="3" s="1"/>
  <c r="N9" i="3" a="1"/>
  <c r="N9" i="3" s="1"/>
  <c r="N8" i="3" a="1"/>
  <c r="N8" i="3" s="1"/>
  <c r="N7" i="3" a="1"/>
  <c r="N7" i="3" s="1"/>
  <c r="N6" i="3" a="1"/>
  <c r="N6" i="3" s="1"/>
  <c r="N5" i="3" a="1"/>
  <c r="N5" i="3" s="1"/>
  <c r="N12" i="3" s="1"/>
  <c r="N107" i="3" a="1"/>
  <c r="N107" i="3" s="1"/>
  <c r="N106" i="3" a="1"/>
  <c r="N106" i="3" s="1"/>
  <c r="N105" i="3" a="1"/>
  <c r="N105" i="3" s="1"/>
  <c r="N104" i="3" a="1"/>
  <c r="N104" i="3" s="1"/>
  <c r="N103" i="3" a="1"/>
  <c r="N103" i="3" s="1"/>
  <c r="N102" i="3" a="1"/>
  <c r="N102" i="3" s="1"/>
  <c r="N101" i="3" a="1"/>
  <c r="N101" i="3" s="1"/>
  <c r="N108" i="3" s="1"/>
  <c r="N186" i="3" a="1"/>
  <c r="N186" i="3" s="1"/>
  <c r="N184" i="3" a="1"/>
  <c r="N184" i="3" s="1"/>
  <c r="N182" i="3" a="1"/>
  <c r="N182" i="3" s="1"/>
  <c r="N187" i="3" a="1"/>
  <c r="N187" i="3" s="1"/>
  <c r="N185" i="3" a="1"/>
  <c r="N185" i="3" s="1"/>
  <c r="N183" i="3" a="1"/>
  <c r="N183" i="3" s="1"/>
  <c r="N181" i="3" a="1"/>
  <c r="N181" i="3" s="1"/>
  <c r="N188" i="3" s="1"/>
  <c r="N227" i="3" a="1"/>
  <c r="N227" i="3" s="1"/>
  <c r="N219" i="3" a="1"/>
  <c r="N219" i="3" s="1"/>
  <c r="N211" i="3" a="1"/>
  <c r="N211" i="3" s="1"/>
  <c r="N179" i="3" a="1"/>
  <c r="N179" i="3" s="1"/>
  <c r="N171" i="3" a="1"/>
  <c r="N171" i="3" s="1"/>
  <c r="N163" i="3" a="1"/>
  <c r="N163" i="3" s="1"/>
  <c r="N155" i="3" a="1"/>
  <c r="N155" i="3" s="1"/>
  <c r="N147" i="3" a="1"/>
  <c r="N147" i="3" s="1"/>
  <c r="N139" i="3" a="1"/>
  <c r="N139" i="3" s="1"/>
  <c r="N131" i="3" a="1"/>
  <c r="N131" i="3" s="1"/>
  <c r="N35" i="3" a="1"/>
  <c r="N35" i="3" s="1"/>
  <c r="N27" i="3" a="1"/>
  <c r="N27" i="3" s="1"/>
  <c r="N235" i="3" a="1"/>
  <c r="N235" i="3" s="1"/>
  <c r="N123" i="3" a="1"/>
  <c r="N123" i="3" s="1"/>
  <c r="N115" i="3" a="1"/>
  <c r="N115" i="3" s="1"/>
  <c r="N99" i="3" a="1"/>
  <c r="N99" i="3" s="1"/>
  <c r="N91" i="3" a="1"/>
  <c r="N91" i="3" s="1"/>
  <c r="N83" i="3" a="1"/>
  <c r="N83" i="3" s="1"/>
  <c r="N75" i="3" a="1"/>
  <c r="N75" i="3" s="1"/>
  <c r="N67" i="3" a="1"/>
  <c r="N67" i="3" s="1"/>
  <c r="N59" i="3" a="1"/>
  <c r="N59" i="3" s="1"/>
  <c r="N51" i="3" a="1"/>
  <c r="N51" i="3" s="1"/>
  <c r="N43" i="3" a="1"/>
  <c r="N43" i="3" s="1"/>
  <c r="N195" i="3" a="1"/>
  <c r="N195" i="3" s="1"/>
  <c r="M196" i="3"/>
  <c r="N194" i="3" a="1"/>
  <c r="N194" i="3" s="1"/>
  <c r="N192" i="3" a="1"/>
  <c r="N192" i="3" s="1"/>
  <c r="N191" i="3" a="1"/>
  <c r="N191" i="3" s="1"/>
  <c r="N189" i="3" a="1"/>
  <c r="N189" i="3" s="1"/>
  <c r="N193" i="3" a="1"/>
  <c r="N193" i="3" s="1"/>
  <c r="N190" i="3" a="1"/>
  <c r="N190" i="3" s="1"/>
  <c r="M180" i="3"/>
  <c r="N178" i="3" a="1"/>
  <c r="N178" i="3" s="1"/>
  <c r="N177" i="3" a="1"/>
  <c r="N177" i="3" s="1"/>
  <c r="N176" i="3" a="1"/>
  <c r="N176" i="3" s="1"/>
  <c r="N175" i="3" a="1"/>
  <c r="N175" i="3" s="1"/>
  <c r="N174" i="3" a="1"/>
  <c r="N174" i="3" s="1"/>
  <c r="N173" i="3" a="1"/>
  <c r="N173" i="3" s="1"/>
  <c r="M68" i="3"/>
  <c r="N66" i="3" a="1"/>
  <c r="N66" i="3" s="1"/>
  <c r="N65" i="3" a="1"/>
  <c r="N65" i="3" s="1"/>
  <c r="N64" i="3" a="1"/>
  <c r="N64" i="3" s="1"/>
  <c r="N62" i="3" a="1"/>
  <c r="N62" i="3" s="1"/>
  <c r="N63" i="3" a="1"/>
  <c r="N63" i="3" s="1"/>
  <c r="N61" i="3" a="1"/>
  <c r="N61" i="3" s="1"/>
  <c r="M148" i="3"/>
  <c r="N146" i="3" a="1"/>
  <c r="N146" i="3" s="1"/>
  <c r="N145" i="3" a="1"/>
  <c r="N145" i="3" s="1"/>
  <c r="N144" i="3" a="1"/>
  <c r="N144" i="3" s="1"/>
  <c r="N143" i="3" a="1"/>
  <c r="N143" i="3" s="1"/>
  <c r="N142" i="3" a="1"/>
  <c r="N142" i="3" s="1"/>
  <c r="N141" i="3" a="1"/>
  <c r="N141" i="3" s="1"/>
  <c r="M36" i="3"/>
  <c r="N29" i="3" a="1"/>
  <c r="N29" i="3" s="1"/>
  <c r="N31" i="3" a="1"/>
  <c r="N31" i="3" s="1"/>
  <c r="N33" i="3" a="1"/>
  <c r="N33" i="3" s="1"/>
  <c r="N32" i="3" a="1"/>
  <c r="N32" i="3" s="1"/>
  <c r="N30" i="3" a="1"/>
  <c r="N30" i="3" s="1"/>
  <c r="N34" i="3" a="1"/>
  <c r="N34" i="3" s="1"/>
  <c r="O2" i="3"/>
  <c r="M228" i="3"/>
  <c r="M172" i="3"/>
  <c r="M132" i="3"/>
  <c r="M44" i="3"/>
  <c r="M140" i="3"/>
  <c r="M212" i="3"/>
  <c r="M60" i="3"/>
  <c r="M220" i="3"/>
  <c r="M46" i="10"/>
  <c r="M124" i="3"/>
  <c r="M92" i="3"/>
  <c r="M156" i="3"/>
  <c r="M52" i="3"/>
  <c r="M46" i="8"/>
  <c r="M46" i="12"/>
  <c r="M46" i="13"/>
  <c r="M46" i="9"/>
  <c r="M46" i="14"/>
  <c r="M46" i="6"/>
  <c r="M100" i="3"/>
  <c r="M28" i="3"/>
  <c r="M39" i="14"/>
  <c r="M116" i="3"/>
  <c r="M164" i="3"/>
  <c r="M76" i="3"/>
  <c r="M236" i="3"/>
  <c r="M79" i="3" a="1"/>
  <c r="M79" i="3" s="1"/>
  <c r="M82" i="3" a="1"/>
  <c r="M82" i="3" s="1"/>
  <c r="M81" i="3" a="1"/>
  <c r="M81" i="3" s="1"/>
  <c r="M80" i="3" a="1"/>
  <c r="M80" i="3" s="1"/>
  <c r="M78" i="3" a="1"/>
  <c r="M78" i="3" s="1"/>
  <c r="M77" i="3" a="1"/>
  <c r="M77" i="3" s="1"/>
  <c r="M38" i="9" a="1"/>
  <c r="M38" i="9" s="1"/>
  <c r="M34" i="9" a="1"/>
  <c r="M34" i="9" s="1"/>
  <c r="M37" i="9" a="1"/>
  <c r="M37" i="9" s="1"/>
  <c r="M36" i="9" a="1"/>
  <c r="M36" i="9" s="1"/>
  <c r="M35" i="9" a="1"/>
  <c r="M35" i="9" s="1"/>
  <c r="M33" i="9" a="1"/>
  <c r="M33" i="9" s="1"/>
  <c r="M21" i="9" a="1"/>
  <c r="M21" i="9" s="1"/>
  <c r="M24" i="9" a="1"/>
  <c r="M24" i="9" s="1"/>
  <c r="M20" i="9" a="1"/>
  <c r="M20" i="9" s="1"/>
  <c r="M26" i="9" a="1"/>
  <c r="M26" i="9" s="1"/>
  <c r="M16" i="9" a="1"/>
  <c r="M16" i="9" s="1"/>
  <c r="M23" i="9" a="1"/>
  <c r="M23" i="9" s="1"/>
  <c r="M19" i="9" a="1"/>
  <c r="M19" i="9" s="1"/>
  <c r="M31" i="9" a="1"/>
  <c r="M31" i="9" s="1"/>
  <c r="M30" i="9" a="1"/>
  <c r="M30" i="9" s="1"/>
  <c r="M29" i="9" a="1"/>
  <c r="M29" i="9" s="1"/>
  <c r="M28" i="9" a="1"/>
  <c r="M28" i="9" s="1"/>
  <c r="M15" i="9" a="1"/>
  <c r="M15" i="9" s="1"/>
  <c r="M14" i="9" a="1"/>
  <c r="M14" i="9" s="1"/>
  <c r="M22" i="9" a="1"/>
  <c r="M22" i="9" s="1"/>
  <c r="M17" i="9" a="1"/>
  <c r="M17" i="9" s="1"/>
  <c r="M12" i="9" a="1"/>
  <c r="M12" i="9" s="1"/>
  <c r="M27" i="9" a="1"/>
  <c r="M27" i="9" s="1"/>
  <c r="M13" i="9" a="1"/>
  <c r="M13" i="9" s="1"/>
  <c r="M8" i="9" a="1"/>
  <c r="M8" i="9" s="1"/>
  <c r="M7" i="9" a="1"/>
  <c r="M7" i="9" s="1"/>
  <c r="M5" i="9" a="1"/>
  <c r="M5" i="9" s="1"/>
  <c r="M6" i="9" a="1"/>
  <c r="M6" i="9" s="1"/>
  <c r="M10" i="9" a="1"/>
  <c r="M10" i="9" s="1"/>
  <c r="M9" i="9" a="1"/>
  <c r="M9" i="9" s="1"/>
  <c r="M3" i="9" a="1"/>
  <c r="M3" i="9" s="1"/>
  <c r="M4" i="9" a="1"/>
  <c r="M4" i="9" s="1"/>
  <c r="M38" i="12" a="1"/>
  <c r="M38" i="12" s="1"/>
  <c r="M36" i="12" a="1"/>
  <c r="M36" i="12" s="1"/>
  <c r="M34" i="12" a="1"/>
  <c r="M34" i="12" s="1"/>
  <c r="M35" i="12" a="1"/>
  <c r="M35" i="12" s="1"/>
  <c r="M37" i="12" a="1"/>
  <c r="M37" i="12" s="1"/>
  <c r="M33" i="12" a="1"/>
  <c r="M33" i="12" s="1"/>
  <c r="M30" i="12" a="1"/>
  <c r="M30" i="12" s="1"/>
  <c r="M29" i="12" a="1"/>
  <c r="M29" i="12" s="1"/>
  <c r="M27" i="12" a="1"/>
  <c r="M27" i="12" s="1"/>
  <c r="M24" i="12" a="1"/>
  <c r="M24" i="12" s="1"/>
  <c r="M22" i="12" a="1"/>
  <c r="M22" i="12" s="1"/>
  <c r="M20" i="12" a="1"/>
  <c r="M20" i="12" s="1"/>
  <c r="M17" i="12" a="1"/>
  <c r="M17" i="12" s="1"/>
  <c r="M15" i="12" a="1"/>
  <c r="M15" i="12" s="1"/>
  <c r="M13" i="12" a="1"/>
  <c r="M13" i="12" s="1"/>
  <c r="M31" i="12" a="1"/>
  <c r="M31" i="12" s="1"/>
  <c r="M28" i="12" a="1"/>
  <c r="M28" i="12" s="1"/>
  <c r="M26" i="12" a="1"/>
  <c r="M26" i="12" s="1"/>
  <c r="M23" i="12" a="1"/>
  <c r="M23" i="12" s="1"/>
  <c r="M21" i="12" a="1"/>
  <c r="M21" i="12" s="1"/>
  <c r="M19" i="12" a="1"/>
  <c r="M19" i="12" s="1"/>
  <c r="M16" i="12" a="1"/>
  <c r="M16" i="12" s="1"/>
  <c r="M14" i="12" a="1"/>
  <c r="M14" i="12" s="1"/>
  <c r="M12" i="12" a="1"/>
  <c r="M12" i="12" s="1"/>
  <c r="M10" i="12" a="1"/>
  <c r="M10" i="12" s="1"/>
  <c r="M6" i="12" a="1"/>
  <c r="M6" i="12" s="1"/>
  <c r="M7" i="12" a="1"/>
  <c r="M7" i="12" s="1"/>
  <c r="M8" i="12" a="1"/>
  <c r="M8" i="12" s="1"/>
  <c r="M9" i="12" a="1"/>
  <c r="M9" i="12" s="1"/>
  <c r="M5" i="12" a="1"/>
  <c r="M5" i="12" s="1"/>
  <c r="M3" i="12" a="1"/>
  <c r="M3" i="12" s="1"/>
  <c r="M4" i="12" a="1"/>
  <c r="M4" i="12" s="1"/>
  <c r="M38" i="6" a="1"/>
  <c r="M38" i="6" s="1"/>
  <c r="M36" i="6" a="1"/>
  <c r="M36" i="6" s="1"/>
  <c r="M34" i="6" a="1"/>
  <c r="M34" i="6" s="1"/>
  <c r="M35" i="6" a="1"/>
  <c r="M35" i="6" s="1"/>
  <c r="M37" i="6" a="1"/>
  <c r="M37" i="6" s="1"/>
  <c r="M33" i="6" a="1"/>
  <c r="M33" i="6" s="1"/>
  <c r="M29" i="6" a="1"/>
  <c r="M29" i="6" s="1"/>
  <c r="M16" i="6" a="1"/>
  <c r="M16" i="6" s="1"/>
  <c r="M12" i="6" a="1"/>
  <c r="M12" i="6" s="1"/>
  <c r="M22" i="6" a="1"/>
  <c r="M22" i="6" s="1"/>
  <c r="M28" i="6" a="1"/>
  <c r="M28" i="6" s="1"/>
  <c r="M15" i="6" a="1"/>
  <c r="M15" i="6" s="1"/>
  <c r="M21" i="6" a="1"/>
  <c r="M21" i="6" s="1"/>
  <c r="M31" i="6" a="1"/>
  <c r="M31" i="6" s="1"/>
  <c r="M27" i="6" a="1"/>
  <c r="M27" i="6" s="1"/>
  <c r="M14" i="6" a="1"/>
  <c r="M14" i="6" s="1"/>
  <c r="M24" i="6" a="1"/>
  <c r="M24" i="6" s="1"/>
  <c r="M20" i="6" a="1"/>
  <c r="M20" i="6" s="1"/>
  <c r="M30" i="6" a="1"/>
  <c r="M30" i="6" s="1"/>
  <c r="M26" i="6" a="1"/>
  <c r="M26" i="6" s="1"/>
  <c r="M17" i="6" a="1"/>
  <c r="M17" i="6" s="1"/>
  <c r="M13" i="6" a="1"/>
  <c r="M13" i="6" s="1"/>
  <c r="M23" i="6" a="1"/>
  <c r="M23" i="6" s="1"/>
  <c r="M19" i="6" a="1"/>
  <c r="M19" i="6" s="1"/>
  <c r="M9" i="6" a="1"/>
  <c r="M9" i="6" s="1"/>
  <c r="M10" i="6" a="1"/>
  <c r="M10" i="6" s="1"/>
  <c r="M5" i="6" a="1"/>
  <c r="M5" i="6" s="1"/>
  <c r="M6" i="6" a="1"/>
  <c r="M6" i="6" s="1"/>
  <c r="M7" i="6" a="1"/>
  <c r="M7" i="6" s="1"/>
  <c r="M8" i="6" a="1"/>
  <c r="M8" i="6" s="1"/>
  <c r="M3" i="6" a="1"/>
  <c r="M3" i="6" s="1"/>
  <c r="M4" i="6" a="1"/>
  <c r="M4" i="6" s="1"/>
  <c r="M37" i="10" a="1"/>
  <c r="M37" i="10" s="1"/>
  <c r="M34" i="10" a="1"/>
  <c r="M34" i="10" s="1"/>
  <c r="M35" i="10" a="1"/>
  <c r="M35" i="10" s="1"/>
  <c r="M33" i="10" a="1"/>
  <c r="M33" i="10" s="1"/>
  <c r="M36" i="10" a="1"/>
  <c r="M36" i="10" s="1"/>
  <c r="M38" i="10" a="1"/>
  <c r="M38" i="10" s="1"/>
  <c r="M26" i="10" a="1"/>
  <c r="M26" i="10" s="1"/>
  <c r="M22" i="10" a="1"/>
  <c r="M22" i="10" s="1"/>
  <c r="M20" i="10" a="1"/>
  <c r="M20" i="10" s="1"/>
  <c r="M7" i="10" a="1"/>
  <c r="M7" i="10" s="1"/>
  <c r="M21" i="10" a="1"/>
  <c r="M21" i="10" s="1"/>
  <c r="M10" i="10" a="1"/>
  <c r="M10" i="10" s="1"/>
  <c r="M6" i="10" a="1"/>
  <c r="M6" i="10" s="1"/>
  <c r="M31" i="10" a="1"/>
  <c r="M31" i="10" s="1"/>
  <c r="M30" i="10" a="1"/>
  <c r="M30" i="10" s="1"/>
  <c r="M29" i="10" a="1"/>
  <c r="M29" i="10" s="1"/>
  <c r="M28" i="10" a="1"/>
  <c r="M28" i="10" s="1"/>
  <c r="M24" i="10" a="1"/>
  <c r="M24" i="10" s="1"/>
  <c r="M19" i="10" a="1"/>
  <c r="M19" i="10" s="1"/>
  <c r="M9" i="10" a="1"/>
  <c r="M9" i="10" s="1"/>
  <c r="M5" i="10" a="1"/>
  <c r="M5" i="10" s="1"/>
  <c r="M27" i="10" a="1"/>
  <c r="M27" i="10" s="1"/>
  <c r="M23" i="10" a="1"/>
  <c r="M23" i="10" s="1"/>
  <c r="M8" i="10" a="1"/>
  <c r="M8" i="10" s="1"/>
  <c r="M17" i="10" a="1"/>
  <c r="M17" i="10" s="1"/>
  <c r="M13" i="10" a="1"/>
  <c r="M13" i="10" s="1"/>
  <c r="M16" i="10" a="1"/>
  <c r="M16" i="10" s="1"/>
  <c r="M12" i="10" a="1"/>
  <c r="M12" i="10" s="1"/>
  <c r="M14" i="10" a="1"/>
  <c r="M14" i="10" s="1"/>
  <c r="M15" i="10" a="1"/>
  <c r="M15" i="10" s="1"/>
  <c r="M3" i="10" a="1"/>
  <c r="M3" i="10" s="1"/>
  <c r="M4" i="10" a="1"/>
  <c r="M4" i="10" s="1"/>
  <c r="M37" i="8" a="1"/>
  <c r="M37" i="8" s="1"/>
  <c r="M38" i="8" a="1"/>
  <c r="M38" i="8" s="1"/>
  <c r="M36" i="8" a="1"/>
  <c r="M36" i="8" s="1"/>
  <c r="M35" i="8" a="1"/>
  <c r="M35" i="8" s="1"/>
  <c r="M34" i="8" a="1"/>
  <c r="M34" i="8" s="1"/>
  <c r="M33" i="8" a="1"/>
  <c r="M33" i="8" s="1"/>
  <c r="M29" i="8" a="1"/>
  <c r="M29" i="8" s="1"/>
  <c r="M24" i="8" a="1"/>
  <c r="M24" i="8" s="1"/>
  <c r="M17" i="8" a="1"/>
  <c r="M17" i="8" s="1"/>
  <c r="M15" i="8" a="1"/>
  <c r="M15" i="8" s="1"/>
  <c r="M28" i="8" a="1"/>
  <c r="M28" i="8" s="1"/>
  <c r="M23" i="8" a="1"/>
  <c r="M23" i="8" s="1"/>
  <c r="M22" i="8" a="1"/>
  <c r="M22" i="8" s="1"/>
  <c r="M21" i="8" a="1"/>
  <c r="M21" i="8" s="1"/>
  <c r="M31" i="8" a="1"/>
  <c r="M31" i="8" s="1"/>
  <c r="M27" i="8" a="1"/>
  <c r="M27" i="8" s="1"/>
  <c r="M13" i="8" a="1"/>
  <c r="M13" i="8" s="1"/>
  <c r="M20" i="8" a="1"/>
  <c r="M20" i="8" s="1"/>
  <c r="M19" i="8" a="1"/>
  <c r="M19" i="8" s="1"/>
  <c r="M16" i="8" a="1"/>
  <c r="M16" i="8" s="1"/>
  <c r="M30" i="8" a="1"/>
  <c r="M30" i="8" s="1"/>
  <c r="M26" i="8" a="1"/>
  <c r="M26" i="8" s="1"/>
  <c r="M14" i="8" a="1"/>
  <c r="M14" i="8" s="1"/>
  <c r="M12" i="8" a="1"/>
  <c r="M12" i="8" s="1"/>
  <c r="M5" i="8" a="1"/>
  <c r="M5" i="8" s="1"/>
  <c r="M9" i="8" a="1"/>
  <c r="M9" i="8" s="1"/>
  <c r="M10" i="8" a="1"/>
  <c r="M10" i="8" s="1"/>
  <c r="M8" i="8" a="1"/>
  <c r="M8" i="8" s="1"/>
  <c r="M7" i="8" a="1"/>
  <c r="M7" i="8" s="1"/>
  <c r="M6" i="8" a="1"/>
  <c r="M6" i="8" s="1"/>
  <c r="M3" i="8" a="1"/>
  <c r="M3" i="8" s="1"/>
  <c r="M4" i="8" a="1"/>
  <c r="M4" i="8" s="1"/>
  <c r="M24" i="14" a="1"/>
  <c r="M24" i="14" s="1"/>
  <c r="M22" i="14" a="1"/>
  <c r="M22" i="14" s="1"/>
  <c r="M19" i="14" a="1"/>
  <c r="M19" i="14" s="1"/>
  <c r="M31" i="14" a="1"/>
  <c r="M31" i="14" s="1"/>
  <c r="M30" i="14" a="1"/>
  <c r="M30" i="14" s="1"/>
  <c r="M29" i="14" a="1"/>
  <c r="M29" i="14" s="1"/>
  <c r="M20" i="14" a="1"/>
  <c r="M20" i="14" s="1"/>
  <c r="M28" i="14" a="1"/>
  <c r="M28" i="14" s="1"/>
  <c r="M27" i="14" a="1"/>
  <c r="M27" i="14" s="1"/>
  <c r="M26" i="14" a="1"/>
  <c r="M26" i="14" s="1"/>
  <c r="M17" i="14" a="1"/>
  <c r="M17" i="14" s="1"/>
  <c r="M16" i="14" a="1"/>
  <c r="M16" i="14" s="1"/>
  <c r="M15" i="14" a="1"/>
  <c r="M15" i="14" s="1"/>
  <c r="M14" i="14" a="1"/>
  <c r="M14" i="14" s="1"/>
  <c r="M13" i="14" a="1"/>
  <c r="M13" i="14" s="1"/>
  <c r="M12" i="14" a="1"/>
  <c r="M12" i="14" s="1"/>
  <c r="M23" i="14" a="1"/>
  <c r="M23" i="14" s="1"/>
  <c r="M21" i="14" a="1"/>
  <c r="M21" i="14" s="1"/>
  <c r="M5" i="14" a="1"/>
  <c r="M5" i="14" s="1"/>
  <c r="M7" i="14" a="1"/>
  <c r="M7" i="14" s="1"/>
  <c r="M8" i="14" a="1"/>
  <c r="M8" i="14" s="1"/>
  <c r="M6" i="14" a="1"/>
  <c r="M6" i="14" s="1"/>
  <c r="M10" i="14" a="1"/>
  <c r="M10" i="14" s="1"/>
  <c r="M3" i="14" a="1"/>
  <c r="M3" i="14" s="1"/>
  <c r="M9" i="14" a="1"/>
  <c r="M9" i="14" s="1"/>
  <c r="M4" i="14" a="1"/>
  <c r="M4" i="14" s="1"/>
  <c r="M37" i="13" a="1"/>
  <c r="M37" i="13" s="1"/>
  <c r="M35" i="13" a="1"/>
  <c r="M35" i="13" s="1"/>
  <c r="M33" i="13" a="1"/>
  <c r="M33" i="13" s="1"/>
  <c r="M38" i="13" a="1"/>
  <c r="M38" i="13" s="1"/>
  <c r="M36" i="13" a="1"/>
  <c r="M36" i="13" s="1"/>
  <c r="M34" i="13" a="1"/>
  <c r="M34" i="13" s="1"/>
  <c r="M28" i="13" a="1"/>
  <c r="M28" i="13" s="1"/>
  <c r="M24" i="13" a="1"/>
  <c r="M24" i="13" s="1"/>
  <c r="M31" i="13" a="1"/>
  <c r="M31" i="13" s="1"/>
  <c r="M27" i="13" a="1"/>
  <c r="M27" i="13" s="1"/>
  <c r="M23" i="13" a="1"/>
  <c r="M23" i="13" s="1"/>
  <c r="M30" i="13" a="1"/>
  <c r="M30" i="13" s="1"/>
  <c r="M26" i="13" a="1"/>
  <c r="M26" i="13" s="1"/>
  <c r="M22" i="13" a="1"/>
  <c r="M22" i="13" s="1"/>
  <c r="M29" i="13" a="1"/>
  <c r="M29" i="13" s="1"/>
  <c r="M20" i="13" a="1"/>
  <c r="M20" i="13" s="1"/>
  <c r="M14" i="13" a="1"/>
  <c r="M14" i="13" s="1"/>
  <c r="M21" i="13" a="1"/>
  <c r="M21" i="13" s="1"/>
  <c r="M19" i="13" a="1"/>
  <c r="M19" i="13" s="1"/>
  <c r="M17" i="13" a="1"/>
  <c r="M17" i="13" s="1"/>
  <c r="M13" i="13" a="1"/>
  <c r="M13" i="13" s="1"/>
  <c r="M16" i="13" a="1"/>
  <c r="M16" i="13" s="1"/>
  <c r="M12" i="13" a="1"/>
  <c r="M12" i="13" s="1"/>
  <c r="M15" i="13" a="1"/>
  <c r="M15" i="13" s="1"/>
  <c r="M10" i="13" a="1"/>
  <c r="M10" i="13" s="1"/>
  <c r="M5" i="13" a="1"/>
  <c r="M5" i="13" s="1"/>
  <c r="M7" i="13" a="1"/>
  <c r="M7" i="13" s="1"/>
  <c r="M9" i="13" a="1"/>
  <c r="M9" i="13" s="1"/>
  <c r="M6" i="13" a="1"/>
  <c r="M6" i="13" s="1"/>
  <c r="M8" i="13" a="1"/>
  <c r="M8" i="13" s="1"/>
  <c r="M3" i="13" a="1"/>
  <c r="M3" i="13" s="1"/>
  <c r="M4" i="13" a="1"/>
  <c r="M4" i="13" s="1"/>
  <c r="CX87" i="17"/>
  <c r="AZ88" i="17"/>
  <c r="EL90" i="17"/>
  <c r="GA91" i="17"/>
  <c r="AZ89" i="17"/>
  <c r="CX90" i="17"/>
  <c r="GA90" i="17"/>
  <c r="FZ88" i="17"/>
  <c r="FF87" i="17"/>
  <c r="FF88" i="17"/>
  <c r="EL88" i="17"/>
  <c r="CD87" i="17"/>
  <c r="DR87" i="17"/>
  <c r="CD88" i="17"/>
  <c r="DR89" i="17"/>
  <c r="CX88" i="17"/>
  <c r="CD90" i="17"/>
  <c r="FF89" i="17"/>
  <c r="DR88" i="17"/>
  <c r="AZ87" i="17"/>
  <c r="EL87" i="17"/>
  <c r="EL89" i="17"/>
  <c r="DR90" i="17"/>
  <c r="CX89" i="17"/>
  <c r="FF90" i="17"/>
  <c r="GA92" i="17"/>
  <c r="FZ89" i="17"/>
  <c r="CD89" i="17"/>
  <c r="O19" i="3" l="1" a="1"/>
  <c r="O19" i="3" s="1"/>
  <c r="O18" i="3" a="1"/>
  <c r="O18" i="3" s="1"/>
  <c r="O15" i="3" a="1"/>
  <c r="O15" i="3" s="1"/>
  <c r="O14" i="3" a="1"/>
  <c r="O14" i="3" s="1"/>
  <c r="O17" i="3" a="1"/>
  <c r="O17" i="3" s="1"/>
  <c r="O13" i="3" a="1"/>
  <c r="O13" i="3" s="1"/>
  <c r="O20" i="3" s="1"/>
  <c r="O16" i="3" a="1"/>
  <c r="O16" i="3" s="1"/>
  <c r="O203" i="3" a="1"/>
  <c r="O203" i="3" s="1"/>
  <c r="O202" i="3" a="1"/>
  <c r="O202" i="3" s="1"/>
  <c r="O201" i="3" a="1"/>
  <c r="O201" i="3" s="1"/>
  <c r="O200" i="3" a="1"/>
  <c r="O200" i="3" s="1"/>
  <c r="O199" i="3" a="1"/>
  <c r="O199" i="3" s="1"/>
  <c r="O197" i="3" a="1"/>
  <c r="O197" i="3" s="1"/>
  <c r="O204" i="3" s="1"/>
  <c r="O198" i="3" a="1"/>
  <c r="O198" i="3" s="1"/>
  <c r="O11" i="3" a="1"/>
  <c r="O11" i="3" s="1"/>
  <c r="O10" i="3" a="1"/>
  <c r="O10" i="3" s="1"/>
  <c r="O9" i="3" a="1"/>
  <c r="O9" i="3" s="1"/>
  <c r="O8" i="3" a="1"/>
  <c r="O8" i="3" s="1"/>
  <c r="O6" i="3" a="1"/>
  <c r="O6" i="3" s="1"/>
  <c r="O5" i="3" a="1"/>
  <c r="O5" i="3" s="1"/>
  <c r="O12" i="3" s="1"/>
  <c r="O7" i="3" a="1"/>
  <c r="O7" i="3" s="1"/>
  <c r="O107" i="3" a="1"/>
  <c r="O107" i="3" s="1"/>
  <c r="O106" i="3" a="1"/>
  <c r="O106" i="3" s="1"/>
  <c r="O105" i="3" a="1"/>
  <c r="O105" i="3" s="1"/>
  <c r="O104" i="3" a="1"/>
  <c r="O104" i="3" s="1"/>
  <c r="O103" i="3" a="1"/>
  <c r="O103" i="3" s="1"/>
  <c r="O102" i="3" a="1"/>
  <c r="O102" i="3" s="1"/>
  <c r="O101" i="3" a="1"/>
  <c r="O101" i="3" s="1"/>
  <c r="O108" i="3" s="1"/>
  <c r="O187" i="3" a="1"/>
  <c r="O187" i="3" s="1"/>
  <c r="O185" i="3" a="1"/>
  <c r="O185" i="3" s="1"/>
  <c r="O183" i="3" a="1"/>
  <c r="O183" i="3" s="1"/>
  <c r="O181" i="3" a="1"/>
  <c r="O181" i="3" s="1"/>
  <c r="O188" i="3" s="1"/>
  <c r="O186" i="3" a="1"/>
  <c r="O186" i="3" s="1"/>
  <c r="O184" i="3" a="1"/>
  <c r="O184" i="3" s="1"/>
  <c r="O182" i="3" a="1"/>
  <c r="O182" i="3" s="1"/>
  <c r="O227" i="3" a="1"/>
  <c r="O227" i="3" s="1"/>
  <c r="O219" i="3" a="1"/>
  <c r="O219" i="3" s="1"/>
  <c r="O211" i="3" a="1"/>
  <c r="O211" i="3" s="1"/>
  <c r="O179" i="3" a="1"/>
  <c r="O179" i="3" s="1"/>
  <c r="O171" i="3" a="1"/>
  <c r="O171" i="3" s="1"/>
  <c r="O163" i="3" a="1"/>
  <c r="O163" i="3" s="1"/>
  <c r="O155" i="3" a="1"/>
  <c r="O155" i="3" s="1"/>
  <c r="O147" i="3" a="1"/>
  <c r="O147" i="3" s="1"/>
  <c r="O139" i="3" a="1"/>
  <c r="O139" i="3" s="1"/>
  <c r="O131" i="3" a="1"/>
  <c r="O131" i="3" s="1"/>
  <c r="O195" i="3" a="1"/>
  <c r="O195" i="3" s="1"/>
  <c r="O123" i="3" a="1"/>
  <c r="O123" i="3" s="1"/>
  <c r="O115" i="3" a="1"/>
  <c r="O115" i="3" s="1"/>
  <c r="O99" i="3" a="1"/>
  <c r="O99" i="3" s="1"/>
  <c r="O91" i="3" a="1"/>
  <c r="O91" i="3" s="1"/>
  <c r="O83" i="3" a="1"/>
  <c r="O83" i="3" s="1"/>
  <c r="O75" i="3" a="1"/>
  <c r="O75" i="3" s="1"/>
  <c r="O67" i="3" a="1"/>
  <c r="O67" i="3" s="1"/>
  <c r="O59" i="3" a="1"/>
  <c r="O59" i="3" s="1"/>
  <c r="O51" i="3" a="1"/>
  <c r="O51" i="3" s="1"/>
  <c r="O43" i="3" a="1"/>
  <c r="O43" i="3" s="1"/>
  <c r="O35" i="3" a="1"/>
  <c r="O35" i="3" s="1"/>
  <c r="O27" i="3" a="1"/>
  <c r="O27" i="3" s="1"/>
  <c r="O235" i="3" a="1"/>
  <c r="O235" i="3" s="1"/>
  <c r="N196" i="3"/>
  <c r="O193" i="3" a="1"/>
  <c r="O193" i="3" s="1"/>
  <c r="O190" i="3" a="1"/>
  <c r="O190" i="3" s="1"/>
  <c r="O194" i="3" a="1"/>
  <c r="O194" i="3" s="1"/>
  <c r="O192" i="3" a="1"/>
  <c r="O192" i="3" s="1"/>
  <c r="O191" i="3" a="1"/>
  <c r="O191" i="3" s="1"/>
  <c r="O189" i="3" a="1"/>
  <c r="O189" i="3" s="1"/>
  <c r="N180" i="3"/>
  <c r="O178" i="3" a="1"/>
  <c r="O178" i="3" s="1"/>
  <c r="O176" i="3" a="1"/>
  <c r="O176" i="3" s="1"/>
  <c r="O175" i="3" a="1"/>
  <c r="O175" i="3" s="1"/>
  <c r="O174" i="3" a="1"/>
  <c r="O174" i="3" s="1"/>
  <c r="O173" i="3" a="1"/>
  <c r="O173" i="3" s="1"/>
  <c r="O177" i="3" a="1"/>
  <c r="O177" i="3" s="1"/>
  <c r="N68" i="3"/>
  <c r="O66" i="3" a="1"/>
  <c r="O66" i="3" s="1"/>
  <c r="O65" i="3" a="1"/>
  <c r="O65" i="3" s="1"/>
  <c r="O64" i="3" a="1"/>
  <c r="O64" i="3" s="1"/>
  <c r="O63" i="3" a="1"/>
  <c r="O63" i="3" s="1"/>
  <c r="O61" i="3" a="1"/>
  <c r="O61" i="3" s="1"/>
  <c r="O62" i="3" a="1"/>
  <c r="O62" i="3" s="1"/>
  <c r="N148" i="3"/>
  <c r="O146" i="3" a="1"/>
  <c r="O146" i="3" s="1"/>
  <c r="O145" i="3" a="1"/>
  <c r="O145" i="3" s="1"/>
  <c r="O144" i="3" a="1"/>
  <c r="O144" i="3" s="1"/>
  <c r="O143" i="3" a="1"/>
  <c r="O143" i="3" s="1"/>
  <c r="O142" i="3" a="1"/>
  <c r="O142" i="3" s="1"/>
  <c r="O141" i="3" a="1"/>
  <c r="O141" i="3" s="1"/>
  <c r="N36" i="3"/>
  <c r="O32" i="3" a="1"/>
  <c r="O32" i="3" s="1"/>
  <c r="O29" i="3" a="1"/>
  <c r="O29" i="3" s="1"/>
  <c r="O31" i="3" a="1"/>
  <c r="O31" i="3" s="1"/>
  <c r="O33" i="3" a="1"/>
  <c r="O33" i="3" s="1"/>
  <c r="O30" i="3" a="1"/>
  <c r="O30" i="3" s="1"/>
  <c r="O34" i="3" a="1"/>
  <c r="O34" i="3" s="1"/>
  <c r="P2" i="3"/>
  <c r="N170" i="3" a="1"/>
  <c r="N170" i="3" s="1"/>
  <c r="N169" i="3" a="1"/>
  <c r="N169" i="3" s="1"/>
  <c r="N224" i="3" a="1"/>
  <c r="N224" i="3" s="1"/>
  <c r="N223" i="3" a="1"/>
  <c r="N223" i="3" s="1"/>
  <c r="N222" i="3" a="1"/>
  <c r="N222" i="3" s="1"/>
  <c r="N221" i="3" a="1"/>
  <c r="N221" i="3" s="1"/>
  <c r="N166" i="3" a="1"/>
  <c r="N166" i="3" s="1"/>
  <c r="N226" i="3" a="1"/>
  <c r="N226" i="3" s="1"/>
  <c r="N225" i="3" a="1"/>
  <c r="N225" i="3" s="1"/>
  <c r="N168" i="3" a="1"/>
  <c r="N168" i="3" s="1"/>
  <c r="N167" i="3" a="1"/>
  <c r="N167" i="3" s="1"/>
  <c r="N165" i="3" a="1"/>
  <c r="N165" i="3" s="1"/>
  <c r="N130" i="3" a="1"/>
  <c r="N130" i="3" s="1"/>
  <c r="N126" i="3" a="1"/>
  <c r="N126" i="3" s="1"/>
  <c r="N127" i="3" a="1"/>
  <c r="N127" i="3" s="1"/>
  <c r="N128" i="3" a="1"/>
  <c r="N128" i="3" s="1"/>
  <c r="N125" i="3" a="1"/>
  <c r="N125" i="3" s="1"/>
  <c r="N129" i="3" a="1"/>
  <c r="N129" i="3" s="1"/>
  <c r="N42" i="3" a="1"/>
  <c r="N42" i="3" s="1"/>
  <c r="N40" i="3" a="1"/>
  <c r="N40" i="3" s="1"/>
  <c r="N38" i="3" a="1"/>
  <c r="N38" i="3" s="1"/>
  <c r="N41" i="3" a="1"/>
  <c r="N41" i="3" s="1"/>
  <c r="N39" i="3" a="1"/>
  <c r="N39" i="3" s="1"/>
  <c r="N37" i="3" a="1"/>
  <c r="N37" i="3" s="1"/>
  <c r="N210" i="3" a="1"/>
  <c r="N210" i="3" s="1"/>
  <c r="N206" i="3" a="1"/>
  <c r="N206" i="3" s="1"/>
  <c r="N207" i="3" a="1"/>
  <c r="N207" i="3" s="1"/>
  <c r="N209" i="3" a="1"/>
  <c r="N209" i="3" s="1"/>
  <c r="N205" i="3" a="1"/>
  <c r="N205" i="3" s="1"/>
  <c r="N138" i="3" a="1"/>
  <c r="N138" i="3" s="1"/>
  <c r="N137" i="3" a="1"/>
  <c r="N137" i="3" s="1"/>
  <c r="N208" i="3" a="1"/>
  <c r="N208" i="3" s="1"/>
  <c r="N133" i="3" a="1"/>
  <c r="N133" i="3" s="1"/>
  <c r="N134" i="3" a="1"/>
  <c r="N134" i="3" s="1"/>
  <c r="N135" i="3" a="1"/>
  <c r="N135" i="3" s="1"/>
  <c r="N136" i="3" a="1"/>
  <c r="N136" i="3" s="1"/>
  <c r="N57" i="3" a="1"/>
  <c r="N57" i="3" s="1"/>
  <c r="N58" i="3" a="1"/>
  <c r="N58" i="3" s="1"/>
  <c r="N54" i="3" a="1"/>
  <c r="N54" i="3" s="1"/>
  <c r="N55" i="3" a="1"/>
  <c r="N55" i="3" s="1"/>
  <c r="N53" i="3" a="1"/>
  <c r="N53" i="3" s="1"/>
  <c r="N56" i="3" a="1"/>
  <c r="N56" i="3" s="1"/>
  <c r="N213" i="3" a="1"/>
  <c r="N213" i="3" s="1"/>
  <c r="N218" i="3" a="1"/>
  <c r="N218" i="3" s="1"/>
  <c r="N217" i="3" a="1"/>
  <c r="N217" i="3" s="1"/>
  <c r="N216" i="3" a="1"/>
  <c r="N216" i="3" s="1"/>
  <c r="N215" i="3" a="1"/>
  <c r="N215" i="3" s="1"/>
  <c r="N214" i="3" a="1"/>
  <c r="N214" i="3" s="1"/>
  <c r="N45" i="10" a="1"/>
  <c r="N45" i="10" s="1"/>
  <c r="N43" i="10" a="1"/>
  <c r="N43" i="10" s="1"/>
  <c r="N41" i="10" a="1"/>
  <c r="N41" i="10" s="1"/>
  <c r="N44" i="10" a="1"/>
  <c r="N44" i="10" s="1"/>
  <c r="N42" i="10" a="1"/>
  <c r="N42" i="10" s="1"/>
  <c r="N40" i="10" a="1"/>
  <c r="N40" i="10" s="1"/>
  <c r="N120" i="3" a="1"/>
  <c r="N120" i="3" s="1"/>
  <c r="N118" i="3" a="1"/>
  <c r="N118" i="3" s="1"/>
  <c r="N121" i="3" a="1"/>
  <c r="N121" i="3" s="1"/>
  <c r="N119" i="3" a="1"/>
  <c r="N119" i="3" s="1"/>
  <c r="N122" i="3" a="1"/>
  <c r="N122" i="3" s="1"/>
  <c r="N117" i="3" a="1"/>
  <c r="N117" i="3" s="1"/>
  <c r="N90" i="3" a="1"/>
  <c r="N90" i="3" s="1"/>
  <c r="N88" i="3" a="1"/>
  <c r="N88" i="3" s="1"/>
  <c r="N86" i="3" a="1"/>
  <c r="N86" i="3" s="1"/>
  <c r="N89" i="3" a="1"/>
  <c r="N89" i="3" s="1"/>
  <c r="N87" i="3" a="1"/>
  <c r="N87" i="3" s="1"/>
  <c r="N85" i="3" a="1"/>
  <c r="N85" i="3" s="1"/>
  <c r="N152" i="3" a="1"/>
  <c r="N152" i="3" s="1"/>
  <c r="N149" i="3" a="1"/>
  <c r="N149" i="3" s="1"/>
  <c r="N153" i="3" a="1"/>
  <c r="N153" i="3" s="1"/>
  <c r="N151" i="3" a="1"/>
  <c r="N151" i="3" s="1"/>
  <c r="N154" i="3" a="1"/>
  <c r="N154" i="3" s="1"/>
  <c r="N150" i="3" a="1"/>
  <c r="N150" i="3" s="1"/>
  <c r="N47" i="3" a="1"/>
  <c r="N47" i="3" s="1"/>
  <c r="N48" i="3" a="1"/>
  <c r="N48" i="3" s="1"/>
  <c r="N50" i="3" a="1"/>
  <c r="N50" i="3" s="1"/>
  <c r="N45" i="3" a="1"/>
  <c r="N45" i="3" s="1"/>
  <c r="N46" i="3" a="1"/>
  <c r="N46" i="3" s="1"/>
  <c r="N49" i="3" a="1"/>
  <c r="N49" i="3" s="1"/>
  <c r="N44" i="8" a="1"/>
  <c r="N44" i="8" s="1"/>
  <c r="N42" i="8" a="1"/>
  <c r="N42" i="8" s="1"/>
  <c r="N40" i="8" a="1"/>
  <c r="N40" i="8" s="1"/>
  <c r="N45" i="8" a="1"/>
  <c r="N45" i="8" s="1"/>
  <c r="N43" i="8" a="1"/>
  <c r="N43" i="8" s="1"/>
  <c r="N41" i="8" a="1"/>
  <c r="N41" i="8" s="1"/>
  <c r="N44" i="14" a="1"/>
  <c r="N44" i="14" s="1"/>
  <c r="N42" i="14" a="1"/>
  <c r="N42" i="14" s="1"/>
  <c r="N40" i="14" a="1"/>
  <c r="N40" i="14" s="1"/>
  <c r="N45" i="14" a="1"/>
  <c r="N45" i="14" s="1"/>
  <c r="N41" i="14" a="1"/>
  <c r="N41" i="14" s="1"/>
  <c r="N43" i="14" a="1"/>
  <c r="N43" i="14" s="1"/>
  <c r="N44" i="9" a="1"/>
  <c r="N44" i="9" s="1"/>
  <c r="N42" i="9" a="1"/>
  <c r="N42" i="9" s="1"/>
  <c r="N40" i="9" a="1"/>
  <c r="N40" i="9" s="1"/>
  <c r="N43" i="9" a="1"/>
  <c r="N43" i="9" s="1"/>
  <c r="N41" i="9" a="1"/>
  <c r="N41" i="9" s="1"/>
  <c r="N45" i="9" a="1"/>
  <c r="N45" i="9" s="1"/>
  <c r="N44" i="13" a="1"/>
  <c r="N44" i="13" s="1"/>
  <c r="N42" i="13" a="1"/>
  <c r="N42" i="13" s="1"/>
  <c r="N43" i="13" a="1"/>
  <c r="N43" i="13" s="1"/>
  <c r="N41" i="13" a="1"/>
  <c r="N41" i="13" s="1"/>
  <c r="N45" i="13" a="1"/>
  <c r="N45" i="13" s="1"/>
  <c r="N40" i="13" a="1"/>
  <c r="N40" i="13" s="1"/>
  <c r="N44" i="6" a="1"/>
  <c r="N44" i="6" s="1"/>
  <c r="N45" i="6" a="1"/>
  <c r="N45" i="6" s="1"/>
  <c r="N43" i="6" a="1"/>
  <c r="N43" i="6" s="1"/>
  <c r="N41" i="6" a="1"/>
  <c r="N41" i="6" s="1"/>
  <c r="N42" i="6" a="1"/>
  <c r="N42" i="6" s="1"/>
  <c r="N40" i="6" a="1"/>
  <c r="N40" i="6" s="1"/>
  <c r="N45" i="12" a="1"/>
  <c r="N45" i="12" s="1"/>
  <c r="N43" i="12" a="1"/>
  <c r="N43" i="12" s="1"/>
  <c r="N44" i="12" a="1"/>
  <c r="N44" i="12" s="1"/>
  <c r="N42" i="12" a="1"/>
  <c r="N42" i="12" s="1"/>
  <c r="N40" i="12" a="1"/>
  <c r="N40" i="12" s="1"/>
  <c r="N41" i="12" a="1"/>
  <c r="N41" i="12" s="1"/>
  <c r="N97" i="3" a="1"/>
  <c r="N97" i="3" s="1"/>
  <c r="N96" i="3" a="1"/>
  <c r="N96" i="3" s="1"/>
  <c r="N95" i="3" a="1"/>
  <c r="N95" i="3" s="1"/>
  <c r="N94" i="3" a="1"/>
  <c r="N94" i="3" s="1"/>
  <c r="N93" i="3" a="1"/>
  <c r="N93" i="3" s="1"/>
  <c r="N98" i="3" a="1"/>
  <c r="N98" i="3" s="1"/>
  <c r="N23" i="3" a="1"/>
  <c r="N23" i="3" s="1"/>
  <c r="N26" i="3" a="1"/>
  <c r="N26" i="3" s="1"/>
  <c r="N25" i="3" a="1"/>
  <c r="N25" i="3" s="1"/>
  <c r="N24" i="3" a="1"/>
  <c r="N24" i="3" s="1"/>
  <c r="N22" i="3" a="1"/>
  <c r="N22" i="3" s="1"/>
  <c r="N21" i="3" a="1"/>
  <c r="N21" i="3" s="1"/>
  <c r="N38" i="14" a="1"/>
  <c r="N38" i="14" s="1"/>
  <c r="N34" i="14" a="1"/>
  <c r="N34" i="14" s="1"/>
  <c r="N35" i="14" a="1"/>
  <c r="N35" i="14" s="1"/>
  <c r="N33" i="14" a="1"/>
  <c r="N33" i="14" s="1"/>
  <c r="N36" i="14" a="1"/>
  <c r="N36" i="14" s="1"/>
  <c r="N37" i="14" a="1"/>
  <c r="N37" i="14" s="1"/>
  <c r="N114" i="3" a="1"/>
  <c r="N114" i="3" s="1"/>
  <c r="N113" i="3" a="1"/>
  <c r="N113" i="3" s="1"/>
  <c r="N111" i="3" a="1"/>
  <c r="N111" i="3" s="1"/>
  <c r="N110" i="3" a="1"/>
  <c r="N110" i="3" s="1"/>
  <c r="N112" i="3" a="1"/>
  <c r="N112" i="3" s="1"/>
  <c r="N109" i="3" a="1"/>
  <c r="N109" i="3" s="1"/>
  <c r="N162" i="3" a="1"/>
  <c r="N162" i="3" s="1"/>
  <c r="N161" i="3" a="1"/>
  <c r="N161" i="3" s="1"/>
  <c r="N159" i="3" a="1"/>
  <c r="N159" i="3" s="1"/>
  <c r="N160" i="3" a="1"/>
  <c r="N160" i="3" s="1"/>
  <c r="N158" i="3" a="1"/>
  <c r="N158" i="3" s="1"/>
  <c r="N157" i="3" a="1"/>
  <c r="N157" i="3" s="1"/>
  <c r="N74" i="3" a="1"/>
  <c r="N74" i="3" s="1"/>
  <c r="N72" i="3" a="1"/>
  <c r="N72" i="3" s="1"/>
  <c r="N73" i="3" a="1"/>
  <c r="N73" i="3" s="1"/>
  <c r="N71" i="3" a="1"/>
  <c r="N71" i="3" s="1"/>
  <c r="N69" i="3" a="1"/>
  <c r="N69" i="3" s="1"/>
  <c r="N70" i="3" a="1"/>
  <c r="N70" i="3" s="1"/>
  <c r="N234" i="3" a="1"/>
  <c r="N234" i="3" s="1"/>
  <c r="N233" i="3" a="1"/>
  <c r="N233" i="3" s="1"/>
  <c r="N231" i="3" a="1"/>
  <c r="N231" i="3" s="1"/>
  <c r="N229" i="3" a="1"/>
  <c r="N229" i="3" s="1"/>
  <c r="N232" i="3" a="1"/>
  <c r="N232" i="3" s="1"/>
  <c r="N230" i="3" a="1"/>
  <c r="N230" i="3" s="1"/>
  <c r="M84" i="3"/>
  <c r="N79" i="3" a="1"/>
  <c r="N79" i="3" s="1"/>
  <c r="N77" i="3" a="1"/>
  <c r="N77" i="3" s="1"/>
  <c r="N78" i="3" a="1"/>
  <c r="N78" i="3" s="1"/>
  <c r="N82" i="3" a="1"/>
  <c r="N82" i="3" s="1"/>
  <c r="N81" i="3" a="1"/>
  <c r="N81" i="3" s="1"/>
  <c r="N80" i="3" a="1"/>
  <c r="N80" i="3" s="1"/>
  <c r="M11" i="13"/>
  <c r="M18" i="8"/>
  <c r="M11" i="6"/>
  <c r="M25" i="8"/>
  <c r="M39" i="6"/>
  <c r="M18" i="9"/>
  <c r="M32" i="9"/>
  <c r="M39" i="9"/>
  <c r="M25" i="10"/>
  <c r="M32" i="10"/>
  <c r="M18" i="12"/>
  <c r="M11" i="9"/>
  <c r="M32" i="13"/>
  <c r="M32" i="8"/>
  <c r="M39" i="8"/>
  <c r="M11" i="10"/>
  <c r="M18" i="6"/>
  <c r="M11" i="12"/>
  <c r="M32" i="12"/>
  <c r="M39" i="12"/>
  <c r="M25" i="9"/>
  <c r="M18" i="13"/>
  <c r="M25" i="13"/>
  <c r="M39" i="13"/>
  <c r="M11" i="8"/>
  <c r="M18" i="10"/>
  <c r="M39" i="10"/>
  <c r="M25" i="6"/>
  <c r="M32" i="6"/>
  <c r="M25" i="12"/>
  <c r="M11" i="14"/>
  <c r="M25" i="14"/>
  <c r="M32" i="14"/>
  <c r="N23" i="14" a="1"/>
  <c r="N23" i="14" s="1"/>
  <c r="N21" i="14" a="1"/>
  <c r="N21" i="14" s="1"/>
  <c r="N24" i="14" a="1"/>
  <c r="N24" i="14" s="1"/>
  <c r="N20" i="14" a="1"/>
  <c r="N20" i="14" s="1"/>
  <c r="N19" i="14" a="1"/>
  <c r="N19" i="14" s="1"/>
  <c r="N28" i="14" a="1"/>
  <c r="N28" i="14" s="1"/>
  <c r="N27" i="14" a="1"/>
  <c r="N27" i="14" s="1"/>
  <c r="N26" i="14" a="1"/>
  <c r="N26" i="14" s="1"/>
  <c r="N17" i="14" a="1"/>
  <c r="N17" i="14" s="1"/>
  <c r="N16" i="14" a="1"/>
  <c r="N16" i="14" s="1"/>
  <c r="N15" i="14" a="1"/>
  <c r="N15" i="14" s="1"/>
  <c r="N14" i="14" a="1"/>
  <c r="N14" i="14" s="1"/>
  <c r="N13" i="14" a="1"/>
  <c r="N13" i="14" s="1"/>
  <c r="N12" i="14" a="1"/>
  <c r="N12" i="14" s="1"/>
  <c r="N22" i="14" a="1"/>
  <c r="N22" i="14" s="1"/>
  <c r="N30" i="14" a="1"/>
  <c r="N30" i="14" s="1"/>
  <c r="N29" i="14" a="1"/>
  <c r="N29" i="14" s="1"/>
  <c r="N31" i="14" a="1"/>
  <c r="N31" i="14" s="1"/>
  <c r="N6" i="14" a="1"/>
  <c r="N6" i="14" s="1"/>
  <c r="N9" i="14" a="1"/>
  <c r="N9" i="14" s="1"/>
  <c r="N8" i="14" a="1"/>
  <c r="N8" i="14" s="1"/>
  <c r="N4" i="14" a="1"/>
  <c r="N4" i="14" s="1"/>
  <c r="N5" i="14" a="1"/>
  <c r="N5" i="14" s="1"/>
  <c r="N7" i="14" a="1"/>
  <c r="N7" i="14" s="1"/>
  <c r="N10" i="14" a="1"/>
  <c r="N10" i="14" s="1"/>
  <c r="N3" i="14" a="1"/>
  <c r="N3" i="14" s="1"/>
  <c r="N38" i="6" a="1"/>
  <c r="N38" i="6" s="1"/>
  <c r="N37" i="6" a="1"/>
  <c r="N37" i="6" s="1"/>
  <c r="N36" i="6" a="1"/>
  <c r="N36" i="6" s="1"/>
  <c r="N35" i="6" a="1"/>
  <c r="N35" i="6" s="1"/>
  <c r="N34" i="6" a="1"/>
  <c r="N34" i="6" s="1"/>
  <c r="N33" i="6" a="1"/>
  <c r="N33" i="6" s="1"/>
  <c r="N28" i="6" a="1"/>
  <c r="N28" i="6" s="1"/>
  <c r="N15" i="6" a="1"/>
  <c r="N15" i="6" s="1"/>
  <c r="N21" i="6" a="1"/>
  <c r="N21" i="6" s="1"/>
  <c r="N31" i="6" a="1"/>
  <c r="N31" i="6" s="1"/>
  <c r="N27" i="6" a="1"/>
  <c r="N27" i="6" s="1"/>
  <c r="N14" i="6" a="1"/>
  <c r="N14" i="6" s="1"/>
  <c r="N24" i="6" a="1"/>
  <c r="N24" i="6" s="1"/>
  <c r="N20" i="6" a="1"/>
  <c r="N20" i="6" s="1"/>
  <c r="N30" i="6" a="1"/>
  <c r="N30" i="6" s="1"/>
  <c r="N26" i="6" a="1"/>
  <c r="N26" i="6" s="1"/>
  <c r="N17" i="6" a="1"/>
  <c r="N17" i="6" s="1"/>
  <c r="N13" i="6" a="1"/>
  <c r="N13" i="6" s="1"/>
  <c r="N23" i="6" a="1"/>
  <c r="N23" i="6" s="1"/>
  <c r="N19" i="6" a="1"/>
  <c r="N19" i="6" s="1"/>
  <c r="N22" i="6" a="1"/>
  <c r="N22" i="6" s="1"/>
  <c r="N29" i="6" a="1"/>
  <c r="N29" i="6" s="1"/>
  <c r="N16" i="6" a="1"/>
  <c r="N16" i="6" s="1"/>
  <c r="N12" i="6" a="1"/>
  <c r="N12" i="6" s="1"/>
  <c r="N6" i="6" a="1"/>
  <c r="N6" i="6" s="1"/>
  <c r="N7" i="6" a="1"/>
  <c r="N7" i="6" s="1"/>
  <c r="N8" i="6" a="1"/>
  <c r="N8" i="6" s="1"/>
  <c r="N9" i="6" a="1"/>
  <c r="N9" i="6" s="1"/>
  <c r="N5" i="6" a="1"/>
  <c r="N5" i="6" s="1"/>
  <c r="N10" i="6" a="1"/>
  <c r="N10" i="6" s="1"/>
  <c r="N3" i="6" a="1"/>
  <c r="N3" i="6" s="1"/>
  <c r="N4" i="6" a="1"/>
  <c r="N4" i="6" s="1"/>
  <c r="N38" i="9" a="1"/>
  <c r="N38" i="9" s="1"/>
  <c r="N34" i="9" a="1"/>
  <c r="N34" i="9" s="1"/>
  <c r="N35" i="9" a="1"/>
  <c r="N35" i="9" s="1"/>
  <c r="N37" i="9" a="1"/>
  <c r="N37" i="9" s="1"/>
  <c r="N36" i="9" a="1"/>
  <c r="N36" i="9" s="1"/>
  <c r="N33" i="9" a="1"/>
  <c r="N33" i="9" s="1"/>
  <c r="N24" i="9" a="1"/>
  <c r="N24" i="9" s="1"/>
  <c r="N20" i="9" a="1"/>
  <c r="N20" i="9" s="1"/>
  <c r="N31" i="9" a="1"/>
  <c r="N31" i="9" s="1"/>
  <c r="N30" i="9" a="1"/>
  <c r="N30" i="9" s="1"/>
  <c r="N29" i="9" a="1"/>
  <c r="N29" i="9" s="1"/>
  <c r="N28" i="9" a="1"/>
  <c r="N28" i="9" s="1"/>
  <c r="N27" i="9" a="1"/>
  <c r="N27" i="9" s="1"/>
  <c r="N23" i="9" a="1"/>
  <c r="N23" i="9" s="1"/>
  <c r="N19" i="9" a="1"/>
  <c r="N19" i="9" s="1"/>
  <c r="N15" i="9" a="1"/>
  <c r="N15" i="9" s="1"/>
  <c r="N22" i="9" a="1"/>
  <c r="N22" i="9" s="1"/>
  <c r="N21" i="9" a="1"/>
  <c r="N21" i="9" s="1"/>
  <c r="N17" i="9" a="1"/>
  <c r="N17" i="9" s="1"/>
  <c r="N16" i="9" a="1"/>
  <c r="N16" i="9" s="1"/>
  <c r="N12" i="9" a="1"/>
  <c r="N12" i="9" s="1"/>
  <c r="N13" i="9" a="1"/>
  <c r="N13" i="9" s="1"/>
  <c r="N26" i="9" a="1"/>
  <c r="N26" i="9" s="1"/>
  <c r="N14" i="9" a="1"/>
  <c r="N14" i="9" s="1"/>
  <c r="N9" i="9" a="1"/>
  <c r="N9" i="9" s="1"/>
  <c r="N8" i="9" a="1"/>
  <c r="N8" i="9" s="1"/>
  <c r="N7" i="9" a="1"/>
  <c r="N7" i="9" s="1"/>
  <c r="N5" i="9" a="1"/>
  <c r="N5" i="9" s="1"/>
  <c r="N6" i="9" a="1"/>
  <c r="N6" i="9" s="1"/>
  <c r="N10" i="9" a="1"/>
  <c r="N10" i="9" s="1"/>
  <c r="N4" i="9" a="1"/>
  <c r="N4" i="9" s="1"/>
  <c r="N3" i="9" a="1"/>
  <c r="N3" i="9" s="1"/>
  <c r="N38" i="13" a="1"/>
  <c r="N38" i="13" s="1"/>
  <c r="N36" i="13" a="1"/>
  <c r="N36" i="13" s="1"/>
  <c r="N34" i="13" a="1"/>
  <c r="N34" i="13" s="1"/>
  <c r="N37" i="13" a="1"/>
  <c r="N37" i="13" s="1"/>
  <c r="N35" i="13" a="1"/>
  <c r="N35" i="13" s="1"/>
  <c r="N33" i="13" a="1"/>
  <c r="N33" i="13" s="1"/>
  <c r="N31" i="13" a="1"/>
  <c r="N31" i="13" s="1"/>
  <c r="N27" i="13" a="1"/>
  <c r="N27" i="13" s="1"/>
  <c r="N22" i="13" a="1"/>
  <c r="N22" i="13" s="1"/>
  <c r="N30" i="13" a="1"/>
  <c r="N30" i="13" s="1"/>
  <c r="N26" i="13" a="1"/>
  <c r="N26" i="13" s="1"/>
  <c r="N29" i="13" a="1"/>
  <c r="N29" i="13" s="1"/>
  <c r="N24" i="13" a="1"/>
  <c r="N24" i="13" s="1"/>
  <c r="N28" i="13" a="1"/>
  <c r="N28" i="13" s="1"/>
  <c r="N23" i="13" a="1"/>
  <c r="N23" i="13" s="1"/>
  <c r="N21" i="13" a="1"/>
  <c r="N21" i="13" s="1"/>
  <c r="N17" i="13" a="1"/>
  <c r="N17" i="13" s="1"/>
  <c r="N13" i="13" a="1"/>
  <c r="N13" i="13" s="1"/>
  <c r="N16" i="13" a="1"/>
  <c r="N16" i="13" s="1"/>
  <c r="N12" i="13" a="1"/>
  <c r="N12" i="13" s="1"/>
  <c r="N20" i="13" a="1"/>
  <c r="N20" i="13" s="1"/>
  <c r="N15" i="13" a="1"/>
  <c r="N15" i="13" s="1"/>
  <c r="N19" i="13" a="1"/>
  <c r="N19" i="13" s="1"/>
  <c r="N14" i="13" a="1"/>
  <c r="N14" i="13" s="1"/>
  <c r="N7" i="13" a="1"/>
  <c r="N7" i="13" s="1"/>
  <c r="N8" i="13" a="1"/>
  <c r="N8" i="13" s="1"/>
  <c r="N9" i="13" a="1"/>
  <c r="N9" i="13" s="1"/>
  <c r="N10" i="13" a="1"/>
  <c r="N10" i="13" s="1"/>
  <c r="N5" i="13" a="1"/>
  <c r="N5" i="13" s="1"/>
  <c r="N6" i="13" a="1"/>
  <c r="N6" i="13" s="1"/>
  <c r="N4" i="13" a="1"/>
  <c r="N4" i="13" s="1"/>
  <c r="N3" i="13" a="1"/>
  <c r="N3" i="13" s="1"/>
  <c r="N35" i="10" a="1"/>
  <c r="N35" i="10" s="1"/>
  <c r="N38" i="10" a="1"/>
  <c r="N38" i="10" s="1"/>
  <c r="N36" i="10" a="1"/>
  <c r="N36" i="10" s="1"/>
  <c r="N33" i="10" a="1"/>
  <c r="N33" i="10" s="1"/>
  <c r="N37" i="10" a="1"/>
  <c r="N37" i="10" s="1"/>
  <c r="N34" i="10" a="1"/>
  <c r="N34" i="10" s="1"/>
  <c r="N28" i="10" a="1"/>
  <c r="N28" i="10" s="1"/>
  <c r="N21" i="10" a="1"/>
  <c r="N21" i="10" s="1"/>
  <c r="N10" i="10" a="1"/>
  <c r="N10" i="10" s="1"/>
  <c r="N6" i="10" a="1"/>
  <c r="N6" i="10" s="1"/>
  <c r="N31" i="10" a="1"/>
  <c r="N31" i="10" s="1"/>
  <c r="N30" i="10" a="1"/>
  <c r="N30" i="10" s="1"/>
  <c r="N29" i="10" a="1"/>
  <c r="N29" i="10" s="1"/>
  <c r="N27" i="10" a="1"/>
  <c r="N27" i="10" s="1"/>
  <c r="N24" i="10" a="1"/>
  <c r="N24" i="10" s="1"/>
  <c r="N19" i="10" a="1"/>
  <c r="N19" i="10" s="1"/>
  <c r="N9" i="10" a="1"/>
  <c r="N9" i="10" s="1"/>
  <c r="N5" i="10" a="1"/>
  <c r="N5" i="10" s="1"/>
  <c r="N26" i="10" a="1"/>
  <c r="N26" i="10" s="1"/>
  <c r="N23" i="10" a="1"/>
  <c r="N23" i="10" s="1"/>
  <c r="N20" i="10" a="1"/>
  <c r="N20" i="10" s="1"/>
  <c r="N8" i="10" a="1"/>
  <c r="N8" i="10" s="1"/>
  <c r="N22" i="10" a="1"/>
  <c r="N22" i="10" s="1"/>
  <c r="N7" i="10" a="1"/>
  <c r="N7" i="10" s="1"/>
  <c r="N12" i="10" a="1"/>
  <c r="N12" i="10" s="1"/>
  <c r="N14" i="10" a="1"/>
  <c r="N14" i="10" s="1"/>
  <c r="N15" i="10" a="1"/>
  <c r="N15" i="10" s="1"/>
  <c r="N17" i="10" a="1"/>
  <c r="N17" i="10" s="1"/>
  <c r="N13" i="10" a="1"/>
  <c r="N13" i="10" s="1"/>
  <c r="N16" i="10" a="1"/>
  <c r="N16" i="10" s="1"/>
  <c r="N3" i="10" a="1"/>
  <c r="N3" i="10" s="1"/>
  <c r="N4" i="10" a="1"/>
  <c r="N4" i="10" s="1"/>
  <c r="N37" i="12" a="1"/>
  <c r="N37" i="12" s="1"/>
  <c r="N35" i="12" a="1"/>
  <c r="N35" i="12" s="1"/>
  <c r="N33" i="12" a="1"/>
  <c r="N33" i="12" s="1"/>
  <c r="N36" i="12" a="1"/>
  <c r="N36" i="12" s="1"/>
  <c r="N38" i="12" a="1"/>
  <c r="N38" i="12" s="1"/>
  <c r="N34" i="12" a="1"/>
  <c r="N34" i="12" s="1"/>
  <c r="N31" i="12" a="1"/>
  <c r="N31" i="12" s="1"/>
  <c r="N28" i="12" a="1"/>
  <c r="N28" i="12" s="1"/>
  <c r="N26" i="12" a="1"/>
  <c r="N26" i="12" s="1"/>
  <c r="N23" i="12" a="1"/>
  <c r="N23" i="12" s="1"/>
  <c r="N21" i="12" a="1"/>
  <c r="N21" i="12" s="1"/>
  <c r="N19" i="12" a="1"/>
  <c r="N19" i="12" s="1"/>
  <c r="N16" i="12" a="1"/>
  <c r="N16" i="12" s="1"/>
  <c r="N14" i="12" a="1"/>
  <c r="N14" i="12" s="1"/>
  <c r="N12" i="12" a="1"/>
  <c r="N12" i="12" s="1"/>
  <c r="N30" i="12" a="1"/>
  <c r="N30" i="12" s="1"/>
  <c r="N29" i="12" a="1"/>
  <c r="N29" i="12" s="1"/>
  <c r="N27" i="12" a="1"/>
  <c r="N27" i="12" s="1"/>
  <c r="N24" i="12" a="1"/>
  <c r="N24" i="12" s="1"/>
  <c r="N22" i="12" a="1"/>
  <c r="N22" i="12" s="1"/>
  <c r="N20" i="12" a="1"/>
  <c r="N20" i="12" s="1"/>
  <c r="N17" i="12" a="1"/>
  <c r="N17" i="12" s="1"/>
  <c r="N15" i="12" a="1"/>
  <c r="N15" i="12" s="1"/>
  <c r="N13" i="12" a="1"/>
  <c r="N13" i="12" s="1"/>
  <c r="N3" i="12" a="1"/>
  <c r="N3" i="12" s="1"/>
  <c r="N7" i="12" a="1"/>
  <c r="N7" i="12" s="1"/>
  <c r="N8" i="12" a="1"/>
  <c r="N8" i="12" s="1"/>
  <c r="N9" i="12" a="1"/>
  <c r="N9" i="12" s="1"/>
  <c r="N10" i="12" a="1"/>
  <c r="N10" i="12" s="1"/>
  <c r="N5" i="12" a="1"/>
  <c r="N5" i="12" s="1"/>
  <c r="N6" i="12" a="1"/>
  <c r="N6" i="12" s="1"/>
  <c r="N4" i="12" a="1"/>
  <c r="N4" i="12" s="1"/>
  <c r="M18" i="14"/>
  <c r="N36" i="8" a="1"/>
  <c r="N36" i="8" s="1"/>
  <c r="N35" i="8" a="1"/>
  <c r="N35" i="8" s="1"/>
  <c r="N34" i="8" a="1"/>
  <c r="N34" i="8" s="1"/>
  <c r="N33" i="8" a="1"/>
  <c r="N33" i="8" s="1"/>
  <c r="N37" i="8" a="1"/>
  <c r="N37" i="8" s="1"/>
  <c r="N38" i="8" a="1"/>
  <c r="N38" i="8" s="1"/>
  <c r="N28" i="8" a="1"/>
  <c r="N28" i="8" s="1"/>
  <c r="N23" i="8" a="1"/>
  <c r="N23" i="8" s="1"/>
  <c r="N31" i="8" a="1"/>
  <c r="N31" i="8" s="1"/>
  <c r="N27" i="8" a="1"/>
  <c r="N27" i="8" s="1"/>
  <c r="N30" i="8" a="1"/>
  <c r="N30" i="8" s="1"/>
  <c r="N26" i="8" a="1"/>
  <c r="N26" i="8" s="1"/>
  <c r="N16" i="8" a="1"/>
  <c r="N16" i="8" s="1"/>
  <c r="N12" i="8" a="1"/>
  <c r="N12" i="8" s="1"/>
  <c r="N22" i="8" a="1"/>
  <c r="N22" i="8" s="1"/>
  <c r="N21" i="8" a="1"/>
  <c r="N21" i="8" s="1"/>
  <c r="N13" i="8" a="1"/>
  <c r="N13" i="8" s="1"/>
  <c r="N29" i="8" a="1"/>
  <c r="N29" i="8" s="1"/>
  <c r="N14" i="8" a="1"/>
  <c r="N14" i="8" s="1"/>
  <c r="N24" i="8" a="1"/>
  <c r="N24" i="8" s="1"/>
  <c r="N15" i="8" a="1"/>
  <c r="N15" i="8" s="1"/>
  <c r="N19" i="8" a="1"/>
  <c r="N19" i="8" s="1"/>
  <c r="N20" i="8" a="1"/>
  <c r="N20" i="8" s="1"/>
  <c r="N17" i="8" a="1"/>
  <c r="N17" i="8" s="1"/>
  <c r="N6" i="8" a="1"/>
  <c r="N6" i="8" s="1"/>
  <c r="N5" i="8" a="1"/>
  <c r="N5" i="8" s="1"/>
  <c r="N9" i="8" a="1"/>
  <c r="N9" i="8" s="1"/>
  <c r="N10" i="8" a="1"/>
  <c r="N10" i="8" s="1"/>
  <c r="N8" i="8" a="1"/>
  <c r="N8" i="8" s="1"/>
  <c r="N7" i="8" a="1"/>
  <c r="N7" i="8" s="1"/>
  <c r="N3" i="8" a="1"/>
  <c r="N3" i="8" s="1"/>
  <c r="N4" i="8" a="1"/>
  <c r="N4" i="8" s="1"/>
  <c r="CE91" i="17"/>
  <c r="EM92" i="17"/>
  <c r="EM91" i="17"/>
  <c r="FG91" i="17"/>
  <c r="BA92" i="17"/>
  <c r="CY91" i="17"/>
  <c r="GA87" i="17"/>
  <c r="CY92" i="17"/>
  <c r="GA89" i="17"/>
  <c r="BA91" i="17"/>
  <c r="FG92" i="17"/>
  <c r="GB91" i="17"/>
  <c r="CE34" i="17"/>
  <c r="GB90" i="17"/>
  <c r="GA88" i="17"/>
  <c r="CE92" i="17"/>
  <c r="BA90" i="17"/>
  <c r="DS91" i="17"/>
  <c r="GB92" i="17"/>
  <c r="DS92" i="17"/>
  <c r="P18" i="3" l="1" a="1"/>
  <c r="P18" i="3" s="1"/>
  <c r="P17" i="3" a="1"/>
  <c r="P17" i="3" s="1"/>
  <c r="P19" i="3" a="1"/>
  <c r="P19" i="3" s="1"/>
  <c r="P14" i="3" a="1"/>
  <c r="P14" i="3" s="1"/>
  <c r="P16" i="3" a="1"/>
  <c r="P16" i="3" s="1"/>
  <c r="P15" i="3" a="1"/>
  <c r="P15" i="3" s="1"/>
  <c r="P13" i="3" a="1"/>
  <c r="P13" i="3" s="1"/>
  <c r="P20" i="3" s="1"/>
  <c r="P203" i="3" a="1"/>
  <c r="P203" i="3" s="1"/>
  <c r="P201" i="3" a="1"/>
  <c r="P201" i="3" s="1"/>
  <c r="P200" i="3" a="1"/>
  <c r="P200" i="3" s="1"/>
  <c r="P199" i="3" a="1"/>
  <c r="P199" i="3" s="1"/>
  <c r="P198" i="3" a="1"/>
  <c r="P198" i="3" s="1"/>
  <c r="P197" i="3" a="1"/>
  <c r="P197" i="3" s="1"/>
  <c r="P204" i="3" s="1"/>
  <c r="P202" i="3" a="1"/>
  <c r="P202" i="3" s="1"/>
  <c r="P11" i="3" a="1"/>
  <c r="P11" i="3" s="1"/>
  <c r="P10" i="3" a="1"/>
  <c r="P10" i="3" s="1"/>
  <c r="P9" i="3" a="1"/>
  <c r="P9" i="3" s="1"/>
  <c r="P7" i="3" a="1"/>
  <c r="P7" i="3" s="1"/>
  <c r="P6" i="3" a="1"/>
  <c r="P6" i="3" s="1"/>
  <c r="P8" i="3" a="1"/>
  <c r="P8" i="3" s="1"/>
  <c r="P5" i="3" a="1"/>
  <c r="P5" i="3" s="1"/>
  <c r="P12" i="3" s="1"/>
  <c r="P107" i="3" a="1"/>
  <c r="P107" i="3" s="1"/>
  <c r="P106" i="3" a="1"/>
  <c r="P106" i="3" s="1"/>
  <c r="P105" i="3" a="1"/>
  <c r="P105" i="3" s="1"/>
  <c r="P104" i="3" a="1"/>
  <c r="P104" i="3" s="1"/>
  <c r="P103" i="3" a="1"/>
  <c r="P103" i="3" s="1"/>
  <c r="P101" i="3" a="1"/>
  <c r="P101" i="3" s="1"/>
  <c r="P108" i="3" s="1"/>
  <c r="P102" i="3" a="1"/>
  <c r="P102" i="3" s="1"/>
  <c r="P187" i="3" a="1"/>
  <c r="P187" i="3" s="1"/>
  <c r="P186" i="3" a="1"/>
  <c r="P186" i="3" s="1"/>
  <c r="P184" i="3" a="1"/>
  <c r="P184" i="3" s="1"/>
  <c r="P182" i="3" a="1"/>
  <c r="P182" i="3" s="1"/>
  <c r="P185" i="3" a="1"/>
  <c r="P185" i="3" s="1"/>
  <c r="P183" i="3" a="1"/>
  <c r="P183" i="3" s="1"/>
  <c r="P181" i="3" a="1"/>
  <c r="P181" i="3" s="1"/>
  <c r="P188" i="3" s="1"/>
  <c r="P227" i="3" a="1"/>
  <c r="P227" i="3" s="1"/>
  <c r="P219" i="3" a="1"/>
  <c r="P219" i="3" s="1"/>
  <c r="P211" i="3" a="1"/>
  <c r="P211" i="3" s="1"/>
  <c r="P179" i="3" a="1"/>
  <c r="P179" i="3" s="1"/>
  <c r="P171" i="3" a="1"/>
  <c r="P171" i="3" s="1"/>
  <c r="P163" i="3" a="1"/>
  <c r="P163" i="3" s="1"/>
  <c r="P155" i="3" a="1"/>
  <c r="P155" i="3" s="1"/>
  <c r="P147" i="3" a="1"/>
  <c r="P147" i="3" s="1"/>
  <c r="P139" i="3" a="1"/>
  <c r="P139" i="3" s="1"/>
  <c r="P131" i="3" a="1"/>
  <c r="P131" i="3" s="1"/>
  <c r="P35" i="3" a="1"/>
  <c r="P35" i="3" s="1"/>
  <c r="P27" i="3" a="1"/>
  <c r="P27" i="3" s="1"/>
  <c r="P235" i="3" a="1"/>
  <c r="P235" i="3" s="1"/>
  <c r="P123" i="3" a="1"/>
  <c r="P123" i="3" s="1"/>
  <c r="P115" i="3" a="1"/>
  <c r="P115" i="3" s="1"/>
  <c r="P99" i="3" a="1"/>
  <c r="P99" i="3" s="1"/>
  <c r="P91" i="3" a="1"/>
  <c r="P91" i="3" s="1"/>
  <c r="P83" i="3" a="1"/>
  <c r="P83" i="3" s="1"/>
  <c r="P75" i="3" a="1"/>
  <c r="P75" i="3" s="1"/>
  <c r="P67" i="3" a="1"/>
  <c r="P67" i="3" s="1"/>
  <c r="P59" i="3" a="1"/>
  <c r="P59" i="3" s="1"/>
  <c r="P51" i="3" a="1"/>
  <c r="P51" i="3" s="1"/>
  <c r="P43" i="3" a="1"/>
  <c r="P43" i="3" s="1"/>
  <c r="P195" i="3" a="1"/>
  <c r="P195" i="3" s="1"/>
  <c r="O196" i="3"/>
  <c r="P194" i="3" a="1"/>
  <c r="P194" i="3" s="1"/>
  <c r="P192" i="3" a="1"/>
  <c r="P192" i="3" s="1"/>
  <c r="P191" i="3" a="1"/>
  <c r="P191" i="3" s="1"/>
  <c r="P189" i="3" a="1"/>
  <c r="P189" i="3" s="1"/>
  <c r="P193" i="3" a="1"/>
  <c r="P193" i="3" s="1"/>
  <c r="P190" i="3" a="1"/>
  <c r="P190" i="3" s="1"/>
  <c r="O180" i="3"/>
  <c r="P178" i="3" a="1"/>
  <c r="P178" i="3" s="1"/>
  <c r="P176" i="3" a="1"/>
  <c r="P176" i="3" s="1"/>
  <c r="P177" i="3" a="1"/>
  <c r="P177" i="3" s="1"/>
  <c r="P175" i="3" a="1"/>
  <c r="P175" i="3" s="1"/>
  <c r="P174" i="3" a="1"/>
  <c r="P174" i="3" s="1"/>
  <c r="P173" i="3" a="1"/>
  <c r="P173" i="3" s="1"/>
  <c r="O68" i="3"/>
  <c r="P66" i="3" a="1"/>
  <c r="P66" i="3" s="1"/>
  <c r="P65" i="3" a="1"/>
  <c r="P65" i="3" s="1"/>
  <c r="P63" i="3" a="1"/>
  <c r="P63" i="3" s="1"/>
  <c r="P64" i="3" a="1"/>
  <c r="P64" i="3" s="1"/>
  <c r="P62" i="3" a="1"/>
  <c r="P62" i="3" s="1"/>
  <c r="P61" i="3" a="1"/>
  <c r="P61" i="3" s="1"/>
  <c r="O148" i="3"/>
  <c r="P146" i="3" a="1"/>
  <c r="P146" i="3" s="1"/>
  <c r="P145" i="3" a="1"/>
  <c r="P145" i="3" s="1"/>
  <c r="P144" i="3" a="1"/>
  <c r="P144" i="3" s="1"/>
  <c r="P141" i="3" a="1"/>
  <c r="P141" i="3" s="1"/>
  <c r="P143" i="3" a="1"/>
  <c r="P143" i="3" s="1"/>
  <c r="P142" i="3" a="1"/>
  <c r="P142" i="3" s="1"/>
  <c r="O36" i="3"/>
  <c r="P31" i="3" a="1"/>
  <c r="P31" i="3" s="1"/>
  <c r="P32" i="3" a="1"/>
  <c r="P32" i="3" s="1"/>
  <c r="P30" i="3" a="1"/>
  <c r="P30" i="3" s="1"/>
  <c r="P34" i="3" a="1"/>
  <c r="P34" i="3" s="1"/>
  <c r="P29" i="3" a="1"/>
  <c r="P29" i="3" s="1"/>
  <c r="P33" i="3" a="1"/>
  <c r="P33" i="3" s="1"/>
  <c r="Q2" i="3"/>
  <c r="N228" i="3"/>
  <c r="N172" i="3"/>
  <c r="O169" i="3" a="1"/>
  <c r="O169" i="3" s="1"/>
  <c r="O168" i="3" a="1"/>
  <c r="O168" i="3" s="1"/>
  <c r="O165" i="3" a="1"/>
  <c r="O165" i="3" s="1"/>
  <c r="O225" i="3" a="1"/>
  <c r="O225" i="3" s="1"/>
  <c r="O222" i="3" a="1"/>
  <c r="O222" i="3" s="1"/>
  <c r="O221" i="3" a="1"/>
  <c r="O221" i="3" s="1"/>
  <c r="O167" i="3" a="1"/>
  <c r="O167" i="3" s="1"/>
  <c r="O224" i="3" a="1"/>
  <c r="O224" i="3" s="1"/>
  <c r="O170" i="3" a="1"/>
  <c r="O170" i="3" s="1"/>
  <c r="O166" i="3" a="1"/>
  <c r="O166" i="3" s="1"/>
  <c r="O226" i="3" a="1"/>
  <c r="O226" i="3" s="1"/>
  <c r="O223" i="3" a="1"/>
  <c r="O223" i="3" s="1"/>
  <c r="O128" i="3" a="1"/>
  <c r="O128" i="3" s="1"/>
  <c r="O129" i="3" a="1"/>
  <c r="O129" i="3" s="1"/>
  <c r="O126" i="3" a="1"/>
  <c r="O126" i="3" s="1"/>
  <c r="O125" i="3" a="1"/>
  <c r="O125" i="3" s="1"/>
  <c r="O130" i="3" a="1"/>
  <c r="O130" i="3" s="1"/>
  <c r="O127" i="3" a="1"/>
  <c r="O127" i="3" s="1"/>
  <c r="N132" i="3"/>
  <c r="N44" i="3"/>
  <c r="O42" i="3" a="1"/>
  <c r="O42" i="3" s="1"/>
  <c r="O41" i="3" a="1"/>
  <c r="O41" i="3" s="1"/>
  <c r="O39" i="3" a="1"/>
  <c r="O39" i="3" s="1"/>
  <c r="O37" i="3" a="1"/>
  <c r="O37" i="3" s="1"/>
  <c r="O40" i="3" a="1"/>
  <c r="O40" i="3" s="1"/>
  <c r="O38" i="3" a="1"/>
  <c r="O38" i="3" s="1"/>
  <c r="O207" i="3" a="1"/>
  <c r="O207" i="3" s="1"/>
  <c r="O208" i="3" a="1"/>
  <c r="O208" i="3" s="1"/>
  <c r="O138" i="3" a="1"/>
  <c r="O138" i="3" s="1"/>
  <c r="O135" i="3" a="1"/>
  <c r="O135" i="3" s="1"/>
  <c r="O210" i="3" a="1"/>
  <c r="O210" i="3" s="1"/>
  <c r="O209" i="3" a="1"/>
  <c r="O209" i="3" s="1"/>
  <c r="O206" i="3" a="1"/>
  <c r="O206" i="3" s="1"/>
  <c r="O133" i="3" a="1"/>
  <c r="O133" i="3" s="1"/>
  <c r="O136" i="3" a="1"/>
  <c r="O136" i="3" s="1"/>
  <c r="O137" i="3" a="1"/>
  <c r="O137" i="3" s="1"/>
  <c r="O134" i="3" a="1"/>
  <c r="O134" i="3" s="1"/>
  <c r="O205" i="3" a="1"/>
  <c r="O205" i="3" s="1"/>
  <c r="N140" i="3"/>
  <c r="N212" i="3"/>
  <c r="O58" i="3" a="1"/>
  <c r="O58" i="3" s="1"/>
  <c r="O55" i="3" a="1"/>
  <c r="O55" i="3" s="1"/>
  <c r="O53" i="3" a="1"/>
  <c r="O53" i="3" s="1"/>
  <c r="O57" i="3" a="1"/>
  <c r="O57" i="3" s="1"/>
  <c r="O56" i="3" a="1"/>
  <c r="O56" i="3" s="1"/>
  <c r="O54" i="3" a="1"/>
  <c r="O54" i="3" s="1"/>
  <c r="O215" i="3" a="1"/>
  <c r="O215" i="3" s="1"/>
  <c r="O218" i="3" a="1"/>
  <c r="O218" i="3" s="1"/>
  <c r="O217" i="3" a="1"/>
  <c r="O217" i="3" s="1"/>
  <c r="O216" i="3" a="1"/>
  <c r="O216" i="3" s="1"/>
  <c r="O214" i="3" a="1"/>
  <c r="O214" i="3" s="1"/>
  <c r="O213" i="3" a="1"/>
  <c r="O213" i="3" s="1"/>
  <c r="N220" i="3"/>
  <c r="N60" i="3"/>
  <c r="N46" i="10"/>
  <c r="O44" i="10" a="1"/>
  <c r="O44" i="10" s="1"/>
  <c r="O42" i="10" a="1"/>
  <c r="O42" i="10" s="1"/>
  <c r="O40" i="10" a="1"/>
  <c r="O40" i="10" s="1"/>
  <c r="O45" i="10" a="1"/>
  <c r="O45" i="10" s="1"/>
  <c r="O43" i="10" a="1"/>
  <c r="O43" i="10" s="1"/>
  <c r="O41" i="10" a="1"/>
  <c r="O41" i="10" s="1"/>
  <c r="O122" i="3" a="1"/>
  <c r="O122" i="3" s="1"/>
  <c r="O120" i="3" a="1"/>
  <c r="O120" i="3" s="1"/>
  <c r="O119" i="3" a="1"/>
  <c r="O119" i="3" s="1"/>
  <c r="O121" i="3" a="1"/>
  <c r="O121" i="3" s="1"/>
  <c r="O117" i="3" a="1"/>
  <c r="O117" i="3" s="1"/>
  <c r="O118" i="3" a="1"/>
  <c r="O118" i="3" s="1"/>
  <c r="N124" i="3"/>
  <c r="O90" i="3" a="1"/>
  <c r="O90" i="3" s="1"/>
  <c r="O89" i="3" a="1"/>
  <c r="O89" i="3" s="1"/>
  <c r="O87" i="3" a="1"/>
  <c r="O87" i="3" s="1"/>
  <c r="O85" i="3" a="1"/>
  <c r="O85" i="3" s="1"/>
  <c r="O88" i="3" a="1"/>
  <c r="O88" i="3" s="1"/>
  <c r="O86" i="3" a="1"/>
  <c r="O86" i="3" s="1"/>
  <c r="N92" i="3"/>
  <c r="O154" i="3" a="1"/>
  <c r="O154" i="3" s="1"/>
  <c r="O151" i="3" a="1"/>
  <c r="O151" i="3" s="1"/>
  <c r="O153" i="3" a="1"/>
  <c r="O153" i="3" s="1"/>
  <c r="O152" i="3" a="1"/>
  <c r="O152" i="3" s="1"/>
  <c r="O150" i="3" a="1"/>
  <c r="O150" i="3" s="1"/>
  <c r="O149" i="3" a="1"/>
  <c r="O149" i="3" s="1"/>
  <c r="N156" i="3"/>
  <c r="N52" i="3"/>
  <c r="O50" i="3" a="1"/>
  <c r="O50" i="3" s="1"/>
  <c r="O49" i="3" a="1"/>
  <c r="O49" i="3" s="1"/>
  <c r="O45" i="3" a="1"/>
  <c r="O45" i="3" s="1"/>
  <c r="O46" i="3" a="1"/>
  <c r="O46" i="3" s="1"/>
  <c r="O48" i="3" a="1"/>
  <c r="O48" i="3" s="1"/>
  <c r="O47" i="3" a="1"/>
  <c r="O47" i="3" s="1"/>
  <c r="N46" i="6"/>
  <c r="N46" i="14"/>
  <c r="N46" i="13"/>
  <c r="N46" i="12"/>
  <c r="N46" i="9"/>
  <c r="N46" i="8"/>
  <c r="O44" i="13" a="1"/>
  <c r="O44" i="13" s="1"/>
  <c r="O42" i="13" a="1"/>
  <c r="O42" i="13" s="1"/>
  <c r="O41" i="13" a="1"/>
  <c r="O41" i="13" s="1"/>
  <c r="O40" i="13" a="1"/>
  <c r="O40" i="13" s="1"/>
  <c r="O45" i="13" a="1"/>
  <c r="O45" i="13" s="1"/>
  <c r="O43" i="13" a="1"/>
  <c r="O43" i="13" s="1"/>
  <c r="O45" i="14" a="1"/>
  <c r="O45" i="14" s="1"/>
  <c r="O44" i="14" a="1"/>
  <c r="O44" i="14" s="1"/>
  <c r="O42" i="14" a="1"/>
  <c r="O42" i="14" s="1"/>
  <c r="O40" i="14" a="1"/>
  <c r="O40" i="14" s="1"/>
  <c r="O43" i="14" a="1"/>
  <c r="O43" i="14" s="1"/>
  <c r="O41" i="14" a="1"/>
  <c r="O41" i="14" s="1"/>
  <c r="O45" i="8" a="1"/>
  <c r="O45" i="8" s="1"/>
  <c r="O43" i="8" a="1"/>
  <c r="O43" i="8" s="1"/>
  <c r="O41" i="8" a="1"/>
  <c r="O41" i="8" s="1"/>
  <c r="O42" i="8" a="1"/>
  <c r="O42" i="8" s="1"/>
  <c r="O44" i="8" a="1"/>
  <c r="O44" i="8" s="1"/>
  <c r="O40" i="8" a="1"/>
  <c r="O40" i="8" s="1"/>
  <c r="O44" i="9" a="1"/>
  <c r="O44" i="9" s="1"/>
  <c r="O42" i="9" a="1"/>
  <c r="O42" i="9" s="1"/>
  <c r="O40" i="9" a="1"/>
  <c r="O40" i="9" s="1"/>
  <c r="O45" i="9" a="1"/>
  <c r="O45" i="9" s="1"/>
  <c r="O43" i="9" a="1"/>
  <c r="O43" i="9" s="1"/>
  <c r="O41" i="9" a="1"/>
  <c r="O41" i="9" s="1"/>
  <c r="O44" i="12" a="1"/>
  <c r="O44" i="12" s="1"/>
  <c r="O42" i="12" a="1"/>
  <c r="O42" i="12" s="1"/>
  <c r="O41" i="12" a="1"/>
  <c r="O41" i="12" s="1"/>
  <c r="O40" i="12" a="1"/>
  <c r="O40" i="12" s="1"/>
  <c r="O43" i="12" a="1"/>
  <c r="O43" i="12" s="1"/>
  <c r="O45" i="12" a="1"/>
  <c r="O45" i="12" s="1"/>
  <c r="O45" i="6" a="1"/>
  <c r="O45" i="6" s="1"/>
  <c r="O43" i="6" a="1"/>
  <c r="O43" i="6" s="1"/>
  <c r="O41" i="6" a="1"/>
  <c r="O41" i="6" s="1"/>
  <c r="O44" i="6" a="1"/>
  <c r="O44" i="6" s="1"/>
  <c r="O42" i="6" a="1"/>
  <c r="O42" i="6" s="1"/>
  <c r="O40" i="6" a="1"/>
  <c r="O40" i="6" s="1"/>
  <c r="O97" i="3" a="1"/>
  <c r="O97" i="3" s="1"/>
  <c r="O96" i="3" a="1"/>
  <c r="O96" i="3" s="1"/>
  <c r="O95" i="3" a="1"/>
  <c r="O95" i="3" s="1"/>
  <c r="O94" i="3" a="1"/>
  <c r="O94" i="3" s="1"/>
  <c r="O93" i="3" a="1"/>
  <c r="O93" i="3" s="1"/>
  <c r="O98" i="3" a="1"/>
  <c r="O98" i="3" s="1"/>
  <c r="N100" i="3"/>
  <c r="O23" i="3" a="1"/>
  <c r="O23" i="3" s="1"/>
  <c r="O22" i="3" a="1"/>
  <c r="O22" i="3" s="1"/>
  <c r="O26" i="3" a="1"/>
  <c r="O26" i="3" s="1"/>
  <c r="O25" i="3" a="1"/>
  <c r="O25" i="3" s="1"/>
  <c r="O24" i="3" a="1"/>
  <c r="O24" i="3" s="1"/>
  <c r="O21" i="3" a="1"/>
  <c r="O21" i="3" s="1"/>
  <c r="N28" i="3"/>
  <c r="O33" i="14" a="1"/>
  <c r="O33" i="14" s="1"/>
  <c r="O35" i="14" a="1"/>
  <c r="O35" i="14" s="1"/>
  <c r="O38" i="14" a="1"/>
  <c r="O38" i="14" s="1"/>
  <c r="O34" i="14" a="1"/>
  <c r="O34" i="14" s="1"/>
  <c r="O36" i="14" a="1"/>
  <c r="O36" i="14" s="1"/>
  <c r="O37" i="14" a="1"/>
  <c r="O37" i="14" s="1"/>
  <c r="N39" i="14"/>
  <c r="N116" i="3"/>
  <c r="O112" i="3" a="1"/>
  <c r="O112" i="3" s="1"/>
  <c r="O114" i="3" a="1"/>
  <c r="O114" i="3" s="1"/>
  <c r="O113" i="3" a="1"/>
  <c r="O113" i="3" s="1"/>
  <c r="O111" i="3" a="1"/>
  <c r="O111" i="3" s="1"/>
  <c r="O110" i="3" a="1"/>
  <c r="O110" i="3" s="1"/>
  <c r="O109" i="3" a="1"/>
  <c r="O109" i="3" s="1"/>
  <c r="O162" i="3" a="1"/>
  <c r="O162" i="3" s="1"/>
  <c r="O160" i="3" a="1"/>
  <c r="O160" i="3" s="1"/>
  <c r="O158" i="3" a="1"/>
  <c r="O158" i="3" s="1"/>
  <c r="O161" i="3" a="1"/>
  <c r="O161" i="3" s="1"/>
  <c r="O159" i="3" a="1"/>
  <c r="O159" i="3" s="1"/>
  <c r="O157" i="3" a="1"/>
  <c r="O157" i="3" s="1"/>
  <c r="N164" i="3"/>
  <c r="O73" i="3" a="1"/>
  <c r="O73" i="3" s="1"/>
  <c r="O74" i="3" a="1"/>
  <c r="O74" i="3" s="1"/>
  <c r="O71" i="3" a="1"/>
  <c r="O71" i="3" s="1"/>
  <c r="O69" i="3" a="1"/>
  <c r="O69" i="3" s="1"/>
  <c r="O72" i="3" a="1"/>
  <c r="O72" i="3" s="1"/>
  <c r="O70" i="3" a="1"/>
  <c r="O70" i="3" s="1"/>
  <c r="N76" i="3"/>
  <c r="O233" i="3" a="1"/>
  <c r="O233" i="3" s="1"/>
  <c r="O234" i="3" a="1"/>
  <c r="O234" i="3" s="1"/>
  <c r="O231" i="3" a="1"/>
  <c r="O231" i="3" s="1"/>
  <c r="O229" i="3" a="1"/>
  <c r="O229" i="3" s="1"/>
  <c r="O232" i="3" a="1"/>
  <c r="O232" i="3" s="1"/>
  <c r="O230" i="3" a="1"/>
  <c r="O230" i="3" s="1"/>
  <c r="N236" i="3"/>
  <c r="N84" i="3"/>
  <c r="O82" i="3" a="1"/>
  <c r="O82" i="3" s="1"/>
  <c r="O81" i="3" a="1"/>
  <c r="O81" i="3" s="1"/>
  <c r="O80" i="3" a="1"/>
  <c r="O80" i="3" s="1"/>
  <c r="O79" i="3" a="1"/>
  <c r="O79" i="3" s="1"/>
  <c r="O78" i="3" a="1"/>
  <c r="O78" i="3" s="1"/>
  <c r="O77" i="3" a="1"/>
  <c r="O77" i="3" s="1"/>
  <c r="N25" i="12"/>
  <c r="N18" i="10"/>
  <c r="N18" i="13"/>
  <c r="N32" i="9"/>
  <c r="N25" i="9"/>
  <c r="N18" i="6"/>
  <c r="N25" i="6"/>
  <c r="N32" i="6"/>
  <c r="N11" i="8"/>
  <c r="N25" i="8"/>
  <c r="N18" i="8"/>
  <c r="N18" i="12"/>
  <c r="N39" i="12"/>
  <c r="N25" i="10"/>
  <c r="N39" i="10"/>
  <c r="N25" i="13"/>
  <c r="N32" i="13"/>
  <c r="N39" i="9"/>
  <c r="N11" i="12"/>
  <c r="N32" i="10"/>
  <c r="N39" i="13"/>
  <c r="N18" i="9"/>
  <c r="N39" i="6"/>
  <c r="N32" i="8"/>
  <c r="N39" i="8"/>
  <c r="N32" i="12"/>
  <c r="N11" i="10"/>
  <c r="N11" i="13"/>
  <c r="N11" i="9"/>
  <c r="N11" i="6"/>
  <c r="N11" i="14"/>
  <c r="O37" i="12" a="1"/>
  <c r="O37" i="12" s="1"/>
  <c r="O35" i="12" a="1"/>
  <c r="O35" i="12" s="1"/>
  <c r="O33" i="12" a="1"/>
  <c r="O33" i="12" s="1"/>
  <c r="O38" i="12" a="1"/>
  <c r="O38" i="12" s="1"/>
  <c r="O36" i="12" a="1"/>
  <c r="O36" i="12" s="1"/>
  <c r="O34" i="12" a="1"/>
  <c r="O34" i="12" s="1"/>
  <c r="O31" i="12" a="1"/>
  <c r="O31" i="12" s="1"/>
  <c r="O28" i="12" a="1"/>
  <c r="O28" i="12" s="1"/>
  <c r="O26" i="12" a="1"/>
  <c r="O26" i="12" s="1"/>
  <c r="O23" i="12" a="1"/>
  <c r="O23" i="12" s="1"/>
  <c r="O21" i="12" a="1"/>
  <c r="O21" i="12" s="1"/>
  <c r="O19" i="12" a="1"/>
  <c r="O19" i="12" s="1"/>
  <c r="O16" i="12" a="1"/>
  <c r="O16" i="12" s="1"/>
  <c r="O14" i="12" a="1"/>
  <c r="O14" i="12" s="1"/>
  <c r="O12" i="12" a="1"/>
  <c r="O12" i="12" s="1"/>
  <c r="O30" i="12" a="1"/>
  <c r="O30" i="12" s="1"/>
  <c r="O29" i="12" a="1"/>
  <c r="O29" i="12" s="1"/>
  <c r="O27" i="12" a="1"/>
  <c r="O27" i="12" s="1"/>
  <c r="O24" i="12" a="1"/>
  <c r="O24" i="12" s="1"/>
  <c r="O22" i="12" a="1"/>
  <c r="O22" i="12" s="1"/>
  <c r="O20" i="12" a="1"/>
  <c r="O20" i="12" s="1"/>
  <c r="O17" i="12" a="1"/>
  <c r="O17" i="12" s="1"/>
  <c r="O15" i="12" a="1"/>
  <c r="O15" i="12" s="1"/>
  <c r="O13" i="12" a="1"/>
  <c r="O13" i="12" s="1"/>
  <c r="O5" i="12" a="1"/>
  <c r="O5" i="12" s="1"/>
  <c r="O6" i="12" a="1"/>
  <c r="O6" i="12" s="1"/>
  <c r="O7" i="12" a="1"/>
  <c r="O7" i="12" s="1"/>
  <c r="O3" i="12" a="1"/>
  <c r="O3" i="12" s="1"/>
  <c r="O4" i="12" a="1"/>
  <c r="O4" i="12" s="1"/>
  <c r="O8" i="12" a="1"/>
  <c r="O8" i="12" s="1"/>
  <c r="O9" i="12" a="1"/>
  <c r="O9" i="12" s="1"/>
  <c r="O10" i="12" a="1"/>
  <c r="O10" i="12" s="1"/>
  <c r="N18" i="14"/>
  <c r="O23" i="14" a="1"/>
  <c r="O23" i="14" s="1"/>
  <c r="O21" i="14" a="1"/>
  <c r="O21" i="14" s="1"/>
  <c r="O19" i="14" a="1"/>
  <c r="O19" i="14" s="1"/>
  <c r="O31" i="14" a="1"/>
  <c r="O31" i="14" s="1"/>
  <c r="O30" i="14" a="1"/>
  <c r="O30" i="14" s="1"/>
  <c r="O24" i="14" a="1"/>
  <c r="O24" i="14" s="1"/>
  <c r="O22" i="14" a="1"/>
  <c r="O22" i="14" s="1"/>
  <c r="O20" i="14" a="1"/>
  <c r="O20" i="14" s="1"/>
  <c r="O29" i="14" a="1"/>
  <c r="O29" i="14" s="1"/>
  <c r="O28" i="14" a="1"/>
  <c r="O28" i="14" s="1"/>
  <c r="O27" i="14" a="1"/>
  <c r="O27" i="14" s="1"/>
  <c r="O26" i="14" a="1"/>
  <c r="O26" i="14" s="1"/>
  <c r="O17" i="14" a="1"/>
  <c r="O17" i="14" s="1"/>
  <c r="O16" i="14" a="1"/>
  <c r="O16" i="14" s="1"/>
  <c r="O15" i="14" a="1"/>
  <c r="O15" i="14" s="1"/>
  <c r="O14" i="14" a="1"/>
  <c r="O14" i="14" s="1"/>
  <c r="O13" i="14" a="1"/>
  <c r="O13" i="14" s="1"/>
  <c r="O12" i="14" a="1"/>
  <c r="O12" i="14" s="1"/>
  <c r="O5" i="14" a="1"/>
  <c r="O5" i="14" s="1"/>
  <c r="O7" i="14" a="1"/>
  <c r="O7" i="14" s="1"/>
  <c r="O10" i="14" a="1"/>
  <c r="O10" i="14" s="1"/>
  <c r="O3" i="14" a="1"/>
  <c r="O3" i="14" s="1"/>
  <c r="O9" i="14" a="1"/>
  <c r="O9" i="14" s="1"/>
  <c r="O6" i="14" a="1"/>
  <c r="O6" i="14" s="1"/>
  <c r="O8" i="14" a="1"/>
  <c r="O8" i="14" s="1"/>
  <c r="O4" i="14" a="1"/>
  <c r="O4" i="14" s="1"/>
  <c r="O38" i="10" a="1"/>
  <c r="O38" i="10" s="1"/>
  <c r="O36" i="10" a="1"/>
  <c r="O36" i="10" s="1"/>
  <c r="O33" i="10" a="1"/>
  <c r="O33" i="10" s="1"/>
  <c r="O37" i="10" a="1"/>
  <c r="O37" i="10" s="1"/>
  <c r="O34" i="10" a="1"/>
  <c r="O34" i="10" s="1"/>
  <c r="O35" i="10" a="1"/>
  <c r="O35" i="10" s="1"/>
  <c r="O31" i="10" a="1"/>
  <c r="O31" i="10" s="1"/>
  <c r="O30" i="10" a="1"/>
  <c r="O30" i="10" s="1"/>
  <c r="O29" i="10" a="1"/>
  <c r="O29" i="10" s="1"/>
  <c r="O27" i="10" a="1"/>
  <c r="O27" i="10" s="1"/>
  <c r="O24" i="10" a="1"/>
  <c r="O24" i="10" s="1"/>
  <c r="O20" i="10" a="1"/>
  <c r="O20" i="10" s="1"/>
  <c r="O9" i="10" a="1"/>
  <c r="O9" i="10" s="1"/>
  <c r="O5" i="10" a="1"/>
  <c r="O5" i="10" s="1"/>
  <c r="O26" i="10" a="1"/>
  <c r="O26" i="10" s="1"/>
  <c r="O23" i="10" a="1"/>
  <c r="O23" i="10" s="1"/>
  <c r="O8" i="10" a="1"/>
  <c r="O8" i="10" s="1"/>
  <c r="O22" i="10" a="1"/>
  <c r="O22" i="10" s="1"/>
  <c r="O7" i="10" a="1"/>
  <c r="O7" i="10" s="1"/>
  <c r="O28" i="10" a="1"/>
  <c r="O28" i="10" s="1"/>
  <c r="O19" i="10" a="1"/>
  <c r="O19" i="10" s="1"/>
  <c r="O6" i="10" a="1"/>
  <c r="O6" i="10" s="1"/>
  <c r="O21" i="10" a="1"/>
  <c r="O21" i="10" s="1"/>
  <c r="O10" i="10" a="1"/>
  <c r="O10" i="10" s="1"/>
  <c r="O13" i="10" a="1"/>
  <c r="O13" i="10" s="1"/>
  <c r="O16" i="10" a="1"/>
  <c r="O16" i="10" s="1"/>
  <c r="O12" i="10" a="1"/>
  <c r="O12" i="10" s="1"/>
  <c r="O14" i="10" a="1"/>
  <c r="O14" i="10" s="1"/>
  <c r="O15" i="10" a="1"/>
  <c r="O15" i="10" s="1"/>
  <c r="O17" i="10" a="1"/>
  <c r="O17" i="10" s="1"/>
  <c r="O3" i="10" a="1"/>
  <c r="O3" i="10" s="1"/>
  <c r="O4" i="10" a="1"/>
  <c r="O4" i="10" s="1"/>
  <c r="O33" i="9" a="1"/>
  <c r="O33" i="9" s="1"/>
  <c r="O37" i="9" a="1"/>
  <c r="O37" i="9" s="1"/>
  <c r="O36" i="9" a="1"/>
  <c r="O36" i="9" s="1"/>
  <c r="O34" i="9" a="1"/>
  <c r="O34" i="9" s="1"/>
  <c r="O38" i="9" a="1"/>
  <c r="O38" i="9" s="1"/>
  <c r="O35" i="9" a="1"/>
  <c r="O35" i="9" s="1"/>
  <c r="O23" i="9" a="1"/>
  <c r="O23" i="9" s="1"/>
  <c r="O19" i="9" a="1"/>
  <c r="O19" i="9" s="1"/>
  <c r="O22" i="9" a="1"/>
  <c r="O22" i="9" s="1"/>
  <c r="O14" i="9" a="1"/>
  <c r="O14" i="9" s="1"/>
  <c r="O21" i="9" a="1"/>
  <c r="O21" i="9" s="1"/>
  <c r="O31" i="9" a="1"/>
  <c r="O31" i="9" s="1"/>
  <c r="O30" i="9" a="1"/>
  <c r="O30" i="9" s="1"/>
  <c r="O29" i="9" a="1"/>
  <c r="O29" i="9" s="1"/>
  <c r="O28" i="9" a="1"/>
  <c r="O28" i="9" s="1"/>
  <c r="O17" i="9" a="1"/>
  <c r="O17" i="9" s="1"/>
  <c r="O16" i="9" a="1"/>
  <c r="O16" i="9" s="1"/>
  <c r="O12" i="9" a="1"/>
  <c r="O12" i="9" s="1"/>
  <c r="O27" i="9" a="1"/>
  <c r="O27" i="9" s="1"/>
  <c r="O26" i="9" a="1"/>
  <c r="O26" i="9" s="1"/>
  <c r="O13" i="9" a="1"/>
  <c r="O13" i="9" s="1"/>
  <c r="O24" i="9" a="1"/>
  <c r="O24" i="9" s="1"/>
  <c r="O20" i="9" a="1"/>
  <c r="O20" i="9" s="1"/>
  <c r="O15" i="9" a="1"/>
  <c r="O15" i="9" s="1"/>
  <c r="O5" i="9" a="1"/>
  <c r="O5" i="9" s="1"/>
  <c r="O6" i="9" a="1"/>
  <c r="O6" i="9" s="1"/>
  <c r="O10" i="9" a="1"/>
  <c r="O10" i="9" s="1"/>
  <c r="O9" i="9" a="1"/>
  <c r="O9" i="9" s="1"/>
  <c r="O8" i="9" a="1"/>
  <c r="O8" i="9" s="1"/>
  <c r="O7" i="9" a="1"/>
  <c r="O7" i="9" s="1"/>
  <c r="O3" i="9" a="1"/>
  <c r="O3" i="9" s="1"/>
  <c r="O4" i="9" a="1"/>
  <c r="O4" i="9" s="1"/>
  <c r="N25" i="14"/>
  <c r="O36" i="8" a="1"/>
  <c r="O36" i="8" s="1"/>
  <c r="O35" i="8" a="1"/>
  <c r="O35" i="8" s="1"/>
  <c r="O34" i="8" a="1"/>
  <c r="O34" i="8" s="1"/>
  <c r="O33" i="8" a="1"/>
  <c r="O33" i="8" s="1"/>
  <c r="O38" i="8" a="1"/>
  <c r="O38" i="8" s="1"/>
  <c r="O37" i="8" a="1"/>
  <c r="O37" i="8" s="1"/>
  <c r="O30" i="8" a="1"/>
  <c r="O30" i="8" s="1"/>
  <c r="O26" i="8" a="1"/>
  <c r="O26" i="8" s="1"/>
  <c r="O29" i="8" a="1"/>
  <c r="O29" i="8" s="1"/>
  <c r="O22" i="8" a="1"/>
  <c r="O22" i="8" s="1"/>
  <c r="O21" i="8" a="1"/>
  <c r="O21" i="8" s="1"/>
  <c r="O20" i="8" a="1"/>
  <c r="O20" i="8" s="1"/>
  <c r="O28" i="8" a="1"/>
  <c r="O28" i="8" s="1"/>
  <c r="O24" i="8" a="1"/>
  <c r="O24" i="8" s="1"/>
  <c r="O15" i="8" a="1"/>
  <c r="O15" i="8" s="1"/>
  <c r="O23" i="8" a="1"/>
  <c r="O23" i="8" s="1"/>
  <c r="O16" i="8" a="1"/>
  <c r="O16" i="8" s="1"/>
  <c r="O14" i="8" a="1"/>
  <c r="O14" i="8" s="1"/>
  <c r="O31" i="8" a="1"/>
  <c r="O31" i="8" s="1"/>
  <c r="O27" i="8" a="1"/>
  <c r="O27" i="8" s="1"/>
  <c r="O19" i="8" a="1"/>
  <c r="O19" i="8" s="1"/>
  <c r="O17" i="8" a="1"/>
  <c r="O17" i="8" s="1"/>
  <c r="O12" i="8" a="1"/>
  <c r="O12" i="8" s="1"/>
  <c r="O13" i="8" a="1"/>
  <c r="O13" i="8" s="1"/>
  <c r="O7" i="8" a="1"/>
  <c r="O7" i="8" s="1"/>
  <c r="O6" i="8" a="1"/>
  <c r="O6" i="8" s="1"/>
  <c r="O5" i="8" a="1"/>
  <c r="O5" i="8" s="1"/>
  <c r="O9" i="8" a="1"/>
  <c r="O9" i="8" s="1"/>
  <c r="O10" i="8" a="1"/>
  <c r="O10" i="8" s="1"/>
  <c r="O8" i="8" a="1"/>
  <c r="O8" i="8" s="1"/>
  <c r="O3" i="8" a="1"/>
  <c r="O3" i="8" s="1"/>
  <c r="O4" i="8" a="1"/>
  <c r="O4" i="8" s="1"/>
  <c r="O38" i="13" a="1"/>
  <c r="O38" i="13" s="1"/>
  <c r="O36" i="13" a="1"/>
  <c r="O36" i="13" s="1"/>
  <c r="O34" i="13" a="1"/>
  <c r="O34" i="13" s="1"/>
  <c r="O37" i="13" a="1"/>
  <c r="O37" i="13" s="1"/>
  <c r="O35" i="13" a="1"/>
  <c r="O35" i="13" s="1"/>
  <c r="O33" i="13" a="1"/>
  <c r="O33" i="13" s="1"/>
  <c r="O30" i="13" a="1"/>
  <c r="O30" i="13" s="1"/>
  <c r="O26" i="13" a="1"/>
  <c r="O26" i="13" s="1"/>
  <c r="O21" i="13" a="1"/>
  <c r="O21" i="13" s="1"/>
  <c r="O29" i="13" a="1"/>
  <c r="O29" i="13" s="1"/>
  <c r="O24" i="13" a="1"/>
  <c r="O24" i="13" s="1"/>
  <c r="O28" i="13" a="1"/>
  <c r="O28" i="13" s="1"/>
  <c r="O23" i="13" a="1"/>
  <c r="O23" i="13" s="1"/>
  <c r="O31" i="13" a="1"/>
  <c r="O31" i="13" s="1"/>
  <c r="O27" i="13" a="1"/>
  <c r="O27" i="13" s="1"/>
  <c r="O22" i="13" a="1"/>
  <c r="O22" i="13" s="1"/>
  <c r="O16" i="13" a="1"/>
  <c r="O16" i="13" s="1"/>
  <c r="O12" i="13" a="1"/>
  <c r="O12" i="13" s="1"/>
  <c r="O20" i="13" a="1"/>
  <c r="O20" i="13" s="1"/>
  <c r="O15" i="13" a="1"/>
  <c r="O15" i="13" s="1"/>
  <c r="O19" i="13" a="1"/>
  <c r="O19" i="13" s="1"/>
  <c r="O14" i="13" a="1"/>
  <c r="O14" i="13" s="1"/>
  <c r="O17" i="13" a="1"/>
  <c r="O17" i="13" s="1"/>
  <c r="O13" i="13" a="1"/>
  <c r="O13" i="13" s="1"/>
  <c r="O5" i="13" a="1"/>
  <c r="O5" i="13" s="1"/>
  <c r="O6" i="13" a="1"/>
  <c r="O6" i="13" s="1"/>
  <c r="O7" i="13" a="1"/>
  <c r="O7" i="13" s="1"/>
  <c r="O8" i="13" a="1"/>
  <c r="O8" i="13" s="1"/>
  <c r="O9" i="13" a="1"/>
  <c r="O9" i="13" s="1"/>
  <c r="O10" i="13" a="1"/>
  <c r="O10" i="13" s="1"/>
  <c r="O3" i="13" a="1"/>
  <c r="O3" i="13" s="1"/>
  <c r="O4" i="13" a="1"/>
  <c r="O4" i="13" s="1"/>
  <c r="O38" i="6" a="1"/>
  <c r="O38" i="6" s="1"/>
  <c r="O37" i="6" a="1"/>
  <c r="O37" i="6" s="1"/>
  <c r="O36" i="6" a="1"/>
  <c r="O36" i="6" s="1"/>
  <c r="O35" i="6" a="1"/>
  <c r="O35" i="6" s="1"/>
  <c r="O34" i="6" a="1"/>
  <c r="O34" i="6" s="1"/>
  <c r="O33" i="6" a="1"/>
  <c r="O33" i="6" s="1"/>
  <c r="O30" i="6" a="1"/>
  <c r="O30" i="6" s="1"/>
  <c r="O26" i="6" a="1"/>
  <c r="O26" i="6" s="1"/>
  <c r="O14" i="6" a="1"/>
  <c r="O14" i="6" s="1"/>
  <c r="O23" i="6" a="1"/>
  <c r="O23" i="6" s="1"/>
  <c r="O19" i="6" a="1"/>
  <c r="O19" i="6" s="1"/>
  <c r="O29" i="6" a="1"/>
  <c r="O29" i="6" s="1"/>
  <c r="O17" i="6" a="1"/>
  <c r="O17" i="6" s="1"/>
  <c r="O13" i="6" a="1"/>
  <c r="O13" i="6" s="1"/>
  <c r="O22" i="6" a="1"/>
  <c r="O22" i="6" s="1"/>
  <c r="O28" i="6" a="1"/>
  <c r="O28" i="6" s="1"/>
  <c r="O16" i="6" a="1"/>
  <c r="O16" i="6" s="1"/>
  <c r="O12" i="6" a="1"/>
  <c r="O12" i="6" s="1"/>
  <c r="O21" i="6" a="1"/>
  <c r="O21" i="6" s="1"/>
  <c r="O31" i="6" a="1"/>
  <c r="O31" i="6" s="1"/>
  <c r="O27" i="6" a="1"/>
  <c r="O27" i="6" s="1"/>
  <c r="O15" i="6" a="1"/>
  <c r="O15" i="6" s="1"/>
  <c r="O24" i="6" a="1"/>
  <c r="O24" i="6" s="1"/>
  <c r="O20" i="6" a="1"/>
  <c r="O20" i="6" s="1"/>
  <c r="O7" i="6" a="1"/>
  <c r="O7" i="6" s="1"/>
  <c r="O8" i="6" a="1"/>
  <c r="O8" i="6" s="1"/>
  <c r="O9" i="6" a="1"/>
  <c r="O9" i="6" s="1"/>
  <c r="O10" i="6" a="1"/>
  <c r="O10" i="6" s="1"/>
  <c r="O5" i="6" a="1"/>
  <c r="O5" i="6" s="1"/>
  <c r="O6" i="6" a="1"/>
  <c r="O6" i="6" s="1"/>
  <c r="O3" i="6" a="1"/>
  <c r="O3" i="6" s="1"/>
  <c r="O4" i="6" a="1"/>
  <c r="O4" i="6" s="1"/>
  <c r="N32" i="14"/>
  <c r="CF92" i="17"/>
  <c r="CE88" i="17"/>
  <c r="BA88" i="17"/>
  <c r="DS87" i="17"/>
  <c r="GC91" i="17"/>
  <c r="EN91" i="17"/>
  <c r="FH91" i="17"/>
  <c r="EM87" i="17"/>
  <c r="BA89" i="17"/>
  <c r="GB88" i="17"/>
  <c r="CZ92" i="17"/>
  <c r="DS88" i="17"/>
  <c r="CE90" i="17"/>
  <c r="GB87" i="17"/>
  <c r="DS90" i="17"/>
  <c r="CY90" i="17"/>
  <c r="CY88" i="17"/>
  <c r="GB89" i="17"/>
  <c r="FG89" i="17"/>
  <c r="DT91" i="17"/>
  <c r="FH92" i="17"/>
  <c r="CY87" i="17"/>
  <c r="EM90" i="17"/>
  <c r="BB91" i="17"/>
  <c r="CE87" i="17"/>
  <c r="CY89" i="17"/>
  <c r="DS89" i="17"/>
  <c r="FG87" i="17"/>
  <c r="DT92" i="17"/>
  <c r="FG88" i="17"/>
  <c r="FG90" i="17"/>
  <c r="BB90" i="17"/>
  <c r="BA87" i="17"/>
  <c r="GC90" i="17"/>
  <c r="CF91" i="17"/>
  <c r="CE89" i="17"/>
  <c r="EM88" i="17"/>
  <c r="EN92" i="17"/>
  <c r="GC92" i="17"/>
  <c r="CZ91" i="17"/>
  <c r="BB92" i="17"/>
  <c r="EM89" i="17"/>
  <c r="Q19" i="3" l="1" a="1"/>
  <c r="Q19" i="3" s="1"/>
  <c r="Q18" i="3" a="1"/>
  <c r="Q18" i="3" s="1"/>
  <c r="Q16" i="3" a="1"/>
  <c r="Q16" i="3" s="1"/>
  <c r="Q17" i="3" a="1"/>
  <c r="Q17" i="3" s="1"/>
  <c r="Q15" i="3" a="1"/>
  <c r="Q15" i="3" s="1"/>
  <c r="Q14" i="3" a="1"/>
  <c r="Q14" i="3" s="1"/>
  <c r="Q13" i="3" a="1"/>
  <c r="Q13" i="3" s="1"/>
  <c r="Q20" i="3" s="1"/>
  <c r="Q203" i="3" a="1"/>
  <c r="Q203" i="3" s="1"/>
  <c r="Q198" i="3" a="1"/>
  <c r="Q198" i="3" s="1"/>
  <c r="Q197" i="3" a="1"/>
  <c r="Q197" i="3" s="1"/>
  <c r="Q202" i="3" a="1"/>
  <c r="Q202" i="3" s="1"/>
  <c r="Q201" i="3" a="1"/>
  <c r="Q201" i="3" s="1"/>
  <c r="Q200" i="3" a="1"/>
  <c r="Q200" i="3" s="1"/>
  <c r="Q199" i="3" a="1"/>
  <c r="Q199" i="3" s="1"/>
  <c r="Q11" i="3" a="1"/>
  <c r="Q11" i="3" s="1"/>
  <c r="Q10" i="3" a="1"/>
  <c r="Q10" i="3" s="1"/>
  <c r="Q9" i="3" a="1"/>
  <c r="Q9" i="3" s="1"/>
  <c r="Q8" i="3" a="1"/>
  <c r="Q8" i="3" s="1"/>
  <c r="Q5" i="3" a="1"/>
  <c r="Q5" i="3" s="1"/>
  <c r="Q12" i="3" s="1"/>
  <c r="Q7" i="3" a="1"/>
  <c r="Q7" i="3" s="1"/>
  <c r="Q6" i="3" a="1"/>
  <c r="Q6" i="3" s="1"/>
  <c r="Q107" i="3" a="1"/>
  <c r="Q107" i="3" s="1"/>
  <c r="Q106" i="3" a="1"/>
  <c r="Q106" i="3" s="1"/>
  <c r="Q105" i="3" a="1"/>
  <c r="Q105" i="3" s="1"/>
  <c r="Q104" i="3" a="1"/>
  <c r="Q104" i="3" s="1"/>
  <c r="Q103" i="3" a="1"/>
  <c r="Q103" i="3" s="1"/>
  <c r="Q102" i="3" a="1"/>
  <c r="Q102" i="3" s="1"/>
  <c r="Q101" i="3" a="1"/>
  <c r="Q101" i="3" s="1"/>
  <c r="Q108" i="3" s="1"/>
  <c r="Q185" i="3" a="1"/>
  <c r="Q185" i="3" s="1"/>
  <c r="Q183" i="3" a="1"/>
  <c r="Q183" i="3" s="1"/>
  <c r="Q181" i="3" a="1"/>
  <c r="Q181" i="3" s="1"/>
  <c r="Q188" i="3" s="1"/>
  <c r="Q187" i="3" a="1"/>
  <c r="Q187" i="3" s="1"/>
  <c r="Q186" i="3" a="1"/>
  <c r="Q186" i="3" s="1"/>
  <c r="Q184" i="3" a="1"/>
  <c r="Q184" i="3" s="1"/>
  <c r="Q182" i="3" a="1"/>
  <c r="Q182" i="3" s="1"/>
  <c r="Q227" i="3" a="1"/>
  <c r="Q227" i="3" s="1"/>
  <c r="Q219" i="3" a="1"/>
  <c r="Q219" i="3" s="1"/>
  <c r="Q211" i="3" a="1"/>
  <c r="Q211" i="3" s="1"/>
  <c r="Q179" i="3" a="1"/>
  <c r="Q179" i="3" s="1"/>
  <c r="Q171" i="3" a="1"/>
  <c r="Q171" i="3" s="1"/>
  <c r="Q163" i="3" a="1"/>
  <c r="Q163" i="3" s="1"/>
  <c r="Q155" i="3" a="1"/>
  <c r="Q155" i="3" s="1"/>
  <c r="Q147" i="3" a="1"/>
  <c r="Q147" i="3" s="1"/>
  <c r="Q139" i="3" a="1"/>
  <c r="Q139" i="3" s="1"/>
  <c r="Q131" i="3" a="1"/>
  <c r="Q131" i="3" s="1"/>
  <c r="Q195" i="3" a="1"/>
  <c r="Q195" i="3" s="1"/>
  <c r="Q123" i="3" a="1"/>
  <c r="Q123" i="3" s="1"/>
  <c r="Q115" i="3" a="1"/>
  <c r="Q115" i="3" s="1"/>
  <c r="Q99" i="3" a="1"/>
  <c r="Q99" i="3" s="1"/>
  <c r="Q91" i="3" a="1"/>
  <c r="Q91" i="3" s="1"/>
  <c r="Q83" i="3" a="1"/>
  <c r="Q83" i="3" s="1"/>
  <c r="Q75" i="3" a="1"/>
  <c r="Q75" i="3" s="1"/>
  <c r="Q67" i="3" a="1"/>
  <c r="Q67" i="3" s="1"/>
  <c r="Q59" i="3" a="1"/>
  <c r="Q59" i="3" s="1"/>
  <c r="Q51" i="3" a="1"/>
  <c r="Q51" i="3" s="1"/>
  <c r="Q43" i="3" a="1"/>
  <c r="Q43" i="3" s="1"/>
  <c r="Q35" i="3" a="1"/>
  <c r="Q35" i="3" s="1"/>
  <c r="Q27" i="3" a="1"/>
  <c r="Q27" i="3" s="1"/>
  <c r="Q235" i="3" a="1"/>
  <c r="Q235" i="3" s="1"/>
  <c r="P196" i="3"/>
  <c r="Q193" i="3" a="1"/>
  <c r="Q193" i="3" s="1"/>
  <c r="Q190" i="3" a="1"/>
  <c r="Q190" i="3" s="1"/>
  <c r="Q194" i="3" a="1"/>
  <c r="Q194" i="3" s="1"/>
  <c r="Q192" i="3" a="1"/>
  <c r="Q192" i="3" s="1"/>
  <c r="Q191" i="3" a="1"/>
  <c r="Q191" i="3" s="1"/>
  <c r="Q189" i="3" a="1"/>
  <c r="Q189" i="3" s="1"/>
  <c r="P180" i="3"/>
  <c r="Q178" i="3" a="1"/>
  <c r="Q178" i="3" s="1"/>
  <c r="Q177" i="3" a="1"/>
  <c r="Q177" i="3" s="1"/>
  <c r="Q176" i="3" a="1"/>
  <c r="Q176" i="3" s="1"/>
  <c r="Q174" i="3" a="1"/>
  <c r="Q174" i="3" s="1"/>
  <c r="Q173" i="3" a="1"/>
  <c r="Q173" i="3" s="1"/>
  <c r="Q175" i="3" a="1"/>
  <c r="Q175" i="3" s="1"/>
  <c r="P68" i="3"/>
  <c r="Q66" i="3" a="1"/>
  <c r="Q66" i="3" s="1"/>
  <c r="Q65" i="3" a="1"/>
  <c r="Q65" i="3" s="1"/>
  <c r="Q64" i="3" a="1"/>
  <c r="Q64" i="3" s="1"/>
  <c r="Q62" i="3" a="1"/>
  <c r="Q62" i="3" s="1"/>
  <c r="Q61" i="3" a="1"/>
  <c r="Q61" i="3" s="1"/>
  <c r="Q63" i="3" a="1"/>
  <c r="Q63" i="3" s="1"/>
  <c r="P148" i="3"/>
  <c r="Q146" i="3" a="1"/>
  <c r="Q146" i="3" s="1"/>
  <c r="Q145" i="3" a="1"/>
  <c r="Q145" i="3" s="1"/>
  <c r="Q143" i="3" a="1"/>
  <c r="Q143" i="3" s="1"/>
  <c r="Q144" i="3" a="1"/>
  <c r="Q144" i="3" s="1"/>
  <c r="Q142" i="3" a="1"/>
  <c r="Q142" i="3" s="1"/>
  <c r="Q141" i="3" a="1"/>
  <c r="Q141" i="3" s="1"/>
  <c r="P36" i="3"/>
  <c r="Q33" i="3" a="1"/>
  <c r="Q33" i="3" s="1"/>
  <c r="Q30" i="3" a="1"/>
  <c r="Q30" i="3" s="1"/>
  <c r="Q32" i="3" a="1"/>
  <c r="Q32" i="3" s="1"/>
  <c r="Q31" i="3" a="1"/>
  <c r="Q31" i="3" s="1"/>
  <c r="Q34" i="3" a="1"/>
  <c r="Q34" i="3" s="1"/>
  <c r="Q29" i="3" a="1"/>
  <c r="Q29" i="3" s="1"/>
  <c r="R2" i="3"/>
  <c r="O172" i="3"/>
  <c r="O228" i="3"/>
  <c r="P170" i="3" a="1"/>
  <c r="P170" i="3" s="1"/>
  <c r="P169" i="3" a="1"/>
  <c r="P169" i="3" s="1"/>
  <c r="P168" i="3" a="1"/>
  <c r="P168" i="3" s="1"/>
  <c r="P167" i="3" a="1"/>
  <c r="P167" i="3" s="1"/>
  <c r="P166" i="3" a="1"/>
  <c r="P166" i="3" s="1"/>
  <c r="P226" i="3" a="1"/>
  <c r="P226" i="3" s="1"/>
  <c r="P222" i="3" a="1"/>
  <c r="P222" i="3" s="1"/>
  <c r="P221" i="3" a="1"/>
  <c r="P221" i="3" s="1"/>
  <c r="P165" i="3" a="1"/>
  <c r="P165" i="3" s="1"/>
  <c r="P225" i="3" a="1"/>
  <c r="P225" i="3" s="1"/>
  <c r="P223" i="3" a="1"/>
  <c r="P223" i="3" s="1"/>
  <c r="P224" i="3" a="1"/>
  <c r="P224" i="3" s="1"/>
  <c r="O132" i="3"/>
  <c r="P129" i="3" a="1"/>
  <c r="P129" i="3" s="1"/>
  <c r="P126" i="3" a="1"/>
  <c r="P126" i="3" s="1"/>
  <c r="P130" i="3" a="1"/>
  <c r="P130" i="3" s="1"/>
  <c r="P127" i="3" a="1"/>
  <c r="P127" i="3" s="1"/>
  <c r="P128" i="3" a="1"/>
  <c r="P128" i="3" s="1"/>
  <c r="P125" i="3" a="1"/>
  <c r="P125" i="3" s="1"/>
  <c r="O44" i="3"/>
  <c r="P42" i="3" a="1"/>
  <c r="P42" i="3" s="1"/>
  <c r="P41" i="3" a="1"/>
  <c r="P41" i="3" s="1"/>
  <c r="P39" i="3" a="1"/>
  <c r="P39" i="3" s="1"/>
  <c r="P37" i="3" a="1"/>
  <c r="P37" i="3" s="1"/>
  <c r="P40" i="3" a="1"/>
  <c r="P40" i="3" s="1"/>
  <c r="P38" i="3" a="1"/>
  <c r="P38" i="3" s="1"/>
  <c r="O212" i="3"/>
  <c r="O140" i="3"/>
  <c r="P209" i="3" a="1"/>
  <c r="P209" i="3" s="1"/>
  <c r="P210" i="3" a="1"/>
  <c r="P210" i="3" s="1"/>
  <c r="P206" i="3" a="1"/>
  <c r="P206" i="3" s="1"/>
  <c r="P205" i="3" a="1"/>
  <c r="P205" i="3" s="1"/>
  <c r="P137" i="3" a="1"/>
  <c r="P137" i="3" s="1"/>
  <c r="P207" i="3" a="1"/>
  <c r="P207" i="3" s="1"/>
  <c r="P133" i="3" a="1"/>
  <c r="P133" i="3" s="1"/>
  <c r="P134" i="3" a="1"/>
  <c r="P134" i="3" s="1"/>
  <c r="P138" i="3" a="1"/>
  <c r="P138" i="3" s="1"/>
  <c r="P136" i="3" a="1"/>
  <c r="P136" i="3" s="1"/>
  <c r="P135" i="3" a="1"/>
  <c r="P135" i="3" s="1"/>
  <c r="P208" i="3" a="1"/>
  <c r="P208" i="3" s="1"/>
  <c r="O220" i="3"/>
  <c r="P58" i="3" a="1"/>
  <c r="P58" i="3" s="1"/>
  <c r="P56" i="3" a="1"/>
  <c r="P56" i="3" s="1"/>
  <c r="P57" i="3" a="1"/>
  <c r="P57" i="3" s="1"/>
  <c r="P53" i="3" a="1"/>
  <c r="P53" i="3" s="1"/>
  <c r="P54" i="3" a="1"/>
  <c r="P54" i="3" s="1"/>
  <c r="P55" i="3" a="1"/>
  <c r="P55" i="3" s="1"/>
  <c r="P218" i="3" a="1"/>
  <c r="P218" i="3" s="1"/>
  <c r="P216" i="3" a="1"/>
  <c r="P216" i="3" s="1"/>
  <c r="P215" i="3" a="1"/>
  <c r="P215" i="3" s="1"/>
  <c r="P214" i="3" a="1"/>
  <c r="P214" i="3" s="1"/>
  <c r="P217" i="3" a="1"/>
  <c r="P217" i="3" s="1"/>
  <c r="P213" i="3" a="1"/>
  <c r="P213" i="3" s="1"/>
  <c r="O60" i="3"/>
  <c r="O46" i="10"/>
  <c r="P44" i="10" a="1"/>
  <c r="P44" i="10" s="1"/>
  <c r="P42" i="10" a="1"/>
  <c r="P42" i="10" s="1"/>
  <c r="P40" i="10" a="1"/>
  <c r="P40" i="10" s="1"/>
  <c r="P45" i="10" a="1"/>
  <c r="P45" i="10" s="1"/>
  <c r="P43" i="10" a="1"/>
  <c r="P43" i="10" s="1"/>
  <c r="P41" i="10" a="1"/>
  <c r="P41" i="10" s="1"/>
  <c r="P122" i="3" a="1"/>
  <c r="P122" i="3" s="1"/>
  <c r="P118" i="3" a="1"/>
  <c r="P118" i="3" s="1"/>
  <c r="P120" i="3" a="1"/>
  <c r="P120" i="3" s="1"/>
  <c r="P117" i="3" a="1"/>
  <c r="P117" i="3" s="1"/>
  <c r="P119" i="3" a="1"/>
  <c r="P119" i="3" s="1"/>
  <c r="P121" i="3" a="1"/>
  <c r="P121" i="3" s="1"/>
  <c r="O124" i="3"/>
  <c r="O92" i="3"/>
  <c r="P90" i="3" a="1"/>
  <c r="P90" i="3" s="1"/>
  <c r="P89" i="3" a="1"/>
  <c r="P89" i="3" s="1"/>
  <c r="P87" i="3" a="1"/>
  <c r="P87" i="3" s="1"/>
  <c r="P85" i="3" a="1"/>
  <c r="P85" i="3" s="1"/>
  <c r="P88" i="3" a="1"/>
  <c r="P88" i="3" s="1"/>
  <c r="P86" i="3" a="1"/>
  <c r="P86" i="3" s="1"/>
  <c r="P154" i="3" a="1"/>
  <c r="P154" i="3" s="1"/>
  <c r="P150" i="3" a="1"/>
  <c r="P150" i="3" s="1"/>
  <c r="P151" i="3" a="1"/>
  <c r="P151" i="3" s="1"/>
  <c r="P149" i="3" a="1"/>
  <c r="P149" i="3" s="1"/>
  <c r="P152" i="3" a="1"/>
  <c r="P152" i="3" s="1"/>
  <c r="P153" i="3" a="1"/>
  <c r="P153" i="3" s="1"/>
  <c r="O156" i="3"/>
  <c r="P50" i="3" a="1"/>
  <c r="P50" i="3" s="1"/>
  <c r="P46" i="3" a="1"/>
  <c r="P46" i="3" s="1"/>
  <c r="P47" i="3" a="1"/>
  <c r="P47" i="3" s="1"/>
  <c r="P48" i="3" a="1"/>
  <c r="P48" i="3" s="1"/>
  <c r="P45" i="3" a="1"/>
  <c r="P45" i="3" s="1"/>
  <c r="P49" i="3" a="1"/>
  <c r="P49" i="3" s="1"/>
  <c r="O52" i="3"/>
  <c r="O46" i="8"/>
  <c r="O46" i="14"/>
  <c r="O46" i="9"/>
  <c r="O46" i="6"/>
  <c r="O46" i="12"/>
  <c r="O46" i="13"/>
  <c r="P45" i="13" a="1"/>
  <c r="P45" i="13" s="1"/>
  <c r="P43" i="13" a="1"/>
  <c r="P43" i="13" s="1"/>
  <c r="P42" i="13" a="1"/>
  <c r="P42" i="13" s="1"/>
  <c r="P40" i="13" a="1"/>
  <c r="P40" i="13" s="1"/>
  <c r="P44" i="13" a="1"/>
  <c r="P44" i="13" s="1"/>
  <c r="P41" i="13" a="1"/>
  <c r="P41" i="13" s="1"/>
  <c r="P45" i="8" a="1"/>
  <c r="P45" i="8" s="1"/>
  <c r="P43" i="8" a="1"/>
  <c r="P43" i="8" s="1"/>
  <c r="P41" i="8" a="1"/>
  <c r="P41" i="8" s="1"/>
  <c r="P44" i="8" a="1"/>
  <c r="P44" i="8" s="1"/>
  <c r="P42" i="8" a="1"/>
  <c r="P42" i="8" s="1"/>
  <c r="P40" i="8" a="1"/>
  <c r="P40" i="8" s="1"/>
  <c r="P43" i="14" a="1"/>
  <c r="P43" i="14" s="1"/>
  <c r="P41" i="14" a="1"/>
  <c r="P41" i="14" s="1"/>
  <c r="P45" i="14" a="1"/>
  <c r="P45" i="14" s="1"/>
  <c r="P42" i="14" a="1"/>
  <c r="P42" i="14" s="1"/>
  <c r="P44" i="14" a="1"/>
  <c r="P44" i="14" s="1"/>
  <c r="P40" i="14" a="1"/>
  <c r="P40" i="14" s="1"/>
  <c r="P44" i="12" a="1"/>
  <c r="P44" i="12" s="1"/>
  <c r="P45" i="12" a="1"/>
  <c r="P45" i="12" s="1"/>
  <c r="P43" i="12" a="1"/>
  <c r="P43" i="12" s="1"/>
  <c r="P41" i="12" a="1"/>
  <c r="P41" i="12" s="1"/>
  <c r="P40" i="12" a="1"/>
  <c r="P40" i="12" s="1"/>
  <c r="P42" i="12" a="1"/>
  <c r="P42" i="12" s="1"/>
  <c r="P45" i="9" a="1"/>
  <c r="P45" i="9" s="1"/>
  <c r="P43" i="9" a="1"/>
  <c r="P43" i="9" s="1"/>
  <c r="P41" i="9" a="1"/>
  <c r="P41" i="9" s="1"/>
  <c r="P40" i="9" a="1"/>
  <c r="P40" i="9" s="1"/>
  <c r="P42" i="9" a="1"/>
  <c r="P42" i="9" s="1"/>
  <c r="P44" i="9" a="1"/>
  <c r="P44" i="9" s="1"/>
  <c r="P45" i="6" a="1"/>
  <c r="P45" i="6" s="1"/>
  <c r="P43" i="6" a="1"/>
  <c r="P43" i="6" s="1"/>
  <c r="P41" i="6" a="1"/>
  <c r="P41" i="6" s="1"/>
  <c r="P44" i="6" a="1"/>
  <c r="P44" i="6" s="1"/>
  <c r="P42" i="6" a="1"/>
  <c r="P42" i="6" s="1"/>
  <c r="P40" i="6" a="1"/>
  <c r="P40" i="6" s="1"/>
  <c r="O100" i="3"/>
  <c r="P98" i="3" a="1"/>
  <c r="P98" i="3" s="1"/>
  <c r="P97" i="3" a="1"/>
  <c r="P97" i="3" s="1"/>
  <c r="P96" i="3" a="1"/>
  <c r="P96" i="3" s="1"/>
  <c r="P95" i="3" a="1"/>
  <c r="P95" i="3" s="1"/>
  <c r="P94" i="3" a="1"/>
  <c r="P94" i="3" s="1"/>
  <c r="P93" i="3" a="1"/>
  <c r="P93" i="3" s="1"/>
  <c r="P25" i="3" a="1"/>
  <c r="P25" i="3" s="1"/>
  <c r="P24" i="3" a="1"/>
  <c r="P24" i="3" s="1"/>
  <c r="P22" i="3" a="1"/>
  <c r="P22" i="3" s="1"/>
  <c r="P26" i="3" a="1"/>
  <c r="P26" i="3" s="1"/>
  <c r="P23" i="3" a="1"/>
  <c r="P23" i="3" s="1"/>
  <c r="P21" i="3" a="1"/>
  <c r="P21" i="3" s="1"/>
  <c r="O28" i="3"/>
  <c r="P35" i="14" a="1"/>
  <c r="P35" i="14" s="1"/>
  <c r="P33" i="14" a="1"/>
  <c r="P33" i="14" s="1"/>
  <c r="P38" i="14" a="1"/>
  <c r="P38" i="14" s="1"/>
  <c r="P34" i="14" a="1"/>
  <c r="P34" i="14" s="1"/>
  <c r="P36" i="14" a="1"/>
  <c r="P36" i="14" s="1"/>
  <c r="P37" i="14" a="1"/>
  <c r="P37" i="14" s="1"/>
  <c r="O39" i="14"/>
  <c r="O116" i="3"/>
  <c r="P114" i="3" a="1"/>
  <c r="P114" i="3" s="1"/>
  <c r="P113" i="3" a="1"/>
  <c r="P113" i="3" s="1"/>
  <c r="P111" i="3" a="1"/>
  <c r="P111" i="3" s="1"/>
  <c r="P109" i="3" a="1"/>
  <c r="P109" i="3" s="1"/>
  <c r="P112" i="3" a="1"/>
  <c r="P112" i="3" s="1"/>
  <c r="P110" i="3" a="1"/>
  <c r="P110" i="3" s="1"/>
  <c r="O164" i="3"/>
  <c r="P162" i="3" a="1"/>
  <c r="P162" i="3" s="1"/>
  <c r="P160" i="3" a="1"/>
  <c r="P160" i="3" s="1"/>
  <c r="P157" i="3" a="1"/>
  <c r="P157" i="3" s="1"/>
  <c r="P158" i="3" a="1"/>
  <c r="P158" i="3" s="1"/>
  <c r="P161" i="3" a="1"/>
  <c r="P161" i="3" s="1"/>
  <c r="P159" i="3" a="1"/>
  <c r="P159" i="3" s="1"/>
  <c r="O76" i="3"/>
  <c r="P73" i="3" a="1"/>
  <c r="P73" i="3" s="1"/>
  <c r="P74" i="3" a="1"/>
  <c r="P74" i="3" s="1"/>
  <c r="P72" i="3" a="1"/>
  <c r="P72" i="3" s="1"/>
  <c r="P69" i="3" a="1"/>
  <c r="P69" i="3" s="1"/>
  <c r="P70" i="3" a="1"/>
  <c r="P70" i="3" s="1"/>
  <c r="P71" i="3" a="1"/>
  <c r="P71" i="3" s="1"/>
  <c r="O236" i="3"/>
  <c r="P234" i="3" a="1"/>
  <c r="P234" i="3" s="1"/>
  <c r="P233" i="3" a="1"/>
  <c r="P233" i="3" s="1"/>
  <c r="P229" i="3" a="1"/>
  <c r="P229" i="3" s="1"/>
  <c r="P232" i="3" a="1"/>
  <c r="P232" i="3" s="1"/>
  <c r="P230" i="3" a="1"/>
  <c r="P230" i="3" s="1"/>
  <c r="P231" i="3" a="1"/>
  <c r="P231" i="3" s="1"/>
  <c r="O84" i="3"/>
  <c r="P82" i="3" a="1"/>
  <c r="P82" i="3" s="1"/>
  <c r="P81" i="3" a="1"/>
  <c r="P81" i="3" s="1"/>
  <c r="P80" i="3" a="1"/>
  <c r="P80" i="3" s="1"/>
  <c r="P79" i="3" a="1"/>
  <c r="P79" i="3" s="1"/>
  <c r="P78" i="3" a="1"/>
  <c r="P78" i="3" s="1"/>
  <c r="P77" i="3" a="1"/>
  <c r="P77" i="3" s="1"/>
  <c r="O25" i="10"/>
  <c r="O18" i="12"/>
  <c r="O39" i="12"/>
  <c r="O18" i="6"/>
  <c r="O39" i="6"/>
  <c r="O32" i="8"/>
  <c r="O39" i="8"/>
  <c r="O18" i="9"/>
  <c r="O25" i="6"/>
  <c r="O32" i="13"/>
  <c r="O25" i="8"/>
  <c r="O18" i="13"/>
  <c r="O39" i="13"/>
  <c r="O11" i="8"/>
  <c r="O18" i="8"/>
  <c r="O11" i="9"/>
  <c r="O39" i="9"/>
  <c r="O18" i="10"/>
  <c r="O32" i="10"/>
  <c r="O39" i="10"/>
  <c r="O11" i="12"/>
  <c r="O32" i="12"/>
  <c r="O11" i="6"/>
  <c r="O32" i="6"/>
  <c r="O11" i="13"/>
  <c r="O25" i="13"/>
  <c r="O32" i="9"/>
  <c r="O25" i="9"/>
  <c r="O11" i="10"/>
  <c r="O25" i="12"/>
  <c r="P38" i="8" a="1"/>
  <c r="P38" i="8" s="1"/>
  <c r="P37" i="8" a="1"/>
  <c r="P37" i="8" s="1"/>
  <c r="P35" i="8" a="1"/>
  <c r="P35" i="8" s="1"/>
  <c r="P33" i="8" a="1"/>
  <c r="P33" i="8" s="1"/>
  <c r="P36" i="8" a="1"/>
  <c r="P36" i="8" s="1"/>
  <c r="P34" i="8" a="1"/>
  <c r="P34" i="8" s="1"/>
  <c r="P29" i="8" a="1"/>
  <c r="P29" i="8" s="1"/>
  <c r="P17" i="8" a="1"/>
  <c r="P17" i="8" s="1"/>
  <c r="P16" i="8" a="1"/>
  <c r="P16" i="8" s="1"/>
  <c r="P28" i="8" a="1"/>
  <c r="P28" i="8" s="1"/>
  <c r="P24" i="8" a="1"/>
  <c r="P24" i="8" s="1"/>
  <c r="P31" i="8" a="1"/>
  <c r="P31" i="8" s="1"/>
  <c r="P27" i="8" a="1"/>
  <c r="P27" i="8" s="1"/>
  <c r="P23" i="8" a="1"/>
  <c r="P23" i="8" s="1"/>
  <c r="P14" i="8" a="1"/>
  <c r="P14" i="8" s="1"/>
  <c r="P30" i="8" a="1"/>
  <c r="P30" i="8" s="1"/>
  <c r="P26" i="8" a="1"/>
  <c r="P26" i="8" s="1"/>
  <c r="P19" i="8" a="1"/>
  <c r="P19" i="8" s="1"/>
  <c r="P15" i="8" a="1"/>
  <c r="P15" i="8" s="1"/>
  <c r="P12" i="8" a="1"/>
  <c r="P12" i="8" s="1"/>
  <c r="P20" i="8" a="1"/>
  <c r="P20" i="8" s="1"/>
  <c r="P13" i="8" a="1"/>
  <c r="P13" i="8" s="1"/>
  <c r="P22" i="8" a="1"/>
  <c r="P22" i="8" s="1"/>
  <c r="P21" i="8" a="1"/>
  <c r="P21" i="8" s="1"/>
  <c r="P8" i="8" a="1"/>
  <c r="P8" i="8" s="1"/>
  <c r="P9" i="8" a="1"/>
  <c r="P9" i="8" s="1"/>
  <c r="P7" i="8" a="1"/>
  <c r="P7" i="8" s="1"/>
  <c r="P6" i="8" a="1"/>
  <c r="P6" i="8" s="1"/>
  <c r="P5" i="8" a="1"/>
  <c r="P5" i="8" s="1"/>
  <c r="P10" i="8" a="1"/>
  <c r="P10" i="8" s="1"/>
  <c r="P3" i="8" a="1"/>
  <c r="P3" i="8" s="1"/>
  <c r="P4" i="8" a="1"/>
  <c r="P4" i="8" s="1"/>
  <c r="O11" i="14"/>
  <c r="O25" i="14"/>
  <c r="P37" i="10" a="1"/>
  <c r="P37" i="10" s="1"/>
  <c r="P34" i="10" a="1"/>
  <c r="P34" i="10" s="1"/>
  <c r="P35" i="10" a="1"/>
  <c r="P35" i="10" s="1"/>
  <c r="P36" i="10" a="1"/>
  <c r="P36" i="10" s="1"/>
  <c r="P38" i="10" a="1"/>
  <c r="P38" i="10" s="1"/>
  <c r="P33" i="10" a="1"/>
  <c r="P33" i="10" s="1"/>
  <c r="P26" i="10" a="1"/>
  <c r="P26" i="10" s="1"/>
  <c r="P22" i="10" a="1"/>
  <c r="P22" i="10" s="1"/>
  <c r="P8" i="10" a="1"/>
  <c r="P8" i="10" s="1"/>
  <c r="P21" i="10" a="1"/>
  <c r="P21" i="10" s="1"/>
  <c r="P7" i="10" a="1"/>
  <c r="P7" i="10" s="1"/>
  <c r="P28" i="10" a="1"/>
  <c r="P28" i="10" s="1"/>
  <c r="P24" i="10" a="1"/>
  <c r="P24" i="10" s="1"/>
  <c r="P20" i="10" a="1"/>
  <c r="P20" i="10" s="1"/>
  <c r="P19" i="10" a="1"/>
  <c r="P19" i="10" s="1"/>
  <c r="P10" i="10" a="1"/>
  <c r="P10" i="10" s="1"/>
  <c r="P6" i="10" a="1"/>
  <c r="P6" i="10" s="1"/>
  <c r="P27" i="10" a="1"/>
  <c r="P27" i="10" s="1"/>
  <c r="P31" i="10" a="1"/>
  <c r="P31" i="10" s="1"/>
  <c r="P29" i="10" a="1"/>
  <c r="P29" i="10" s="1"/>
  <c r="P23" i="10" a="1"/>
  <c r="P23" i="10" s="1"/>
  <c r="P9" i="10" a="1"/>
  <c r="P9" i="10" s="1"/>
  <c r="P5" i="10" a="1"/>
  <c r="P5" i="10" s="1"/>
  <c r="P30" i="10" a="1"/>
  <c r="P30" i="10" s="1"/>
  <c r="P17" i="10" a="1"/>
  <c r="P17" i="10" s="1"/>
  <c r="P13" i="10" a="1"/>
  <c r="P13" i="10" s="1"/>
  <c r="P16" i="10" a="1"/>
  <c r="P16" i="10" s="1"/>
  <c r="P12" i="10" a="1"/>
  <c r="P12" i="10" s="1"/>
  <c r="P14" i="10" a="1"/>
  <c r="P14" i="10" s="1"/>
  <c r="P15" i="10" a="1"/>
  <c r="P15" i="10" s="1"/>
  <c r="P4" i="10" a="1"/>
  <c r="P4" i="10" s="1"/>
  <c r="P3" i="10" a="1"/>
  <c r="P3" i="10" s="1"/>
  <c r="O18" i="14"/>
  <c r="P24" i="14" a="1"/>
  <c r="P24" i="14" s="1"/>
  <c r="P22" i="14" a="1"/>
  <c r="P22" i="14" s="1"/>
  <c r="P20" i="14" a="1"/>
  <c r="P20" i="14" s="1"/>
  <c r="P23" i="14" a="1"/>
  <c r="P23" i="14" s="1"/>
  <c r="P21" i="14" a="1"/>
  <c r="P21" i="14" s="1"/>
  <c r="P29" i="14" a="1"/>
  <c r="P29" i="14" s="1"/>
  <c r="P30" i="14" a="1"/>
  <c r="P30" i="14" s="1"/>
  <c r="P31" i="14" a="1"/>
  <c r="P31" i="14" s="1"/>
  <c r="P28" i="14" a="1"/>
  <c r="P28" i="14" s="1"/>
  <c r="P27" i="14" a="1"/>
  <c r="P27" i="14" s="1"/>
  <c r="P26" i="14" a="1"/>
  <c r="P26" i="14" s="1"/>
  <c r="P17" i="14" a="1"/>
  <c r="P17" i="14" s="1"/>
  <c r="P16" i="14" a="1"/>
  <c r="P16" i="14" s="1"/>
  <c r="P15" i="14" a="1"/>
  <c r="P15" i="14" s="1"/>
  <c r="P14" i="14" a="1"/>
  <c r="P14" i="14" s="1"/>
  <c r="P13" i="14" a="1"/>
  <c r="P13" i="14" s="1"/>
  <c r="P12" i="14" a="1"/>
  <c r="P12" i="14" s="1"/>
  <c r="P19" i="14" a="1"/>
  <c r="P19" i="14" s="1"/>
  <c r="P6" i="14" a="1"/>
  <c r="P6" i="14" s="1"/>
  <c r="P10" i="14" a="1"/>
  <c r="P10" i="14" s="1"/>
  <c r="P4" i="14" a="1"/>
  <c r="P4" i="14" s="1"/>
  <c r="P5" i="14" a="1"/>
  <c r="P5" i="14" s="1"/>
  <c r="P7" i="14" a="1"/>
  <c r="P7" i="14" s="1"/>
  <c r="P9" i="14" a="1"/>
  <c r="P9" i="14" s="1"/>
  <c r="P3" i="14" a="1"/>
  <c r="P3" i="14" s="1"/>
  <c r="P8" i="14" a="1"/>
  <c r="P8" i="14" s="1"/>
  <c r="P36" i="6" a="1"/>
  <c r="P36" i="6" s="1"/>
  <c r="P34" i="6" a="1"/>
  <c r="P34" i="6" s="1"/>
  <c r="P37" i="6" a="1"/>
  <c r="P37" i="6" s="1"/>
  <c r="P35" i="6" a="1"/>
  <c r="P35" i="6" s="1"/>
  <c r="P33" i="6" a="1"/>
  <c r="P33" i="6" s="1"/>
  <c r="P38" i="6" a="1"/>
  <c r="P38" i="6" s="1"/>
  <c r="P29" i="6" a="1"/>
  <c r="P29" i="6" s="1"/>
  <c r="P17" i="6" a="1"/>
  <c r="P17" i="6" s="1"/>
  <c r="P13" i="6" a="1"/>
  <c r="P13" i="6" s="1"/>
  <c r="P22" i="6" a="1"/>
  <c r="P22" i="6" s="1"/>
  <c r="P28" i="6" a="1"/>
  <c r="P28" i="6" s="1"/>
  <c r="P16" i="6" a="1"/>
  <c r="P16" i="6" s="1"/>
  <c r="P12" i="6" a="1"/>
  <c r="P12" i="6" s="1"/>
  <c r="P21" i="6" a="1"/>
  <c r="P21" i="6" s="1"/>
  <c r="P31" i="6" a="1"/>
  <c r="P31" i="6" s="1"/>
  <c r="P27" i="6" a="1"/>
  <c r="P27" i="6" s="1"/>
  <c r="P15" i="6" a="1"/>
  <c r="P15" i="6" s="1"/>
  <c r="P24" i="6" a="1"/>
  <c r="P24" i="6" s="1"/>
  <c r="P20" i="6" a="1"/>
  <c r="P20" i="6" s="1"/>
  <c r="P14" i="6" a="1"/>
  <c r="P14" i="6" s="1"/>
  <c r="P23" i="6" a="1"/>
  <c r="P23" i="6" s="1"/>
  <c r="P19" i="6" a="1"/>
  <c r="P19" i="6" s="1"/>
  <c r="P30" i="6" a="1"/>
  <c r="P30" i="6" s="1"/>
  <c r="P26" i="6" a="1"/>
  <c r="P26" i="6" s="1"/>
  <c r="P8" i="6" a="1"/>
  <c r="P8" i="6" s="1"/>
  <c r="P9" i="6" a="1"/>
  <c r="P9" i="6" s="1"/>
  <c r="P10" i="6" a="1"/>
  <c r="P10" i="6" s="1"/>
  <c r="P5" i="6" a="1"/>
  <c r="P5" i="6" s="1"/>
  <c r="P6" i="6" a="1"/>
  <c r="P6" i="6" s="1"/>
  <c r="P7" i="6" a="1"/>
  <c r="P7" i="6" s="1"/>
  <c r="P4" i="6" a="1"/>
  <c r="P4" i="6" s="1"/>
  <c r="P3" i="6" a="1"/>
  <c r="P3" i="6" s="1"/>
  <c r="P38" i="12" a="1"/>
  <c r="P38" i="12" s="1"/>
  <c r="P36" i="12" a="1"/>
  <c r="P36" i="12" s="1"/>
  <c r="P34" i="12" a="1"/>
  <c r="P34" i="12" s="1"/>
  <c r="P37" i="12" a="1"/>
  <c r="P37" i="12" s="1"/>
  <c r="P35" i="12" a="1"/>
  <c r="P35" i="12" s="1"/>
  <c r="P33" i="12" a="1"/>
  <c r="P33" i="12" s="1"/>
  <c r="P30" i="12" a="1"/>
  <c r="P30" i="12" s="1"/>
  <c r="P29" i="12" a="1"/>
  <c r="P29" i="12" s="1"/>
  <c r="P27" i="12" a="1"/>
  <c r="P27" i="12" s="1"/>
  <c r="P24" i="12" a="1"/>
  <c r="P24" i="12" s="1"/>
  <c r="P22" i="12" a="1"/>
  <c r="P22" i="12" s="1"/>
  <c r="P20" i="12" a="1"/>
  <c r="P20" i="12" s="1"/>
  <c r="P17" i="12" a="1"/>
  <c r="P17" i="12" s="1"/>
  <c r="P15" i="12" a="1"/>
  <c r="P15" i="12" s="1"/>
  <c r="P13" i="12" a="1"/>
  <c r="P13" i="12" s="1"/>
  <c r="P28" i="12" a="1"/>
  <c r="P28" i="12" s="1"/>
  <c r="P26" i="12" a="1"/>
  <c r="P26" i="12" s="1"/>
  <c r="P23" i="12" a="1"/>
  <c r="P23" i="12" s="1"/>
  <c r="P21" i="12" a="1"/>
  <c r="P21" i="12" s="1"/>
  <c r="P19" i="12" a="1"/>
  <c r="P19" i="12" s="1"/>
  <c r="P16" i="12" a="1"/>
  <c r="P16" i="12" s="1"/>
  <c r="P14" i="12" a="1"/>
  <c r="P14" i="12" s="1"/>
  <c r="P12" i="12" a="1"/>
  <c r="P12" i="12" s="1"/>
  <c r="P31" i="12" a="1"/>
  <c r="P31" i="12" s="1"/>
  <c r="P9" i="12" a="1"/>
  <c r="P9" i="12" s="1"/>
  <c r="P10" i="12" a="1"/>
  <c r="P10" i="12" s="1"/>
  <c r="P5" i="12" a="1"/>
  <c r="P5" i="12" s="1"/>
  <c r="P6" i="12" a="1"/>
  <c r="P6" i="12" s="1"/>
  <c r="P7" i="12" a="1"/>
  <c r="P7" i="12" s="1"/>
  <c r="P8" i="12" a="1"/>
  <c r="P8" i="12" s="1"/>
  <c r="P3" i="12" a="1"/>
  <c r="P3" i="12" s="1"/>
  <c r="P4" i="12" a="1"/>
  <c r="P4" i="12" s="1"/>
  <c r="P37" i="13" a="1"/>
  <c r="P37" i="13" s="1"/>
  <c r="P35" i="13" a="1"/>
  <c r="P35" i="13" s="1"/>
  <c r="P33" i="13" a="1"/>
  <c r="P33" i="13" s="1"/>
  <c r="P38" i="13" a="1"/>
  <c r="P38" i="13" s="1"/>
  <c r="P36" i="13" a="1"/>
  <c r="P36" i="13" s="1"/>
  <c r="P34" i="13" a="1"/>
  <c r="P34" i="13" s="1"/>
  <c r="P28" i="13" a="1"/>
  <c r="P28" i="13" s="1"/>
  <c r="P24" i="13" a="1"/>
  <c r="P24" i="13" s="1"/>
  <c r="P31" i="13" a="1"/>
  <c r="P31" i="13" s="1"/>
  <c r="P27" i="13" a="1"/>
  <c r="P27" i="13" s="1"/>
  <c r="P23" i="13" a="1"/>
  <c r="P23" i="13" s="1"/>
  <c r="P30" i="13" a="1"/>
  <c r="P30" i="13" s="1"/>
  <c r="P26" i="13" a="1"/>
  <c r="P26" i="13" s="1"/>
  <c r="P22" i="13" a="1"/>
  <c r="P22" i="13" s="1"/>
  <c r="P29" i="13" a="1"/>
  <c r="P29" i="13" s="1"/>
  <c r="P20" i="13" a="1"/>
  <c r="P20" i="13" s="1"/>
  <c r="P14" i="13" a="1"/>
  <c r="P14" i="13" s="1"/>
  <c r="P19" i="13" a="1"/>
  <c r="P19" i="13" s="1"/>
  <c r="P17" i="13" a="1"/>
  <c r="P17" i="13" s="1"/>
  <c r="P13" i="13" a="1"/>
  <c r="P13" i="13" s="1"/>
  <c r="P16" i="13" a="1"/>
  <c r="P16" i="13" s="1"/>
  <c r="P12" i="13" a="1"/>
  <c r="P12" i="13" s="1"/>
  <c r="P21" i="13" a="1"/>
  <c r="P21" i="13" s="1"/>
  <c r="P15" i="13" a="1"/>
  <c r="P15" i="13" s="1"/>
  <c r="P9" i="13" a="1"/>
  <c r="P9" i="13" s="1"/>
  <c r="P10" i="13" a="1"/>
  <c r="P10" i="13" s="1"/>
  <c r="P5" i="13" a="1"/>
  <c r="P5" i="13" s="1"/>
  <c r="P7" i="13" a="1"/>
  <c r="P7" i="13" s="1"/>
  <c r="P6" i="13" a="1"/>
  <c r="P6" i="13" s="1"/>
  <c r="P8" i="13" a="1"/>
  <c r="P8" i="13" s="1"/>
  <c r="P3" i="13" a="1"/>
  <c r="P3" i="13" s="1"/>
  <c r="P4" i="13" a="1"/>
  <c r="P4" i="13" s="1"/>
  <c r="P37" i="9" a="1"/>
  <c r="P37" i="9" s="1"/>
  <c r="P36" i="9" a="1"/>
  <c r="P36" i="9" s="1"/>
  <c r="P38" i="9" a="1"/>
  <c r="P38" i="9" s="1"/>
  <c r="P34" i="9" a="1"/>
  <c r="P34" i="9" s="1"/>
  <c r="P33" i="9" a="1"/>
  <c r="P33" i="9" s="1"/>
  <c r="P35" i="9" a="1"/>
  <c r="P35" i="9" s="1"/>
  <c r="P22" i="9" a="1"/>
  <c r="P22" i="9" s="1"/>
  <c r="P30" i="9" a="1"/>
  <c r="P30" i="9" s="1"/>
  <c r="P29" i="9" a="1"/>
  <c r="P29" i="9" s="1"/>
  <c r="P28" i="9" a="1"/>
  <c r="P28" i="9" s="1"/>
  <c r="P27" i="9" a="1"/>
  <c r="P27" i="9" s="1"/>
  <c r="P21" i="9" a="1"/>
  <c r="P21" i="9" s="1"/>
  <c r="P31" i="9" a="1"/>
  <c r="P31" i="9" s="1"/>
  <c r="P16" i="9" a="1"/>
  <c r="P16" i="9" s="1"/>
  <c r="P12" i="9" a="1"/>
  <c r="P12" i="9" s="1"/>
  <c r="P24" i="9" a="1"/>
  <c r="P24" i="9" s="1"/>
  <c r="P20" i="9" a="1"/>
  <c r="P20" i="9" s="1"/>
  <c r="P26" i="9" a="1"/>
  <c r="P26" i="9" s="1"/>
  <c r="P13" i="9" a="1"/>
  <c r="P13" i="9" s="1"/>
  <c r="P23" i="9" a="1"/>
  <c r="P23" i="9" s="1"/>
  <c r="P19" i="9" a="1"/>
  <c r="P19" i="9" s="1"/>
  <c r="P15" i="9" a="1"/>
  <c r="P15" i="9" s="1"/>
  <c r="P14" i="9" a="1"/>
  <c r="P14" i="9" s="1"/>
  <c r="P17" i="9" a="1"/>
  <c r="P17" i="9" s="1"/>
  <c r="P7" i="9" a="1"/>
  <c r="P7" i="9" s="1"/>
  <c r="P6" i="9" a="1"/>
  <c r="P6" i="9" s="1"/>
  <c r="P10" i="9" a="1"/>
  <c r="P10" i="9" s="1"/>
  <c r="P5" i="9" a="1"/>
  <c r="P5" i="9" s="1"/>
  <c r="P9" i="9" a="1"/>
  <c r="P9" i="9" s="1"/>
  <c r="P8" i="9" a="1"/>
  <c r="P8" i="9" s="1"/>
  <c r="P3" i="9" a="1"/>
  <c r="P3" i="9" s="1"/>
  <c r="P4" i="9" a="1"/>
  <c r="P4" i="9" s="1"/>
  <c r="O32" i="14"/>
  <c r="CZ90" i="17"/>
  <c r="CZ88" i="17"/>
  <c r="CZ87" i="17"/>
  <c r="CZ89" i="17"/>
  <c r="DU91" i="17"/>
  <c r="GD90" i="17"/>
  <c r="DT88" i="17"/>
  <c r="EN90" i="17"/>
  <c r="BB89" i="17"/>
  <c r="CF87" i="17"/>
  <c r="EO91" i="17"/>
  <c r="GC87" i="17"/>
  <c r="FH89" i="17"/>
  <c r="DT90" i="17"/>
  <c r="FI92" i="17"/>
  <c r="FH88" i="17"/>
  <c r="CF90" i="17"/>
  <c r="DU92" i="17"/>
  <c r="CF89" i="17"/>
  <c r="GD92" i="17"/>
  <c r="DA92" i="17"/>
  <c r="DT89" i="17"/>
  <c r="CG91" i="17"/>
  <c r="EO92" i="17"/>
  <c r="EN88" i="17"/>
  <c r="GC89" i="17"/>
  <c r="EN87" i="17"/>
  <c r="GD91" i="17"/>
  <c r="CF88" i="17"/>
  <c r="BC92" i="17"/>
  <c r="GC88" i="17"/>
  <c r="FH87" i="17"/>
  <c r="FI91" i="17"/>
  <c r="EN89" i="17"/>
  <c r="CG92" i="17"/>
  <c r="DA91" i="17"/>
  <c r="DT87" i="17"/>
  <c r="BB87" i="17"/>
  <c r="BC91" i="17"/>
  <c r="BB88" i="17"/>
  <c r="FH90" i="17"/>
  <c r="BC90" i="17"/>
  <c r="R18" i="3" l="1" a="1"/>
  <c r="R18" i="3" s="1"/>
  <c r="R19" i="3" a="1"/>
  <c r="R19" i="3" s="1"/>
  <c r="R17" i="3" a="1"/>
  <c r="R17" i="3" s="1"/>
  <c r="R14" i="3" a="1"/>
  <c r="R14" i="3" s="1"/>
  <c r="R13" i="3" a="1"/>
  <c r="R13" i="3" s="1"/>
  <c r="R20" i="3" s="1"/>
  <c r="R16" i="3" a="1"/>
  <c r="R16" i="3" s="1"/>
  <c r="R15" i="3" a="1"/>
  <c r="R15" i="3" s="1"/>
  <c r="Q204" i="3"/>
  <c r="R203" i="3" a="1"/>
  <c r="R203" i="3" s="1"/>
  <c r="R202" i="3" a="1"/>
  <c r="R202" i="3" s="1"/>
  <c r="R201" i="3" a="1"/>
  <c r="R201" i="3" s="1"/>
  <c r="R200" i="3" a="1"/>
  <c r="R200" i="3" s="1"/>
  <c r="R199" i="3" a="1"/>
  <c r="R199" i="3" s="1"/>
  <c r="R198" i="3" a="1"/>
  <c r="R198" i="3" s="1"/>
  <c r="R197" i="3" a="1"/>
  <c r="R197" i="3" s="1"/>
  <c r="R11" i="3" a="1"/>
  <c r="R11" i="3" s="1"/>
  <c r="R10" i="3" a="1"/>
  <c r="R10" i="3" s="1"/>
  <c r="R9" i="3" a="1"/>
  <c r="R9" i="3" s="1"/>
  <c r="R7" i="3" a="1"/>
  <c r="R7" i="3" s="1"/>
  <c r="R6" i="3" a="1"/>
  <c r="R6" i="3" s="1"/>
  <c r="R8" i="3" a="1"/>
  <c r="R8" i="3" s="1"/>
  <c r="R5" i="3" a="1"/>
  <c r="R5" i="3" s="1"/>
  <c r="R12" i="3" s="1"/>
  <c r="R107" i="3" a="1"/>
  <c r="R107" i="3" s="1"/>
  <c r="R106" i="3" a="1"/>
  <c r="R106" i="3" s="1"/>
  <c r="R105" i="3" a="1"/>
  <c r="R105" i="3" s="1"/>
  <c r="R104" i="3" a="1"/>
  <c r="R104" i="3" s="1"/>
  <c r="R103" i="3" a="1"/>
  <c r="R103" i="3" s="1"/>
  <c r="R102" i="3" a="1"/>
  <c r="R102" i="3" s="1"/>
  <c r="R101" i="3" a="1"/>
  <c r="R101" i="3" s="1"/>
  <c r="R108" i="3" s="1"/>
  <c r="R187" i="3" a="1"/>
  <c r="R187" i="3" s="1"/>
  <c r="R186" i="3" a="1"/>
  <c r="R186" i="3" s="1"/>
  <c r="R185" i="3" a="1"/>
  <c r="R185" i="3" s="1"/>
  <c r="R184" i="3" a="1"/>
  <c r="R184" i="3" s="1"/>
  <c r="R182" i="3" a="1"/>
  <c r="R182" i="3" s="1"/>
  <c r="R183" i="3" a="1"/>
  <c r="R183" i="3" s="1"/>
  <c r="R181" i="3" a="1"/>
  <c r="R181" i="3" s="1"/>
  <c r="R188" i="3" s="1"/>
  <c r="R227" i="3" a="1"/>
  <c r="R227" i="3" s="1"/>
  <c r="R219" i="3" a="1"/>
  <c r="R219" i="3" s="1"/>
  <c r="R211" i="3" a="1"/>
  <c r="R211" i="3" s="1"/>
  <c r="R179" i="3" a="1"/>
  <c r="R179" i="3" s="1"/>
  <c r="R171" i="3" a="1"/>
  <c r="R171" i="3" s="1"/>
  <c r="R163" i="3" a="1"/>
  <c r="R163" i="3" s="1"/>
  <c r="R155" i="3" a="1"/>
  <c r="R155" i="3" s="1"/>
  <c r="R147" i="3" a="1"/>
  <c r="R147" i="3" s="1"/>
  <c r="R139" i="3" a="1"/>
  <c r="R139" i="3" s="1"/>
  <c r="R131" i="3" a="1"/>
  <c r="R131" i="3" s="1"/>
  <c r="R35" i="3" a="1"/>
  <c r="R35" i="3" s="1"/>
  <c r="R27" i="3" a="1"/>
  <c r="R27" i="3" s="1"/>
  <c r="R235" i="3" a="1"/>
  <c r="R235" i="3" s="1"/>
  <c r="R123" i="3" a="1"/>
  <c r="R123" i="3" s="1"/>
  <c r="R115" i="3" a="1"/>
  <c r="R115" i="3" s="1"/>
  <c r="R99" i="3" a="1"/>
  <c r="R99" i="3" s="1"/>
  <c r="R91" i="3" a="1"/>
  <c r="R91" i="3" s="1"/>
  <c r="R83" i="3" a="1"/>
  <c r="R83" i="3" s="1"/>
  <c r="R75" i="3" a="1"/>
  <c r="R75" i="3" s="1"/>
  <c r="R67" i="3" a="1"/>
  <c r="R67" i="3" s="1"/>
  <c r="R59" i="3" a="1"/>
  <c r="R59" i="3" s="1"/>
  <c r="R51" i="3" a="1"/>
  <c r="R51" i="3" s="1"/>
  <c r="R43" i="3" a="1"/>
  <c r="R43" i="3" s="1"/>
  <c r="R195" i="3" a="1"/>
  <c r="R195" i="3" s="1"/>
  <c r="Q196" i="3"/>
  <c r="R194" i="3" a="1"/>
  <c r="R194" i="3" s="1"/>
  <c r="R192" i="3" a="1"/>
  <c r="R192" i="3" s="1"/>
  <c r="R191" i="3" a="1"/>
  <c r="R191" i="3" s="1"/>
  <c r="R189" i="3" a="1"/>
  <c r="R189" i="3" s="1"/>
  <c r="R193" i="3" a="1"/>
  <c r="R193" i="3" s="1"/>
  <c r="R190" i="3" a="1"/>
  <c r="R190" i="3" s="1"/>
  <c r="Q180" i="3"/>
  <c r="R178" i="3" a="1"/>
  <c r="R178" i="3" s="1"/>
  <c r="R176" i="3" a="1"/>
  <c r="R176" i="3" s="1"/>
  <c r="R175" i="3" a="1"/>
  <c r="R175" i="3" s="1"/>
  <c r="R174" i="3" a="1"/>
  <c r="R174" i="3" s="1"/>
  <c r="R173" i="3" a="1"/>
  <c r="R173" i="3" s="1"/>
  <c r="R177" i="3" a="1"/>
  <c r="R177" i="3" s="1"/>
  <c r="Q68" i="3"/>
  <c r="R66" i="3" a="1"/>
  <c r="R66" i="3" s="1"/>
  <c r="R65" i="3" a="1"/>
  <c r="R65" i="3" s="1"/>
  <c r="R63" i="3" a="1"/>
  <c r="R63" i="3" s="1"/>
  <c r="R64" i="3" a="1"/>
  <c r="R64" i="3" s="1"/>
  <c r="R62" i="3" a="1"/>
  <c r="R62" i="3" s="1"/>
  <c r="R61" i="3" a="1"/>
  <c r="R61" i="3" s="1"/>
  <c r="Q148" i="3"/>
  <c r="R146" i="3" a="1"/>
  <c r="R146" i="3" s="1"/>
  <c r="R145" i="3" a="1"/>
  <c r="R145" i="3" s="1"/>
  <c r="R144" i="3" a="1"/>
  <c r="R144" i="3" s="1"/>
  <c r="R143" i="3" a="1"/>
  <c r="R143" i="3" s="1"/>
  <c r="R142" i="3" a="1"/>
  <c r="R142" i="3" s="1"/>
  <c r="R141" i="3" a="1"/>
  <c r="R141" i="3" s="1"/>
  <c r="Q36" i="3"/>
  <c r="R33" i="3" a="1"/>
  <c r="R33" i="3" s="1"/>
  <c r="R29" i="3" a="1"/>
  <c r="R29" i="3" s="1"/>
  <c r="R32" i="3" a="1"/>
  <c r="R32" i="3" s="1"/>
  <c r="R34" i="3" a="1"/>
  <c r="R34" i="3" s="1"/>
  <c r="R31" i="3" a="1"/>
  <c r="R31" i="3" s="1"/>
  <c r="R30" i="3" a="1"/>
  <c r="R30" i="3" s="1"/>
  <c r="S2" i="3"/>
  <c r="P228" i="3"/>
  <c r="P172" i="3"/>
  <c r="Q169" i="3" a="1"/>
  <c r="Q169" i="3" s="1"/>
  <c r="Q168" i="3" a="1"/>
  <c r="Q168" i="3" s="1"/>
  <c r="Q165" i="3" a="1"/>
  <c r="Q165" i="3" s="1"/>
  <c r="Q225" i="3" a="1"/>
  <c r="Q225" i="3" s="1"/>
  <c r="Q224" i="3" a="1"/>
  <c r="Q224" i="3" s="1"/>
  <c r="Q222" i="3" a="1"/>
  <c r="Q222" i="3" s="1"/>
  <c r="Q221" i="3" a="1"/>
  <c r="Q221" i="3" s="1"/>
  <c r="Q170" i="3" a="1"/>
  <c r="Q170" i="3" s="1"/>
  <c r="Q167" i="3" a="1"/>
  <c r="Q167" i="3" s="1"/>
  <c r="Q166" i="3" a="1"/>
  <c r="Q166" i="3" s="1"/>
  <c r="Q226" i="3" a="1"/>
  <c r="Q226" i="3" s="1"/>
  <c r="Q223" i="3" a="1"/>
  <c r="Q223" i="3" s="1"/>
  <c r="Q127" i="3" a="1"/>
  <c r="Q127" i="3" s="1"/>
  <c r="Q128" i="3" a="1"/>
  <c r="Q128" i="3" s="1"/>
  <c r="Q126" i="3" a="1"/>
  <c r="Q126" i="3" s="1"/>
  <c r="Q125" i="3" a="1"/>
  <c r="Q125" i="3" s="1"/>
  <c r="Q130" i="3" a="1"/>
  <c r="Q130" i="3" s="1"/>
  <c r="Q129" i="3" a="1"/>
  <c r="Q129" i="3" s="1"/>
  <c r="P132" i="3"/>
  <c r="Q42" i="3" a="1"/>
  <c r="Q42" i="3" s="1"/>
  <c r="Q41" i="3" a="1"/>
  <c r="Q41" i="3" s="1"/>
  <c r="Q40" i="3" a="1"/>
  <c r="Q40" i="3" s="1"/>
  <c r="Q38" i="3" a="1"/>
  <c r="Q38" i="3" s="1"/>
  <c r="Q39" i="3" a="1"/>
  <c r="Q39" i="3" s="1"/>
  <c r="Q37" i="3" a="1"/>
  <c r="Q37" i="3" s="1"/>
  <c r="P44" i="3"/>
  <c r="P212" i="3"/>
  <c r="P140" i="3"/>
  <c r="Q210" i="3" a="1"/>
  <c r="Q210" i="3" s="1"/>
  <c r="Q206" i="3" a="1"/>
  <c r="Q206" i="3" s="1"/>
  <c r="Q207" i="3" a="1"/>
  <c r="Q207" i="3" s="1"/>
  <c r="Q208" i="3" a="1"/>
  <c r="Q208" i="3" s="1"/>
  <c r="Q136" i="3" a="1"/>
  <c r="Q136" i="3" s="1"/>
  <c r="Q135" i="3" a="1"/>
  <c r="Q135" i="3" s="1"/>
  <c r="Q205" i="3" a="1"/>
  <c r="Q205" i="3" s="1"/>
  <c r="Q134" i="3" a="1"/>
  <c r="Q134" i="3" s="1"/>
  <c r="Q138" i="3" a="1"/>
  <c r="Q138" i="3" s="1"/>
  <c r="Q133" i="3" a="1"/>
  <c r="Q133" i="3" s="1"/>
  <c r="Q209" i="3" a="1"/>
  <c r="Q209" i="3" s="1"/>
  <c r="Q137" i="3" a="1"/>
  <c r="Q137" i="3" s="1"/>
  <c r="P220" i="3"/>
  <c r="P60" i="3"/>
  <c r="Q58" i="3" a="1"/>
  <c r="Q58" i="3" s="1"/>
  <c r="Q57" i="3" a="1"/>
  <c r="Q57" i="3" s="1"/>
  <c r="Q54" i="3" a="1"/>
  <c r="Q54" i="3" s="1"/>
  <c r="Q55" i="3" a="1"/>
  <c r="Q55" i="3" s="1"/>
  <c r="Q53" i="3" a="1"/>
  <c r="Q53" i="3" s="1"/>
  <c r="Q56" i="3" a="1"/>
  <c r="Q56" i="3" s="1"/>
  <c r="Q215" i="3" a="1"/>
  <c r="Q215" i="3" s="1"/>
  <c r="Q213" i="3" a="1"/>
  <c r="Q213" i="3" s="1"/>
  <c r="Q218" i="3" a="1"/>
  <c r="Q218" i="3" s="1"/>
  <c r="Q217" i="3" a="1"/>
  <c r="Q217" i="3" s="1"/>
  <c r="Q216" i="3" a="1"/>
  <c r="Q216" i="3" s="1"/>
  <c r="Q214" i="3" a="1"/>
  <c r="Q214" i="3" s="1"/>
  <c r="P46" i="10"/>
  <c r="Q45" i="10" a="1"/>
  <c r="Q45" i="10" s="1"/>
  <c r="Q43" i="10" a="1"/>
  <c r="Q43" i="10" s="1"/>
  <c r="Q41" i="10" a="1"/>
  <c r="Q41" i="10" s="1"/>
  <c r="Q44" i="10" a="1"/>
  <c r="Q44" i="10" s="1"/>
  <c r="Q42" i="10" a="1"/>
  <c r="Q42" i="10" s="1"/>
  <c r="Q40" i="10" a="1"/>
  <c r="Q40" i="10" s="1"/>
  <c r="P124" i="3"/>
  <c r="Q122" i="3" a="1"/>
  <c r="Q122" i="3" s="1"/>
  <c r="Q120" i="3" a="1"/>
  <c r="Q120" i="3" s="1"/>
  <c r="Q119" i="3" a="1"/>
  <c r="Q119" i="3" s="1"/>
  <c r="Q121" i="3" a="1"/>
  <c r="Q121" i="3" s="1"/>
  <c r="Q117" i="3" a="1"/>
  <c r="Q117" i="3" s="1"/>
  <c r="Q118" i="3" a="1"/>
  <c r="Q118" i="3" s="1"/>
  <c r="P92" i="3"/>
  <c r="Q90" i="3" a="1"/>
  <c r="Q90" i="3" s="1"/>
  <c r="Q89" i="3" a="1"/>
  <c r="Q89" i="3" s="1"/>
  <c r="Q86" i="3" a="1"/>
  <c r="Q86" i="3" s="1"/>
  <c r="Q85" i="3" a="1"/>
  <c r="Q85" i="3" s="1"/>
  <c r="Q88" i="3" a="1"/>
  <c r="Q88" i="3" s="1"/>
  <c r="Q87" i="3" a="1"/>
  <c r="Q87" i="3" s="1"/>
  <c r="P156" i="3"/>
  <c r="Q154" i="3" a="1"/>
  <c r="Q154" i="3" s="1"/>
  <c r="Q151" i="3" a="1"/>
  <c r="Q151" i="3" s="1"/>
  <c r="Q153" i="3" a="1"/>
  <c r="Q153" i="3" s="1"/>
  <c r="Q152" i="3" a="1"/>
  <c r="Q152" i="3" s="1"/>
  <c r="Q150" i="3" a="1"/>
  <c r="Q150" i="3" s="1"/>
  <c r="Q149" i="3" a="1"/>
  <c r="Q149" i="3" s="1"/>
  <c r="Q50" i="3" a="1"/>
  <c r="Q50" i="3" s="1"/>
  <c r="Q49" i="3" a="1"/>
  <c r="Q49" i="3" s="1"/>
  <c r="Q48" i="3" a="1"/>
  <c r="Q48" i="3" s="1"/>
  <c r="Q45" i="3" a="1"/>
  <c r="Q45" i="3" s="1"/>
  <c r="Q46" i="3" a="1"/>
  <c r="Q46" i="3" s="1"/>
  <c r="Q47" i="3" a="1"/>
  <c r="Q47" i="3" s="1"/>
  <c r="P52" i="3"/>
  <c r="P46" i="12"/>
  <c r="P46" i="14"/>
  <c r="P46" i="6"/>
  <c r="P46" i="9"/>
  <c r="P46" i="8"/>
  <c r="P46" i="13"/>
  <c r="Q45" i="9" a="1"/>
  <c r="Q45" i="9" s="1"/>
  <c r="Q43" i="9" a="1"/>
  <c r="Q43" i="9" s="1"/>
  <c r="Q41" i="9" a="1"/>
  <c r="Q41" i="9" s="1"/>
  <c r="Q44" i="9" a="1"/>
  <c r="Q44" i="9" s="1"/>
  <c r="Q42" i="9" a="1"/>
  <c r="Q42" i="9" s="1"/>
  <c r="Q40" i="9" a="1"/>
  <c r="Q40" i="9" s="1"/>
  <c r="Q45" i="13" a="1"/>
  <c r="Q45" i="13" s="1"/>
  <c r="Q43" i="13" a="1"/>
  <c r="Q43" i="13" s="1"/>
  <c r="Q40" i="13" a="1"/>
  <c r="Q40" i="13" s="1"/>
  <c r="Q44" i="13" a="1"/>
  <c r="Q44" i="13" s="1"/>
  <c r="Q42" i="13" a="1"/>
  <c r="Q42" i="13" s="1"/>
  <c r="Q41" i="13" a="1"/>
  <c r="Q41" i="13" s="1"/>
  <c r="Q44" i="6" a="1"/>
  <c r="Q44" i="6" s="1"/>
  <c r="Q42" i="6" a="1"/>
  <c r="Q42" i="6" s="1"/>
  <c r="Q40" i="6" a="1"/>
  <c r="Q40" i="6" s="1"/>
  <c r="Q45" i="6" a="1"/>
  <c r="Q45" i="6" s="1"/>
  <c r="Q43" i="6" a="1"/>
  <c r="Q43" i="6" s="1"/>
  <c r="Q41" i="6" a="1"/>
  <c r="Q41" i="6" s="1"/>
  <c r="Q45" i="14" a="1"/>
  <c r="Q45" i="14" s="1"/>
  <c r="Q43" i="14" a="1"/>
  <c r="Q43" i="14" s="1"/>
  <c r="Q41" i="14" a="1"/>
  <c r="Q41" i="14" s="1"/>
  <c r="Q44" i="14" a="1"/>
  <c r="Q44" i="14" s="1"/>
  <c r="Q42" i="14" a="1"/>
  <c r="Q42" i="14" s="1"/>
  <c r="Q40" i="14" a="1"/>
  <c r="Q40" i="14" s="1"/>
  <c r="Q44" i="8" a="1"/>
  <c r="Q44" i="8" s="1"/>
  <c r="Q42" i="8" a="1"/>
  <c r="Q42" i="8" s="1"/>
  <c r="Q40" i="8" a="1"/>
  <c r="Q40" i="8" s="1"/>
  <c r="Q45" i="8" a="1"/>
  <c r="Q45" i="8" s="1"/>
  <c r="Q41" i="8" a="1"/>
  <c r="Q41" i="8" s="1"/>
  <c r="Q43" i="8" a="1"/>
  <c r="Q43" i="8" s="1"/>
  <c r="Q45" i="12" a="1"/>
  <c r="Q45" i="12" s="1"/>
  <c r="Q43" i="12" a="1"/>
  <c r="Q43" i="12" s="1"/>
  <c r="Q42" i="12" a="1"/>
  <c r="Q42" i="12" s="1"/>
  <c r="Q41" i="12" a="1"/>
  <c r="Q41" i="12" s="1"/>
  <c r="Q40" i="12" a="1"/>
  <c r="Q40" i="12" s="1"/>
  <c r="Q44" i="12" a="1"/>
  <c r="Q44" i="12" s="1"/>
  <c r="P100" i="3"/>
  <c r="Q98" i="3" a="1"/>
  <c r="Q98" i="3" s="1"/>
  <c r="Q97" i="3" a="1"/>
  <c r="Q97" i="3" s="1"/>
  <c r="Q96" i="3" a="1"/>
  <c r="Q96" i="3" s="1"/>
  <c r="Q95" i="3" a="1"/>
  <c r="Q95" i="3" s="1"/>
  <c r="Q94" i="3" a="1"/>
  <c r="Q94" i="3" s="1"/>
  <c r="Q93" i="3" a="1"/>
  <c r="Q93" i="3" s="1"/>
  <c r="Q23" i="3" a="1"/>
  <c r="Q23" i="3" s="1"/>
  <c r="Q22" i="3" a="1"/>
  <c r="Q22" i="3" s="1"/>
  <c r="Q26" i="3" a="1"/>
  <c r="Q26" i="3" s="1"/>
  <c r="Q25" i="3" a="1"/>
  <c r="Q25" i="3" s="1"/>
  <c r="Q24" i="3" a="1"/>
  <c r="Q24" i="3" s="1"/>
  <c r="Q21" i="3" a="1"/>
  <c r="Q21" i="3" s="1"/>
  <c r="P28" i="3"/>
  <c r="Q38" i="14" a="1"/>
  <c r="Q38" i="14" s="1"/>
  <c r="Q34" i="14" a="1"/>
  <c r="Q34" i="14" s="1"/>
  <c r="Q33" i="14" a="1"/>
  <c r="Q33" i="14" s="1"/>
  <c r="Q35" i="14" a="1"/>
  <c r="Q35" i="14" s="1"/>
  <c r="Q36" i="14" a="1"/>
  <c r="Q36" i="14" s="1"/>
  <c r="Q37" i="14" a="1"/>
  <c r="Q37" i="14" s="1"/>
  <c r="P39" i="14"/>
  <c r="P116" i="3"/>
  <c r="Q112" i="3" a="1"/>
  <c r="Q112" i="3" s="1"/>
  <c r="Q114" i="3" a="1"/>
  <c r="Q114" i="3" s="1"/>
  <c r="Q113" i="3" a="1"/>
  <c r="Q113" i="3" s="1"/>
  <c r="Q111" i="3" a="1"/>
  <c r="Q111" i="3" s="1"/>
  <c r="Q109" i="3" a="1"/>
  <c r="Q109" i="3" s="1"/>
  <c r="Q110" i="3" a="1"/>
  <c r="Q110" i="3" s="1"/>
  <c r="Q162" i="3" a="1"/>
  <c r="Q162" i="3" s="1"/>
  <c r="Q161" i="3" a="1"/>
  <c r="Q161" i="3" s="1"/>
  <c r="Q159" i="3" a="1"/>
  <c r="Q159" i="3" s="1"/>
  <c r="Q157" i="3" a="1"/>
  <c r="Q157" i="3" s="1"/>
  <c r="Q160" i="3" a="1"/>
  <c r="Q160" i="3" s="1"/>
  <c r="Q158" i="3" a="1"/>
  <c r="Q158" i="3" s="1"/>
  <c r="P164" i="3"/>
  <c r="Q73" i="3" a="1"/>
  <c r="Q73" i="3" s="1"/>
  <c r="Q74" i="3" a="1"/>
  <c r="Q74" i="3" s="1"/>
  <c r="Q70" i="3" a="1"/>
  <c r="Q70" i="3" s="1"/>
  <c r="Q71" i="3" a="1"/>
  <c r="Q71" i="3" s="1"/>
  <c r="Q72" i="3" a="1"/>
  <c r="Q72" i="3" s="1"/>
  <c r="Q69" i="3" a="1"/>
  <c r="Q69" i="3" s="1"/>
  <c r="P76" i="3"/>
  <c r="Q233" i="3" a="1"/>
  <c r="Q233" i="3" s="1"/>
  <c r="Q234" i="3" a="1"/>
  <c r="Q234" i="3" s="1"/>
  <c r="Q232" i="3" a="1"/>
  <c r="Q232" i="3" s="1"/>
  <c r="Q230" i="3" a="1"/>
  <c r="Q230" i="3" s="1"/>
  <c r="Q231" i="3" a="1"/>
  <c r="Q231" i="3" s="1"/>
  <c r="Q229" i="3" a="1"/>
  <c r="Q229" i="3" s="1"/>
  <c r="P236" i="3"/>
  <c r="P84" i="3"/>
  <c r="Q81" i="3" a="1"/>
  <c r="Q81" i="3" s="1"/>
  <c r="Q79" i="3" a="1"/>
  <c r="Q79" i="3" s="1"/>
  <c r="Q77" i="3" a="1"/>
  <c r="Q77" i="3" s="1"/>
  <c r="Q82" i="3" a="1"/>
  <c r="Q82" i="3" s="1"/>
  <c r="Q80" i="3" a="1"/>
  <c r="Q80" i="3" s="1"/>
  <c r="Q78" i="3" a="1"/>
  <c r="Q78" i="3" s="1"/>
  <c r="P18" i="9"/>
  <c r="P11" i="13"/>
  <c r="P39" i="13"/>
  <c r="P11" i="12"/>
  <c r="P18" i="12"/>
  <c r="P11" i="6"/>
  <c r="P32" i="6"/>
  <c r="P39" i="10"/>
  <c r="P11" i="8"/>
  <c r="P32" i="8"/>
  <c r="P32" i="9"/>
  <c r="P18" i="13"/>
  <c r="P25" i="13"/>
  <c r="P39" i="12"/>
  <c r="P18" i="8"/>
  <c r="P39" i="8"/>
  <c r="P25" i="9"/>
  <c r="P39" i="9"/>
  <c r="P32" i="13"/>
  <c r="P32" i="12"/>
  <c r="P25" i="6"/>
  <c r="P18" i="10"/>
  <c r="P11" i="9"/>
  <c r="P25" i="12"/>
  <c r="P18" i="6"/>
  <c r="P39" i="6"/>
  <c r="P11" i="10"/>
  <c r="P25" i="10"/>
  <c r="P32" i="10"/>
  <c r="P25" i="8"/>
  <c r="Q38" i="13" a="1"/>
  <c r="Q38" i="13" s="1"/>
  <c r="Q36" i="13" a="1"/>
  <c r="Q36" i="13" s="1"/>
  <c r="Q34" i="13" a="1"/>
  <c r="Q34" i="13" s="1"/>
  <c r="Q37" i="13" a="1"/>
  <c r="Q37" i="13" s="1"/>
  <c r="Q35" i="13" a="1"/>
  <c r="Q35" i="13" s="1"/>
  <c r="Q33" i="13" a="1"/>
  <c r="Q33" i="13" s="1"/>
  <c r="Q31" i="13" a="1"/>
  <c r="Q31" i="13" s="1"/>
  <c r="Q27" i="13" a="1"/>
  <c r="Q27" i="13" s="1"/>
  <c r="Q23" i="13" a="1"/>
  <c r="Q23" i="13" s="1"/>
  <c r="Q30" i="13" a="1"/>
  <c r="Q30" i="13" s="1"/>
  <c r="Q26" i="13" a="1"/>
  <c r="Q26" i="13" s="1"/>
  <c r="Q22" i="13" a="1"/>
  <c r="Q22" i="13" s="1"/>
  <c r="Q29" i="13" a="1"/>
  <c r="Q29" i="13" s="1"/>
  <c r="Q21" i="13" a="1"/>
  <c r="Q21" i="13" s="1"/>
  <c r="Q28" i="13" a="1"/>
  <c r="Q28" i="13" s="1"/>
  <c r="Q24" i="13" a="1"/>
  <c r="Q24" i="13" s="1"/>
  <c r="Q19" i="13" a="1"/>
  <c r="Q19" i="13" s="1"/>
  <c r="Q17" i="13" a="1"/>
  <c r="Q17" i="13" s="1"/>
  <c r="Q13" i="13" a="1"/>
  <c r="Q13" i="13" s="1"/>
  <c r="Q16" i="13" a="1"/>
  <c r="Q16" i="13" s="1"/>
  <c r="Q12" i="13" a="1"/>
  <c r="Q12" i="13" s="1"/>
  <c r="Q15" i="13" a="1"/>
  <c r="Q15" i="13" s="1"/>
  <c r="Q20" i="13" a="1"/>
  <c r="Q20" i="13" s="1"/>
  <c r="Q14" i="13" a="1"/>
  <c r="Q14" i="13" s="1"/>
  <c r="Q6" i="13" a="1"/>
  <c r="Q6" i="13" s="1"/>
  <c r="Q7" i="13" a="1"/>
  <c r="Q7" i="13" s="1"/>
  <c r="Q8" i="13" a="1"/>
  <c r="Q8" i="13" s="1"/>
  <c r="Q9" i="13" a="1"/>
  <c r="Q9" i="13" s="1"/>
  <c r="Q5" i="13" a="1"/>
  <c r="Q5" i="13" s="1"/>
  <c r="Q3" i="13" a="1"/>
  <c r="Q3" i="13" s="1"/>
  <c r="Q4" i="13" a="1"/>
  <c r="Q4" i="13" s="1"/>
  <c r="Q10" i="13" a="1"/>
  <c r="Q10" i="13" s="1"/>
  <c r="Q37" i="12" a="1"/>
  <c r="Q37" i="12" s="1"/>
  <c r="Q35" i="12" a="1"/>
  <c r="Q35" i="12" s="1"/>
  <c r="Q33" i="12" a="1"/>
  <c r="Q33" i="12" s="1"/>
  <c r="Q38" i="12" a="1"/>
  <c r="Q38" i="12" s="1"/>
  <c r="Q36" i="12" a="1"/>
  <c r="Q36" i="12" s="1"/>
  <c r="Q34" i="12" a="1"/>
  <c r="Q34" i="12" s="1"/>
  <c r="Q28" i="12" a="1"/>
  <c r="Q28" i="12" s="1"/>
  <c r="Q26" i="12" a="1"/>
  <c r="Q26" i="12" s="1"/>
  <c r="Q23" i="12" a="1"/>
  <c r="Q23" i="12" s="1"/>
  <c r="Q21" i="12" a="1"/>
  <c r="Q21" i="12" s="1"/>
  <c r="Q19" i="12" a="1"/>
  <c r="Q19" i="12" s="1"/>
  <c r="Q16" i="12" a="1"/>
  <c r="Q16" i="12" s="1"/>
  <c r="Q14" i="12" a="1"/>
  <c r="Q14" i="12" s="1"/>
  <c r="Q12" i="12" a="1"/>
  <c r="Q12" i="12" s="1"/>
  <c r="Q31" i="12" a="1"/>
  <c r="Q31" i="12" s="1"/>
  <c r="Q30" i="12" a="1"/>
  <c r="Q30" i="12" s="1"/>
  <c r="Q29" i="12" a="1"/>
  <c r="Q29" i="12" s="1"/>
  <c r="Q27" i="12" a="1"/>
  <c r="Q27" i="12" s="1"/>
  <c r="Q24" i="12" a="1"/>
  <c r="Q24" i="12" s="1"/>
  <c r="Q22" i="12" a="1"/>
  <c r="Q22" i="12" s="1"/>
  <c r="Q20" i="12" a="1"/>
  <c r="Q20" i="12" s="1"/>
  <c r="Q17" i="12" a="1"/>
  <c r="Q17" i="12" s="1"/>
  <c r="Q15" i="12" a="1"/>
  <c r="Q15" i="12" s="1"/>
  <c r="Q13" i="12" a="1"/>
  <c r="Q13" i="12" s="1"/>
  <c r="Q10" i="12" a="1"/>
  <c r="Q10" i="12" s="1"/>
  <c r="Q6" i="12" a="1"/>
  <c r="Q6" i="12" s="1"/>
  <c r="Q7" i="12" a="1"/>
  <c r="Q7" i="12" s="1"/>
  <c r="Q8" i="12" a="1"/>
  <c r="Q8" i="12" s="1"/>
  <c r="Q9" i="12" a="1"/>
  <c r="Q9" i="12" s="1"/>
  <c r="Q5" i="12" a="1"/>
  <c r="Q5" i="12" s="1"/>
  <c r="Q3" i="12" a="1"/>
  <c r="Q3" i="12" s="1"/>
  <c r="Q4" i="12" a="1"/>
  <c r="Q4" i="12" s="1"/>
  <c r="P32" i="14"/>
  <c r="Q38" i="8" a="1"/>
  <c r="Q38" i="8" s="1"/>
  <c r="Q37" i="8" a="1"/>
  <c r="Q37" i="8" s="1"/>
  <c r="Q36" i="8" a="1"/>
  <c r="Q36" i="8" s="1"/>
  <c r="Q35" i="8" a="1"/>
  <c r="Q35" i="8" s="1"/>
  <c r="Q34" i="8" a="1"/>
  <c r="Q34" i="8" s="1"/>
  <c r="Q33" i="8" a="1"/>
  <c r="Q33" i="8" s="1"/>
  <c r="Q28" i="8" a="1"/>
  <c r="Q28" i="8" s="1"/>
  <c r="Q23" i="8" a="1"/>
  <c r="Q23" i="8" s="1"/>
  <c r="Q31" i="8" a="1"/>
  <c r="Q31" i="8" s="1"/>
  <c r="Q27" i="8" a="1"/>
  <c r="Q27" i="8" s="1"/>
  <c r="Q22" i="8" a="1"/>
  <c r="Q22" i="8" s="1"/>
  <c r="Q21" i="8" a="1"/>
  <c r="Q21" i="8" s="1"/>
  <c r="Q20" i="8" a="1"/>
  <c r="Q20" i="8" s="1"/>
  <c r="Q30" i="8" a="1"/>
  <c r="Q30" i="8" s="1"/>
  <c r="Q26" i="8" a="1"/>
  <c r="Q26" i="8" s="1"/>
  <c r="Q17" i="8" a="1"/>
  <c r="Q17" i="8" s="1"/>
  <c r="Q16" i="8" a="1"/>
  <c r="Q16" i="8" s="1"/>
  <c r="Q12" i="8" a="1"/>
  <c r="Q12" i="8" s="1"/>
  <c r="Q29" i="8" a="1"/>
  <c r="Q29" i="8" s="1"/>
  <c r="Q19" i="8" a="1"/>
  <c r="Q19" i="8" s="1"/>
  <c r="Q15" i="8" a="1"/>
  <c r="Q15" i="8" s="1"/>
  <c r="Q24" i="8" a="1"/>
  <c r="Q24" i="8" s="1"/>
  <c r="Q13" i="8" a="1"/>
  <c r="Q13" i="8" s="1"/>
  <c r="Q14" i="8" a="1"/>
  <c r="Q14" i="8" s="1"/>
  <c r="Q5" i="8" a="1"/>
  <c r="Q5" i="8" s="1"/>
  <c r="Q8" i="8" a="1"/>
  <c r="Q8" i="8" s="1"/>
  <c r="Q9" i="8" a="1"/>
  <c r="Q9" i="8" s="1"/>
  <c r="Q10" i="8" a="1"/>
  <c r="Q10" i="8" s="1"/>
  <c r="Q7" i="8" a="1"/>
  <c r="Q7" i="8" s="1"/>
  <c r="Q6" i="8" a="1"/>
  <c r="Q6" i="8" s="1"/>
  <c r="Q3" i="8" a="1"/>
  <c r="Q3" i="8" s="1"/>
  <c r="Q4" i="8" a="1"/>
  <c r="Q4" i="8" s="1"/>
  <c r="Q38" i="9" a="1"/>
  <c r="Q38" i="9" s="1"/>
  <c r="Q34" i="9" a="1"/>
  <c r="Q34" i="9" s="1"/>
  <c r="Q35" i="9" a="1"/>
  <c r="Q35" i="9" s="1"/>
  <c r="Q37" i="9" a="1"/>
  <c r="Q37" i="9" s="1"/>
  <c r="Q36" i="9" a="1"/>
  <c r="Q36" i="9" s="1"/>
  <c r="Q33" i="9" a="1"/>
  <c r="Q33" i="9" s="1"/>
  <c r="Q24" i="9" a="1"/>
  <c r="Q24" i="9" s="1"/>
  <c r="Q20" i="9" a="1"/>
  <c r="Q20" i="9" s="1"/>
  <c r="Q31" i="9" a="1"/>
  <c r="Q31" i="9" s="1"/>
  <c r="Q23" i="9" a="1"/>
  <c r="Q23" i="9" s="1"/>
  <c r="Q19" i="9" a="1"/>
  <c r="Q19" i="9" s="1"/>
  <c r="Q17" i="9" a="1"/>
  <c r="Q17" i="9" s="1"/>
  <c r="Q15" i="9" a="1"/>
  <c r="Q15" i="9" s="1"/>
  <c r="Q22" i="9" a="1"/>
  <c r="Q22" i="9" s="1"/>
  <c r="Q30" i="9" a="1"/>
  <c r="Q30" i="9" s="1"/>
  <c r="Q29" i="9" a="1"/>
  <c r="Q29" i="9" s="1"/>
  <c r="Q28" i="9" a="1"/>
  <c r="Q28" i="9" s="1"/>
  <c r="Q14" i="9" a="1"/>
  <c r="Q14" i="9" s="1"/>
  <c r="Q26" i="9" a="1"/>
  <c r="Q26" i="9" s="1"/>
  <c r="Q16" i="9" a="1"/>
  <c r="Q16" i="9" s="1"/>
  <c r="Q12" i="9" a="1"/>
  <c r="Q12" i="9" s="1"/>
  <c r="Q21" i="9" a="1"/>
  <c r="Q21" i="9" s="1"/>
  <c r="Q27" i="9" a="1"/>
  <c r="Q27" i="9" s="1"/>
  <c r="Q13" i="9" a="1"/>
  <c r="Q13" i="9" s="1"/>
  <c r="Q8" i="9" a="1"/>
  <c r="Q8" i="9" s="1"/>
  <c r="Q7" i="9" a="1"/>
  <c r="Q7" i="9" s="1"/>
  <c r="Q10" i="9" a="1"/>
  <c r="Q10" i="9" s="1"/>
  <c r="Q5" i="9" a="1"/>
  <c r="Q5" i="9" s="1"/>
  <c r="Q6" i="9" a="1"/>
  <c r="Q6" i="9" s="1"/>
  <c r="Q9" i="9" a="1"/>
  <c r="Q9" i="9" s="1"/>
  <c r="Q3" i="9" a="1"/>
  <c r="Q3" i="9" s="1"/>
  <c r="Q4" i="9" a="1"/>
  <c r="Q4" i="9" s="1"/>
  <c r="Q38" i="6" a="1"/>
  <c r="Q38" i="6" s="1"/>
  <c r="Q37" i="6" a="1"/>
  <c r="Q37" i="6" s="1"/>
  <c r="Q35" i="6" a="1"/>
  <c r="Q35" i="6" s="1"/>
  <c r="Q33" i="6" a="1"/>
  <c r="Q33" i="6" s="1"/>
  <c r="Q36" i="6" a="1"/>
  <c r="Q36" i="6" s="1"/>
  <c r="Q31" i="6" a="1"/>
  <c r="Q31" i="6" s="1"/>
  <c r="Q28" i="6" a="1"/>
  <c r="Q28" i="6" s="1"/>
  <c r="Q15" i="6" a="1"/>
  <c r="Q15" i="6" s="1"/>
  <c r="Q21" i="6" a="1"/>
  <c r="Q21" i="6" s="1"/>
  <c r="Q27" i="6" a="1"/>
  <c r="Q27" i="6" s="1"/>
  <c r="Q14" i="6" a="1"/>
  <c r="Q14" i="6" s="1"/>
  <c r="Q24" i="6" a="1"/>
  <c r="Q24" i="6" s="1"/>
  <c r="Q20" i="6" a="1"/>
  <c r="Q20" i="6" s="1"/>
  <c r="Q30" i="6" a="1"/>
  <c r="Q30" i="6" s="1"/>
  <c r="Q26" i="6" a="1"/>
  <c r="Q26" i="6" s="1"/>
  <c r="Q17" i="6" a="1"/>
  <c r="Q17" i="6" s="1"/>
  <c r="Q13" i="6" a="1"/>
  <c r="Q13" i="6" s="1"/>
  <c r="Q23" i="6" a="1"/>
  <c r="Q23" i="6" s="1"/>
  <c r="Q19" i="6" a="1"/>
  <c r="Q19" i="6" s="1"/>
  <c r="Q34" i="6" a="1"/>
  <c r="Q34" i="6" s="1"/>
  <c r="Q22" i="6" a="1"/>
  <c r="Q22" i="6" s="1"/>
  <c r="Q29" i="6" a="1"/>
  <c r="Q29" i="6" s="1"/>
  <c r="Q16" i="6" a="1"/>
  <c r="Q16" i="6" s="1"/>
  <c r="Q12" i="6" a="1"/>
  <c r="Q12" i="6" s="1"/>
  <c r="Q5" i="6" a="1"/>
  <c r="Q5" i="6" s="1"/>
  <c r="Q6" i="6" a="1"/>
  <c r="Q6" i="6" s="1"/>
  <c r="Q7" i="6" a="1"/>
  <c r="Q7" i="6" s="1"/>
  <c r="Q8" i="6" a="1"/>
  <c r="Q8" i="6" s="1"/>
  <c r="Q9" i="6" a="1"/>
  <c r="Q9" i="6" s="1"/>
  <c r="Q10" i="6" a="1"/>
  <c r="Q10" i="6" s="1"/>
  <c r="Q3" i="6" a="1"/>
  <c r="Q3" i="6" s="1"/>
  <c r="Q4" i="6" a="1"/>
  <c r="Q4" i="6" s="1"/>
  <c r="P11" i="14"/>
  <c r="P25" i="14"/>
  <c r="Q23" i="14" a="1"/>
  <c r="Q23" i="14" s="1"/>
  <c r="Q21" i="14" a="1"/>
  <c r="Q21" i="14" s="1"/>
  <c r="Q19" i="14" a="1"/>
  <c r="Q19" i="14" s="1"/>
  <c r="Q31" i="14" a="1"/>
  <c r="Q31" i="14" s="1"/>
  <c r="Q30" i="14" a="1"/>
  <c r="Q30" i="14" s="1"/>
  <c r="Q29" i="14" a="1"/>
  <c r="Q29" i="14" s="1"/>
  <c r="Q24" i="14" a="1"/>
  <c r="Q24" i="14" s="1"/>
  <c r="Q22" i="14" a="1"/>
  <c r="Q22" i="14" s="1"/>
  <c r="Q28" i="14" a="1"/>
  <c r="Q28" i="14" s="1"/>
  <c r="Q27" i="14" a="1"/>
  <c r="Q27" i="14" s="1"/>
  <c r="Q26" i="14" a="1"/>
  <c r="Q26" i="14" s="1"/>
  <c r="Q17" i="14" a="1"/>
  <c r="Q17" i="14" s="1"/>
  <c r="Q16" i="14" a="1"/>
  <c r="Q16" i="14" s="1"/>
  <c r="Q15" i="14" a="1"/>
  <c r="Q15" i="14" s="1"/>
  <c r="Q14" i="14" a="1"/>
  <c r="Q14" i="14" s="1"/>
  <c r="Q13" i="14" a="1"/>
  <c r="Q13" i="14" s="1"/>
  <c r="Q12" i="14" a="1"/>
  <c r="Q12" i="14" s="1"/>
  <c r="Q20" i="14" a="1"/>
  <c r="Q20" i="14" s="1"/>
  <c r="Q5" i="14" a="1"/>
  <c r="Q5" i="14" s="1"/>
  <c r="Q7" i="14" a="1"/>
  <c r="Q7" i="14" s="1"/>
  <c r="Q8" i="14" a="1"/>
  <c r="Q8" i="14" s="1"/>
  <c r="Q6" i="14" a="1"/>
  <c r="Q6" i="14" s="1"/>
  <c r="Q10" i="14" a="1"/>
  <c r="Q10" i="14" s="1"/>
  <c r="Q9" i="14" a="1"/>
  <c r="Q9" i="14" s="1"/>
  <c r="Q3" i="14" a="1"/>
  <c r="Q3" i="14" s="1"/>
  <c r="Q4" i="14" a="1"/>
  <c r="Q4" i="14" s="1"/>
  <c r="P18" i="14"/>
  <c r="Q35" i="10" a="1"/>
  <c r="Q35" i="10" s="1"/>
  <c r="Q38" i="10" a="1"/>
  <c r="Q38" i="10" s="1"/>
  <c r="Q36" i="10" a="1"/>
  <c r="Q36" i="10" s="1"/>
  <c r="Q33" i="10" a="1"/>
  <c r="Q33" i="10" s="1"/>
  <c r="Q34" i="10" a="1"/>
  <c r="Q34" i="10" s="1"/>
  <c r="Q37" i="10" a="1"/>
  <c r="Q37" i="10" s="1"/>
  <c r="Q21" i="10" a="1"/>
  <c r="Q21" i="10" s="1"/>
  <c r="Q10" i="10" a="1"/>
  <c r="Q10" i="10" s="1"/>
  <c r="Q6" i="10" a="1"/>
  <c r="Q6" i="10" s="1"/>
  <c r="Q28" i="10" a="1"/>
  <c r="Q28" i="10" s="1"/>
  <c r="Q24" i="10" a="1"/>
  <c r="Q24" i="10" s="1"/>
  <c r="Q20" i="10" a="1"/>
  <c r="Q20" i="10" s="1"/>
  <c r="Q19" i="10" a="1"/>
  <c r="Q19" i="10" s="1"/>
  <c r="Q9" i="10" a="1"/>
  <c r="Q9" i="10" s="1"/>
  <c r="Q5" i="10" a="1"/>
  <c r="Q5" i="10" s="1"/>
  <c r="Q31" i="10" a="1"/>
  <c r="Q31" i="10" s="1"/>
  <c r="Q30" i="10" a="1"/>
  <c r="Q30" i="10" s="1"/>
  <c r="Q29" i="10" a="1"/>
  <c r="Q29" i="10" s="1"/>
  <c r="Q27" i="10" a="1"/>
  <c r="Q27" i="10" s="1"/>
  <c r="Q23" i="10" a="1"/>
  <c r="Q23" i="10" s="1"/>
  <c r="Q8" i="10" a="1"/>
  <c r="Q8" i="10" s="1"/>
  <c r="Q22" i="10" a="1"/>
  <c r="Q22" i="10" s="1"/>
  <c r="Q7" i="10" a="1"/>
  <c r="Q7" i="10" s="1"/>
  <c r="Q26" i="10" a="1"/>
  <c r="Q26" i="10" s="1"/>
  <c r="Q17" i="10" a="1"/>
  <c r="Q17" i="10" s="1"/>
  <c r="Q13" i="10" a="1"/>
  <c r="Q13" i="10" s="1"/>
  <c r="Q16" i="10" a="1"/>
  <c r="Q16" i="10" s="1"/>
  <c r="Q12" i="10" a="1"/>
  <c r="Q12" i="10" s="1"/>
  <c r="Q14" i="10" a="1"/>
  <c r="Q14" i="10" s="1"/>
  <c r="Q15" i="10" a="1"/>
  <c r="Q15" i="10" s="1"/>
  <c r="Q3" i="10" a="1"/>
  <c r="Q3" i="10" s="1"/>
  <c r="Q4" i="10" a="1"/>
  <c r="Q4" i="10" s="1"/>
  <c r="GE91" i="17"/>
  <c r="CG89" i="17"/>
  <c r="CH92" i="17"/>
  <c r="EO89" i="17"/>
  <c r="CG87" i="17"/>
  <c r="GD88" i="17"/>
  <c r="DA90" i="17"/>
  <c r="DA89" i="17"/>
  <c r="EO87" i="17"/>
  <c r="BD91" i="17"/>
  <c r="DU90" i="17"/>
  <c r="DU89" i="17"/>
  <c r="BC89" i="17"/>
  <c r="GE90" i="17"/>
  <c r="DA88" i="17"/>
  <c r="EO88" i="17"/>
  <c r="FJ91" i="17"/>
  <c r="DB92" i="17"/>
  <c r="DU88" i="17"/>
  <c r="EP91" i="17"/>
  <c r="FI89" i="17"/>
  <c r="DA87" i="17"/>
  <c r="FI88" i="17"/>
  <c r="DU87" i="17"/>
  <c r="GE92" i="17"/>
  <c r="BC88" i="17"/>
  <c r="CH91" i="17"/>
  <c r="CG90" i="17"/>
  <c r="DB91" i="17"/>
  <c r="BD92" i="17"/>
  <c r="EO90" i="17"/>
  <c r="GD89" i="17"/>
  <c r="DV91" i="17"/>
  <c r="FI87" i="17"/>
  <c r="FJ92" i="17"/>
  <c r="EP92" i="17"/>
  <c r="BC87" i="17"/>
  <c r="GD87" i="17"/>
  <c r="DV92" i="17"/>
  <c r="CG88" i="17"/>
  <c r="BD90" i="17"/>
  <c r="FI90" i="17"/>
  <c r="R204" i="3" l="1"/>
  <c r="S19" i="3" a="1"/>
  <c r="S19" i="3" s="1"/>
  <c r="S18" i="3" a="1"/>
  <c r="S18" i="3" s="1"/>
  <c r="S17" i="3" a="1"/>
  <c r="S17" i="3" s="1"/>
  <c r="S16" i="3" a="1"/>
  <c r="S16" i="3" s="1"/>
  <c r="S14" i="3" a="1"/>
  <c r="S14" i="3" s="1"/>
  <c r="S13" i="3" a="1"/>
  <c r="S13" i="3" s="1"/>
  <c r="S20" i="3" s="1"/>
  <c r="S15" i="3" a="1"/>
  <c r="S15" i="3" s="1"/>
  <c r="S203" i="3" a="1"/>
  <c r="S203" i="3" s="1"/>
  <c r="S200" i="3" a="1"/>
  <c r="S200" i="3" s="1"/>
  <c r="S199" i="3" a="1"/>
  <c r="S199" i="3" s="1"/>
  <c r="S198" i="3" a="1"/>
  <c r="S198" i="3" s="1"/>
  <c r="S197" i="3" a="1"/>
  <c r="S197" i="3" s="1"/>
  <c r="S204" i="3" s="1"/>
  <c r="S202" i="3" a="1"/>
  <c r="S202" i="3" s="1"/>
  <c r="S201" i="3" a="1"/>
  <c r="S201" i="3" s="1"/>
  <c r="S11" i="3" a="1"/>
  <c r="S11" i="3" s="1"/>
  <c r="S10" i="3" a="1"/>
  <c r="S10" i="3" s="1"/>
  <c r="S9" i="3" a="1"/>
  <c r="S9" i="3" s="1"/>
  <c r="S8" i="3" a="1"/>
  <c r="S8" i="3" s="1"/>
  <c r="S6" i="3" a="1"/>
  <c r="S6" i="3" s="1"/>
  <c r="S5" i="3" a="1"/>
  <c r="S5" i="3" s="1"/>
  <c r="S12" i="3" s="1"/>
  <c r="S7" i="3" a="1"/>
  <c r="S7" i="3" s="1"/>
  <c r="S106" i="3" a="1"/>
  <c r="S106" i="3" s="1"/>
  <c r="S105" i="3" a="1"/>
  <c r="S105" i="3" s="1"/>
  <c r="S104" i="3" a="1"/>
  <c r="S104" i="3" s="1"/>
  <c r="S103" i="3" a="1"/>
  <c r="S103" i="3" s="1"/>
  <c r="S102" i="3" a="1"/>
  <c r="S102" i="3" s="1"/>
  <c r="S101" i="3" a="1"/>
  <c r="S101" i="3" s="1"/>
  <c r="S108" i="3" s="1"/>
  <c r="S107" i="3" a="1"/>
  <c r="S107" i="3" s="1"/>
  <c r="S185" i="3" a="1"/>
  <c r="S185" i="3" s="1"/>
  <c r="S183" i="3" a="1"/>
  <c r="S183" i="3" s="1"/>
  <c r="S181" i="3" a="1"/>
  <c r="S181" i="3" s="1"/>
  <c r="S188" i="3" s="1"/>
  <c r="S187" i="3" a="1"/>
  <c r="S187" i="3" s="1"/>
  <c r="S186" i="3" a="1"/>
  <c r="S186" i="3" s="1"/>
  <c r="S184" i="3" a="1"/>
  <c r="S184" i="3" s="1"/>
  <c r="S182" i="3" a="1"/>
  <c r="S182" i="3" s="1"/>
  <c r="S227" i="3" a="1"/>
  <c r="S227" i="3" s="1"/>
  <c r="S219" i="3" a="1"/>
  <c r="S219" i="3" s="1"/>
  <c r="S211" i="3" a="1"/>
  <c r="S211" i="3" s="1"/>
  <c r="S179" i="3" a="1"/>
  <c r="S179" i="3" s="1"/>
  <c r="S171" i="3" a="1"/>
  <c r="S171" i="3" s="1"/>
  <c r="S163" i="3" a="1"/>
  <c r="S163" i="3" s="1"/>
  <c r="S155" i="3" a="1"/>
  <c r="S155" i="3" s="1"/>
  <c r="S147" i="3" a="1"/>
  <c r="S147" i="3" s="1"/>
  <c r="S139" i="3" a="1"/>
  <c r="S139" i="3" s="1"/>
  <c r="S131" i="3" a="1"/>
  <c r="S131" i="3" s="1"/>
  <c r="S195" i="3" a="1"/>
  <c r="S195" i="3" s="1"/>
  <c r="S123" i="3" a="1"/>
  <c r="S123" i="3" s="1"/>
  <c r="S115" i="3" a="1"/>
  <c r="S115" i="3" s="1"/>
  <c r="S99" i="3" a="1"/>
  <c r="S99" i="3" s="1"/>
  <c r="S91" i="3" a="1"/>
  <c r="S91" i="3" s="1"/>
  <c r="S83" i="3" a="1"/>
  <c r="S83" i="3" s="1"/>
  <c r="S75" i="3" a="1"/>
  <c r="S75" i="3" s="1"/>
  <c r="S67" i="3" a="1"/>
  <c r="S67" i="3" s="1"/>
  <c r="S59" i="3" a="1"/>
  <c r="S59" i="3" s="1"/>
  <c r="S51" i="3" a="1"/>
  <c r="S51" i="3" s="1"/>
  <c r="S43" i="3" a="1"/>
  <c r="S43" i="3" s="1"/>
  <c r="S35" i="3" a="1"/>
  <c r="S35" i="3" s="1"/>
  <c r="S27" i="3" a="1"/>
  <c r="S27" i="3" s="1"/>
  <c r="S235" i="3" a="1"/>
  <c r="S235" i="3" s="1"/>
  <c r="R196" i="3"/>
  <c r="S190" i="3" a="1"/>
  <c r="S190" i="3" s="1"/>
  <c r="S194" i="3" a="1"/>
  <c r="S194" i="3" s="1"/>
  <c r="S193" i="3" a="1"/>
  <c r="S193" i="3" s="1"/>
  <c r="S192" i="3" a="1"/>
  <c r="S192" i="3" s="1"/>
  <c r="S191" i="3" a="1"/>
  <c r="S191" i="3" s="1"/>
  <c r="S189" i="3" a="1"/>
  <c r="S189" i="3" s="1"/>
  <c r="R180" i="3"/>
  <c r="S178" i="3" a="1"/>
  <c r="S178" i="3" s="1"/>
  <c r="S177" i="3" a="1"/>
  <c r="S177" i="3" s="1"/>
  <c r="S176" i="3" a="1"/>
  <c r="S176" i="3" s="1"/>
  <c r="S175" i="3" a="1"/>
  <c r="S175" i="3" s="1"/>
  <c r="S174" i="3" a="1"/>
  <c r="S174" i="3" s="1"/>
  <c r="S173" i="3" a="1"/>
  <c r="S173" i="3" s="1"/>
  <c r="R68" i="3"/>
  <c r="S66" i="3" a="1"/>
  <c r="S66" i="3" s="1"/>
  <c r="S65" i="3" a="1"/>
  <c r="S65" i="3" s="1"/>
  <c r="S63" i="3" a="1"/>
  <c r="S63" i="3" s="1"/>
  <c r="S62" i="3" a="1"/>
  <c r="S62" i="3" s="1"/>
  <c r="S64" i="3" a="1"/>
  <c r="S64" i="3" s="1"/>
  <c r="S61" i="3" a="1"/>
  <c r="S61" i="3" s="1"/>
  <c r="R148" i="3"/>
  <c r="S146" i="3" a="1"/>
  <c r="S146" i="3" s="1"/>
  <c r="S145" i="3" a="1"/>
  <c r="S145" i="3" s="1"/>
  <c r="S144" i="3" a="1"/>
  <c r="S144" i="3" s="1"/>
  <c r="S143" i="3" a="1"/>
  <c r="S143" i="3" s="1"/>
  <c r="S142" i="3" a="1"/>
  <c r="S142" i="3" s="1"/>
  <c r="S141" i="3" a="1"/>
  <c r="S141" i="3" s="1"/>
  <c r="R36" i="3"/>
  <c r="S31" i="3" a="1"/>
  <c r="S31" i="3" s="1"/>
  <c r="S29" i="3" a="1"/>
  <c r="S29" i="3" s="1"/>
  <c r="S32" i="3" a="1"/>
  <c r="S32" i="3" s="1"/>
  <c r="S34" i="3" a="1"/>
  <c r="S34" i="3" s="1"/>
  <c r="S33" i="3" a="1"/>
  <c r="S33" i="3" s="1"/>
  <c r="S30" i="3" a="1"/>
  <c r="S30" i="3" s="1"/>
  <c r="T2" i="3"/>
  <c r="Q172" i="3"/>
  <c r="Q228" i="3"/>
  <c r="R170" i="3" a="1"/>
  <c r="R170" i="3" s="1"/>
  <c r="R169" i="3" a="1"/>
  <c r="R169" i="3" s="1"/>
  <c r="R168" i="3" a="1"/>
  <c r="R168" i="3" s="1"/>
  <c r="R166" i="3" a="1"/>
  <c r="R166" i="3" s="1"/>
  <c r="R222" i="3" a="1"/>
  <c r="R222" i="3" s="1"/>
  <c r="R221" i="3" a="1"/>
  <c r="R221" i="3" s="1"/>
  <c r="R167" i="3" a="1"/>
  <c r="R167" i="3" s="1"/>
  <c r="R165" i="3" a="1"/>
  <c r="R165" i="3" s="1"/>
  <c r="R226" i="3" a="1"/>
  <c r="R226" i="3" s="1"/>
  <c r="R225" i="3" a="1"/>
  <c r="R225" i="3" s="1"/>
  <c r="R223" i="3" a="1"/>
  <c r="R223" i="3" s="1"/>
  <c r="R224" i="3" a="1"/>
  <c r="R224" i="3" s="1"/>
  <c r="R128" i="3" a="1"/>
  <c r="R128" i="3" s="1"/>
  <c r="R126" i="3" a="1"/>
  <c r="R126" i="3" s="1"/>
  <c r="R125" i="3" a="1"/>
  <c r="R125" i="3" s="1"/>
  <c r="R129" i="3" a="1"/>
  <c r="R129" i="3" s="1"/>
  <c r="R130" i="3" a="1"/>
  <c r="R130" i="3" s="1"/>
  <c r="R127" i="3" a="1"/>
  <c r="R127" i="3" s="1"/>
  <c r="Q132" i="3"/>
  <c r="Q44" i="3"/>
  <c r="R42" i="3" a="1"/>
  <c r="R42" i="3" s="1"/>
  <c r="R40" i="3" a="1"/>
  <c r="R40" i="3" s="1"/>
  <c r="R38" i="3" a="1"/>
  <c r="R38" i="3" s="1"/>
  <c r="R39" i="3" a="1"/>
  <c r="R39" i="3" s="1"/>
  <c r="R37" i="3" a="1"/>
  <c r="R37" i="3" s="1"/>
  <c r="R41" i="3" a="1"/>
  <c r="R41" i="3" s="1"/>
  <c r="R208" i="3" a="1"/>
  <c r="R208" i="3" s="1"/>
  <c r="R209" i="3" a="1"/>
  <c r="R209" i="3" s="1"/>
  <c r="R205" i="3" a="1"/>
  <c r="R205" i="3" s="1"/>
  <c r="R138" i="3" a="1"/>
  <c r="R138" i="3" s="1"/>
  <c r="R136" i="3" a="1"/>
  <c r="R136" i="3" s="1"/>
  <c r="R134" i="3" a="1"/>
  <c r="R134" i="3" s="1"/>
  <c r="R207" i="3" a="1"/>
  <c r="R207" i="3" s="1"/>
  <c r="R137" i="3" a="1"/>
  <c r="R137" i="3" s="1"/>
  <c r="R206" i="3" a="1"/>
  <c r="R206" i="3" s="1"/>
  <c r="R210" i="3" a="1"/>
  <c r="R210" i="3" s="1"/>
  <c r="R135" i="3" a="1"/>
  <c r="R135" i="3" s="1"/>
  <c r="R133" i="3" a="1"/>
  <c r="R133" i="3" s="1"/>
  <c r="Q212" i="3"/>
  <c r="Q140" i="3"/>
  <c r="R57" i="3" a="1"/>
  <c r="R57" i="3" s="1"/>
  <c r="R58" i="3" a="1"/>
  <c r="R58" i="3" s="1"/>
  <c r="R56" i="3" a="1"/>
  <c r="R56" i="3" s="1"/>
  <c r="R54" i="3" a="1"/>
  <c r="R54" i="3" s="1"/>
  <c r="R55" i="3" a="1"/>
  <c r="R55" i="3" s="1"/>
  <c r="R53" i="3" a="1"/>
  <c r="R53" i="3" s="1"/>
  <c r="R217" i="3" a="1"/>
  <c r="R217" i="3" s="1"/>
  <c r="R213" i="3" a="1"/>
  <c r="R213" i="3" s="1"/>
  <c r="R218" i="3" a="1"/>
  <c r="R218" i="3" s="1"/>
  <c r="R216" i="3" a="1"/>
  <c r="R216" i="3" s="1"/>
  <c r="R215" i="3" a="1"/>
  <c r="R215" i="3" s="1"/>
  <c r="R214" i="3" a="1"/>
  <c r="R214" i="3" s="1"/>
  <c r="Q60" i="3"/>
  <c r="Q220" i="3"/>
  <c r="R45" i="10" a="1"/>
  <c r="R45" i="10" s="1"/>
  <c r="R43" i="10" a="1"/>
  <c r="R43" i="10" s="1"/>
  <c r="R41" i="10" a="1"/>
  <c r="R41" i="10" s="1"/>
  <c r="R44" i="10" a="1"/>
  <c r="R44" i="10" s="1"/>
  <c r="R42" i="10" a="1"/>
  <c r="R42" i="10" s="1"/>
  <c r="R40" i="10" a="1"/>
  <c r="R40" i="10" s="1"/>
  <c r="Q46" i="10"/>
  <c r="R120" i="3" a="1"/>
  <c r="R120" i="3" s="1"/>
  <c r="R117" i="3" a="1"/>
  <c r="R117" i="3" s="1"/>
  <c r="R121" i="3" a="1"/>
  <c r="R121" i="3" s="1"/>
  <c r="R118" i="3" a="1"/>
  <c r="R118" i="3" s="1"/>
  <c r="R122" i="3" a="1"/>
  <c r="R122" i="3" s="1"/>
  <c r="R119" i="3" a="1"/>
  <c r="R119" i="3" s="1"/>
  <c r="Q124" i="3"/>
  <c r="Q92" i="3"/>
  <c r="R90" i="3" a="1"/>
  <c r="R90" i="3" s="1"/>
  <c r="R88" i="3" a="1"/>
  <c r="R88" i="3" s="1"/>
  <c r="R86" i="3" a="1"/>
  <c r="R86" i="3" s="1"/>
  <c r="R87" i="3" a="1"/>
  <c r="R87" i="3" s="1"/>
  <c r="R85" i="3" a="1"/>
  <c r="R85" i="3" s="1"/>
  <c r="R89" i="3" a="1"/>
  <c r="R89" i="3" s="1"/>
  <c r="Q156" i="3"/>
  <c r="R152" i="3" a="1"/>
  <c r="R152" i="3" s="1"/>
  <c r="R153" i="3" a="1"/>
  <c r="R153" i="3" s="1"/>
  <c r="R154" i="3" a="1"/>
  <c r="R154" i="3" s="1"/>
  <c r="R150" i="3" a="1"/>
  <c r="R150" i="3" s="1"/>
  <c r="R149" i="3" a="1"/>
  <c r="R149" i="3" s="1"/>
  <c r="R151" i="3" a="1"/>
  <c r="R151" i="3" s="1"/>
  <c r="R48" i="3" a="1"/>
  <c r="R48" i="3" s="1"/>
  <c r="R45" i="3" a="1"/>
  <c r="R45" i="3" s="1"/>
  <c r="R46" i="3" a="1"/>
  <c r="R46" i="3" s="1"/>
  <c r="R50" i="3" a="1"/>
  <c r="R50" i="3" s="1"/>
  <c r="R47" i="3" a="1"/>
  <c r="R47" i="3" s="1"/>
  <c r="R49" i="3" a="1"/>
  <c r="R49" i="3" s="1"/>
  <c r="Q52" i="3"/>
  <c r="Q46" i="12"/>
  <c r="Q46" i="8"/>
  <c r="Q46" i="6"/>
  <c r="Q46" i="9"/>
  <c r="Q46" i="13"/>
  <c r="Q46" i="14"/>
  <c r="R45" i="14" a="1"/>
  <c r="R45" i="14" s="1"/>
  <c r="R44" i="14" a="1"/>
  <c r="R44" i="14" s="1"/>
  <c r="R42" i="14" a="1"/>
  <c r="R42" i="14" s="1"/>
  <c r="R40" i="14" a="1"/>
  <c r="R40" i="14" s="1"/>
  <c r="R41" i="14" a="1"/>
  <c r="R41" i="14" s="1"/>
  <c r="R43" i="14" a="1"/>
  <c r="R43" i="14" s="1"/>
  <c r="R44" i="9" a="1"/>
  <c r="R44" i="9" s="1"/>
  <c r="R42" i="9" a="1"/>
  <c r="R42" i="9" s="1"/>
  <c r="R40" i="9" a="1"/>
  <c r="R40" i="9" s="1"/>
  <c r="R45" i="9" a="1"/>
  <c r="R45" i="9" s="1"/>
  <c r="R41" i="9" a="1"/>
  <c r="R41" i="9" s="1"/>
  <c r="R43" i="9" a="1"/>
  <c r="R43" i="9" s="1"/>
  <c r="R44" i="8" a="1"/>
  <c r="R44" i="8" s="1"/>
  <c r="R42" i="8" a="1"/>
  <c r="R42" i="8" s="1"/>
  <c r="R40" i="8" a="1"/>
  <c r="R40" i="8" s="1"/>
  <c r="R45" i="8" a="1"/>
  <c r="R45" i="8" s="1"/>
  <c r="R43" i="8" a="1"/>
  <c r="R43" i="8" s="1"/>
  <c r="R41" i="8" a="1"/>
  <c r="R41" i="8" s="1"/>
  <c r="R45" i="12" a="1"/>
  <c r="R45" i="12" s="1"/>
  <c r="R43" i="12" a="1"/>
  <c r="R43" i="12" s="1"/>
  <c r="R44" i="12" a="1"/>
  <c r="R44" i="12" s="1"/>
  <c r="R41" i="12" a="1"/>
  <c r="R41" i="12" s="1"/>
  <c r="R42" i="12" a="1"/>
  <c r="R42" i="12" s="1"/>
  <c r="R40" i="12" a="1"/>
  <c r="R40" i="12" s="1"/>
  <c r="R41" i="13" a="1"/>
  <c r="R41" i="13" s="1"/>
  <c r="R44" i="13" a="1"/>
  <c r="R44" i="13" s="1"/>
  <c r="R42" i="13" a="1"/>
  <c r="R42" i="13" s="1"/>
  <c r="R45" i="13" a="1"/>
  <c r="R45" i="13" s="1"/>
  <c r="R40" i="13" a="1"/>
  <c r="R40" i="13" s="1"/>
  <c r="R43" i="13" a="1"/>
  <c r="R43" i="13" s="1"/>
  <c r="R45" i="6" a="1"/>
  <c r="R45" i="6" s="1"/>
  <c r="R43" i="6" a="1"/>
  <c r="R43" i="6" s="1"/>
  <c r="R41" i="6" a="1"/>
  <c r="R41" i="6" s="1"/>
  <c r="R44" i="6" a="1"/>
  <c r="R44" i="6" s="1"/>
  <c r="R42" i="6" a="1"/>
  <c r="R42" i="6" s="1"/>
  <c r="R40" i="6" a="1"/>
  <c r="R40" i="6" s="1"/>
  <c r="Q100" i="3"/>
  <c r="R97" i="3" a="1"/>
  <c r="R97" i="3" s="1"/>
  <c r="R96" i="3" a="1"/>
  <c r="R96" i="3" s="1"/>
  <c r="R95" i="3" a="1"/>
  <c r="R95" i="3" s="1"/>
  <c r="R94" i="3" a="1"/>
  <c r="R94" i="3" s="1"/>
  <c r="R93" i="3" a="1"/>
  <c r="R93" i="3" s="1"/>
  <c r="R98" i="3" a="1"/>
  <c r="R98" i="3" s="1"/>
  <c r="R23" i="3" a="1"/>
  <c r="R23" i="3" s="1"/>
  <c r="R26" i="3" a="1"/>
  <c r="R26" i="3" s="1"/>
  <c r="R25" i="3" a="1"/>
  <c r="R25" i="3" s="1"/>
  <c r="R24" i="3" a="1"/>
  <c r="R24" i="3" s="1"/>
  <c r="R22" i="3" a="1"/>
  <c r="R22" i="3" s="1"/>
  <c r="R21" i="3" a="1"/>
  <c r="R21" i="3" s="1"/>
  <c r="Q28" i="3"/>
  <c r="R38" i="14" a="1"/>
  <c r="R38" i="14" s="1"/>
  <c r="R34" i="14" a="1"/>
  <c r="R34" i="14" s="1"/>
  <c r="R35" i="14" a="1"/>
  <c r="R35" i="14" s="1"/>
  <c r="R33" i="14" a="1"/>
  <c r="R33" i="14" s="1"/>
  <c r="R36" i="14" a="1"/>
  <c r="R36" i="14" s="1"/>
  <c r="R37" i="14" a="1"/>
  <c r="R37" i="14" s="1"/>
  <c r="Q39" i="14"/>
  <c r="Q116" i="3"/>
  <c r="R114" i="3" a="1"/>
  <c r="R114" i="3" s="1"/>
  <c r="R109" i="3" a="1"/>
  <c r="R109" i="3" s="1"/>
  <c r="R112" i="3" a="1"/>
  <c r="R112" i="3" s="1"/>
  <c r="R110" i="3" a="1"/>
  <c r="R110" i="3" s="1"/>
  <c r="R113" i="3" a="1"/>
  <c r="R113" i="3" s="1"/>
  <c r="R111" i="3" a="1"/>
  <c r="R111" i="3" s="1"/>
  <c r="Q164" i="3"/>
  <c r="R162" i="3" a="1"/>
  <c r="R162" i="3" s="1"/>
  <c r="R161" i="3" a="1"/>
  <c r="R161" i="3" s="1"/>
  <c r="R159" i="3" a="1"/>
  <c r="R159" i="3" s="1"/>
  <c r="R158" i="3" a="1"/>
  <c r="R158" i="3" s="1"/>
  <c r="R157" i="3" a="1"/>
  <c r="R157" i="3" s="1"/>
  <c r="R160" i="3" a="1"/>
  <c r="R160" i="3" s="1"/>
  <c r="Q76" i="3"/>
  <c r="R74" i="3" a="1"/>
  <c r="R74" i="3" s="1"/>
  <c r="R72" i="3" a="1"/>
  <c r="R72" i="3" s="1"/>
  <c r="R73" i="3" a="1"/>
  <c r="R73" i="3" s="1"/>
  <c r="R70" i="3" a="1"/>
  <c r="R70" i="3" s="1"/>
  <c r="R71" i="3" a="1"/>
  <c r="R71" i="3" s="1"/>
  <c r="R69" i="3" a="1"/>
  <c r="R69" i="3" s="1"/>
  <c r="R234" i="3" a="1"/>
  <c r="R234" i="3" s="1"/>
  <c r="R231" i="3" a="1"/>
  <c r="R231" i="3" s="1"/>
  <c r="R229" i="3" a="1"/>
  <c r="R229" i="3" s="1"/>
  <c r="R233" i="3" a="1"/>
  <c r="R233" i="3" s="1"/>
  <c r="R232" i="3" a="1"/>
  <c r="R232" i="3" s="1"/>
  <c r="R230" i="3" a="1"/>
  <c r="R230" i="3" s="1"/>
  <c r="Q236" i="3"/>
  <c r="R78" i="3" a="1"/>
  <c r="R78" i="3" s="1"/>
  <c r="R79" i="3" a="1"/>
  <c r="R79" i="3" s="1"/>
  <c r="R77" i="3" a="1"/>
  <c r="R77" i="3" s="1"/>
  <c r="R82" i="3" a="1"/>
  <c r="R82" i="3" s="1"/>
  <c r="R81" i="3" a="1"/>
  <c r="R81" i="3" s="1"/>
  <c r="R80" i="3" a="1"/>
  <c r="R80" i="3" s="1"/>
  <c r="Q84" i="3"/>
  <c r="R36" i="8" a="1"/>
  <c r="R36" i="8" s="1"/>
  <c r="R35" i="8" a="1"/>
  <c r="R35" i="8" s="1"/>
  <c r="R34" i="8" a="1"/>
  <c r="R34" i="8" s="1"/>
  <c r="R33" i="8" a="1"/>
  <c r="R33" i="8" s="1"/>
  <c r="R37" i="8" a="1"/>
  <c r="R37" i="8" s="1"/>
  <c r="R38" i="8" a="1"/>
  <c r="R38" i="8" s="1"/>
  <c r="R31" i="8" a="1"/>
  <c r="R31" i="8" s="1"/>
  <c r="R27" i="8" a="1"/>
  <c r="R27" i="8" s="1"/>
  <c r="R17" i="8" a="1"/>
  <c r="R17" i="8" s="1"/>
  <c r="R30" i="8" a="1"/>
  <c r="R30" i="8" s="1"/>
  <c r="R26" i="8" a="1"/>
  <c r="R26" i="8" s="1"/>
  <c r="R29" i="8" a="1"/>
  <c r="R29" i="8" s="1"/>
  <c r="R24" i="8" a="1"/>
  <c r="R24" i="8" s="1"/>
  <c r="R15" i="8" a="1"/>
  <c r="R15" i="8" s="1"/>
  <c r="R13" i="8" a="1"/>
  <c r="R13" i="8" s="1"/>
  <c r="R20" i="8" a="1"/>
  <c r="R20" i="8" s="1"/>
  <c r="R14" i="8" a="1"/>
  <c r="R14" i="8" s="1"/>
  <c r="R28" i="8" a="1"/>
  <c r="R28" i="8" s="1"/>
  <c r="R22" i="8" a="1"/>
  <c r="R22" i="8" s="1"/>
  <c r="R21" i="8" a="1"/>
  <c r="R21" i="8" s="1"/>
  <c r="R16" i="8" a="1"/>
  <c r="R16" i="8" s="1"/>
  <c r="R12" i="8" a="1"/>
  <c r="R12" i="8" s="1"/>
  <c r="R23" i="8" a="1"/>
  <c r="R23" i="8" s="1"/>
  <c r="R19" i="8" a="1"/>
  <c r="R19" i="8" s="1"/>
  <c r="R6" i="8" a="1"/>
  <c r="R6" i="8" s="1"/>
  <c r="R5" i="8" a="1"/>
  <c r="R5" i="8" s="1"/>
  <c r="R8" i="8" a="1"/>
  <c r="R8" i="8" s="1"/>
  <c r="R9" i="8" a="1"/>
  <c r="R9" i="8" s="1"/>
  <c r="R10" i="8" a="1"/>
  <c r="R10" i="8" s="1"/>
  <c r="R7" i="8" a="1"/>
  <c r="R7" i="8" s="1"/>
  <c r="R4" i="8" a="1"/>
  <c r="R4" i="8" s="1"/>
  <c r="R3" i="8" a="1"/>
  <c r="R3" i="8" s="1"/>
  <c r="R38" i="12" a="1"/>
  <c r="R38" i="12" s="1"/>
  <c r="R36" i="12" a="1"/>
  <c r="R36" i="12" s="1"/>
  <c r="R34" i="12" a="1"/>
  <c r="R34" i="12" s="1"/>
  <c r="R37" i="12" a="1"/>
  <c r="R37" i="12" s="1"/>
  <c r="R35" i="12" a="1"/>
  <c r="R35" i="12" s="1"/>
  <c r="R33" i="12" a="1"/>
  <c r="R33" i="12" s="1"/>
  <c r="R31" i="12" a="1"/>
  <c r="R31" i="12" s="1"/>
  <c r="R30" i="12" a="1"/>
  <c r="R30" i="12" s="1"/>
  <c r="R29" i="12" a="1"/>
  <c r="R29" i="12" s="1"/>
  <c r="R27" i="12" a="1"/>
  <c r="R27" i="12" s="1"/>
  <c r="R24" i="12" a="1"/>
  <c r="R24" i="12" s="1"/>
  <c r="R22" i="12" a="1"/>
  <c r="R22" i="12" s="1"/>
  <c r="R20" i="12" a="1"/>
  <c r="R20" i="12" s="1"/>
  <c r="R17" i="12" a="1"/>
  <c r="R17" i="12" s="1"/>
  <c r="R15" i="12" a="1"/>
  <c r="R15" i="12" s="1"/>
  <c r="R13" i="12" a="1"/>
  <c r="R13" i="12" s="1"/>
  <c r="R28" i="12" a="1"/>
  <c r="R28" i="12" s="1"/>
  <c r="R26" i="12" a="1"/>
  <c r="R26" i="12" s="1"/>
  <c r="R23" i="12" a="1"/>
  <c r="R23" i="12" s="1"/>
  <c r="R21" i="12" a="1"/>
  <c r="R21" i="12" s="1"/>
  <c r="R19" i="12" a="1"/>
  <c r="R19" i="12" s="1"/>
  <c r="R16" i="12" a="1"/>
  <c r="R16" i="12" s="1"/>
  <c r="R14" i="12" a="1"/>
  <c r="R14" i="12" s="1"/>
  <c r="R12" i="12" a="1"/>
  <c r="R12" i="12" s="1"/>
  <c r="R5" i="12" a="1"/>
  <c r="R5" i="12" s="1"/>
  <c r="R6" i="12" a="1"/>
  <c r="R6" i="12" s="1"/>
  <c r="R4" i="12" a="1"/>
  <c r="R4" i="12" s="1"/>
  <c r="R3" i="12" a="1"/>
  <c r="R3" i="12" s="1"/>
  <c r="R7" i="12" a="1"/>
  <c r="R7" i="12" s="1"/>
  <c r="R8" i="12" a="1"/>
  <c r="R8" i="12" s="1"/>
  <c r="R9" i="12" a="1"/>
  <c r="R9" i="12" s="1"/>
  <c r="R10" i="12" a="1"/>
  <c r="R10" i="12" s="1"/>
  <c r="R24" i="14" a="1"/>
  <c r="R24" i="14" s="1"/>
  <c r="R22" i="14" a="1"/>
  <c r="R22" i="14" s="1"/>
  <c r="R23" i="14" a="1"/>
  <c r="R23" i="14" s="1"/>
  <c r="R21" i="14" a="1"/>
  <c r="R21" i="14" s="1"/>
  <c r="R30" i="14" a="1"/>
  <c r="R30" i="14" s="1"/>
  <c r="R28" i="14" a="1"/>
  <c r="R28" i="14" s="1"/>
  <c r="R27" i="14" a="1"/>
  <c r="R27" i="14" s="1"/>
  <c r="R26" i="14" a="1"/>
  <c r="R26" i="14" s="1"/>
  <c r="R17" i="14" a="1"/>
  <c r="R17" i="14" s="1"/>
  <c r="R16" i="14" a="1"/>
  <c r="R16" i="14" s="1"/>
  <c r="R15" i="14" a="1"/>
  <c r="R15" i="14" s="1"/>
  <c r="R14" i="14" a="1"/>
  <c r="R14" i="14" s="1"/>
  <c r="R13" i="14" a="1"/>
  <c r="R13" i="14" s="1"/>
  <c r="R12" i="14" a="1"/>
  <c r="R12" i="14" s="1"/>
  <c r="R20" i="14" a="1"/>
  <c r="R20" i="14" s="1"/>
  <c r="R31" i="14" a="1"/>
  <c r="R31" i="14" s="1"/>
  <c r="R19" i="14" a="1"/>
  <c r="R19" i="14" s="1"/>
  <c r="R29" i="14" a="1"/>
  <c r="R29" i="14" s="1"/>
  <c r="R6" i="14" a="1"/>
  <c r="R6" i="14" s="1"/>
  <c r="R9" i="14" a="1"/>
  <c r="R9" i="14" s="1"/>
  <c r="R3" i="14" a="1"/>
  <c r="R3" i="14" s="1"/>
  <c r="R4" i="14" a="1"/>
  <c r="R4" i="14" s="1"/>
  <c r="R8" i="14" a="1"/>
  <c r="R8" i="14" s="1"/>
  <c r="R5" i="14" a="1"/>
  <c r="R5" i="14" s="1"/>
  <c r="R7" i="14" a="1"/>
  <c r="R7" i="14" s="1"/>
  <c r="R10" i="14" a="1"/>
  <c r="R10" i="14" s="1"/>
  <c r="R38" i="10" a="1"/>
  <c r="R38" i="10" s="1"/>
  <c r="R33" i="10" a="1"/>
  <c r="R33" i="10" s="1"/>
  <c r="R37" i="10" a="1"/>
  <c r="R37" i="10" s="1"/>
  <c r="R36" i="10" a="1"/>
  <c r="R36" i="10" s="1"/>
  <c r="R34" i="10" a="1"/>
  <c r="R34" i="10" s="1"/>
  <c r="R35" i="10" a="1"/>
  <c r="R35" i="10" s="1"/>
  <c r="R27" i="10" a="1"/>
  <c r="R27" i="10" s="1"/>
  <c r="R24" i="10" a="1"/>
  <c r="R24" i="10" s="1"/>
  <c r="R20" i="10" a="1"/>
  <c r="R20" i="10" s="1"/>
  <c r="R19" i="10" a="1"/>
  <c r="R19" i="10" s="1"/>
  <c r="R9" i="10" a="1"/>
  <c r="R9" i="10" s="1"/>
  <c r="R5" i="10" a="1"/>
  <c r="R5" i="10" s="1"/>
  <c r="R31" i="10" a="1"/>
  <c r="R31" i="10" s="1"/>
  <c r="R30" i="10" a="1"/>
  <c r="R30" i="10" s="1"/>
  <c r="R29" i="10" a="1"/>
  <c r="R29" i="10" s="1"/>
  <c r="R26" i="10" a="1"/>
  <c r="R26" i="10" s="1"/>
  <c r="R23" i="10" a="1"/>
  <c r="R23" i="10" s="1"/>
  <c r="R8" i="10" a="1"/>
  <c r="R8" i="10" s="1"/>
  <c r="R22" i="10" a="1"/>
  <c r="R22" i="10" s="1"/>
  <c r="R7" i="10" a="1"/>
  <c r="R7" i="10" s="1"/>
  <c r="R21" i="10" a="1"/>
  <c r="R21" i="10" s="1"/>
  <c r="R10" i="10" a="1"/>
  <c r="R10" i="10" s="1"/>
  <c r="R6" i="10" a="1"/>
  <c r="R6" i="10" s="1"/>
  <c r="R28" i="10" a="1"/>
  <c r="R28" i="10" s="1"/>
  <c r="R12" i="10" a="1"/>
  <c r="R12" i="10" s="1"/>
  <c r="R14" i="10" a="1"/>
  <c r="R14" i="10" s="1"/>
  <c r="R15" i="10" a="1"/>
  <c r="R15" i="10" s="1"/>
  <c r="R17" i="10" a="1"/>
  <c r="R17" i="10" s="1"/>
  <c r="R13" i="10" a="1"/>
  <c r="R13" i="10" s="1"/>
  <c r="R16" i="10" a="1"/>
  <c r="R16" i="10" s="1"/>
  <c r="R3" i="10" a="1"/>
  <c r="R3" i="10" s="1"/>
  <c r="R4" i="10" a="1"/>
  <c r="R4" i="10" s="1"/>
  <c r="Q18" i="14"/>
  <c r="R37" i="13" a="1"/>
  <c r="R37" i="13" s="1"/>
  <c r="R35" i="13" a="1"/>
  <c r="R35" i="13" s="1"/>
  <c r="R33" i="13" a="1"/>
  <c r="R33" i="13" s="1"/>
  <c r="R36" i="13" a="1"/>
  <c r="R36" i="13" s="1"/>
  <c r="R38" i="13" a="1"/>
  <c r="R38" i="13" s="1"/>
  <c r="R34" i="13" a="1"/>
  <c r="R34" i="13" s="1"/>
  <c r="R30" i="13" a="1"/>
  <c r="R30" i="13" s="1"/>
  <c r="R26" i="13" a="1"/>
  <c r="R26" i="13" s="1"/>
  <c r="R21" i="13" a="1"/>
  <c r="R21" i="13" s="1"/>
  <c r="R29" i="13" a="1"/>
  <c r="R29" i="13" s="1"/>
  <c r="R24" i="13" a="1"/>
  <c r="R24" i="13" s="1"/>
  <c r="R28" i="13" a="1"/>
  <c r="R28" i="13" s="1"/>
  <c r="R23" i="13" a="1"/>
  <c r="R23" i="13" s="1"/>
  <c r="R31" i="13" a="1"/>
  <c r="R31" i="13" s="1"/>
  <c r="R27" i="13" a="1"/>
  <c r="R27" i="13" s="1"/>
  <c r="R22" i="13" a="1"/>
  <c r="R22" i="13" s="1"/>
  <c r="R16" i="13" a="1"/>
  <c r="R16" i="13" s="1"/>
  <c r="R12" i="13" a="1"/>
  <c r="R12" i="13" s="1"/>
  <c r="R20" i="13" a="1"/>
  <c r="R20" i="13" s="1"/>
  <c r="R15" i="13" a="1"/>
  <c r="R15" i="13" s="1"/>
  <c r="R19" i="13" a="1"/>
  <c r="R19" i="13" s="1"/>
  <c r="R14" i="13" a="1"/>
  <c r="R14" i="13" s="1"/>
  <c r="R17" i="13" a="1"/>
  <c r="R17" i="13" s="1"/>
  <c r="R13" i="13" a="1"/>
  <c r="R13" i="13" s="1"/>
  <c r="R5" i="13" a="1"/>
  <c r="R5" i="13" s="1"/>
  <c r="R6" i="13" a="1"/>
  <c r="R6" i="13" s="1"/>
  <c r="R7" i="13" a="1"/>
  <c r="R7" i="13" s="1"/>
  <c r="R8" i="13" a="1"/>
  <c r="R8" i="13" s="1"/>
  <c r="R9" i="13" a="1"/>
  <c r="R9" i="13" s="1"/>
  <c r="R10" i="13" a="1"/>
  <c r="R10" i="13" s="1"/>
  <c r="R4" i="13" a="1"/>
  <c r="R4" i="13" s="1"/>
  <c r="R3" i="13" a="1"/>
  <c r="R3" i="13" s="1"/>
  <c r="Q11" i="14"/>
  <c r="Q32" i="14"/>
  <c r="Q25" i="14"/>
  <c r="R38" i="6" a="1"/>
  <c r="R38" i="6" s="1"/>
  <c r="R37" i="6" a="1"/>
  <c r="R37" i="6" s="1"/>
  <c r="R36" i="6" a="1"/>
  <c r="R36" i="6" s="1"/>
  <c r="R35" i="6" a="1"/>
  <c r="R35" i="6" s="1"/>
  <c r="R34" i="6" a="1"/>
  <c r="R34" i="6" s="1"/>
  <c r="R33" i="6" a="1"/>
  <c r="R33" i="6" s="1"/>
  <c r="R27" i="6" a="1"/>
  <c r="R27" i="6" s="1"/>
  <c r="R14" i="6" a="1"/>
  <c r="R14" i="6" s="1"/>
  <c r="R24" i="6" a="1"/>
  <c r="R24" i="6" s="1"/>
  <c r="R20" i="6" a="1"/>
  <c r="R20" i="6" s="1"/>
  <c r="R31" i="6" a="1"/>
  <c r="R31" i="6" s="1"/>
  <c r="R30" i="6" a="1"/>
  <c r="R30" i="6" s="1"/>
  <c r="R26" i="6" a="1"/>
  <c r="R26" i="6" s="1"/>
  <c r="R17" i="6" a="1"/>
  <c r="R17" i="6" s="1"/>
  <c r="R13" i="6" a="1"/>
  <c r="R13" i="6" s="1"/>
  <c r="R23" i="6" a="1"/>
  <c r="R23" i="6" s="1"/>
  <c r="R19" i="6" a="1"/>
  <c r="R19" i="6" s="1"/>
  <c r="R29" i="6" a="1"/>
  <c r="R29" i="6" s="1"/>
  <c r="R16" i="6" a="1"/>
  <c r="R16" i="6" s="1"/>
  <c r="R12" i="6" a="1"/>
  <c r="R12" i="6" s="1"/>
  <c r="R22" i="6" a="1"/>
  <c r="R22" i="6" s="1"/>
  <c r="R28" i="6" a="1"/>
  <c r="R28" i="6" s="1"/>
  <c r="R15" i="6" a="1"/>
  <c r="R15" i="6" s="1"/>
  <c r="R21" i="6" a="1"/>
  <c r="R21" i="6" s="1"/>
  <c r="R10" i="6" a="1"/>
  <c r="R10" i="6" s="1"/>
  <c r="R6" i="6" a="1"/>
  <c r="R6" i="6" s="1"/>
  <c r="R7" i="6" a="1"/>
  <c r="R7" i="6" s="1"/>
  <c r="R8" i="6" a="1"/>
  <c r="R8" i="6" s="1"/>
  <c r="R9" i="6" a="1"/>
  <c r="R9" i="6" s="1"/>
  <c r="R5" i="6" a="1"/>
  <c r="R5" i="6" s="1"/>
  <c r="R3" i="6" a="1"/>
  <c r="R3" i="6" s="1"/>
  <c r="R4" i="6" a="1"/>
  <c r="R4" i="6" s="1"/>
  <c r="R35" i="9" a="1"/>
  <c r="R35" i="9" s="1"/>
  <c r="R37" i="9" a="1"/>
  <c r="R37" i="9" s="1"/>
  <c r="R36" i="9" a="1"/>
  <c r="R36" i="9" s="1"/>
  <c r="R34" i="9" a="1"/>
  <c r="R34" i="9" s="1"/>
  <c r="R38" i="9" a="1"/>
  <c r="R38" i="9" s="1"/>
  <c r="R33" i="9" a="1"/>
  <c r="R33" i="9" s="1"/>
  <c r="R23" i="9" a="1"/>
  <c r="R23" i="9" s="1"/>
  <c r="R19" i="9" a="1"/>
  <c r="R19" i="9" s="1"/>
  <c r="R30" i="9" a="1"/>
  <c r="R30" i="9" s="1"/>
  <c r="R29" i="9" a="1"/>
  <c r="R29" i="9" s="1"/>
  <c r="R28" i="9" a="1"/>
  <c r="R28" i="9" s="1"/>
  <c r="R27" i="9" a="1"/>
  <c r="R27" i="9" s="1"/>
  <c r="R22" i="9" a="1"/>
  <c r="R22" i="9" s="1"/>
  <c r="R14" i="9" a="1"/>
  <c r="R14" i="9" s="1"/>
  <c r="R21" i="9" a="1"/>
  <c r="R21" i="9" s="1"/>
  <c r="R31" i="9" a="1"/>
  <c r="R31" i="9" s="1"/>
  <c r="R15" i="9" a="1"/>
  <c r="R15" i="9" s="1"/>
  <c r="R24" i="9" a="1"/>
  <c r="R24" i="9" s="1"/>
  <c r="R20" i="9" a="1"/>
  <c r="R20" i="9" s="1"/>
  <c r="R26" i="9" a="1"/>
  <c r="R26" i="9" s="1"/>
  <c r="R17" i="9" a="1"/>
  <c r="R17" i="9" s="1"/>
  <c r="R16" i="9" a="1"/>
  <c r="R16" i="9" s="1"/>
  <c r="R12" i="9" a="1"/>
  <c r="R12" i="9" s="1"/>
  <c r="R13" i="9" a="1"/>
  <c r="R13" i="9" s="1"/>
  <c r="R5" i="9" a="1"/>
  <c r="R5" i="9" s="1"/>
  <c r="R6" i="9" a="1"/>
  <c r="R6" i="9" s="1"/>
  <c r="R9" i="9" a="1"/>
  <c r="R9" i="9" s="1"/>
  <c r="R8" i="9" a="1"/>
  <c r="R8" i="9" s="1"/>
  <c r="R7" i="9" a="1"/>
  <c r="R7" i="9" s="1"/>
  <c r="R10" i="9" a="1"/>
  <c r="R10" i="9" s="1"/>
  <c r="R3" i="9" a="1"/>
  <c r="R3" i="9" s="1"/>
  <c r="R4" i="9" a="1"/>
  <c r="R4" i="9" s="1"/>
  <c r="BD88" i="17"/>
  <c r="FJ88" i="17"/>
  <c r="CI91" i="17"/>
  <c r="BD89" i="17"/>
  <c r="CH88" i="17"/>
  <c r="GE87" i="17"/>
  <c r="DB90" i="17"/>
  <c r="DB89" i="17"/>
  <c r="DC92" i="17"/>
  <c r="BE92" i="17"/>
  <c r="CH87" i="17"/>
  <c r="EP89" i="17"/>
  <c r="BE90" i="17"/>
  <c r="DV89" i="17"/>
  <c r="EQ92" i="17"/>
  <c r="CI92" i="17"/>
  <c r="GE89" i="17"/>
  <c r="DV87" i="17"/>
  <c r="EP87" i="17"/>
  <c r="GF91" i="17"/>
  <c r="EP88" i="17"/>
  <c r="DC91" i="17"/>
  <c r="DV90" i="17"/>
  <c r="FK91" i="17"/>
  <c r="DW92" i="17"/>
  <c r="DV88" i="17"/>
  <c r="FJ90" i="17"/>
  <c r="CH90" i="17"/>
  <c r="GF92" i="17"/>
  <c r="CH89" i="17"/>
  <c r="DB87" i="17"/>
  <c r="BD87" i="17"/>
  <c r="DB88" i="17"/>
  <c r="GE88" i="17"/>
  <c r="BE91" i="17"/>
  <c r="EP90" i="17"/>
  <c r="GF90" i="17"/>
  <c r="DW91" i="17"/>
  <c r="EQ91" i="17"/>
  <c r="FJ87" i="17"/>
  <c r="FJ89" i="17"/>
  <c r="FK92" i="17"/>
  <c r="T18" i="3" l="1" a="1"/>
  <c r="T18" i="3" s="1"/>
  <c r="T17" i="3" a="1"/>
  <c r="T17" i="3" s="1"/>
  <c r="T19" i="3" a="1"/>
  <c r="T19" i="3" s="1"/>
  <c r="T16" i="3" a="1"/>
  <c r="T16" i="3" s="1"/>
  <c r="T15" i="3" a="1"/>
  <c r="T15" i="3" s="1"/>
  <c r="T14" i="3" a="1"/>
  <c r="T14" i="3" s="1"/>
  <c r="T13" i="3" a="1"/>
  <c r="T13" i="3" s="1"/>
  <c r="T20" i="3" s="1"/>
  <c r="T203" i="3" a="1"/>
  <c r="T203" i="3" s="1"/>
  <c r="T197" i="3" a="1"/>
  <c r="T197" i="3" s="1"/>
  <c r="T204" i="3" s="1"/>
  <c r="T202" i="3" a="1"/>
  <c r="T202" i="3" s="1"/>
  <c r="T201" i="3" a="1"/>
  <c r="T201" i="3" s="1"/>
  <c r="T200" i="3" a="1"/>
  <c r="T200" i="3" s="1"/>
  <c r="T199" i="3" a="1"/>
  <c r="T199" i="3" s="1"/>
  <c r="T198" i="3" a="1"/>
  <c r="T198" i="3" s="1"/>
  <c r="T11" i="3" a="1"/>
  <c r="T11" i="3" s="1"/>
  <c r="T10" i="3" a="1"/>
  <c r="T10" i="3" s="1"/>
  <c r="T9" i="3" a="1"/>
  <c r="T9" i="3" s="1"/>
  <c r="T7" i="3" a="1"/>
  <c r="T7" i="3" s="1"/>
  <c r="T5" i="3" a="1"/>
  <c r="T5" i="3" s="1"/>
  <c r="T12" i="3" s="1"/>
  <c r="T8" i="3" a="1"/>
  <c r="T8" i="3" s="1"/>
  <c r="T6" i="3" a="1"/>
  <c r="T6" i="3" s="1"/>
  <c r="T107" i="3" a="1"/>
  <c r="T107" i="3" s="1"/>
  <c r="T106" i="3" a="1"/>
  <c r="T106" i="3" s="1"/>
  <c r="T105" i="3" a="1"/>
  <c r="T105" i="3" s="1"/>
  <c r="T104" i="3" a="1"/>
  <c r="T104" i="3" s="1"/>
  <c r="T103" i="3" a="1"/>
  <c r="T103" i="3" s="1"/>
  <c r="T102" i="3" a="1"/>
  <c r="T102" i="3" s="1"/>
  <c r="T101" i="3" a="1"/>
  <c r="T101" i="3" s="1"/>
  <c r="T108" i="3" s="1"/>
  <c r="T185" i="3" a="1"/>
  <c r="T185" i="3" s="1"/>
  <c r="T183" i="3" a="1"/>
  <c r="T183" i="3" s="1"/>
  <c r="T181" i="3" a="1"/>
  <c r="T181" i="3" s="1"/>
  <c r="T188" i="3" s="1"/>
  <c r="T187" i="3" a="1"/>
  <c r="T187" i="3" s="1"/>
  <c r="T186" i="3" a="1"/>
  <c r="T186" i="3" s="1"/>
  <c r="T184" i="3" a="1"/>
  <c r="T184" i="3" s="1"/>
  <c r="T182" i="3" a="1"/>
  <c r="T182" i="3" s="1"/>
  <c r="T227" i="3" a="1"/>
  <c r="T227" i="3" s="1"/>
  <c r="T219" i="3" a="1"/>
  <c r="T219" i="3" s="1"/>
  <c r="T211" i="3" a="1"/>
  <c r="T211" i="3" s="1"/>
  <c r="T179" i="3" a="1"/>
  <c r="T179" i="3" s="1"/>
  <c r="T171" i="3" a="1"/>
  <c r="T171" i="3" s="1"/>
  <c r="T163" i="3" a="1"/>
  <c r="T163" i="3" s="1"/>
  <c r="T155" i="3" a="1"/>
  <c r="T155" i="3" s="1"/>
  <c r="T147" i="3" a="1"/>
  <c r="T147" i="3" s="1"/>
  <c r="T139" i="3" a="1"/>
  <c r="T139" i="3" s="1"/>
  <c r="T131" i="3" a="1"/>
  <c r="T131" i="3" s="1"/>
  <c r="T35" i="3" a="1"/>
  <c r="T35" i="3" s="1"/>
  <c r="T195" i="3" a="1"/>
  <c r="T195" i="3" s="1"/>
  <c r="T235" i="3" a="1"/>
  <c r="T235" i="3" s="1"/>
  <c r="T123" i="3" a="1"/>
  <c r="T123" i="3" s="1"/>
  <c r="T115" i="3" a="1"/>
  <c r="T115" i="3" s="1"/>
  <c r="T99" i="3" a="1"/>
  <c r="T99" i="3" s="1"/>
  <c r="T91" i="3" a="1"/>
  <c r="T91" i="3" s="1"/>
  <c r="T83" i="3" a="1"/>
  <c r="T83" i="3" s="1"/>
  <c r="T75" i="3" a="1"/>
  <c r="T75" i="3" s="1"/>
  <c r="T67" i="3" a="1"/>
  <c r="T67" i="3" s="1"/>
  <c r="T59" i="3" a="1"/>
  <c r="T59" i="3" s="1"/>
  <c r="T51" i="3" a="1"/>
  <c r="T51" i="3" s="1"/>
  <c r="T43" i="3" a="1"/>
  <c r="T43" i="3" s="1"/>
  <c r="T27" i="3" a="1"/>
  <c r="T27" i="3" s="1"/>
  <c r="S196" i="3"/>
  <c r="T190" i="3" a="1"/>
  <c r="T190" i="3" s="1"/>
  <c r="T194" i="3" a="1"/>
  <c r="T194" i="3" s="1"/>
  <c r="T193" i="3" a="1"/>
  <c r="T193" i="3" s="1"/>
  <c r="T192" i="3" a="1"/>
  <c r="T192" i="3" s="1"/>
  <c r="T191" i="3" a="1"/>
  <c r="T191" i="3" s="1"/>
  <c r="T189" i="3" a="1"/>
  <c r="T189" i="3" s="1"/>
  <c r="T196" i="3" s="1"/>
  <c r="S180" i="3"/>
  <c r="T178" i="3" a="1"/>
  <c r="T178" i="3" s="1"/>
  <c r="T176" i="3" a="1"/>
  <c r="T176" i="3" s="1"/>
  <c r="T174" i="3" a="1"/>
  <c r="T174" i="3" s="1"/>
  <c r="T173" i="3" a="1"/>
  <c r="T173" i="3" s="1"/>
  <c r="T180" i="3" s="1"/>
  <c r="T177" i="3" a="1"/>
  <c r="T177" i="3" s="1"/>
  <c r="T175" i="3" a="1"/>
  <c r="T175" i="3" s="1"/>
  <c r="S68" i="3"/>
  <c r="T66" i="3" a="1"/>
  <c r="T66" i="3" s="1"/>
  <c r="T65" i="3" a="1"/>
  <c r="T65" i="3" s="1"/>
  <c r="T63" i="3" a="1"/>
  <c r="T63" i="3" s="1"/>
  <c r="T64" i="3" a="1"/>
  <c r="T64" i="3" s="1"/>
  <c r="T62" i="3" a="1"/>
  <c r="T62" i="3" s="1"/>
  <c r="T61" i="3" a="1"/>
  <c r="T61" i="3" s="1"/>
  <c r="T68" i="3" s="1"/>
  <c r="S148" i="3"/>
  <c r="T146" i="3" a="1"/>
  <c r="T146" i="3" s="1"/>
  <c r="T145" i="3" a="1"/>
  <c r="T145" i="3" s="1"/>
  <c r="T144" i="3" a="1"/>
  <c r="T144" i="3" s="1"/>
  <c r="T141" i="3" a="1"/>
  <c r="T141" i="3" s="1"/>
  <c r="T148" i="3" s="1"/>
  <c r="T143" i="3" a="1"/>
  <c r="T143" i="3" s="1"/>
  <c r="T142" i="3" a="1"/>
  <c r="T142" i="3" s="1"/>
  <c r="U2" i="3"/>
  <c r="S36" i="3"/>
  <c r="T34" i="3" a="1"/>
  <c r="T34" i="3" s="1"/>
  <c r="T31" i="3" a="1"/>
  <c r="T31" i="3" s="1"/>
  <c r="T29" i="3" a="1"/>
  <c r="T29" i="3" s="1"/>
  <c r="T33" i="3" a="1"/>
  <c r="T33" i="3" s="1"/>
  <c r="T32" i="3" a="1"/>
  <c r="T32" i="3" s="1"/>
  <c r="T30" i="3" a="1"/>
  <c r="T30" i="3" s="1"/>
  <c r="R228" i="3"/>
  <c r="R172" i="3"/>
  <c r="S168" i="3" a="1"/>
  <c r="S168" i="3" s="1"/>
  <c r="S165" i="3" a="1"/>
  <c r="S165" i="3" s="1"/>
  <c r="S225" i="3" a="1"/>
  <c r="S225" i="3" s="1"/>
  <c r="S224" i="3" a="1"/>
  <c r="S224" i="3" s="1"/>
  <c r="S222" i="3" a="1"/>
  <c r="S222" i="3" s="1"/>
  <c r="S221" i="3" a="1"/>
  <c r="S221" i="3" s="1"/>
  <c r="S170" i="3" a="1"/>
  <c r="S170" i="3" s="1"/>
  <c r="S169" i="3" a="1"/>
  <c r="S169" i="3" s="1"/>
  <c r="S167" i="3" a="1"/>
  <c r="S167" i="3" s="1"/>
  <c r="S166" i="3" a="1"/>
  <c r="S166" i="3" s="1"/>
  <c r="S226" i="3" a="1"/>
  <c r="S226" i="3" s="1"/>
  <c r="S223" i="3" a="1"/>
  <c r="S223" i="3" s="1"/>
  <c r="R132" i="3"/>
  <c r="S130" i="3" a="1"/>
  <c r="S130" i="3" s="1"/>
  <c r="S127" i="3" a="1"/>
  <c r="S127" i="3" s="1"/>
  <c r="S126" i="3" a="1"/>
  <c r="S126" i="3" s="1"/>
  <c r="S125" i="3" a="1"/>
  <c r="S125" i="3" s="1"/>
  <c r="S128" i="3" a="1"/>
  <c r="S128" i="3" s="1"/>
  <c r="S129" i="3" a="1"/>
  <c r="S129" i="3" s="1"/>
  <c r="R44" i="3"/>
  <c r="S42" i="3" a="1"/>
  <c r="S42" i="3" s="1"/>
  <c r="S41" i="3" a="1"/>
  <c r="S41" i="3" s="1"/>
  <c r="S37" i="3" a="1"/>
  <c r="S37" i="3" s="1"/>
  <c r="S39" i="3" a="1"/>
  <c r="S39" i="3" s="1"/>
  <c r="S40" i="3" a="1"/>
  <c r="S40" i="3" s="1"/>
  <c r="S38" i="3" a="1"/>
  <c r="S38" i="3" s="1"/>
  <c r="R140" i="3"/>
  <c r="S209" i="3" a="1"/>
  <c r="S209" i="3" s="1"/>
  <c r="S210" i="3" a="1"/>
  <c r="S210" i="3" s="1"/>
  <c r="S206" i="3" a="1"/>
  <c r="S206" i="3" s="1"/>
  <c r="S207" i="3" a="1"/>
  <c r="S207" i="3" s="1"/>
  <c r="S137" i="3" a="1"/>
  <c r="S137" i="3" s="1"/>
  <c r="S205" i="3" a="1"/>
  <c r="S205" i="3" s="1"/>
  <c r="S138" i="3" a="1"/>
  <c r="S138" i="3" s="1"/>
  <c r="S136" i="3" a="1"/>
  <c r="S136" i="3" s="1"/>
  <c r="S135" i="3" a="1"/>
  <c r="S135" i="3" s="1"/>
  <c r="S208" i="3" a="1"/>
  <c r="S208" i="3" s="1"/>
  <c r="S133" i="3" a="1"/>
  <c r="S133" i="3" s="1"/>
  <c r="S134" i="3" a="1"/>
  <c r="S134" i="3" s="1"/>
  <c r="R212" i="3"/>
  <c r="S58" i="3" a="1"/>
  <c r="S58" i="3" s="1"/>
  <c r="S56" i="3" a="1"/>
  <c r="S56" i="3" s="1"/>
  <c r="S55" i="3" a="1"/>
  <c r="S55" i="3" s="1"/>
  <c r="S53" i="3" a="1"/>
  <c r="S53" i="3" s="1"/>
  <c r="S54" i="3" a="1"/>
  <c r="S54" i="3" s="1"/>
  <c r="S57" i="3" a="1"/>
  <c r="S57" i="3" s="1"/>
  <c r="S213" i="3" a="1"/>
  <c r="S213" i="3" s="1"/>
  <c r="S215" i="3" a="1"/>
  <c r="S215" i="3" s="1"/>
  <c r="S218" i="3" a="1"/>
  <c r="S218" i="3" s="1"/>
  <c r="S217" i="3" a="1"/>
  <c r="S217" i="3" s="1"/>
  <c r="S216" i="3" a="1"/>
  <c r="S216" i="3" s="1"/>
  <c r="S214" i="3" a="1"/>
  <c r="S214" i="3" s="1"/>
  <c r="R220" i="3"/>
  <c r="R60" i="3"/>
  <c r="S44" i="10" a="1"/>
  <c r="S44" i="10" s="1"/>
  <c r="S42" i="10" a="1"/>
  <c r="S42" i="10" s="1"/>
  <c r="S40" i="10" a="1"/>
  <c r="S40" i="10" s="1"/>
  <c r="S45" i="10" a="1"/>
  <c r="S45" i="10" s="1"/>
  <c r="S43" i="10" a="1"/>
  <c r="S43" i="10" s="1"/>
  <c r="S41" i="10" a="1"/>
  <c r="S41" i="10" s="1"/>
  <c r="R46" i="10"/>
  <c r="S122" i="3" a="1"/>
  <c r="S122" i="3" s="1"/>
  <c r="S120" i="3" a="1"/>
  <c r="S120" i="3" s="1"/>
  <c r="S119" i="3" a="1"/>
  <c r="S119" i="3" s="1"/>
  <c r="S121" i="3" a="1"/>
  <c r="S121" i="3" s="1"/>
  <c r="S117" i="3" a="1"/>
  <c r="S117" i="3" s="1"/>
  <c r="S118" i="3" a="1"/>
  <c r="S118" i="3" s="1"/>
  <c r="R124" i="3"/>
  <c r="R92" i="3"/>
  <c r="S90" i="3" a="1"/>
  <c r="S90" i="3" s="1"/>
  <c r="S89" i="3" a="1"/>
  <c r="S89" i="3" s="1"/>
  <c r="S85" i="3" a="1"/>
  <c r="S85" i="3" s="1"/>
  <c r="S86" i="3" a="1"/>
  <c r="S86" i="3" s="1"/>
  <c r="S87" i="3" a="1"/>
  <c r="S87" i="3" s="1"/>
  <c r="S88" i="3" a="1"/>
  <c r="S88" i="3" s="1"/>
  <c r="S154" i="3" a="1"/>
  <c r="S154" i="3" s="1"/>
  <c r="S151" i="3" a="1"/>
  <c r="S151" i="3" s="1"/>
  <c r="S153" i="3" a="1"/>
  <c r="S153" i="3" s="1"/>
  <c r="S152" i="3" a="1"/>
  <c r="S152" i="3" s="1"/>
  <c r="S150" i="3" a="1"/>
  <c r="S150" i="3" s="1"/>
  <c r="S149" i="3" a="1"/>
  <c r="S149" i="3" s="1"/>
  <c r="R156" i="3"/>
  <c r="S50" i="3" a="1"/>
  <c r="S50" i="3" s="1"/>
  <c r="S49" i="3" a="1"/>
  <c r="S49" i="3" s="1"/>
  <c r="S48" i="3" a="1"/>
  <c r="S48" i="3" s="1"/>
  <c r="S47" i="3" a="1"/>
  <c r="S47" i="3" s="1"/>
  <c r="S45" i="3" a="1"/>
  <c r="S45" i="3" s="1"/>
  <c r="S46" i="3" a="1"/>
  <c r="S46" i="3" s="1"/>
  <c r="R52" i="3"/>
  <c r="R46" i="8"/>
  <c r="R46" i="13"/>
  <c r="R46" i="9"/>
  <c r="R46" i="6"/>
  <c r="R46" i="12"/>
  <c r="R46" i="14"/>
  <c r="S45" i="6" a="1"/>
  <c r="S45" i="6" s="1"/>
  <c r="S43" i="6" a="1"/>
  <c r="S43" i="6" s="1"/>
  <c r="S41" i="6" a="1"/>
  <c r="S41" i="6" s="1"/>
  <c r="S44" i="6" a="1"/>
  <c r="S44" i="6" s="1"/>
  <c r="S42" i="6" a="1"/>
  <c r="S42" i="6" s="1"/>
  <c r="S40" i="6" a="1"/>
  <c r="S40" i="6" s="1"/>
  <c r="S45" i="14" a="1"/>
  <c r="S45" i="14" s="1"/>
  <c r="S44" i="14" a="1"/>
  <c r="S44" i="14" s="1"/>
  <c r="S42" i="14" a="1"/>
  <c r="S42" i="14" s="1"/>
  <c r="S40" i="14" a="1"/>
  <c r="S40" i="14" s="1"/>
  <c r="S43" i="14" a="1"/>
  <c r="S43" i="14" s="1"/>
  <c r="S41" i="14" a="1"/>
  <c r="S41" i="14" s="1"/>
  <c r="S44" i="12" a="1"/>
  <c r="S44" i="12" s="1"/>
  <c r="S42" i="12" a="1"/>
  <c r="S42" i="12" s="1"/>
  <c r="S41" i="12" a="1"/>
  <c r="S41" i="12" s="1"/>
  <c r="S40" i="12" a="1"/>
  <c r="S40" i="12" s="1"/>
  <c r="S43" i="12" a="1"/>
  <c r="S43" i="12" s="1"/>
  <c r="S45" i="12" a="1"/>
  <c r="S45" i="12" s="1"/>
  <c r="S44" i="13" a="1"/>
  <c r="S44" i="13" s="1"/>
  <c r="S42" i="13" a="1"/>
  <c r="S42" i="13" s="1"/>
  <c r="S40" i="13" a="1"/>
  <c r="S40" i="13" s="1"/>
  <c r="S45" i="13" a="1"/>
  <c r="S45" i="13" s="1"/>
  <c r="S43" i="13" a="1"/>
  <c r="S43" i="13" s="1"/>
  <c r="S41" i="13" a="1"/>
  <c r="S41" i="13" s="1"/>
  <c r="S45" i="8" a="1"/>
  <c r="S45" i="8" s="1"/>
  <c r="S43" i="8" a="1"/>
  <c r="S43" i="8" s="1"/>
  <c r="S41" i="8" a="1"/>
  <c r="S41" i="8" s="1"/>
  <c r="S44" i="8" a="1"/>
  <c r="S44" i="8" s="1"/>
  <c r="S40" i="8" a="1"/>
  <c r="S40" i="8" s="1"/>
  <c r="S42" i="8" a="1"/>
  <c r="S42" i="8" s="1"/>
  <c r="S44" i="9" a="1"/>
  <c r="S44" i="9" s="1"/>
  <c r="S42" i="9" a="1"/>
  <c r="S42" i="9" s="1"/>
  <c r="S40" i="9" a="1"/>
  <c r="S40" i="9" s="1"/>
  <c r="S45" i="9" a="1"/>
  <c r="S45" i="9" s="1"/>
  <c r="S43" i="9" a="1"/>
  <c r="S43" i="9" s="1"/>
  <c r="S41" i="9" a="1"/>
  <c r="S41" i="9" s="1"/>
  <c r="S97" i="3" a="1"/>
  <c r="S97" i="3" s="1"/>
  <c r="S96" i="3" a="1"/>
  <c r="S96" i="3" s="1"/>
  <c r="S95" i="3" a="1"/>
  <c r="S95" i="3" s="1"/>
  <c r="S94" i="3" a="1"/>
  <c r="S94" i="3" s="1"/>
  <c r="S93" i="3" a="1"/>
  <c r="S93" i="3" s="1"/>
  <c r="S98" i="3" a="1"/>
  <c r="S98" i="3" s="1"/>
  <c r="R100" i="3"/>
  <c r="S23" i="3" a="1"/>
  <c r="S23" i="3" s="1"/>
  <c r="S22" i="3" a="1"/>
  <c r="S22" i="3" s="1"/>
  <c r="S26" i="3" a="1"/>
  <c r="S26" i="3" s="1"/>
  <c r="S25" i="3" a="1"/>
  <c r="S25" i="3" s="1"/>
  <c r="S24" i="3" a="1"/>
  <c r="S24" i="3" s="1"/>
  <c r="S21" i="3" a="1"/>
  <c r="S21" i="3" s="1"/>
  <c r="R28" i="3"/>
  <c r="S35" i="14" a="1"/>
  <c r="S35" i="14" s="1"/>
  <c r="S33" i="14" a="1"/>
  <c r="S33" i="14" s="1"/>
  <c r="S38" i="14" a="1"/>
  <c r="S38" i="14" s="1"/>
  <c r="S34" i="14" a="1"/>
  <c r="S34" i="14" s="1"/>
  <c r="S37" i="14" a="1"/>
  <c r="S37" i="14" s="1"/>
  <c r="S36" i="14" a="1"/>
  <c r="S36" i="14" s="1"/>
  <c r="R39" i="14"/>
  <c r="R116" i="3"/>
  <c r="S112" i="3" a="1"/>
  <c r="S112" i="3" s="1"/>
  <c r="S114" i="3" a="1"/>
  <c r="S114" i="3" s="1"/>
  <c r="S113" i="3" a="1"/>
  <c r="S113" i="3" s="1"/>
  <c r="S111" i="3" a="1"/>
  <c r="S111" i="3" s="1"/>
  <c r="S110" i="3" a="1"/>
  <c r="S110" i="3" s="1"/>
  <c r="S109" i="3" a="1"/>
  <c r="S109" i="3" s="1"/>
  <c r="R164" i="3"/>
  <c r="S162" i="3" a="1"/>
  <c r="S162" i="3" s="1"/>
  <c r="S160" i="3" a="1"/>
  <c r="S160" i="3" s="1"/>
  <c r="S158" i="3" a="1"/>
  <c r="S158" i="3" s="1"/>
  <c r="S159" i="3" a="1"/>
  <c r="S159" i="3" s="1"/>
  <c r="S157" i="3" a="1"/>
  <c r="S157" i="3" s="1"/>
  <c r="S161" i="3" a="1"/>
  <c r="S161" i="3" s="1"/>
  <c r="R76" i="3"/>
  <c r="S73" i="3" a="1"/>
  <c r="S73" i="3" s="1"/>
  <c r="S74" i="3" a="1"/>
  <c r="S74" i="3" s="1"/>
  <c r="S71" i="3" a="1"/>
  <c r="S71" i="3" s="1"/>
  <c r="S69" i="3" a="1"/>
  <c r="S69" i="3" s="1"/>
  <c r="S70" i="3" a="1"/>
  <c r="S70" i="3" s="1"/>
  <c r="S72" i="3" a="1"/>
  <c r="S72" i="3" s="1"/>
  <c r="S233" i="3" a="1"/>
  <c r="S233" i="3" s="1"/>
  <c r="S234" i="3" a="1"/>
  <c r="S234" i="3" s="1"/>
  <c r="S231" i="3" a="1"/>
  <c r="S231" i="3" s="1"/>
  <c r="S229" i="3" a="1"/>
  <c r="S229" i="3" s="1"/>
  <c r="S230" i="3" a="1"/>
  <c r="S230" i="3" s="1"/>
  <c r="S232" i="3" a="1"/>
  <c r="S232" i="3" s="1"/>
  <c r="R236" i="3"/>
  <c r="R84" i="3"/>
  <c r="S82" i="3" a="1"/>
  <c r="S82" i="3" s="1"/>
  <c r="S81" i="3" a="1"/>
  <c r="S81" i="3" s="1"/>
  <c r="S80" i="3" a="1"/>
  <c r="S80" i="3" s="1"/>
  <c r="S79" i="3" a="1"/>
  <c r="S79" i="3" s="1"/>
  <c r="S78" i="3" a="1"/>
  <c r="S78" i="3" s="1"/>
  <c r="S77" i="3" a="1"/>
  <c r="S77" i="3" s="1"/>
  <c r="Q11" i="10"/>
  <c r="Q18" i="10"/>
  <c r="Q32" i="10"/>
  <c r="Q39" i="10"/>
  <c r="Q11" i="6"/>
  <c r="Q18" i="9"/>
  <c r="Q18" i="8"/>
  <c r="Q39" i="8"/>
  <c r="Q11" i="12"/>
  <c r="Q18" i="12"/>
  <c r="Q32" i="13"/>
  <c r="Q18" i="6"/>
  <c r="Q39" i="6"/>
  <c r="Q11" i="9"/>
  <c r="Q11" i="8"/>
  <c r="Q39" i="13"/>
  <c r="Q25" i="6"/>
  <c r="Q32" i="6"/>
  <c r="Q32" i="9"/>
  <c r="Q25" i="9"/>
  <c r="Q25" i="8"/>
  <c r="Q32" i="12"/>
  <c r="Q11" i="13"/>
  <c r="Q18" i="13"/>
  <c r="Q25" i="13"/>
  <c r="Q25" i="10"/>
  <c r="Q39" i="9"/>
  <c r="Q32" i="8"/>
  <c r="Q25" i="12"/>
  <c r="Q39" i="12"/>
  <c r="R18" i="9"/>
  <c r="R18" i="6"/>
  <c r="S38" i="6" a="1"/>
  <c r="S38" i="6" s="1"/>
  <c r="S37" i="6" a="1"/>
  <c r="S37" i="6" s="1"/>
  <c r="S36" i="6" a="1"/>
  <c r="S36" i="6" s="1"/>
  <c r="S35" i="6" a="1"/>
  <c r="S35" i="6" s="1"/>
  <c r="S34" i="6" a="1"/>
  <c r="S34" i="6" s="1"/>
  <c r="S33" i="6" a="1"/>
  <c r="S33" i="6" s="1"/>
  <c r="S29" i="6" a="1"/>
  <c r="S29" i="6" s="1"/>
  <c r="S17" i="6" a="1"/>
  <c r="S17" i="6" s="1"/>
  <c r="S13" i="6" a="1"/>
  <c r="S13" i="6" s="1"/>
  <c r="S22" i="6" a="1"/>
  <c r="S22" i="6" s="1"/>
  <c r="S28" i="6" a="1"/>
  <c r="S28" i="6" s="1"/>
  <c r="S16" i="6" a="1"/>
  <c r="S16" i="6" s="1"/>
  <c r="S12" i="6" a="1"/>
  <c r="S12" i="6" s="1"/>
  <c r="S21" i="6" a="1"/>
  <c r="S21" i="6" s="1"/>
  <c r="S27" i="6" a="1"/>
  <c r="S27" i="6" s="1"/>
  <c r="S15" i="6" a="1"/>
  <c r="S15" i="6" s="1"/>
  <c r="S24" i="6" a="1"/>
  <c r="S24" i="6" s="1"/>
  <c r="S20" i="6" a="1"/>
  <c r="S20" i="6" s="1"/>
  <c r="S23" i="6" a="1"/>
  <c r="S23" i="6" s="1"/>
  <c r="S19" i="6" a="1"/>
  <c r="S19" i="6" s="1"/>
  <c r="S30" i="6" a="1"/>
  <c r="S30" i="6" s="1"/>
  <c r="S26" i="6" a="1"/>
  <c r="S26" i="6" s="1"/>
  <c r="S31" i="6" a="1"/>
  <c r="S31" i="6" s="1"/>
  <c r="S14" i="6" a="1"/>
  <c r="S14" i="6" s="1"/>
  <c r="S7" i="6" a="1"/>
  <c r="S7" i="6" s="1"/>
  <c r="S8" i="6" a="1"/>
  <c r="S8" i="6" s="1"/>
  <c r="S9" i="6" a="1"/>
  <c r="S9" i="6" s="1"/>
  <c r="S10" i="6" a="1"/>
  <c r="S10" i="6" s="1"/>
  <c r="S5" i="6" a="1"/>
  <c r="S5" i="6" s="1"/>
  <c r="S6" i="6" a="1"/>
  <c r="S6" i="6" s="1"/>
  <c r="S3" i="6" a="1"/>
  <c r="S3" i="6" s="1"/>
  <c r="S4" i="6" a="1"/>
  <c r="S4" i="6" s="1"/>
  <c r="R32" i="13"/>
  <c r="S37" i="13" a="1"/>
  <c r="S37" i="13" s="1"/>
  <c r="S35" i="13" a="1"/>
  <c r="S35" i="13" s="1"/>
  <c r="S33" i="13" a="1"/>
  <c r="S33" i="13" s="1"/>
  <c r="S38" i="13" a="1"/>
  <c r="S38" i="13" s="1"/>
  <c r="S36" i="13" a="1"/>
  <c r="S36" i="13" s="1"/>
  <c r="S34" i="13" a="1"/>
  <c r="S34" i="13" s="1"/>
  <c r="S29" i="13" a="1"/>
  <c r="S29" i="13" s="1"/>
  <c r="S24" i="13" a="1"/>
  <c r="S24" i="13" s="1"/>
  <c r="S28" i="13" a="1"/>
  <c r="S28" i="13" s="1"/>
  <c r="S23" i="13" a="1"/>
  <c r="S23" i="13" s="1"/>
  <c r="S31" i="13" a="1"/>
  <c r="S31" i="13" s="1"/>
  <c r="S27" i="13" a="1"/>
  <c r="S27" i="13" s="1"/>
  <c r="S22" i="13" a="1"/>
  <c r="S22" i="13" s="1"/>
  <c r="S30" i="13" a="1"/>
  <c r="S30" i="13" s="1"/>
  <c r="S26" i="13" a="1"/>
  <c r="S26" i="13" s="1"/>
  <c r="S20" i="13" a="1"/>
  <c r="S20" i="13" s="1"/>
  <c r="S15" i="13" a="1"/>
  <c r="S15" i="13" s="1"/>
  <c r="S21" i="13" a="1"/>
  <c r="S21" i="13" s="1"/>
  <c r="S19" i="13" a="1"/>
  <c r="S19" i="13" s="1"/>
  <c r="S14" i="13" a="1"/>
  <c r="S14" i="13" s="1"/>
  <c r="S17" i="13" a="1"/>
  <c r="S17" i="13" s="1"/>
  <c r="S13" i="13" a="1"/>
  <c r="S13" i="13" s="1"/>
  <c r="S16" i="13" a="1"/>
  <c r="S16" i="13" s="1"/>
  <c r="S12" i="13" a="1"/>
  <c r="S12" i="13" s="1"/>
  <c r="S8" i="13" a="1"/>
  <c r="S8" i="13" s="1"/>
  <c r="S9" i="13" a="1"/>
  <c r="S9" i="13" s="1"/>
  <c r="S10" i="13" a="1"/>
  <c r="S10" i="13" s="1"/>
  <c r="S6" i="13" a="1"/>
  <c r="S6" i="13" s="1"/>
  <c r="S5" i="13" a="1"/>
  <c r="S5" i="13" s="1"/>
  <c r="S7" i="13" a="1"/>
  <c r="S7" i="13" s="1"/>
  <c r="S3" i="13" a="1"/>
  <c r="S3" i="13" s="1"/>
  <c r="S4" i="13" a="1"/>
  <c r="S4" i="13" s="1"/>
  <c r="R32" i="12"/>
  <c r="R39" i="12"/>
  <c r="R32" i="8"/>
  <c r="R39" i="9"/>
  <c r="R39" i="13"/>
  <c r="R25" i="10"/>
  <c r="R39" i="10"/>
  <c r="R18" i="14"/>
  <c r="S24" i="14" a="1"/>
  <c r="S24" i="14" s="1"/>
  <c r="S22" i="14" a="1"/>
  <c r="S22" i="14" s="1"/>
  <c r="S20" i="14" a="1"/>
  <c r="S20" i="14" s="1"/>
  <c r="S19" i="14" a="1"/>
  <c r="S19" i="14" s="1"/>
  <c r="S31" i="14" a="1"/>
  <c r="S31" i="14" s="1"/>
  <c r="S30" i="14" a="1"/>
  <c r="S30" i="14" s="1"/>
  <c r="S23" i="14" a="1"/>
  <c r="S23" i="14" s="1"/>
  <c r="S21" i="14" a="1"/>
  <c r="S21" i="14" s="1"/>
  <c r="S29" i="14" a="1"/>
  <c r="S29" i="14" s="1"/>
  <c r="S28" i="14" a="1"/>
  <c r="S28" i="14" s="1"/>
  <c r="S27" i="14" a="1"/>
  <c r="S27" i="14" s="1"/>
  <c r="S26" i="14" a="1"/>
  <c r="S26" i="14" s="1"/>
  <c r="S17" i="14" a="1"/>
  <c r="S17" i="14" s="1"/>
  <c r="S16" i="14" a="1"/>
  <c r="S16" i="14" s="1"/>
  <c r="S15" i="14" a="1"/>
  <c r="S15" i="14" s="1"/>
  <c r="S14" i="14" a="1"/>
  <c r="S14" i="14" s="1"/>
  <c r="S13" i="14" a="1"/>
  <c r="S13" i="14" s="1"/>
  <c r="S12" i="14" a="1"/>
  <c r="S12" i="14" s="1"/>
  <c r="S5" i="14" a="1"/>
  <c r="S5" i="14" s="1"/>
  <c r="S7" i="14" a="1"/>
  <c r="S7" i="14" s="1"/>
  <c r="S10" i="14" a="1"/>
  <c r="S10" i="14" s="1"/>
  <c r="S9" i="14" a="1"/>
  <c r="S9" i="14" s="1"/>
  <c r="S3" i="14" a="1"/>
  <c r="S3" i="14" s="1"/>
  <c r="S6" i="14" a="1"/>
  <c r="S6" i="14" s="1"/>
  <c r="S8" i="14" a="1"/>
  <c r="S8" i="14" s="1"/>
  <c r="S4" i="14" a="1"/>
  <c r="S4" i="14" s="1"/>
  <c r="R11" i="12"/>
  <c r="R25" i="12"/>
  <c r="R11" i="8"/>
  <c r="R18" i="8"/>
  <c r="R11" i="9"/>
  <c r="R11" i="6"/>
  <c r="R39" i="6"/>
  <c r="R18" i="13"/>
  <c r="R18" i="10"/>
  <c r="R25" i="14"/>
  <c r="R18" i="12"/>
  <c r="S38" i="12" a="1"/>
  <c r="S38" i="12" s="1"/>
  <c r="S36" i="12" a="1"/>
  <c r="S36" i="12" s="1"/>
  <c r="S34" i="12" a="1"/>
  <c r="S34" i="12" s="1"/>
  <c r="S37" i="12" a="1"/>
  <c r="S37" i="12" s="1"/>
  <c r="S35" i="12" a="1"/>
  <c r="S35" i="12" s="1"/>
  <c r="S33" i="12" a="1"/>
  <c r="S33" i="12" s="1"/>
  <c r="S31" i="12" a="1"/>
  <c r="S31" i="12" s="1"/>
  <c r="S30" i="12" a="1"/>
  <c r="S30" i="12" s="1"/>
  <c r="S29" i="12" a="1"/>
  <c r="S29" i="12" s="1"/>
  <c r="S27" i="12" a="1"/>
  <c r="S27" i="12" s="1"/>
  <c r="S24" i="12" a="1"/>
  <c r="S24" i="12" s="1"/>
  <c r="S22" i="12" a="1"/>
  <c r="S22" i="12" s="1"/>
  <c r="S20" i="12" a="1"/>
  <c r="S20" i="12" s="1"/>
  <c r="S17" i="12" a="1"/>
  <c r="S17" i="12" s="1"/>
  <c r="S15" i="12" a="1"/>
  <c r="S15" i="12" s="1"/>
  <c r="S13" i="12" a="1"/>
  <c r="S13" i="12" s="1"/>
  <c r="S28" i="12" a="1"/>
  <c r="S28" i="12" s="1"/>
  <c r="S26" i="12" a="1"/>
  <c r="S26" i="12" s="1"/>
  <c r="S23" i="12" a="1"/>
  <c r="S23" i="12" s="1"/>
  <c r="S21" i="12" a="1"/>
  <c r="S21" i="12" s="1"/>
  <c r="S19" i="12" a="1"/>
  <c r="S19" i="12" s="1"/>
  <c r="S16" i="12" a="1"/>
  <c r="S16" i="12" s="1"/>
  <c r="S14" i="12" a="1"/>
  <c r="S14" i="12" s="1"/>
  <c r="S12" i="12" a="1"/>
  <c r="S12" i="12" s="1"/>
  <c r="S8" i="12" a="1"/>
  <c r="S8" i="12" s="1"/>
  <c r="S9" i="12" a="1"/>
  <c r="S9" i="12" s="1"/>
  <c r="S10" i="12" a="1"/>
  <c r="S10" i="12" s="1"/>
  <c r="S5" i="12" a="1"/>
  <c r="S5" i="12" s="1"/>
  <c r="S6" i="12" a="1"/>
  <c r="S6" i="12" s="1"/>
  <c r="S7" i="12" a="1"/>
  <c r="S7" i="12" s="1"/>
  <c r="S3" i="12" a="1"/>
  <c r="S3" i="12" s="1"/>
  <c r="S4" i="12" a="1"/>
  <c r="S4" i="12" s="1"/>
  <c r="R32" i="9"/>
  <c r="R25" i="9"/>
  <c r="S37" i="9" a="1"/>
  <c r="S37" i="9" s="1"/>
  <c r="S36" i="9" a="1"/>
  <c r="S36" i="9" s="1"/>
  <c r="S34" i="9" a="1"/>
  <c r="S34" i="9" s="1"/>
  <c r="S38" i="9" a="1"/>
  <c r="S38" i="9" s="1"/>
  <c r="S35" i="9" a="1"/>
  <c r="S35" i="9" s="1"/>
  <c r="S33" i="9" a="1"/>
  <c r="S33" i="9" s="1"/>
  <c r="S22" i="9" a="1"/>
  <c r="S22" i="9" s="1"/>
  <c r="S21" i="9" a="1"/>
  <c r="S21" i="9" s="1"/>
  <c r="S31" i="9" a="1"/>
  <c r="S31" i="9" s="1"/>
  <c r="S13" i="9" a="1"/>
  <c r="S13" i="9" s="1"/>
  <c r="S24" i="9" a="1"/>
  <c r="S24" i="9" s="1"/>
  <c r="S20" i="9" a="1"/>
  <c r="S20" i="9" s="1"/>
  <c r="S30" i="9" a="1"/>
  <c r="S30" i="9" s="1"/>
  <c r="S29" i="9" a="1"/>
  <c r="S29" i="9" s="1"/>
  <c r="S28" i="9" a="1"/>
  <c r="S28" i="9" s="1"/>
  <c r="S23" i="9" a="1"/>
  <c r="S23" i="9" s="1"/>
  <c r="S19" i="9" a="1"/>
  <c r="S19" i="9" s="1"/>
  <c r="S16" i="9" a="1"/>
  <c r="S16" i="9" s="1"/>
  <c r="S12" i="9" a="1"/>
  <c r="S12" i="9" s="1"/>
  <c r="S27" i="9" a="1"/>
  <c r="S27" i="9" s="1"/>
  <c r="S26" i="9" a="1"/>
  <c r="S26" i="9" s="1"/>
  <c r="S17" i="9" a="1"/>
  <c r="S17" i="9" s="1"/>
  <c r="S14" i="9" a="1"/>
  <c r="S14" i="9" s="1"/>
  <c r="S15" i="9" a="1"/>
  <c r="S15" i="9" s="1"/>
  <c r="S10" i="9" a="1"/>
  <c r="S10" i="9" s="1"/>
  <c r="S5" i="9" a="1"/>
  <c r="S5" i="9" s="1"/>
  <c r="S6" i="9" a="1"/>
  <c r="S6" i="9" s="1"/>
  <c r="S9" i="9" a="1"/>
  <c r="S9" i="9" s="1"/>
  <c r="S8" i="9" a="1"/>
  <c r="S8" i="9" s="1"/>
  <c r="S7" i="9" a="1"/>
  <c r="S7" i="9" s="1"/>
  <c r="S3" i="9" a="1"/>
  <c r="S3" i="9" s="1"/>
  <c r="S4" i="9" a="1"/>
  <c r="S4" i="9" s="1"/>
  <c r="R25" i="6"/>
  <c r="R32" i="6"/>
  <c r="R11" i="13"/>
  <c r="R25" i="13"/>
  <c r="R32" i="10"/>
  <c r="R11" i="10"/>
  <c r="S37" i="10" a="1"/>
  <c r="S37" i="10" s="1"/>
  <c r="S36" i="10" a="1"/>
  <c r="S36" i="10" s="1"/>
  <c r="S34" i="10" a="1"/>
  <c r="S34" i="10" s="1"/>
  <c r="S35" i="10" a="1"/>
  <c r="S35" i="10" s="1"/>
  <c r="S38" i="10" a="1"/>
  <c r="S38" i="10" s="1"/>
  <c r="S33" i="10" a="1"/>
  <c r="S33" i="10" s="1"/>
  <c r="S31" i="10" a="1"/>
  <c r="S31" i="10" s="1"/>
  <c r="S30" i="10" a="1"/>
  <c r="S30" i="10" s="1"/>
  <c r="S29" i="10" a="1"/>
  <c r="S29" i="10" s="1"/>
  <c r="S26" i="10" a="1"/>
  <c r="S26" i="10" s="1"/>
  <c r="S23" i="10" a="1"/>
  <c r="S23" i="10" s="1"/>
  <c r="S8" i="10" a="1"/>
  <c r="S8" i="10" s="1"/>
  <c r="S22" i="10" a="1"/>
  <c r="S22" i="10" s="1"/>
  <c r="S7" i="10" a="1"/>
  <c r="S7" i="10" s="1"/>
  <c r="S28" i="10" a="1"/>
  <c r="S28" i="10" s="1"/>
  <c r="S21" i="10" a="1"/>
  <c r="S21" i="10" s="1"/>
  <c r="S19" i="10" a="1"/>
  <c r="S19" i="10" s="1"/>
  <c r="S10" i="10" a="1"/>
  <c r="S10" i="10" s="1"/>
  <c r="S6" i="10" a="1"/>
  <c r="S6" i="10" s="1"/>
  <c r="S24" i="10" a="1"/>
  <c r="S24" i="10" s="1"/>
  <c r="S20" i="10" a="1"/>
  <c r="S20" i="10" s="1"/>
  <c r="S9" i="10" a="1"/>
  <c r="S9" i="10" s="1"/>
  <c r="S5" i="10" a="1"/>
  <c r="S5" i="10" s="1"/>
  <c r="S27" i="10" a="1"/>
  <c r="S27" i="10" s="1"/>
  <c r="S13" i="10" a="1"/>
  <c r="S13" i="10" s="1"/>
  <c r="S16" i="10" a="1"/>
  <c r="S16" i="10" s="1"/>
  <c r="S12" i="10" a="1"/>
  <c r="S12" i="10" s="1"/>
  <c r="S15" i="10" a="1"/>
  <c r="S15" i="10" s="1"/>
  <c r="S14" i="10" a="1"/>
  <c r="S14" i="10" s="1"/>
  <c r="S17" i="10" a="1"/>
  <c r="S17" i="10" s="1"/>
  <c r="S3" i="10" a="1"/>
  <c r="S3" i="10" s="1"/>
  <c r="S4" i="10" a="1"/>
  <c r="S4" i="10" s="1"/>
  <c r="R11" i="14"/>
  <c r="R32" i="14"/>
  <c r="R25" i="8"/>
  <c r="R39" i="8"/>
  <c r="S36" i="8" a="1"/>
  <c r="S36" i="8" s="1"/>
  <c r="S35" i="8" a="1"/>
  <c r="S35" i="8" s="1"/>
  <c r="S34" i="8" a="1"/>
  <c r="S34" i="8" s="1"/>
  <c r="S33" i="8" a="1"/>
  <c r="S33" i="8" s="1"/>
  <c r="S37" i="8" a="1"/>
  <c r="S37" i="8" s="1"/>
  <c r="S38" i="8" a="1"/>
  <c r="S38" i="8" s="1"/>
  <c r="S29" i="8" a="1"/>
  <c r="S29" i="8" s="1"/>
  <c r="S16" i="8" a="1"/>
  <c r="S16" i="8" s="1"/>
  <c r="S28" i="8" a="1"/>
  <c r="S28" i="8" s="1"/>
  <c r="S24" i="8" a="1"/>
  <c r="S24" i="8" s="1"/>
  <c r="S22" i="8" a="1"/>
  <c r="S22" i="8" s="1"/>
  <c r="S21" i="8" a="1"/>
  <c r="S21" i="8" s="1"/>
  <c r="S20" i="8" a="1"/>
  <c r="S20" i="8" s="1"/>
  <c r="S31" i="8" a="1"/>
  <c r="S31" i="8" s="1"/>
  <c r="S27" i="8" a="1"/>
  <c r="S27" i="8" s="1"/>
  <c r="S23" i="8" a="1"/>
  <c r="S23" i="8" s="1"/>
  <c r="S17" i="8" a="1"/>
  <c r="S17" i="8" s="1"/>
  <c r="S14" i="8" a="1"/>
  <c r="S14" i="8" s="1"/>
  <c r="S30" i="8" a="1"/>
  <c r="S30" i="8" s="1"/>
  <c r="S26" i="8" a="1"/>
  <c r="S26" i="8" s="1"/>
  <c r="S19" i="8" a="1"/>
  <c r="S19" i="8" s="1"/>
  <c r="S12" i="8" a="1"/>
  <c r="S12" i="8" s="1"/>
  <c r="S13" i="8" a="1"/>
  <c r="S13" i="8" s="1"/>
  <c r="S15" i="8" a="1"/>
  <c r="S15" i="8" s="1"/>
  <c r="S7" i="8" a="1"/>
  <c r="S7" i="8" s="1"/>
  <c r="S8" i="8" a="1"/>
  <c r="S8" i="8" s="1"/>
  <c r="S6" i="8" a="1"/>
  <c r="S6" i="8" s="1"/>
  <c r="S5" i="8" a="1"/>
  <c r="S5" i="8" s="1"/>
  <c r="S9" i="8" a="1"/>
  <c r="S9" i="8" s="1"/>
  <c r="S10" i="8" a="1"/>
  <c r="S10" i="8" s="1"/>
  <c r="S3" i="8" a="1"/>
  <c r="S3" i="8" s="1"/>
  <c r="S4" i="8" a="1"/>
  <c r="S4" i="8" s="1"/>
  <c r="DW89" i="17"/>
  <c r="GF87" i="17"/>
  <c r="DW90" i="17"/>
  <c r="DW88" i="17"/>
  <c r="DC90" i="17"/>
  <c r="FK90" i="17"/>
  <c r="CJ92" i="17"/>
  <c r="DC89" i="17"/>
  <c r="GG91" i="17"/>
  <c r="CI89" i="17"/>
  <c r="DD91" i="17"/>
  <c r="EQ87" i="17"/>
  <c r="CI87" i="17"/>
  <c r="EQ88" i="17"/>
  <c r="BE89" i="17"/>
  <c r="EQ90" i="17"/>
  <c r="CJ91" i="17"/>
  <c r="GF89" i="17"/>
  <c r="FL91" i="17"/>
  <c r="DD92" i="17"/>
  <c r="FK87" i="17"/>
  <c r="DX91" i="17"/>
  <c r="EQ89" i="17"/>
  <c r="BF92" i="17"/>
  <c r="ER91" i="17"/>
  <c r="FK88" i="17"/>
  <c r="CI90" i="17"/>
  <c r="GF88" i="17"/>
  <c r="BF90" i="17"/>
  <c r="DC88" i="17"/>
  <c r="BE88" i="17"/>
  <c r="DW87" i="17"/>
  <c r="FL92" i="17"/>
  <c r="DC87" i="17"/>
  <c r="FK89" i="17"/>
  <c r="DX92" i="17"/>
  <c r="GG90" i="17"/>
  <c r="ER92" i="17"/>
  <c r="GG92" i="17"/>
  <c r="BE87" i="17"/>
  <c r="BF91" i="17"/>
  <c r="CI88" i="17"/>
  <c r="W8" i="24" a="1"/>
  <c r="S39" i="14" l="1"/>
  <c r="U19" i="3" a="1"/>
  <c r="U19" i="3" s="1"/>
  <c r="U18" i="3" a="1"/>
  <c r="U18" i="3" s="1"/>
  <c r="U13" i="3" a="1"/>
  <c r="U13" i="3" s="1"/>
  <c r="U20" i="3" s="1"/>
  <c r="U15" i="3" a="1"/>
  <c r="U15" i="3" s="1"/>
  <c r="U17" i="3" a="1"/>
  <c r="U17" i="3" s="1"/>
  <c r="U14" i="3" a="1"/>
  <c r="U14" i="3" s="1"/>
  <c r="U16" i="3" a="1"/>
  <c r="U16" i="3" s="1"/>
  <c r="U203" i="3" a="1"/>
  <c r="U203" i="3" s="1"/>
  <c r="U202" i="3" a="1"/>
  <c r="U202" i="3" s="1"/>
  <c r="U201" i="3" a="1"/>
  <c r="U201" i="3" s="1"/>
  <c r="U200" i="3" a="1"/>
  <c r="U200" i="3" s="1"/>
  <c r="U199" i="3" a="1"/>
  <c r="U199" i="3" s="1"/>
  <c r="U198" i="3" a="1"/>
  <c r="U198" i="3" s="1"/>
  <c r="U197" i="3" a="1"/>
  <c r="U197" i="3" s="1"/>
  <c r="U204" i="3" s="1"/>
  <c r="W8" i="24"/>
  <c r="U11" i="3" a="1"/>
  <c r="U11" i="3" s="1"/>
  <c r="U10" i="3" a="1"/>
  <c r="U10" i="3" s="1"/>
  <c r="U9" i="3" a="1"/>
  <c r="U9" i="3" s="1"/>
  <c r="U7" i="3" a="1"/>
  <c r="U7" i="3" s="1"/>
  <c r="U5" i="3" a="1"/>
  <c r="U5" i="3" s="1"/>
  <c r="U12" i="3" s="1"/>
  <c r="U8" i="3" a="1"/>
  <c r="U8" i="3" s="1"/>
  <c r="U6" i="3" a="1"/>
  <c r="U6" i="3" s="1"/>
  <c r="U106" i="3" a="1"/>
  <c r="U106" i="3" s="1"/>
  <c r="U105" i="3" a="1"/>
  <c r="U105" i="3" s="1"/>
  <c r="U104" i="3" a="1"/>
  <c r="U104" i="3" s="1"/>
  <c r="U103" i="3" a="1"/>
  <c r="U103" i="3" s="1"/>
  <c r="U102" i="3" a="1"/>
  <c r="U102" i="3" s="1"/>
  <c r="U107" i="3" a="1"/>
  <c r="U107" i="3" s="1"/>
  <c r="U101" i="3" a="1"/>
  <c r="U101" i="3" s="1"/>
  <c r="U108" i="3" s="1"/>
  <c r="U187" i="3" a="1"/>
  <c r="U187" i="3" s="1"/>
  <c r="U185" i="3" a="1"/>
  <c r="U185" i="3" s="1"/>
  <c r="U183" i="3" a="1"/>
  <c r="U183" i="3" s="1"/>
  <c r="U181" i="3" a="1"/>
  <c r="U181" i="3" s="1"/>
  <c r="U188" i="3" s="1"/>
  <c r="U186" i="3" a="1"/>
  <c r="U186" i="3" s="1"/>
  <c r="U184" i="3" a="1"/>
  <c r="U184" i="3" s="1"/>
  <c r="U182" i="3" a="1"/>
  <c r="U182" i="3" s="1"/>
  <c r="U227" i="3" a="1"/>
  <c r="U227" i="3" s="1"/>
  <c r="U219" i="3" a="1"/>
  <c r="U219" i="3" s="1"/>
  <c r="U211" i="3" a="1"/>
  <c r="U211" i="3" s="1"/>
  <c r="U179" i="3" a="1"/>
  <c r="U179" i="3" s="1"/>
  <c r="U171" i="3" a="1"/>
  <c r="U171" i="3" s="1"/>
  <c r="U163" i="3" a="1"/>
  <c r="U163" i="3" s="1"/>
  <c r="U155" i="3" a="1"/>
  <c r="U155" i="3" s="1"/>
  <c r="U147" i="3" a="1"/>
  <c r="U147" i="3" s="1"/>
  <c r="U139" i="3" a="1"/>
  <c r="U139" i="3" s="1"/>
  <c r="U131" i="3" a="1"/>
  <c r="U131" i="3" s="1"/>
  <c r="U195" i="3" a="1"/>
  <c r="U195" i="3" s="1"/>
  <c r="U123" i="3" a="1"/>
  <c r="U123" i="3" s="1"/>
  <c r="U115" i="3" a="1"/>
  <c r="U115" i="3" s="1"/>
  <c r="U99" i="3" a="1"/>
  <c r="U99" i="3" s="1"/>
  <c r="U91" i="3" a="1"/>
  <c r="U91" i="3" s="1"/>
  <c r="U83" i="3" a="1"/>
  <c r="U83" i="3" s="1"/>
  <c r="U75" i="3" a="1"/>
  <c r="U75" i="3" s="1"/>
  <c r="U59" i="3" a="1"/>
  <c r="U59" i="3" s="1"/>
  <c r="U51" i="3" a="1"/>
  <c r="U51" i="3" s="1"/>
  <c r="U43" i="3" a="1"/>
  <c r="U43" i="3" s="1"/>
  <c r="U35" i="3" a="1"/>
  <c r="U35" i="3" s="1"/>
  <c r="U27" i="3" a="1"/>
  <c r="U27" i="3" s="1"/>
  <c r="U235" i="3" a="1"/>
  <c r="U235" i="3" s="1"/>
  <c r="U190" i="3" a="1"/>
  <c r="U190" i="3" s="1"/>
  <c r="U194" i="3" a="1"/>
  <c r="U194" i="3" s="1"/>
  <c r="U193" i="3" a="1"/>
  <c r="U193" i="3" s="1"/>
  <c r="U192" i="3" a="1"/>
  <c r="U192" i="3" s="1"/>
  <c r="U191" i="3" a="1"/>
  <c r="U191" i="3" s="1"/>
  <c r="U189" i="3" a="1"/>
  <c r="U189" i="3" s="1"/>
  <c r="U196" i="3" s="1"/>
  <c r="U178" i="3" a="1"/>
  <c r="U178" i="3" s="1"/>
  <c r="U177" i="3" a="1"/>
  <c r="U177" i="3" s="1"/>
  <c r="U176" i="3" a="1"/>
  <c r="U176" i="3" s="1"/>
  <c r="U175" i="3" a="1"/>
  <c r="U175" i="3" s="1"/>
  <c r="U174" i="3" a="1"/>
  <c r="U174" i="3" s="1"/>
  <c r="U173" i="3" a="1"/>
  <c r="U173" i="3" s="1"/>
  <c r="U180" i="3" s="1"/>
  <c r="U66" i="3" a="1"/>
  <c r="U66" i="3" s="1"/>
  <c r="U65" i="3" a="1"/>
  <c r="U65" i="3" s="1"/>
  <c r="U63" i="3" a="1"/>
  <c r="U63" i="3" s="1"/>
  <c r="U68" i="3" s="1"/>
  <c r="U64" i="3" a="1"/>
  <c r="U64" i="3" s="1"/>
  <c r="U146" i="3" a="1"/>
  <c r="U146" i="3" s="1"/>
  <c r="U145" i="3" a="1"/>
  <c r="U145" i="3" s="1"/>
  <c r="U144" i="3" a="1"/>
  <c r="U144" i="3" s="1"/>
  <c r="U142" i="3" a="1"/>
  <c r="U142" i="3" s="1"/>
  <c r="U141" i="3" a="1"/>
  <c r="U141" i="3" s="1"/>
  <c r="U148" i="3" s="1"/>
  <c r="U143" i="3" a="1"/>
  <c r="U143" i="3" s="1"/>
  <c r="U33" i="3" a="1"/>
  <c r="U33" i="3" s="1"/>
  <c r="U209" i="3" a="1"/>
  <c r="U209" i="3" s="1"/>
  <c r="U225" i="3" a="1"/>
  <c r="U225" i="3" s="1"/>
  <c r="U137" i="3" a="1"/>
  <c r="U137" i="3" s="1"/>
  <c r="U121" i="3" a="1"/>
  <c r="U121" i="3" s="1"/>
  <c r="U81" i="3" a="1"/>
  <c r="U81" i="3" s="1"/>
  <c r="U25" i="3" a="1"/>
  <c r="U25" i="3" s="1"/>
  <c r="U32" i="3" a="1"/>
  <c r="U32" i="3" s="1"/>
  <c r="U40" i="3" a="1"/>
  <c r="U40" i="3" s="1"/>
  <c r="U49" i="3" a="1"/>
  <c r="U49" i="3" s="1"/>
  <c r="U57" i="3" a="1"/>
  <c r="U57" i="3" s="1"/>
  <c r="U73" i="3" a="1"/>
  <c r="U73" i="3" s="1"/>
  <c r="U89" i="3" a="1"/>
  <c r="U89" i="3" s="1"/>
  <c r="U97" i="3" a="1"/>
  <c r="U97" i="3" s="1"/>
  <c r="U129" i="3" a="1"/>
  <c r="U129" i="3" s="1"/>
  <c r="U153" i="3" a="1"/>
  <c r="U153" i="3" s="1"/>
  <c r="U161" i="3" a="1"/>
  <c r="U161" i="3" s="1"/>
  <c r="U169" i="3" a="1"/>
  <c r="U169" i="3" s="1"/>
  <c r="U41" i="3" a="1"/>
  <c r="U41" i="3" s="1"/>
  <c r="U217" i="3" a="1"/>
  <c r="U217" i="3" s="1"/>
  <c r="U233" i="3" a="1"/>
  <c r="U233" i="3" s="1"/>
  <c r="U113" i="3" a="1"/>
  <c r="U113" i="3" s="1"/>
  <c r="U48" i="3" a="1"/>
  <c r="U48" i="3" s="1"/>
  <c r="U72" i="3" a="1"/>
  <c r="U72" i="3" s="1"/>
  <c r="U128" i="3" a="1"/>
  <c r="U128" i="3" s="1"/>
  <c r="U224" i="3" a="1"/>
  <c r="U224" i="3" s="1"/>
  <c r="U216" i="3" a="1"/>
  <c r="U216" i="3" s="1"/>
  <c r="U208" i="3" a="1"/>
  <c r="U208" i="3" s="1"/>
  <c r="U168" i="3" a="1"/>
  <c r="U168" i="3" s="1"/>
  <c r="U160" i="3" a="1"/>
  <c r="U160" i="3" s="1"/>
  <c r="U152" i="3" a="1"/>
  <c r="U152" i="3" s="1"/>
  <c r="U136" i="3" a="1"/>
  <c r="U136" i="3" s="1"/>
  <c r="U120" i="3" a="1"/>
  <c r="U120" i="3" s="1"/>
  <c r="U112" i="3" a="1"/>
  <c r="U112" i="3" s="1"/>
  <c r="U96" i="3" a="1"/>
  <c r="U96" i="3" s="1"/>
  <c r="U88" i="3" a="1"/>
  <c r="U88" i="3" s="1"/>
  <c r="U80" i="3" a="1"/>
  <c r="U80" i="3" s="1"/>
  <c r="U56" i="3" a="1"/>
  <c r="U56" i="3" s="1"/>
  <c r="U24" i="3" a="1"/>
  <c r="U24" i="3" s="1"/>
  <c r="U234" i="3" a="1"/>
  <c r="U234" i="3" s="1"/>
  <c r="U231" i="3" a="1"/>
  <c r="U231" i="3" s="1"/>
  <c r="U226" i="3" a="1"/>
  <c r="U226" i="3" s="1"/>
  <c r="U223" i="3" a="1"/>
  <c r="U223" i="3" s="1"/>
  <c r="U222" i="3" a="1"/>
  <c r="U222" i="3" s="1"/>
  <c r="U221" i="3" a="1"/>
  <c r="U221" i="3" s="1"/>
  <c r="U218" i="3" a="1"/>
  <c r="U218" i="3" s="1"/>
  <c r="U215" i="3" a="1"/>
  <c r="U215" i="3" s="1"/>
  <c r="U214" i="3" a="1"/>
  <c r="U214" i="3" s="1"/>
  <c r="U213" i="3" a="1"/>
  <c r="U213" i="3" s="1"/>
  <c r="U220" i="3" s="1"/>
  <c r="U210" i="3" a="1"/>
  <c r="U210" i="3" s="1"/>
  <c r="U207" i="3" a="1"/>
  <c r="U207" i="3" s="1"/>
  <c r="U206" i="3" a="1"/>
  <c r="U206" i="3" s="1"/>
  <c r="U205" i="3" a="1"/>
  <c r="U205" i="3" s="1"/>
  <c r="U212" i="3" s="1"/>
  <c r="U166" i="3" a="1"/>
  <c r="U166" i="3" s="1"/>
  <c r="U162" i="3" a="1"/>
  <c r="U162" i="3" s="1"/>
  <c r="U158" i="3" a="1"/>
  <c r="U158" i="3" s="1"/>
  <c r="U154" i="3" a="1"/>
  <c r="U154" i="3" s="1"/>
  <c r="U150" i="3" a="1"/>
  <c r="U150" i="3" s="1"/>
  <c r="U138" i="3" a="1"/>
  <c r="U138" i="3" s="1"/>
  <c r="U134" i="3" a="1"/>
  <c r="U134" i="3" s="1"/>
  <c r="U130" i="3" a="1"/>
  <c r="U130" i="3" s="1"/>
  <c r="U126" i="3" a="1"/>
  <c r="U126" i="3" s="1"/>
  <c r="U122" i="3" a="1"/>
  <c r="U122" i="3" s="1"/>
  <c r="U118" i="3" a="1"/>
  <c r="U118" i="3" s="1"/>
  <c r="U111" i="3" a="1"/>
  <c r="U111" i="3" s="1"/>
  <c r="U109" i="3" a="1"/>
  <c r="U109" i="3" s="1"/>
  <c r="U116" i="3" s="1"/>
  <c r="U98" i="3" a="1"/>
  <c r="U98" i="3" s="1"/>
  <c r="U93" i="3" a="1"/>
  <c r="U93" i="3" s="1"/>
  <c r="U100" i="3" s="1"/>
  <c r="U87" i="3" a="1"/>
  <c r="U87" i="3" s="1"/>
  <c r="U86" i="3" a="1"/>
  <c r="U86" i="3" s="1"/>
  <c r="U79" i="3" a="1"/>
  <c r="U79" i="3" s="1"/>
  <c r="U77" i="3" a="1"/>
  <c r="U77" i="3" s="1"/>
  <c r="U84" i="3" s="1"/>
  <c r="U71" i="3" a="1"/>
  <c r="U71" i="3" s="1"/>
  <c r="U69" i="3" a="1"/>
  <c r="U69" i="3" s="1"/>
  <c r="U76" i="3" s="1"/>
  <c r="U58" i="3" a="1"/>
  <c r="U58" i="3" s="1"/>
  <c r="U54" i="3" a="1"/>
  <c r="U54" i="3" s="1"/>
  <c r="U50" i="3" a="1"/>
  <c r="U50" i="3" s="1"/>
  <c r="U45" i="3" a="1"/>
  <c r="U45" i="3" s="1"/>
  <c r="U52" i="3" s="1"/>
  <c r="U42" i="3" a="1"/>
  <c r="U42" i="3" s="1"/>
  <c r="U38" i="3" a="1"/>
  <c r="U38" i="3" s="1"/>
  <c r="U34" i="3" a="1"/>
  <c r="U34" i="3" s="1"/>
  <c r="U30" i="3" a="1"/>
  <c r="U30" i="3" s="1"/>
  <c r="U23" i="3" a="1"/>
  <c r="U23" i="3" s="1"/>
  <c r="U22" i="3" a="1"/>
  <c r="U22" i="3" s="1"/>
  <c r="U170" i="3" a="1"/>
  <c r="U170" i="3" s="1"/>
  <c r="U167" i="3" a="1"/>
  <c r="U167" i="3" s="1"/>
  <c r="U165" i="3" a="1"/>
  <c r="U165" i="3" s="1"/>
  <c r="U172" i="3" s="1"/>
  <c r="U159" i="3" a="1"/>
  <c r="U159" i="3" s="1"/>
  <c r="U157" i="3" a="1"/>
  <c r="U157" i="3" s="1"/>
  <c r="U164" i="3" s="1"/>
  <c r="U151" i="3" a="1"/>
  <c r="U151" i="3" s="1"/>
  <c r="U149" i="3" a="1"/>
  <c r="U149" i="3" s="1"/>
  <c r="U156" i="3" s="1"/>
  <c r="U135" i="3" a="1"/>
  <c r="U135" i="3" s="1"/>
  <c r="U133" i="3" a="1"/>
  <c r="U133" i="3" s="1"/>
  <c r="U140" i="3" s="1"/>
  <c r="U127" i="3" a="1"/>
  <c r="U127" i="3" s="1"/>
  <c r="U125" i="3" a="1"/>
  <c r="U125" i="3" s="1"/>
  <c r="U132" i="3" s="1"/>
  <c r="U119" i="3" a="1"/>
  <c r="U119" i="3" s="1"/>
  <c r="U117" i="3" a="1"/>
  <c r="U117" i="3" s="1"/>
  <c r="U124" i="3" s="1"/>
  <c r="U114" i="3" a="1"/>
  <c r="U114" i="3" s="1"/>
  <c r="U110" i="3" a="1"/>
  <c r="U110" i="3" s="1"/>
  <c r="U95" i="3" a="1"/>
  <c r="U95" i="3" s="1"/>
  <c r="U94" i="3" a="1"/>
  <c r="U94" i="3" s="1"/>
  <c r="U90" i="3" a="1"/>
  <c r="U90" i="3" s="1"/>
  <c r="U85" i="3" a="1"/>
  <c r="U85" i="3" s="1"/>
  <c r="U92" i="3" s="1"/>
  <c r="U82" i="3" a="1"/>
  <c r="U82" i="3" s="1"/>
  <c r="U78" i="3" a="1"/>
  <c r="U78" i="3" s="1"/>
  <c r="U74" i="3" a="1"/>
  <c r="U74" i="3" s="1"/>
  <c r="U70" i="3" a="1"/>
  <c r="U70" i="3" s="1"/>
  <c r="U55" i="3" a="1"/>
  <c r="U55" i="3" s="1"/>
  <c r="U53" i="3" a="1"/>
  <c r="U53" i="3" s="1"/>
  <c r="U60" i="3" s="1"/>
  <c r="U47" i="3" a="1"/>
  <c r="U47" i="3" s="1"/>
  <c r="U46" i="3" a="1"/>
  <c r="U46" i="3" s="1"/>
  <c r="U39" i="3" a="1"/>
  <c r="U39" i="3" s="1"/>
  <c r="U37" i="3" a="1"/>
  <c r="U37" i="3" s="1"/>
  <c r="U44" i="3" s="1"/>
  <c r="U31" i="3" a="1"/>
  <c r="U31" i="3" s="1"/>
  <c r="U29" i="3" a="1"/>
  <c r="U29" i="3" s="1"/>
  <c r="U36" i="3" s="1"/>
  <c r="U26" i="3" a="1"/>
  <c r="U26" i="3" s="1"/>
  <c r="U21" i="3" a="1"/>
  <c r="U21" i="3" s="1"/>
  <c r="U28" i="3" s="1"/>
  <c r="T36" i="3"/>
  <c r="S172" i="3"/>
  <c r="S132" i="3"/>
  <c r="S44" i="3"/>
  <c r="S212" i="3"/>
  <c r="S140" i="3"/>
  <c r="S60" i="3"/>
  <c r="S220" i="3"/>
  <c r="S124" i="3"/>
  <c r="S92" i="3"/>
  <c r="S156" i="3"/>
  <c r="S52" i="3"/>
  <c r="S100" i="3"/>
  <c r="S28" i="3"/>
  <c r="S116" i="3"/>
  <c r="S76" i="3"/>
  <c r="S228" i="3"/>
  <c r="T168" i="3" a="1"/>
  <c r="T168" i="3" s="1"/>
  <c r="T166" i="3" a="1"/>
  <c r="T166" i="3" s="1"/>
  <c r="T222" i="3" a="1"/>
  <c r="T222" i="3" s="1"/>
  <c r="T221" i="3" a="1"/>
  <c r="T221" i="3" s="1"/>
  <c r="T165" i="3" a="1"/>
  <c r="T165" i="3" s="1"/>
  <c r="T226" i="3" a="1"/>
  <c r="T226" i="3" s="1"/>
  <c r="T225" i="3" a="1"/>
  <c r="T225" i="3" s="1"/>
  <c r="T223" i="3" a="1"/>
  <c r="T223" i="3" s="1"/>
  <c r="T170" i="3" a="1"/>
  <c r="T170" i="3" s="1"/>
  <c r="T169" i="3" a="1"/>
  <c r="T169" i="3" s="1"/>
  <c r="T167" i="3" a="1"/>
  <c r="T167" i="3" s="1"/>
  <c r="T224" i="3" a="1"/>
  <c r="T224" i="3" s="1"/>
  <c r="T127" i="3" a="1"/>
  <c r="T127" i="3" s="1"/>
  <c r="T126" i="3" a="1"/>
  <c r="T126" i="3" s="1"/>
  <c r="T125" i="3" a="1"/>
  <c r="T125" i="3" s="1"/>
  <c r="T128" i="3" a="1"/>
  <c r="T128" i="3" s="1"/>
  <c r="T130" i="3" a="1"/>
  <c r="T130" i="3" s="1"/>
  <c r="T129" i="3" a="1"/>
  <c r="T129" i="3" s="1"/>
  <c r="T42" i="3" a="1"/>
  <c r="T42" i="3" s="1"/>
  <c r="T39" i="3" a="1"/>
  <c r="T39" i="3" s="1"/>
  <c r="T37" i="3" a="1"/>
  <c r="T37" i="3" s="1"/>
  <c r="T41" i="3" a="1"/>
  <c r="T41" i="3" s="1"/>
  <c r="T40" i="3" a="1"/>
  <c r="T40" i="3" s="1"/>
  <c r="T38" i="3" a="1"/>
  <c r="T38" i="3" s="1"/>
  <c r="T210" i="3" a="1"/>
  <c r="T210" i="3" s="1"/>
  <c r="T207" i="3" a="1"/>
  <c r="T207" i="3" s="1"/>
  <c r="T208" i="3" a="1"/>
  <c r="T208" i="3" s="1"/>
  <c r="T135" i="3" a="1"/>
  <c r="T135" i="3" s="1"/>
  <c r="T136" i="3" a="1"/>
  <c r="T136" i="3" s="1"/>
  <c r="T133" i="3" a="1"/>
  <c r="T133" i="3" s="1"/>
  <c r="T137" i="3" a="1"/>
  <c r="T137" i="3" s="1"/>
  <c r="T206" i="3" a="1"/>
  <c r="T206" i="3" s="1"/>
  <c r="T138" i="3" a="1"/>
  <c r="T138" i="3" s="1"/>
  <c r="T134" i="3" a="1"/>
  <c r="T134" i="3" s="1"/>
  <c r="T209" i="3" a="1"/>
  <c r="T209" i="3" s="1"/>
  <c r="T205" i="3" a="1"/>
  <c r="T205" i="3" s="1"/>
  <c r="T58" i="3" a="1"/>
  <c r="T58" i="3" s="1"/>
  <c r="T56" i="3" a="1"/>
  <c r="T56" i="3" s="1"/>
  <c r="T57" i="3" a="1"/>
  <c r="T57" i="3" s="1"/>
  <c r="T55" i="3" a="1"/>
  <c r="T55" i="3" s="1"/>
  <c r="T53" i="3" a="1"/>
  <c r="T53" i="3" s="1"/>
  <c r="T54" i="3" a="1"/>
  <c r="T54" i="3" s="1"/>
  <c r="T218" i="3" a="1"/>
  <c r="T218" i="3" s="1"/>
  <c r="T216" i="3" a="1"/>
  <c r="T216" i="3" s="1"/>
  <c r="T215" i="3" a="1"/>
  <c r="T215" i="3" s="1"/>
  <c r="T214" i="3" a="1"/>
  <c r="T214" i="3" s="1"/>
  <c r="T217" i="3" a="1"/>
  <c r="T217" i="3" s="1"/>
  <c r="T213" i="3" a="1"/>
  <c r="T213" i="3" s="1"/>
  <c r="S46" i="10"/>
  <c r="T122" i="3" a="1"/>
  <c r="T122" i="3" s="1"/>
  <c r="T118" i="3" a="1"/>
  <c r="T118" i="3" s="1"/>
  <c r="T119" i="3" a="1"/>
  <c r="T119" i="3" s="1"/>
  <c r="T117" i="3" a="1"/>
  <c r="T117" i="3" s="1"/>
  <c r="T121" i="3" a="1"/>
  <c r="T121" i="3" s="1"/>
  <c r="T120" i="3" a="1"/>
  <c r="T120" i="3" s="1"/>
  <c r="T90" i="3" a="1"/>
  <c r="T90" i="3" s="1"/>
  <c r="T87" i="3" a="1"/>
  <c r="T87" i="3" s="1"/>
  <c r="T85" i="3" a="1"/>
  <c r="T85" i="3" s="1"/>
  <c r="T89" i="3" a="1"/>
  <c r="T89" i="3" s="1"/>
  <c r="T88" i="3" a="1"/>
  <c r="T88" i="3" s="1"/>
  <c r="T86" i="3" a="1"/>
  <c r="T86" i="3" s="1"/>
  <c r="T154" i="3" a="1"/>
  <c r="T154" i="3" s="1"/>
  <c r="T150" i="3" a="1"/>
  <c r="T150" i="3" s="1"/>
  <c r="T151" i="3" a="1"/>
  <c r="T151" i="3" s="1"/>
  <c r="T153" i="3" a="1"/>
  <c r="T153" i="3" s="1"/>
  <c r="T152" i="3" a="1"/>
  <c r="T152" i="3" s="1"/>
  <c r="T149" i="3" a="1"/>
  <c r="T149" i="3" s="1"/>
  <c r="T50" i="3" a="1"/>
  <c r="T50" i="3" s="1"/>
  <c r="T45" i="3" a="1"/>
  <c r="T45" i="3" s="1"/>
  <c r="T48" i="3" a="1"/>
  <c r="T48" i="3" s="1"/>
  <c r="T46" i="3" a="1"/>
  <c r="T46" i="3" s="1"/>
  <c r="T49" i="3" a="1"/>
  <c r="T49" i="3" s="1"/>
  <c r="T47" i="3" a="1"/>
  <c r="T47" i="3" s="1"/>
  <c r="S46" i="8"/>
  <c r="S46" i="13"/>
  <c r="S46" i="14"/>
  <c r="S46" i="6"/>
  <c r="S46" i="9"/>
  <c r="S46" i="12"/>
  <c r="S164" i="3"/>
  <c r="T98" i="3" a="1"/>
  <c r="T98" i="3" s="1"/>
  <c r="T97" i="3" a="1"/>
  <c r="T97" i="3" s="1"/>
  <c r="T96" i="3" a="1"/>
  <c r="T96" i="3" s="1"/>
  <c r="T95" i="3" a="1"/>
  <c r="T95" i="3" s="1"/>
  <c r="T94" i="3" a="1"/>
  <c r="T94" i="3" s="1"/>
  <c r="T93" i="3" a="1"/>
  <c r="T93" i="3" s="1"/>
  <c r="T25" i="3" a="1"/>
  <c r="T25" i="3" s="1"/>
  <c r="T24" i="3" a="1"/>
  <c r="T24" i="3" s="1"/>
  <c r="T22" i="3" a="1"/>
  <c r="T22" i="3" s="1"/>
  <c r="T26" i="3" a="1"/>
  <c r="T26" i="3" s="1"/>
  <c r="T23" i="3" a="1"/>
  <c r="T23" i="3" s="1"/>
  <c r="T21" i="3" a="1"/>
  <c r="T21" i="3" s="1"/>
  <c r="T114" i="3" a="1"/>
  <c r="T114" i="3" s="1"/>
  <c r="T112" i="3" a="1"/>
  <c r="T112" i="3" s="1"/>
  <c r="T110" i="3" a="1"/>
  <c r="T110" i="3" s="1"/>
  <c r="T109" i="3" a="1"/>
  <c r="T109" i="3" s="1"/>
  <c r="T113" i="3" a="1"/>
  <c r="T113" i="3" s="1"/>
  <c r="T111" i="3" a="1"/>
  <c r="T111" i="3" s="1"/>
  <c r="T162" i="3" a="1"/>
  <c r="T162" i="3" s="1"/>
  <c r="T160" i="3" a="1"/>
  <c r="T160" i="3" s="1"/>
  <c r="T157" i="3" a="1"/>
  <c r="T157" i="3" s="1"/>
  <c r="T158" i="3" a="1"/>
  <c r="T158" i="3" s="1"/>
  <c r="T161" i="3" a="1"/>
  <c r="T161" i="3" s="1"/>
  <c r="T159" i="3" a="1"/>
  <c r="T159" i="3" s="1"/>
  <c r="T73" i="3" a="1"/>
  <c r="T73" i="3" s="1"/>
  <c r="T74" i="3" a="1"/>
  <c r="T74" i="3" s="1"/>
  <c r="T72" i="3" a="1"/>
  <c r="T72" i="3" s="1"/>
  <c r="T71" i="3" a="1"/>
  <c r="T71" i="3" s="1"/>
  <c r="T69" i="3" a="1"/>
  <c r="T69" i="3" s="1"/>
  <c r="T70" i="3" a="1"/>
  <c r="T70" i="3" s="1"/>
  <c r="S236" i="3"/>
  <c r="T234" i="3" a="1"/>
  <c r="T234" i="3" s="1"/>
  <c r="T232" i="3" a="1"/>
  <c r="T232" i="3" s="1"/>
  <c r="T230" i="3" a="1"/>
  <c r="T230" i="3" s="1"/>
  <c r="T231" i="3" a="1"/>
  <c r="T231" i="3" s="1"/>
  <c r="T229" i="3" a="1"/>
  <c r="T229" i="3" s="1"/>
  <c r="T233" i="3" a="1"/>
  <c r="T233" i="3" s="1"/>
  <c r="S84" i="3"/>
  <c r="T82" i="3" a="1"/>
  <c r="T82" i="3" s="1"/>
  <c r="T81" i="3" a="1"/>
  <c r="T81" i="3" s="1"/>
  <c r="T80" i="3" a="1"/>
  <c r="T80" i="3" s="1"/>
  <c r="T79" i="3" a="1"/>
  <c r="T79" i="3" s="1"/>
  <c r="T78" i="3" a="1"/>
  <c r="T78" i="3" s="1"/>
  <c r="T77" i="3" a="1"/>
  <c r="T77" i="3" s="1"/>
  <c r="S25" i="10"/>
  <c r="S11" i="9"/>
  <c r="S39" i="9"/>
  <c r="S11" i="12"/>
  <c r="S18" i="12"/>
  <c r="T3" i="12" a="1"/>
  <c r="T3" i="12" s="1"/>
  <c r="T4" i="12" a="1"/>
  <c r="T4" i="12" s="1"/>
  <c r="S32" i="14"/>
  <c r="S25" i="14"/>
  <c r="S25" i="6"/>
  <c r="T4" i="6" a="1"/>
  <c r="T4" i="6" s="1"/>
  <c r="T3" i="6" a="1"/>
  <c r="T3" i="6" s="1"/>
  <c r="S18" i="8"/>
  <c r="T3" i="10" a="1"/>
  <c r="T3" i="10" s="1"/>
  <c r="T4" i="10" a="1"/>
  <c r="T4" i="10" s="1"/>
  <c r="S32" i="9"/>
  <c r="S25" i="9"/>
  <c r="S11" i="14"/>
  <c r="S11" i="13"/>
  <c r="S25" i="8"/>
  <c r="S18" i="10"/>
  <c r="S11" i="10"/>
  <c r="T3" i="9" a="1"/>
  <c r="T3" i="9" s="1"/>
  <c r="T4" i="9" a="1"/>
  <c r="T4" i="9" s="1"/>
  <c r="S32" i="12"/>
  <c r="S39" i="12"/>
  <c r="S18" i="14"/>
  <c r="T3" i="14" a="1"/>
  <c r="T3" i="14" s="1"/>
  <c r="T4" i="14" a="1"/>
  <c r="T4" i="14" s="1"/>
  <c r="S18" i="13"/>
  <c r="T3" i="13" a="1"/>
  <c r="T3" i="13" s="1"/>
  <c r="T4" i="13" a="1"/>
  <c r="T4" i="13" s="1"/>
  <c r="S32" i="6"/>
  <c r="S39" i="6"/>
  <c r="S11" i="8"/>
  <c r="S32" i="8"/>
  <c r="S39" i="8"/>
  <c r="T3" i="8" a="1"/>
  <c r="T3" i="8" s="1"/>
  <c r="T4" i="8" a="1"/>
  <c r="T4" i="8" s="1"/>
  <c r="S32" i="10"/>
  <c r="S39" i="10"/>
  <c r="S18" i="9"/>
  <c r="S25" i="12"/>
  <c r="S25" i="13"/>
  <c r="S32" i="13"/>
  <c r="S39" i="13"/>
  <c r="S11" i="6"/>
  <c r="S18" i="6"/>
  <c r="FN92" i="17"/>
  <c r="ER88" i="17"/>
  <c r="DE81" i="17"/>
  <c r="CJ87" i="17"/>
  <c r="CJ88" i="17"/>
  <c r="BG90" i="17"/>
  <c r="GG65" i="17"/>
  <c r="CK84" i="17"/>
  <c r="DY80" i="17"/>
  <c r="DD89" i="17"/>
  <c r="GG75" i="17"/>
  <c r="GG85" i="17"/>
  <c r="FM91" i="17"/>
  <c r="GG72" i="17"/>
  <c r="DD87" i="17"/>
  <c r="ER89" i="17"/>
  <c r="ES72" i="17"/>
  <c r="CK85" i="17"/>
  <c r="GG81" i="17"/>
  <c r="GH90" i="17"/>
  <c r="GG73" i="17"/>
  <c r="BG91" i="17"/>
  <c r="BG82" i="17"/>
  <c r="CK79" i="17"/>
  <c r="ES79" i="17"/>
  <c r="GH87" i="17"/>
  <c r="CK75" i="17"/>
  <c r="ES71" i="17"/>
  <c r="DY79" i="17"/>
  <c r="BG72" i="17"/>
  <c r="ES81" i="17"/>
  <c r="DY64" i="17"/>
  <c r="ES65" i="17"/>
  <c r="DX90" i="17"/>
  <c r="ES78" i="17"/>
  <c r="DE82" i="17"/>
  <c r="DE91" i="17"/>
  <c r="CK80" i="17"/>
  <c r="DE92" i="17"/>
  <c r="DE80" i="17"/>
  <c r="ER90" i="17"/>
  <c r="CK72" i="17"/>
  <c r="DX87" i="17"/>
  <c r="BF89" i="17"/>
  <c r="FM64" i="17"/>
  <c r="DF92" i="17"/>
  <c r="CK86" i="17"/>
  <c r="DY71" i="17"/>
  <c r="GG64" i="17"/>
  <c r="GG71" i="17"/>
  <c r="BG73" i="17"/>
  <c r="DY91" i="17"/>
  <c r="FM82" i="17"/>
  <c r="BG92" i="17"/>
  <c r="FM65" i="17"/>
  <c r="BG69" i="17"/>
  <c r="DX89" i="17"/>
  <c r="CK92" i="17"/>
  <c r="DE78" i="17"/>
  <c r="ES83" i="17"/>
  <c r="BG76" i="17"/>
  <c r="GG77" i="17"/>
  <c r="FM71" i="17"/>
  <c r="DY76" i="17"/>
  <c r="CK83" i="17"/>
  <c r="DX88" i="17"/>
  <c r="CK82" i="17"/>
  <c r="CK71" i="17"/>
  <c r="FM83" i="17"/>
  <c r="ES84" i="17"/>
  <c r="ER87" i="17"/>
  <c r="FL89" i="17"/>
  <c r="DE64" i="17"/>
  <c r="ES86" i="17"/>
  <c r="FL90" i="17"/>
  <c r="BH91" i="17"/>
  <c r="ES77" i="17"/>
  <c r="GG84" i="17"/>
  <c r="BH90" i="17"/>
  <c r="DY84" i="17"/>
  <c r="FM85" i="17"/>
  <c r="CK65" i="17"/>
  <c r="DY82" i="17"/>
  <c r="ES92" i="17"/>
  <c r="GG83" i="17"/>
  <c r="DE67" i="17"/>
  <c r="BF88" i="17"/>
  <c r="FM86" i="17"/>
  <c r="DF91" i="17"/>
  <c r="DY85" i="17"/>
  <c r="DY73" i="17"/>
  <c r="DE84" i="17"/>
  <c r="FM67" i="17"/>
  <c r="ES76" i="17"/>
  <c r="DY72" i="17"/>
  <c r="GG76" i="17"/>
  <c r="GH92" i="17"/>
  <c r="CK76" i="17"/>
  <c r="CL91" i="17"/>
  <c r="FM75" i="17"/>
  <c r="GG78" i="17"/>
  <c r="DE83" i="17"/>
  <c r="FM84" i="17"/>
  <c r="DE65" i="17"/>
  <c r="CK77" i="17"/>
  <c r="CK73" i="17"/>
  <c r="ES82" i="17"/>
  <c r="GG80" i="17"/>
  <c r="DE85" i="17"/>
  <c r="BG67" i="17"/>
  <c r="ES67" i="17"/>
  <c r="ET92" i="17"/>
  <c r="DE86" i="17"/>
  <c r="ES91" i="17"/>
  <c r="FM79" i="17"/>
  <c r="ES75" i="17"/>
  <c r="GH91" i="17"/>
  <c r="CK81" i="17"/>
  <c r="ES73" i="17"/>
  <c r="DE77" i="17"/>
  <c r="FM80" i="17"/>
  <c r="ES64" i="17"/>
  <c r="GG79" i="17"/>
  <c r="DE66" i="17"/>
  <c r="DY86" i="17"/>
  <c r="DD90" i="17"/>
  <c r="GG89" i="17"/>
  <c r="DY83" i="17"/>
  <c r="GG87" i="17"/>
  <c r="FM72" i="17"/>
  <c r="FM76" i="17"/>
  <c r="DY92" i="17"/>
  <c r="CJ90" i="17"/>
  <c r="FM78" i="17"/>
  <c r="GG66" i="17"/>
  <c r="CL92" i="17"/>
  <c r="CK67" i="17"/>
  <c r="GG67" i="17"/>
  <c r="BG77" i="17"/>
  <c r="DY75" i="17"/>
  <c r="FN91" i="17"/>
  <c r="GG82" i="17"/>
  <c r="ES66" i="17"/>
  <c r="DY65" i="17"/>
  <c r="CK64" i="17"/>
  <c r="DY77" i="17"/>
  <c r="DD88" i="17"/>
  <c r="DY67" i="17"/>
  <c r="FM73" i="17"/>
  <c r="BG70" i="17"/>
  <c r="FL87" i="17"/>
  <c r="DZ91" i="17"/>
  <c r="GG86" i="17"/>
  <c r="ES80" i="17"/>
  <c r="CJ89" i="17"/>
  <c r="BG64" i="17"/>
  <c r="DE71" i="17"/>
  <c r="FM77" i="17"/>
  <c r="ES85" i="17"/>
  <c r="CK78" i="17"/>
  <c r="BG80" i="17"/>
  <c r="DY78" i="17"/>
  <c r="DZ92" i="17"/>
  <c r="FM66" i="17"/>
  <c r="DE76" i="17"/>
  <c r="BF87" i="17"/>
  <c r="DE79" i="17"/>
  <c r="BG75" i="17"/>
  <c r="DE75" i="17"/>
  <c r="GG88" i="17"/>
  <c r="BG71" i="17"/>
  <c r="FM81" i="17"/>
  <c r="DY81" i="17"/>
  <c r="BH92" i="17"/>
  <c r="CK91" i="17"/>
  <c r="DE73" i="17"/>
  <c r="ET91" i="17"/>
  <c r="CK66" i="17"/>
  <c r="DY66" i="17"/>
  <c r="BG66" i="17"/>
  <c r="FM92" i="17"/>
  <c r="DE72" i="17"/>
  <c r="FL88" i="17"/>
  <c r="K92" i="17" l="1" a="1"/>
  <c r="K92" i="17" s="1"/>
  <c r="H92" i="17" a="1"/>
  <c r="H92" i="17" s="1"/>
  <c r="P92" i="17" a="1"/>
  <c r="P92" i="17" s="1"/>
  <c r="O92" i="17" a="1"/>
  <c r="O92" i="17" s="1"/>
  <c r="M92" i="17" a="1"/>
  <c r="M92" i="17" s="1"/>
  <c r="J92" i="17" a="1"/>
  <c r="J92" i="17" s="1"/>
  <c r="L92" i="17" a="1"/>
  <c r="L92" i="17" s="1"/>
  <c r="E92" i="17"/>
  <c r="I92" i="17" a="1"/>
  <c r="I92" i="17" s="1"/>
  <c r="Q92" i="17" a="1"/>
  <c r="Q92" i="17" s="1"/>
  <c r="N92" i="17" a="1"/>
  <c r="N92" i="17" s="1"/>
  <c r="AB92" i="17"/>
  <c r="Z92" i="17"/>
  <c r="X92" i="17"/>
  <c r="AA92" i="17"/>
  <c r="Z91" i="17"/>
  <c r="X91" i="17"/>
  <c r="AA91" i="17"/>
  <c r="I91" i="17" a="1"/>
  <c r="I91" i="17" s="1"/>
  <c r="M91" i="17" a="1"/>
  <c r="M91" i="17" s="1"/>
  <c r="Q91" i="17" a="1"/>
  <c r="Q91" i="17" s="1"/>
  <c r="P91" i="17" a="1"/>
  <c r="P91" i="17" s="1"/>
  <c r="N91" i="17" a="1"/>
  <c r="N91" i="17" s="1"/>
  <c r="K91" i="17" a="1"/>
  <c r="K91" i="17" s="1"/>
  <c r="H91" i="17" a="1"/>
  <c r="H91" i="17" s="1"/>
  <c r="L91" i="17" a="1"/>
  <c r="L91" i="17" s="1"/>
  <c r="E91" i="17"/>
  <c r="J91" i="17" a="1"/>
  <c r="J91" i="17" s="1"/>
  <c r="O91" i="17" a="1"/>
  <c r="O91" i="17" s="1"/>
  <c r="AB91" i="17"/>
  <c r="AB87" i="17"/>
  <c r="E90" i="17"/>
  <c r="AB90" i="17"/>
  <c r="U236" i="3"/>
  <c r="U228" i="3"/>
  <c r="T228" i="3"/>
  <c r="T172" i="3"/>
  <c r="T132" i="3"/>
  <c r="T44" i="3"/>
  <c r="T140" i="3"/>
  <c r="T212" i="3"/>
  <c r="T60" i="3"/>
  <c r="T220" i="3"/>
  <c r="T124" i="3"/>
  <c r="T92" i="3"/>
  <c r="T156" i="3"/>
  <c r="T52" i="3"/>
  <c r="T100" i="3"/>
  <c r="T28" i="3"/>
  <c r="T76" i="3"/>
  <c r="F62" i="17"/>
  <c r="Y62" i="17" s="1"/>
  <c r="Z62" i="17"/>
  <c r="AA62" i="17"/>
  <c r="X62" i="17"/>
  <c r="T164" i="3"/>
  <c r="T116" i="3"/>
  <c r="T236" i="3"/>
  <c r="T84" i="3"/>
  <c r="ES70" i="17"/>
  <c r="DY70" i="17"/>
  <c r="BG78" i="17"/>
  <c r="DE89" i="17"/>
  <c r="BH89" i="17"/>
  <c r="FN89" i="17"/>
  <c r="ES68" i="17"/>
  <c r="GG68" i="17"/>
  <c r="DY74" i="17"/>
  <c r="DE68" i="17"/>
  <c r="CL90" i="17"/>
  <c r="FM70" i="17"/>
  <c r="GH89" i="17"/>
  <c r="FM88" i="17"/>
  <c r="BG86" i="17"/>
  <c r="ES89" i="17"/>
  <c r="CK70" i="17"/>
  <c r="ET87" i="17"/>
  <c r="DE90" i="17"/>
  <c r="BH87" i="17"/>
  <c r="DZ89" i="17"/>
  <c r="GG70" i="17"/>
  <c r="CK90" i="17"/>
  <c r="BG84" i="17"/>
  <c r="FN87" i="17"/>
  <c r="BG85" i="17"/>
  <c r="FM87" i="17"/>
  <c r="BG65" i="17"/>
  <c r="DF88" i="17"/>
  <c r="FN90" i="17"/>
  <c r="BG88" i="17"/>
  <c r="DZ88" i="17"/>
  <c r="GG69" i="17"/>
  <c r="GH88" i="17"/>
  <c r="ET90" i="17"/>
  <c r="BG89" i="17"/>
  <c r="CK88" i="17"/>
  <c r="DZ87" i="17"/>
  <c r="DE74" i="17"/>
  <c r="DZ90" i="17"/>
  <c r="ES74" i="17"/>
  <c r="FM89" i="17"/>
  <c r="DY87" i="17"/>
  <c r="ET89" i="17"/>
  <c r="DF90" i="17"/>
  <c r="CL89" i="17"/>
  <c r="DE87" i="17"/>
  <c r="FM74" i="17"/>
  <c r="BG74" i="17"/>
  <c r="CL88" i="17"/>
  <c r="DE88" i="17"/>
  <c r="DF87" i="17"/>
  <c r="CK69" i="17"/>
  <c r="BG68" i="17"/>
  <c r="ET88" i="17"/>
  <c r="BH88" i="17"/>
  <c r="DY89" i="17"/>
  <c r="ES69" i="17"/>
  <c r="DE69" i="17"/>
  <c r="DY90" i="17"/>
  <c r="CK87" i="17"/>
  <c r="FM90" i="17"/>
  <c r="GG74" i="17"/>
  <c r="BG81" i="17"/>
  <c r="CK74" i="17"/>
  <c r="DE70" i="17"/>
  <c r="BG87" i="17"/>
  <c r="DY68" i="17"/>
  <c r="FM69" i="17"/>
  <c r="ES90" i="17"/>
  <c r="CK68" i="17"/>
  <c r="CK89" i="17"/>
  <c r="ES87" i="17"/>
  <c r="FM68" i="17"/>
  <c r="ES88" i="17"/>
  <c r="DY88" i="17"/>
  <c r="DY69" i="17"/>
  <c r="BG83" i="17"/>
  <c r="DF89" i="17"/>
  <c r="CL87" i="17"/>
  <c r="BG79" i="17"/>
  <c r="FN88" i="17"/>
  <c r="W92" i="17" l="1"/>
  <c r="U92" i="17"/>
  <c r="T92" i="17"/>
  <c r="Y92" i="17"/>
  <c r="V92" i="17"/>
  <c r="S92" i="17"/>
  <c r="IB92" i="17"/>
  <c r="IH92" i="17"/>
  <c r="F92" i="17"/>
  <c r="ID92" i="17"/>
  <c r="IG92" i="17"/>
  <c r="IE92" i="17"/>
  <c r="IF92" i="17"/>
  <c r="IK92" i="17"/>
  <c r="II92" i="17"/>
  <c r="IJ92" i="17"/>
  <c r="IC92" i="17"/>
  <c r="U91" i="17"/>
  <c r="V91" i="17"/>
  <c r="T91" i="17"/>
  <c r="Y91" i="17"/>
  <c r="W91" i="17"/>
  <c r="IJ91" i="17"/>
  <c r="IB91" i="17"/>
  <c r="IG91" i="17"/>
  <c r="S91" i="17"/>
  <c r="IK91" i="17"/>
  <c r="IH91" i="17"/>
  <c r="F91" i="17"/>
  <c r="ID91" i="17"/>
  <c r="II91" i="17"/>
  <c r="IC91" i="17"/>
  <c r="IE91" i="17"/>
  <c r="IF91" i="17"/>
  <c r="Z88" i="17"/>
  <c r="AA90" i="17"/>
  <c r="X87" i="17"/>
  <c r="Z87" i="17"/>
  <c r="AA89" i="17"/>
  <c r="AA88" i="17"/>
  <c r="AB89" i="17"/>
  <c r="Z90" i="17"/>
  <c r="AA87" i="17"/>
  <c r="E88" i="17"/>
  <c r="U88" i="17" s="1"/>
  <c r="AB88" i="17"/>
  <c r="X89" i="17"/>
  <c r="Z89" i="17"/>
  <c r="O90" i="17" a="1"/>
  <c r="O90" i="17" s="1"/>
  <c r="N90" i="17" a="1"/>
  <c r="N90" i="17" s="1"/>
  <c r="P90" i="17" a="1"/>
  <c r="P90" i="17" s="1"/>
  <c r="W90" i="17"/>
  <c r="V90" i="17"/>
  <c r="U90" i="17"/>
  <c r="T90" i="17"/>
  <c r="K90" i="17" a="1"/>
  <c r="K90" i="17" s="1"/>
  <c r="M90" i="17" a="1"/>
  <c r="M90" i="17" s="1"/>
  <c r="L90" i="17" a="1"/>
  <c r="L90" i="17" s="1"/>
  <c r="Q90" i="17" a="1"/>
  <c r="Q90" i="17" s="1"/>
  <c r="I90" i="17" a="1"/>
  <c r="I90" i="17" s="1"/>
  <c r="H90" i="17" a="1"/>
  <c r="H90" i="17" s="1"/>
  <c r="J90" i="17" a="1"/>
  <c r="J90" i="17" s="1"/>
  <c r="X90" i="17"/>
  <c r="Y90" i="17"/>
  <c r="K89" i="17" a="1"/>
  <c r="K89" i="17" s="1"/>
  <c r="L89" i="17" a="1"/>
  <c r="L89" i="17" s="1"/>
  <c r="I89" i="17" a="1"/>
  <c r="I89" i="17" s="1"/>
  <c r="H89" i="17" a="1"/>
  <c r="H89" i="17" s="1"/>
  <c r="E89" i="17"/>
  <c r="M89" i="17" a="1"/>
  <c r="M89" i="17" s="1"/>
  <c r="J89" i="17" a="1"/>
  <c r="J89" i="17" s="1"/>
  <c r="Q89" i="17" a="1"/>
  <c r="Q89" i="17" s="1"/>
  <c r="P89" i="17" a="1"/>
  <c r="P89" i="17" s="1"/>
  <c r="O89" i="17" a="1"/>
  <c r="O89" i="17" s="1"/>
  <c r="N89" i="17" a="1"/>
  <c r="N89" i="17" s="1"/>
  <c r="P88" i="17" a="1"/>
  <c r="P88" i="17" s="1"/>
  <c r="H88" i="17" a="1"/>
  <c r="H88" i="17" s="1"/>
  <c r="J88" i="17" a="1"/>
  <c r="J88" i="17" s="1"/>
  <c r="I88" i="17" a="1"/>
  <c r="I88" i="17" s="1"/>
  <c r="O88" i="17" a="1"/>
  <c r="O88" i="17" s="1"/>
  <c r="N88" i="17" a="1"/>
  <c r="N88" i="17" s="1"/>
  <c r="K88" i="17" a="1"/>
  <c r="K88" i="17" s="1"/>
  <c r="L88" i="17" a="1"/>
  <c r="L88" i="17" s="1"/>
  <c r="Q88" i="17" a="1"/>
  <c r="Q88" i="17" s="1"/>
  <c r="M88" i="17" a="1"/>
  <c r="M88" i="17" s="1"/>
  <c r="X88" i="17"/>
  <c r="E87" i="17"/>
  <c r="Y87" i="17" s="1"/>
  <c r="Q87" i="17" a="1"/>
  <c r="Q87" i="17" s="1"/>
  <c r="K87" i="17" a="1"/>
  <c r="K87" i="17" s="1"/>
  <c r="L87" i="17" a="1"/>
  <c r="L87" i="17" s="1"/>
  <c r="M87" i="17" a="1"/>
  <c r="M87" i="17" s="1"/>
  <c r="H87" i="17" a="1"/>
  <c r="H87" i="17" s="1"/>
  <c r="IB87" i="17" s="1"/>
  <c r="P87" i="17" a="1"/>
  <c r="P87" i="17" s="1"/>
  <c r="N87" i="17" a="1"/>
  <c r="N87" i="17" s="1"/>
  <c r="O87" i="17" a="1"/>
  <c r="O87" i="17" s="1"/>
  <c r="I87" i="17" a="1"/>
  <c r="I87" i="17" s="1"/>
  <c r="J87" i="17" a="1"/>
  <c r="J87" i="17" s="1"/>
  <c r="IC62" i="17"/>
  <c r="AB62" i="17"/>
  <c r="IE62" i="17"/>
  <c r="ID62" i="17"/>
  <c r="IB62" i="17"/>
  <c r="IK62" i="17"/>
  <c r="V6" i="43"/>
  <c r="L6" i="43"/>
  <c r="V8" i="43"/>
  <c r="L8" i="43"/>
  <c r="G92" i="17" l="1"/>
  <c r="Y88" i="17"/>
  <c r="W88" i="17"/>
  <c r="V88" i="17"/>
  <c r="T88" i="17"/>
  <c r="G91" i="17"/>
  <c r="V87" i="17"/>
  <c r="T87" i="17"/>
  <c r="W87" i="17"/>
  <c r="U87" i="17"/>
  <c r="ID90" i="17"/>
  <c r="S90" i="17"/>
  <c r="IB90" i="17"/>
  <c r="IF90" i="17"/>
  <c r="IH90" i="17"/>
  <c r="IJ90" i="17"/>
  <c r="F90" i="17"/>
  <c r="IC90" i="17"/>
  <c r="IE90" i="17"/>
  <c r="IG90" i="17"/>
  <c r="II90" i="17"/>
  <c r="IK90" i="17"/>
  <c r="II89" i="17"/>
  <c r="F89" i="17"/>
  <c r="IE89" i="17"/>
  <c r="IH89" i="17"/>
  <c r="IK89" i="17"/>
  <c r="IF89" i="17"/>
  <c r="ID89" i="17"/>
  <c r="IG89" i="17"/>
  <c r="IJ89" i="17"/>
  <c r="IB89" i="17"/>
  <c r="IC89" i="17"/>
  <c r="S89" i="17"/>
  <c r="W89" i="17"/>
  <c r="U89" i="17"/>
  <c r="T89" i="17"/>
  <c r="Y89" i="17"/>
  <c r="V89" i="17"/>
  <c r="IH88" i="17"/>
  <c r="IG88" i="17"/>
  <c r="II88" i="17"/>
  <c r="IC88" i="17"/>
  <c r="IB88" i="17"/>
  <c r="S88" i="17"/>
  <c r="IK88" i="17"/>
  <c r="ID88" i="17"/>
  <c r="IF88" i="17"/>
  <c r="F88" i="17"/>
  <c r="IJ88" i="17"/>
  <c r="IE88" i="17"/>
  <c r="IE87" i="17"/>
  <c r="IK87" i="17"/>
  <c r="IG87" i="17"/>
  <c r="IH87" i="17"/>
  <c r="IJ87" i="17"/>
  <c r="IC87" i="17"/>
  <c r="II87" i="17"/>
  <c r="IF87" i="17"/>
  <c r="ID87" i="17"/>
  <c r="F87" i="17"/>
  <c r="S87" i="17"/>
  <c r="EI55" i="17"/>
  <c r="EF27" i="17"/>
  <c r="DW62" i="17"/>
  <c r="CP48" i="17"/>
  <c r="AU27" i="17"/>
  <c r="ER62" i="17"/>
  <c r="EZ20" i="17"/>
  <c r="FB13" i="17"/>
  <c r="EG41" i="17"/>
  <c r="EY86" i="17"/>
  <c r="FF62" i="17"/>
  <c r="EX48" i="17"/>
  <c r="EG20" i="17"/>
  <c r="FS55" i="17"/>
  <c r="AV55" i="17"/>
  <c r="FI62" i="17"/>
  <c r="EN62" i="17"/>
  <c r="BX86" i="17"/>
  <c r="DS62" i="17"/>
  <c r="FT27" i="17"/>
  <c r="CA13" i="17"/>
  <c r="FQ20" i="17"/>
  <c r="FB48" i="17"/>
  <c r="DM27" i="17"/>
  <c r="FT20" i="17"/>
  <c r="FF13" i="17"/>
  <c r="CV13" i="17"/>
  <c r="AU41" i="17"/>
  <c r="CL13" i="17"/>
  <c r="CH62" i="17"/>
  <c r="EE41" i="17"/>
  <c r="DK48" i="17"/>
  <c r="FA55" i="17"/>
  <c r="FS41" i="17"/>
  <c r="DN86" i="17"/>
  <c r="FC48" i="17"/>
  <c r="FR86" i="17"/>
  <c r="GB62" i="17"/>
  <c r="DN34" i="17"/>
  <c r="EY55" i="17"/>
  <c r="DZ62" i="17"/>
  <c r="DM34" i="17"/>
  <c r="CU20" i="17"/>
  <c r="CQ34" i="17"/>
  <c r="FU34" i="17"/>
  <c r="BY34" i="17"/>
  <c r="GD62" i="17"/>
  <c r="CG13" i="17"/>
  <c r="AS34" i="17"/>
  <c r="FV34" i="17"/>
  <c r="DO13" i="17"/>
  <c r="AU86" i="17"/>
  <c r="CO86" i="17"/>
  <c r="GE62" i="17"/>
  <c r="DL86" i="17"/>
  <c r="CU34" i="17"/>
  <c r="FN13" i="17"/>
  <c r="CR48" i="17"/>
  <c r="FG62" i="17"/>
  <c r="FV86" i="17"/>
  <c r="FB41" i="17"/>
  <c r="EF41" i="17"/>
  <c r="CN81" i="17"/>
  <c r="BY41" i="17"/>
  <c r="BT86" i="17"/>
  <c r="CR86" i="17"/>
  <c r="DZ13" i="17"/>
  <c r="CR41" i="17"/>
  <c r="DK20" i="17"/>
  <c r="BE13" i="17"/>
  <c r="FA34" i="17"/>
  <c r="EI48" i="17"/>
  <c r="AU20" i="17"/>
  <c r="CA27" i="17"/>
  <c r="BY55" i="17"/>
  <c r="CU13" i="17"/>
  <c r="DK27" i="17"/>
  <c r="BH62" i="17"/>
  <c r="AV41" i="17"/>
  <c r="BY27" i="17"/>
  <c r="DA62" i="17"/>
  <c r="DQ62" i="17"/>
  <c r="CT41" i="17"/>
  <c r="DK41" i="17"/>
  <c r="FW13" i="17"/>
  <c r="AW34" i="17"/>
  <c r="BV41" i="17"/>
  <c r="CO80" i="17"/>
  <c r="EH13" i="17"/>
  <c r="CR27" i="17"/>
  <c r="FE13" i="17"/>
  <c r="EI13" i="17"/>
  <c r="AS41" i="17"/>
  <c r="FR41" i="17"/>
  <c r="FL62" i="17"/>
  <c r="CP86" i="17"/>
  <c r="AU48" i="17"/>
  <c r="FR20" i="17"/>
  <c r="CN80" i="17"/>
  <c r="CZ13" i="17"/>
  <c r="FB86" i="17"/>
  <c r="BZ27" i="17"/>
  <c r="EZ41" i="17"/>
  <c r="AS48" i="17"/>
  <c r="AR34" i="17"/>
  <c r="EO13" i="17"/>
  <c r="DB13" i="17"/>
  <c r="CP34" i="17"/>
  <c r="DN55" i="17"/>
  <c r="BX20" i="17"/>
  <c r="CS41" i="17"/>
  <c r="CC13" i="17"/>
  <c r="CF13" i="17"/>
  <c r="AT48" i="17"/>
  <c r="AS20" i="17"/>
  <c r="BU86" i="17"/>
  <c r="ED20" i="17"/>
  <c r="FJ13" i="17"/>
  <c r="AT20" i="17"/>
  <c r="FA86" i="17"/>
  <c r="FV13" i="17"/>
  <c r="DL27" i="17"/>
  <c r="EF55" i="17"/>
  <c r="FQ55" i="17"/>
  <c r="FC34" i="17"/>
  <c r="EE34" i="17"/>
  <c r="EY34" i="17"/>
  <c r="CT55" i="17"/>
  <c r="AV20" i="17"/>
  <c r="AZ62" i="17"/>
  <c r="EI41" i="17"/>
  <c r="DH86" i="17"/>
  <c r="CE13" i="17"/>
  <c r="FI13" i="17"/>
  <c r="FU41" i="17"/>
  <c r="BV48" i="17"/>
  <c r="BV20" i="17"/>
  <c r="ED48" i="17"/>
  <c r="CH13" i="17"/>
  <c r="EL62" i="17"/>
  <c r="DN20" i="17"/>
  <c r="DM41" i="17"/>
  <c r="CR34" i="17"/>
  <c r="FX13" i="17"/>
  <c r="CS34" i="17"/>
  <c r="EH20" i="17"/>
  <c r="DK34" i="17"/>
  <c r="FQ34" i="17"/>
  <c r="ER13" i="17"/>
  <c r="FC55" i="17"/>
  <c r="DL41" i="17"/>
  <c r="FQ86" i="17"/>
  <c r="EX41" i="17"/>
  <c r="FB27" i="17"/>
  <c r="AW20" i="17"/>
  <c r="AR55" i="17"/>
  <c r="FC13" i="17"/>
  <c r="EZ48" i="17"/>
  <c r="FV41" i="17"/>
  <c r="BH13" i="17"/>
  <c r="FU13" i="17"/>
  <c r="BZ48" i="17"/>
  <c r="FB34" i="17"/>
  <c r="ED55" i="17"/>
  <c r="CP20" i="17"/>
  <c r="GD13" i="17"/>
  <c r="DR13" i="17"/>
  <c r="EF34" i="17"/>
  <c r="BE62" i="17"/>
  <c r="DF13" i="17"/>
  <c r="DX13" i="17"/>
  <c r="AS86" i="17"/>
  <c r="CA55" i="17"/>
  <c r="FK13" i="17"/>
  <c r="GA13" i="17"/>
  <c r="EG55" i="17"/>
  <c r="CP41" i="17"/>
  <c r="GC13" i="17"/>
  <c r="CX62" i="17"/>
  <c r="DN48" i="17"/>
  <c r="EK13" i="17"/>
  <c r="FU20" i="17"/>
  <c r="DM20" i="17"/>
  <c r="AV86" i="17"/>
  <c r="DL20" i="17"/>
  <c r="FK62" i="17"/>
  <c r="FJ62" i="17"/>
  <c r="AV27" i="17"/>
  <c r="CZ62" i="17"/>
  <c r="EW86" i="17"/>
  <c r="EH27" i="17"/>
  <c r="ET62" i="17"/>
  <c r="EI20" i="17"/>
  <c r="FY13" i="17"/>
  <c r="DO27" i="17"/>
  <c r="FT41" i="17"/>
  <c r="GF13" i="17"/>
  <c r="EC86" i="17"/>
  <c r="EN13" i="17"/>
  <c r="DD62" i="17"/>
  <c r="FV55" i="17"/>
  <c r="CB13" i="17"/>
  <c r="EP13" i="17"/>
  <c r="FT34" i="17"/>
  <c r="FA20" i="17"/>
  <c r="BY86" i="17"/>
  <c r="EP62" i="17"/>
  <c r="FN62" i="17"/>
  <c r="BV27" i="17"/>
  <c r="DU13" i="17"/>
  <c r="CJ62" i="17"/>
  <c r="CE62" i="17"/>
  <c r="FS86" i="17"/>
  <c r="BD62" i="17"/>
  <c r="EH34" i="17"/>
  <c r="EH48" i="17"/>
  <c r="DO20" i="17"/>
  <c r="AW55" i="17"/>
  <c r="DN27" i="17"/>
  <c r="EY48" i="17"/>
  <c r="BF62" i="17"/>
  <c r="AT41" i="17"/>
  <c r="FU27" i="17"/>
  <c r="DB62" i="17"/>
  <c r="FG13" i="17"/>
  <c r="EI27" i="17"/>
  <c r="EQ62" i="17"/>
  <c r="FV20" i="17"/>
  <c r="BZ41" i="17"/>
  <c r="FA41" i="17"/>
  <c r="CU27" i="17"/>
  <c r="DJ86" i="17"/>
  <c r="DX62" i="17"/>
  <c r="FU55" i="17"/>
  <c r="CA20" i="17"/>
  <c r="BZ55" i="17"/>
  <c r="DM86" i="17"/>
  <c r="DJ27" i="17"/>
  <c r="EG27" i="17"/>
  <c r="GC62" i="17"/>
  <c r="EG86" i="17"/>
  <c r="CT34" i="17"/>
  <c r="GH62" i="17"/>
  <c r="EL13" i="17"/>
  <c r="EF20" i="17"/>
  <c r="EX34" i="17"/>
  <c r="DJ48" i="17"/>
  <c r="DJ20" i="17"/>
  <c r="AU55" i="17"/>
  <c r="AZ13" i="17"/>
  <c r="DO55" i="17"/>
  <c r="DC13" i="17"/>
  <c r="EE86" i="17"/>
  <c r="CN86" i="17"/>
  <c r="CG62" i="17"/>
  <c r="FQ48" i="17"/>
  <c r="CP27" i="17"/>
  <c r="DU62" i="17"/>
  <c r="DN41" i="17"/>
  <c r="DC62" i="17"/>
  <c r="FQ27" i="17"/>
  <c r="EV86" i="17"/>
  <c r="CI62" i="17"/>
  <c r="AW48" i="17"/>
  <c r="BC62" i="17"/>
  <c r="CU41" i="17"/>
  <c r="DJ55" i="17"/>
  <c r="AR41" i="17"/>
  <c r="CS86" i="17"/>
  <c r="DL55" i="17"/>
  <c r="CA34" i="17"/>
  <c r="GB13" i="17"/>
  <c r="EH41" i="17"/>
  <c r="GA62" i="17"/>
  <c r="CT48" i="17"/>
  <c r="CA41" i="17"/>
  <c r="DQ13" i="17"/>
  <c r="BT80" i="17"/>
  <c r="FX62" i="17"/>
  <c r="GE13" i="17"/>
  <c r="BX27" i="17"/>
  <c r="FH13" i="17"/>
  <c r="DO48" i="17"/>
  <c r="CU55" i="17"/>
  <c r="AW13" i="17"/>
  <c r="BD13" i="17"/>
  <c r="FH62" i="17"/>
  <c r="CR55" i="17"/>
  <c r="EI34" i="17"/>
  <c r="CT86" i="17"/>
  <c r="BY20" i="17"/>
  <c r="DV62" i="17"/>
  <c r="ET13" i="17"/>
  <c r="EE27" i="17"/>
  <c r="FA27" i="17"/>
  <c r="EX55" i="17"/>
  <c r="FB20" i="17"/>
  <c r="GH13" i="17"/>
  <c r="DR62" i="17"/>
  <c r="EZ55" i="17"/>
  <c r="DT62" i="17"/>
  <c r="EO62" i="17"/>
  <c r="EH55" i="17"/>
  <c r="AS55" i="17"/>
  <c r="CT27" i="17"/>
  <c r="FB55" i="17"/>
  <c r="CQ20" i="17"/>
  <c r="FE62" i="17"/>
  <c r="FR34" i="17"/>
  <c r="EY20" i="17"/>
  <c r="AQ86" i="17"/>
  <c r="FR48" i="17"/>
  <c r="FC27" i="17"/>
  <c r="AR48" i="17"/>
  <c r="BZ34" i="17"/>
  <c r="AT86" i="17"/>
  <c r="EF48" i="17"/>
  <c r="DF62" i="17"/>
  <c r="FC41" i="17"/>
  <c r="FS20" i="17"/>
  <c r="AV13" i="17"/>
  <c r="FU86" i="17"/>
  <c r="DA13" i="17"/>
  <c r="BX34" i="17"/>
  <c r="BZ86" i="17"/>
  <c r="BX55" i="17"/>
  <c r="CD62" i="17"/>
  <c r="CQ27" i="17"/>
  <c r="EZ27" i="17"/>
  <c r="DO41" i="17"/>
  <c r="FZ62" i="17"/>
  <c r="BV55" i="17"/>
  <c r="ED86" i="17"/>
  <c r="CC62" i="17"/>
  <c r="EE55" i="17"/>
  <c r="EY27" i="17"/>
  <c r="BB13" i="17"/>
  <c r="CD13" i="17"/>
  <c r="FL13" i="17"/>
  <c r="DM48" i="17"/>
  <c r="DL48" i="17"/>
  <c r="CS20" i="17"/>
  <c r="BC13" i="17"/>
  <c r="AT55" i="17"/>
  <c r="CO81" i="17"/>
  <c r="AW27" i="17"/>
  <c r="FY62" i="17"/>
  <c r="FS48" i="17"/>
  <c r="DP13" i="17"/>
  <c r="BF13" i="17"/>
  <c r="EX27" i="17"/>
  <c r="CF62" i="17"/>
  <c r="EG34" i="17"/>
  <c r="DK86" i="17"/>
  <c r="FS27" i="17"/>
  <c r="DT13" i="17"/>
  <c r="AP86" i="17"/>
  <c r="FS34" i="17"/>
  <c r="AP81" i="17"/>
  <c r="CT13" i="17"/>
  <c r="BB62" i="17"/>
  <c r="EE48" i="17"/>
  <c r="EF86" i="17"/>
  <c r="FV48" i="17"/>
  <c r="EX20" i="17"/>
  <c r="AY13" i="17"/>
  <c r="AR86" i="17"/>
  <c r="EM62" i="17"/>
  <c r="CI13" i="17"/>
  <c r="DJ34" i="17"/>
  <c r="FQ41" i="17"/>
  <c r="CQ41" i="17"/>
  <c r="EK62" i="17"/>
  <c r="FC20" i="17"/>
  <c r="DL34" i="17"/>
  <c r="EE20" i="17"/>
  <c r="BA13" i="17"/>
  <c r="DD13" i="17"/>
  <c r="CP55" i="17"/>
  <c r="GF62" i="17"/>
  <c r="AT27" i="17"/>
  <c r="FU48" i="17"/>
  <c r="EX86" i="17"/>
  <c r="CU48" i="17"/>
  <c r="AR27" i="17"/>
  <c r="CS55" i="17"/>
  <c r="AU34" i="17"/>
  <c r="CA48" i="17"/>
  <c r="AT34" i="17"/>
  <c r="BY48" i="17"/>
  <c r="DS13" i="17"/>
  <c r="EH86" i="17"/>
  <c r="CJ13" i="17"/>
  <c r="DI86" i="17"/>
  <c r="CS48" i="17"/>
  <c r="EZ34" i="17"/>
  <c r="EG48" i="17"/>
  <c r="DN13" i="17"/>
  <c r="AP80" i="17"/>
  <c r="FR27" i="17"/>
  <c r="BV34" i="17"/>
  <c r="CW13" i="17"/>
  <c r="EM13" i="17"/>
  <c r="EZ86" i="17"/>
  <c r="BX48" i="17"/>
  <c r="CQ48" i="17"/>
  <c r="DK55" i="17"/>
  <c r="CL62" i="17"/>
  <c r="EQ13" i="17"/>
  <c r="EJ13" i="17"/>
  <c r="ED41" i="17"/>
  <c r="BA62" i="17"/>
  <c r="FT48" i="17"/>
  <c r="DO34" i="17"/>
  <c r="BW86" i="17"/>
  <c r="DJ41" i="17"/>
  <c r="AV48" i="17"/>
  <c r="CY62" i="17"/>
  <c r="DM55" i="17"/>
  <c r="BZ20" i="17"/>
  <c r="EB86" i="17"/>
  <c r="AS27" i="17"/>
  <c r="CY13" i="17"/>
  <c r="CQ55" i="17"/>
  <c r="BV86" i="17"/>
  <c r="FA48" i="17"/>
  <c r="CX13" i="17"/>
  <c r="FZ13" i="17"/>
  <c r="DV13" i="17"/>
  <c r="FT55" i="17"/>
  <c r="BZ13" i="17"/>
  <c r="EY41" i="17"/>
  <c r="CW62" i="17"/>
  <c r="CR20" i="17"/>
  <c r="AR20" i="17"/>
  <c r="DW13" i="17"/>
  <c r="FT86" i="17"/>
  <c r="FP86" i="17"/>
  <c r="AW41" i="17"/>
  <c r="BX41" i="17"/>
  <c r="AY62" i="17"/>
  <c r="CT20" i="17"/>
  <c r="AV34" i="17"/>
  <c r="FR55" i="17"/>
  <c r="AX13" i="17"/>
  <c r="CQ86" i="17"/>
  <c r="CS27" i="17"/>
  <c r="ED27" i="17"/>
  <c r="ED34" i="17"/>
  <c r="FD13" i="17"/>
  <c r="FV27" i="17"/>
  <c r="AB13" i="17" l="1"/>
  <c r="E13" i="17"/>
  <c r="F13" i="17"/>
  <c r="IN13" i="17" a="1"/>
  <c r="IN13" i="17" s="1"/>
  <c r="I13" i="17" a="1"/>
  <c r="I13" i="17" s="1"/>
  <c r="Q13" i="17" a="1"/>
  <c r="Q13" i="17" s="1"/>
  <c r="K13" i="17" a="1"/>
  <c r="K13" i="17" s="1"/>
  <c r="H13" i="17" a="1"/>
  <c r="H13" i="17" s="1"/>
  <c r="J13" i="17" a="1"/>
  <c r="J13" i="17" s="1"/>
  <c r="H62" i="17" a="1"/>
  <c r="H62" i="17" s="1"/>
  <c r="J62" i="17" a="1"/>
  <c r="J62" i="17" s="1"/>
  <c r="K62" i="17" a="1"/>
  <c r="K62" i="17" s="1"/>
  <c r="I62" i="17" a="1"/>
  <c r="I62" i="17" s="1"/>
  <c r="Q62" i="17" a="1"/>
  <c r="Q62" i="17" s="1"/>
  <c r="G90" i="17"/>
  <c r="G89" i="17"/>
  <c r="G88" i="17"/>
  <c r="G87" i="17"/>
  <c r="B10" i="42"/>
  <c r="B5" i="42"/>
  <c r="B3" i="42"/>
  <c r="B12" i="42"/>
  <c r="B11" i="42"/>
  <c r="B9" i="42"/>
  <c r="B8" i="42"/>
  <c r="B4" i="42"/>
  <c r="B7" i="42"/>
  <c r="B6" i="42"/>
  <c r="ID13" i="17" l="1"/>
  <c r="S62" i="17"/>
  <c r="IC13" i="17"/>
  <c r="S13" i="17"/>
  <c r="IK13" i="17"/>
  <c r="IB13" i="17"/>
  <c r="IE13" i="17"/>
  <c r="J10" i="42" a="1"/>
  <c r="J10" i="42" s="1"/>
  <c r="M10" i="42" s="1" a="1"/>
  <c r="M10" i="42" s="1"/>
  <c r="K10" i="42" a="1"/>
  <c r="K10" i="42" s="1"/>
  <c r="H10" i="42" a="1"/>
  <c r="H10" i="42" s="1"/>
  <c r="D10" i="42" s="1"/>
  <c r="F10" i="42" a="1"/>
  <c r="F10" i="42" s="1"/>
  <c r="I10" i="42" s="1" a="1"/>
  <c r="I10" i="42" s="1"/>
  <c r="E10" i="42" s="1"/>
  <c r="L10" i="42" a="1"/>
  <c r="L10" i="42" s="1"/>
  <c r="G10" i="42" a="1"/>
  <c r="G10" i="42" s="1"/>
  <c r="C10" i="42" s="1"/>
  <c r="J6" i="42" a="1"/>
  <c r="J6" i="42" s="1"/>
  <c r="M6" i="42" s="1" a="1"/>
  <c r="M6" i="42" s="1"/>
  <c r="L6" i="42" a="1"/>
  <c r="L6" i="42" s="1"/>
  <c r="H6" i="42" a="1"/>
  <c r="H6" i="42" s="1"/>
  <c r="D6" i="42" s="1"/>
  <c r="G6" i="42" a="1"/>
  <c r="G6" i="42" s="1"/>
  <c r="C6" i="42" s="1"/>
  <c r="K6" i="42" a="1"/>
  <c r="K6" i="42" s="1"/>
  <c r="F6" i="42" a="1"/>
  <c r="F6" i="42" s="1"/>
  <c r="I6" i="42" s="1" a="1"/>
  <c r="I6" i="42" s="1"/>
  <c r="E6" i="42" s="1"/>
  <c r="J8" i="42" a="1"/>
  <c r="J8" i="42" s="1"/>
  <c r="M8" i="42" s="1" a="1"/>
  <c r="M8" i="42" s="1"/>
  <c r="K8" i="42" a="1"/>
  <c r="K8" i="42" s="1"/>
  <c r="F8" i="42" a="1"/>
  <c r="F8" i="42" s="1"/>
  <c r="I8" i="42" s="1" a="1"/>
  <c r="I8" i="42" s="1"/>
  <c r="E8" i="42" s="1"/>
  <c r="L8" i="42" a="1"/>
  <c r="L8" i="42" s="1"/>
  <c r="G8" i="42" a="1"/>
  <c r="G8" i="42" s="1"/>
  <c r="C8" i="42" s="1"/>
  <c r="H8" i="42" a="1"/>
  <c r="H8" i="42" s="1"/>
  <c r="D8" i="42" s="1"/>
  <c r="L3" i="42" a="1"/>
  <c r="L3" i="42" s="1"/>
  <c r="F3" i="42" a="1"/>
  <c r="F3" i="42" s="1"/>
  <c r="I3" i="42" s="1" a="1"/>
  <c r="I3" i="42" s="1"/>
  <c r="E3" i="42" s="1"/>
  <c r="K3" i="42" a="1"/>
  <c r="K3" i="42" s="1"/>
  <c r="G3" i="42" a="1"/>
  <c r="G3" i="42" s="1"/>
  <c r="C3" i="42" s="1"/>
  <c r="J3" i="42" a="1"/>
  <c r="J3" i="42" s="1"/>
  <c r="M3" i="42" s="1" a="1"/>
  <c r="M3" i="42" s="1"/>
  <c r="H3" i="42" a="1"/>
  <c r="H3" i="42" s="1"/>
  <c r="D3" i="42" s="1"/>
  <c r="K12" i="42" a="1"/>
  <c r="K12" i="42" s="1"/>
  <c r="J12" i="42" a="1"/>
  <c r="J12" i="42" s="1"/>
  <c r="M12" i="42" s="1" a="1"/>
  <c r="M12" i="42" s="1"/>
  <c r="G12" i="42" a="1"/>
  <c r="G12" i="42" s="1"/>
  <c r="C12" i="42" s="1"/>
  <c r="H12" i="42" a="1"/>
  <c r="H12" i="42" s="1"/>
  <c r="D12" i="42" s="1"/>
  <c r="F12" i="42" a="1"/>
  <c r="F12" i="42" s="1"/>
  <c r="I12" i="42" s="1" a="1"/>
  <c r="I12" i="42" s="1"/>
  <c r="E12" i="42" s="1"/>
  <c r="L12" i="42" a="1"/>
  <c r="L12" i="42" s="1"/>
  <c r="J4" i="42" a="1"/>
  <c r="J4" i="42" s="1"/>
  <c r="M4" i="42" s="1" a="1"/>
  <c r="M4" i="42" s="1"/>
  <c r="K4" i="42" a="1"/>
  <c r="K4" i="42" s="1"/>
  <c r="L4" i="42" a="1"/>
  <c r="L4" i="42" s="1"/>
  <c r="F4" i="42" a="1"/>
  <c r="F4" i="42" s="1"/>
  <c r="I4" i="42" s="1" a="1"/>
  <c r="I4" i="42" s="1"/>
  <c r="E4" i="42" s="1"/>
  <c r="H4" i="42" a="1"/>
  <c r="H4" i="42" s="1"/>
  <c r="D4" i="42" s="1"/>
  <c r="G4" i="42" a="1"/>
  <c r="G4" i="42" s="1"/>
  <c r="C4" i="42" s="1"/>
  <c r="L11" i="42" a="1"/>
  <c r="L11" i="42" s="1"/>
  <c r="J11" i="42" a="1"/>
  <c r="J11" i="42" s="1"/>
  <c r="M11" i="42" s="1" a="1"/>
  <c r="M11" i="42" s="1"/>
  <c r="K11" i="42" a="1"/>
  <c r="K11" i="42" s="1"/>
  <c r="F11" i="42" a="1"/>
  <c r="F11" i="42" s="1"/>
  <c r="I11" i="42" s="1" a="1"/>
  <c r="I11" i="42" s="1"/>
  <c r="E11" i="42" s="1"/>
  <c r="G11" i="42" a="1"/>
  <c r="G11" i="42" s="1"/>
  <c r="C11" i="42" s="1"/>
  <c r="H11" i="42" a="1"/>
  <c r="H11" i="42" s="1"/>
  <c r="D11" i="42" s="1"/>
  <c r="L7" i="42" a="1"/>
  <c r="L7" i="42" s="1"/>
  <c r="F7" i="42" a="1"/>
  <c r="F7" i="42" s="1"/>
  <c r="I7" i="42" s="1" a="1"/>
  <c r="I7" i="42" s="1"/>
  <c r="E7" i="42" s="1"/>
  <c r="K7" i="42" a="1"/>
  <c r="K7" i="42" s="1"/>
  <c r="G7" i="42" a="1"/>
  <c r="G7" i="42" s="1"/>
  <c r="C7" i="42" s="1"/>
  <c r="H7" i="42" a="1"/>
  <c r="H7" i="42" s="1"/>
  <c r="D7" i="42" s="1"/>
  <c r="J7" i="42" a="1"/>
  <c r="J7" i="42" s="1"/>
  <c r="M7" i="42" s="1" a="1"/>
  <c r="M7" i="42" s="1"/>
  <c r="L9" i="42" a="1"/>
  <c r="L9" i="42" s="1"/>
  <c r="K9" i="42" a="1"/>
  <c r="K9" i="42" s="1"/>
  <c r="G9" i="42" a="1"/>
  <c r="G9" i="42" s="1"/>
  <c r="C9" i="42" s="1"/>
  <c r="H9" i="42" a="1"/>
  <c r="H9" i="42" s="1"/>
  <c r="D9" i="42" s="1"/>
  <c r="F9" i="42" a="1"/>
  <c r="F9" i="42" s="1"/>
  <c r="I9" i="42" s="1" a="1"/>
  <c r="I9" i="42" s="1"/>
  <c r="E9" i="42" s="1"/>
  <c r="J9" i="42" a="1"/>
  <c r="J9" i="42" s="1"/>
  <c r="M9" i="42" s="1" a="1"/>
  <c r="M9" i="42" s="1"/>
  <c r="J5" i="42" a="1"/>
  <c r="J5" i="42" s="1"/>
  <c r="M5" i="42" s="1" a="1"/>
  <c r="M5" i="42" s="1"/>
  <c r="K5" i="42" a="1"/>
  <c r="K5" i="42" s="1"/>
  <c r="L5" i="42" a="1"/>
  <c r="L5" i="42" s="1"/>
  <c r="G5" i="42" a="1"/>
  <c r="G5" i="42" s="1"/>
  <c r="C5" i="42" s="1"/>
  <c r="F5" i="42" a="1"/>
  <c r="F5" i="42" s="1"/>
  <c r="I5" i="42" s="1" a="1"/>
  <c r="I5" i="42" s="1"/>
  <c r="E5" i="42" s="1"/>
  <c r="H5" i="42" a="1"/>
  <c r="H5" i="42" s="1"/>
  <c r="D5" i="42" s="1"/>
  <c r="IA57" i="17" l="1"/>
  <c r="IA60" i="17"/>
  <c r="IA33" i="17"/>
  <c r="IA54" i="17"/>
  <c r="IA58" i="17"/>
  <c r="IA8" i="17"/>
  <c r="IA61" i="17"/>
  <c r="IA59" i="17"/>
  <c r="AT17" i="19" l="1"/>
  <c r="AS17" i="19" s="1" a="1"/>
  <c r="AS17" i="19" s="1"/>
  <c r="AR17" i="19" s="1"/>
  <c r="AT19" i="19"/>
  <c r="AS19" i="19" s="1" a="1"/>
  <c r="AS19" i="19" s="1"/>
  <c r="AR19" i="19" s="1"/>
  <c r="AT18" i="19"/>
  <c r="AS18" i="19" s="1" a="1"/>
  <c r="AS18" i="19" s="1"/>
  <c r="AR18" i="19" s="1"/>
  <c r="AT16" i="19"/>
  <c r="AS16" i="19" s="1" a="1"/>
  <c r="AS16" i="19" s="1"/>
  <c r="AR16" i="19" s="1"/>
  <c r="AX17" i="19"/>
  <c r="AW17" i="19" s="1" a="1"/>
  <c r="AW17" i="19" s="1"/>
  <c r="AV17" i="19" s="1"/>
  <c r="AX16" i="19"/>
  <c r="AW16" i="19" s="1" a="1"/>
  <c r="AW16" i="19" s="1"/>
  <c r="AV16" i="19" s="1"/>
  <c r="AX18" i="19"/>
  <c r="AW18" i="19" s="1" a="1"/>
  <c r="AW18" i="19" s="1"/>
  <c r="AV18" i="19" s="1"/>
  <c r="AX19" i="19"/>
  <c r="AW19" i="19" s="1" a="1"/>
  <c r="AW19" i="19" s="1"/>
  <c r="AV19" i="19" s="1"/>
  <c r="AB61" i="17" l="1"/>
  <c r="F61" i="17"/>
  <c r="AA61" i="17"/>
  <c r="X61" i="17"/>
  <c r="Z61" i="17"/>
  <c r="IK54" i="17" l="1"/>
  <c r="IB54" i="17"/>
  <c r="IE61" i="17"/>
  <c r="ID54" i="17"/>
  <c r="IB61" i="17"/>
  <c r="IK61" i="17"/>
  <c r="IE54" i="17"/>
  <c r="ID61" i="17"/>
  <c r="V61" i="17"/>
  <c r="Y61" i="17"/>
  <c r="U61" i="17"/>
  <c r="W61" i="17"/>
  <c r="T61" i="17"/>
  <c r="IC59" i="17" l="1"/>
  <c r="IC54" i="17"/>
  <c r="IB57" i="17"/>
  <c r="JE53" i="17" l="1"/>
  <c r="JD53" i="17"/>
  <c r="JC53" i="17"/>
  <c r="JB53" i="17"/>
  <c r="JE51" i="17"/>
  <c r="JD51" i="17"/>
  <c r="JC51" i="17"/>
  <c r="JB51" i="17"/>
  <c r="JE52" i="17"/>
  <c r="JD52" i="17"/>
  <c r="JC52" i="17"/>
  <c r="JB52" i="17"/>
  <c r="JE50" i="17"/>
  <c r="JD50" i="17"/>
  <c r="JC50" i="17"/>
  <c r="JB50" i="17"/>
  <c r="IX44" i="17"/>
  <c r="JD44" i="17"/>
  <c r="JC44" i="17"/>
  <c r="JE44" i="17"/>
  <c r="JB44" i="17"/>
  <c r="JC43" i="17"/>
  <c r="JD43" i="17"/>
  <c r="JB43" i="17"/>
  <c r="JE43" i="17"/>
  <c r="IX46" i="17"/>
  <c r="JE46" i="17"/>
  <c r="JD46" i="17"/>
  <c r="JC46" i="17"/>
  <c r="JB46" i="17"/>
  <c r="JB45" i="17"/>
  <c r="JC45" i="17"/>
  <c r="JE45" i="17"/>
  <c r="JD45" i="17"/>
  <c r="IX36" i="17"/>
  <c r="JC36" i="17"/>
  <c r="JD36" i="17"/>
  <c r="JE36" i="17"/>
  <c r="JB36" i="17"/>
  <c r="JB37" i="17"/>
  <c r="JE37" i="17"/>
  <c r="JC37" i="17"/>
  <c r="JD37" i="17"/>
  <c r="JD38" i="17"/>
  <c r="JB38" i="17"/>
  <c r="JC38" i="17"/>
  <c r="JE38" i="17"/>
  <c r="JE40" i="17"/>
  <c r="JC40" i="17"/>
  <c r="JD40" i="17"/>
  <c r="JB40" i="17"/>
  <c r="JE39" i="17"/>
  <c r="JC39" i="17"/>
  <c r="JB39" i="17"/>
  <c r="JD39" i="17"/>
  <c r="JD32" i="17"/>
  <c r="JE32" i="17"/>
  <c r="JC32" i="17"/>
  <c r="JB32" i="17"/>
  <c r="JB31" i="17"/>
  <c r="JC31" i="17"/>
  <c r="JD31" i="17"/>
  <c r="JE31" i="17"/>
  <c r="JE30" i="17"/>
  <c r="JC30" i="17"/>
  <c r="JD30" i="17"/>
  <c r="JB30" i="17"/>
  <c r="IX29" i="17"/>
  <c r="JB29" i="17"/>
  <c r="JD29" i="17"/>
  <c r="JE29" i="17"/>
  <c r="JC29" i="17"/>
  <c r="JE23" i="17"/>
  <c r="JD23" i="17"/>
  <c r="JC23" i="17"/>
  <c r="JB23" i="17"/>
  <c r="JB25" i="17"/>
  <c r="JC25" i="17"/>
  <c r="JD25" i="17"/>
  <c r="JE25" i="17"/>
  <c r="JD22" i="17"/>
  <c r="JC22" i="17"/>
  <c r="JB22" i="17"/>
  <c r="JE22" i="17"/>
  <c r="JE24" i="17"/>
  <c r="JB24" i="17"/>
  <c r="JC24" i="17"/>
  <c r="JD24" i="17"/>
  <c r="JE26" i="17"/>
  <c r="JC26" i="17"/>
  <c r="JB26" i="17"/>
  <c r="JD26" i="17"/>
  <c r="JE15" i="17"/>
  <c r="JD15" i="17"/>
  <c r="JB15" i="17"/>
  <c r="JC15" i="17"/>
  <c r="IX17" i="17"/>
  <c r="JB17" i="17"/>
  <c r="JC17" i="17"/>
  <c r="JE17" i="17"/>
  <c r="JD17" i="17"/>
  <c r="JD19" i="17"/>
  <c r="JC19" i="17"/>
  <c r="JE19" i="17"/>
  <c r="JB19" i="17"/>
  <c r="JE16" i="17"/>
  <c r="JB16" i="17"/>
  <c r="JD16" i="17"/>
  <c r="JC16" i="17"/>
  <c r="JB18" i="17"/>
  <c r="JD18" i="17"/>
  <c r="JE18" i="17"/>
  <c r="JC18" i="17"/>
  <c r="JE8" i="17"/>
  <c r="JD8" i="17"/>
  <c r="JC8" i="17"/>
  <c r="JB8" i="17"/>
  <c r="JE12" i="17"/>
  <c r="JD12" i="17"/>
  <c r="JC12" i="17"/>
  <c r="JB12" i="17"/>
  <c r="JE11" i="17"/>
  <c r="JD11" i="17"/>
  <c r="JC11" i="17"/>
  <c r="JB11" i="17"/>
  <c r="JE9" i="17"/>
  <c r="JD9" i="17"/>
  <c r="JC9" i="17"/>
  <c r="JB9" i="17"/>
  <c r="JE10" i="17"/>
  <c r="JD10" i="17"/>
  <c r="JC10" i="17"/>
  <c r="JB10" i="17"/>
  <c r="JE64" i="17"/>
  <c r="JE84" i="17"/>
  <c r="JC84" i="17"/>
  <c r="JB84" i="17"/>
  <c r="JD84" i="17"/>
  <c r="JB86" i="17"/>
  <c r="JE86" i="17"/>
  <c r="JD86" i="17"/>
  <c r="JC86" i="17"/>
  <c r="IX85" i="17"/>
  <c r="JD85" i="17"/>
  <c r="JC85" i="17"/>
  <c r="JE85" i="17"/>
  <c r="JB85" i="17"/>
  <c r="JC81" i="17"/>
  <c r="JD81" i="17"/>
  <c r="JE81" i="17"/>
  <c r="JB81" i="17"/>
  <c r="JE80" i="17"/>
  <c r="JC80" i="17"/>
  <c r="JD80" i="17"/>
  <c r="JB80" i="17"/>
  <c r="JC79" i="17"/>
  <c r="JE79" i="17"/>
  <c r="JD79" i="17"/>
  <c r="JB79" i="17"/>
  <c r="JC82" i="17"/>
  <c r="JE82" i="17"/>
  <c r="JD82" i="17"/>
  <c r="JB82" i="17"/>
  <c r="JD83" i="17"/>
  <c r="JE83" i="17"/>
  <c r="JC83" i="17"/>
  <c r="JB83" i="17"/>
  <c r="JC78" i="17"/>
  <c r="JE78" i="17"/>
  <c r="JD78" i="17"/>
  <c r="JB78" i="17"/>
  <c r="JD76" i="17"/>
  <c r="JB76" i="17"/>
  <c r="JE76" i="17"/>
  <c r="JC76" i="17"/>
  <c r="JE74" i="17"/>
  <c r="JC74" i="17"/>
  <c r="JD74" i="17"/>
  <c r="JB74" i="17"/>
  <c r="JE77" i="17"/>
  <c r="JC77" i="17"/>
  <c r="JD77" i="17"/>
  <c r="JB77" i="17"/>
  <c r="IX75" i="17"/>
  <c r="JD75" i="17"/>
  <c r="JB75" i="17"/>
  <c r="JE75" i="17"/>
  <c r="JC75" i="17"/>
  <c r="JE71" i="17"/>
  <c r="JB71" i="17"/>
  <c r="JD71" i="17"/>
  <c r="JC71" i="17"/>
  <c r="JC72" i="17"/>
  <c r="JD72" i="17"/>
  <c r="JE72" i="17"/>
  <c r="JB72" i="17"/>
  <c r="JB70" i="17"/>
  <c r="JE70" i="17"/>
  <c r="JD70" i="17"/>
  <c r="JC70" i="17"/>
  <c r="JE69" i="17"/>
  <c r="JD69" i="17"/>
  <c r="JC69" i="17"/>
  <c r="JB69" i="17"/>
  <c r="JB73" i="17"/>
  <c r="JC73" i="17"/>
  <c r="JE73" i="17"/>
  <c r="JD73" i="17"/>
  <c r="JE66" i="17"/>
  <c r="JD66" i="17"/>
  <c r="JC66" i="17"/>
  <c r="JB66" i="17"/>
  <c r="JB67" i="17"/>
  <c r="JE67" i="17"/>
  <c r="JD67" i="17"/>
  <c r="JC67" i="17"/>
  <c r="JE68" i="17"/>
  <c r="JC68" i="17"/>
  <c r="JB68" i="17"/>
  <c r="JD68" i="17"/>
  <c r="JD65" i="17"/>
  <c r="JE65" i="17"/>
  <c r="JB65" i="17"/>
  <c r="JC65" i="17"/>
  <c r="JD64" i="17"/>
  <c r="JB64" i="17"/>
  <c r="JC64" i="17"/>
  <c r="IX84" i="17"/>
  <c r="IX86" i="17"/>
  <c r="IX30" i="17"/>
  <c r="IX81" i="17"/>
  <c r="IX80" i="17"/>
  <c r="IX79" i="17"/>
  <c r="IX82" i="17"/>
  <c r="IX83" i="17"/>
  <c r="IX78" i="17"/>
  <c r="IX76" i="17"/>
  <c r="IX74" i="17"/>
  <c r="IX77" i="17"/>
  <c r="IX66" i="17"/>
  <c r="IX67" i="17"/>
  <c r="IX68" i="17"/>
  <c r="IX65" i="17"/>
  <c r="IX72" i="17"/>
  <c r="IX70" i="17"/>
  <c r="IX73" i="17"/>
  <c r="IX71" i="17"/>
  <c r="IX69" i="17"/>
  <c r="IX53" i="17"/>
  <c r="IX51" i="17"/>
  <c r="IX52" i="17"/>
  <c r="IX50" i="17"/>
  <c r="IX64" i="17"/>
  <c r="IX43" i="17"/>
  <c r="IX45" i="17"/>
  <c r="IX37" i="17"/>
  <c r="IX38" i="17"/>
  <c r="IX40" i="17"/>
  <c r="IX39" i="17"/>
  <c r="IX32" i="17"/>
  <c r="IX31" i="17"/>
  <c r="IX23" i="17"/>
  <c r="IX25" i="17"/>
  <c r="IX22" i="17"/>
  <c r="IX24" i="17"/>
  <c r="IX9" i="17"/>
  <c r="IX10" i="17"/>
  <c r="IX16" i="17"/>
  <c r="IX26" i="17"/>
  <c r="IX15" i="17"/>
  <c r="IX19" i="17"/>
  <c r="IX18" i="17"/>
  <c r="IX12" i="17"/>
  <c r="IX11" i="17"/>
  <c r="IX8" i="17"/>
  <c r="JK84" i="17"/>
  <c r="JH84" i="17"/>
  <c r="JJ84" i="17"/>
  <c r="JG84" i="17"/>
  <c r="JI84" i="17"/>
  <c r="JF84" i="17"/>
  <c r="JJ86" i="17"/>
  <c r="JF86" i="17"/>
  <c r="JI86" i="17"/>
  <c r="JG86" i="17"/>
  <c r="JH86" i="17"/>
  <c r="JK86" i="17"/>
  <c r="JK85" i="17"/>
  <c r="JH85" i="17"/>
  <c r="JF85" i="17"/>
  <c r="JG85" i="17"/>
  <c r="JJ85" i="17"/>
  <c r="JI85" i="17"/>
  <c r="JJ81" i="17"/>
  <c r="JH81" i="17"/>
  <c r="JK81" i="17"/>
  <c r="JG81" i="17"/>
  <c r="JI81" i="17"/>
  <c r="JF81" i="17"/>
  <c r="JF80" i="17"/>
  <c r="JH80" i="17"/>
  <c r="JI80" i="17"/>
  <c r="JG80" i="17"/>
  <c r="JJ80" i="17"/>
  <c r="JK80" i="17"/>
  <c r="JG79" i="17"/>
  <c r="JI79" i="17"/>
  <c r="JF79" i="17"/>
  <c r="JJ79" i="17"/>
  <c r="JK79" i="17"/>
  <c r="JH79" i="17"/>
  <c r="JK82" i="17"/>
  <c r="JI82" i="17"/>
  <c r="JG82" i="17"/>
  <c r="JH82" i="17"/>
  <c r="JJ82" i="17"/>
  <c r="JF82" i="17"/>
  <c r="JK83" i="17"/>
  <c r="JJ83" i="17"/>
  <c r="JI83" i="17"/>
  <c r="JH83" i="17"/>
  <c r="JF83" i="17"/>
  <c r="JG83" i="17"/>
  <c r="JG78" i="17"/>
  <c r="JI78" i="17"/>
  <c r="JJ78" i="17"/>
  <c r="JK78" i="17"/>
  <c r="JH78" i="17"/>
  <c r="JF78" i="17"/>
  <c r="JF76" i="17"/>
  <c r="JK76" i="17"/>
  <c r="JJ76" i="17"/>
  <c r="JI76" i="17"/>
  <c r="JH76" i="17"/>
  <c r="JG76" i="17"/>
  <c r="JG74" i="17"/>
  <c r="JF74" i="17"/>
  <c r="JK74" i="17"/>
  <c r="JJ74" i="17"/>
  <c r="JI74" i="17"/>
  <c r="JH74" i="17"/>
  <c r="JK77" i="17"/>
  <c r="JI77" i="17"/>
  <c r="JH77" i="17"/>
  <c r="JG77" i="17"/>
  <c r="JF77" i="17"/>
  <c r="JJ77" i="17"/>
  <c r="JG75" i="17"/>
  <c r="JH75" i="17"/>
  <c r="JI75" i="17"/>
  <c r="JJ75" i="17"/>
  <c r="JK75" i="17"/>
  <c r="JF75" i="17"/>
  <c r="JG71" i="17"/>
  <c r="JH71" i="17"/>
  <c r="JJ71" i="17"/>
  <c r="JI71" i="17"/>
  <c r="JF71" i="17"/>
  <c r="JK71" i="17"/>
  <c r="JK72" i="17"/>
  <c r="JI72" i="17"/>
  <c r="JG72" i="17"/>
  <c r="JH72" i="17"/>
  <c r="JJ72" i="17"/>
  <c r="JF72" i="17"/>
  <c r="JG70" i="17"/>
  <c r="JH70" i="17"/>
  <c r="JK70" i="17"/>
  <c r="JJ70" i="17"/>
  <c r="JF70" i="17"/>
  <c r="JI70" i="17"/>
  <c r="JJ69" i="17"/>
  <c r="JH69" i="17"/>
  <c r="JK69" i="17"/>
  <c r="JI69" i="17"/>
  <c r="JG69" i="17"/>
  <c r="JF69" i="17"/>
  <c r="JG73" i="17"/>
  <c r="JJ73" i="17"/>
  <c r="JH73" i="17"/>
  <c r="JF73" i="17"/>
  <c r="JK73" i="17"/>
  <c r="JI73" i="17"/>
  <c r="JJ64" i="17"/>
  <c r="JG64" i="17"/>
  <c r="JI64" i="17"/>
  <c r="JH64" i="17"/>
  <c r="JK64" i="17"/>
  <c r="JF64" i="17"/>
  <c r="JG66" i="17"/>
  <c r="JK66" i="17"/>
  <c r="JF66" i="17"/>
  <c r="JI66" i="17"/>
  <c r="JJ66" i="17"/>
  <c r="JH66" i="17"/>
  <c r="JK67" i="17"/>
  <c r="JI67" i="17"/>
  <c r="JG67" i="17"/>
  <c r="JJ67" i="17"/>
  <c r="JH67" i="17"/>
  <c r="JF67" i="17"/>
  <c r="JK68" i="17"/>
  <c r="JJ68" i="17"/>
  <c r="JI68" i="17"/>
  <c r="JG68" i="17"/>
  <c r="JF68" i="17"/>
  <c r="JH68" i="17"/>
  <c r="JF65" i="17"/>
  <c r="JI65" i="17"/>
  <c r="JH65" i="17"/>
  <c r="JK65" i="17"/>
  <c r="JG65" i="17"/>
  <c r="JJ65" i="17"/>
  <c r="JK53" i="17"/>
  <c r="JF53" i="17"/>
  <c r="JG53" i="17"/>
  <c r="JH53" i="17"/>
  <c r="JI53" i="17"/>
  <c r="JJ53" i="17"/>
  <c r="JK51" i="17"/>
  <c r="JJ51" i="17"/>
  <c r="JI51" i="17"/>
  <c r="JH51" i="17"/>
  <c r="JG51" i="17"/>
  <c r="JF51" i="17"/>
  <c r="JI52" i="17"/>
  <c r="JG52" i="17"/>
  <c r="JK52" i="17"/>
  <c r="JJ52" i="17"/>
  <c r="JH52" i="17"/>
  <c r="JF52" i="17"/>
  <c r="JJ50" i="17"/>
  <c r="JF50" i="17"/>
  <c r="JG50" i="17"/>
  <c r="JH50" i="17"/>
  <c r="JI50" i="17"/>
  <c r="JK50" i="17"/>
  <c r="JI44" i="17"/>
  <c r="JK44" i="17"/>
  <c r="JG44" i="17"/>
  <c r="JF44" i="17"/>
  <c r="JH44" i="17"/>
  <c r="JJ44" i="17"/>
  <c r="JI43" i="17"/>
  <c r="JF43" i="17"/>
  <c r="JK43" i="17"/>
  <c r="JH43" i="17"/>
  <c r="JG43" i="17"/>
  <c r="JJ43" i="17"/>
  <c r="JK46" i="17"/>
  <c r="JJ46" i="17"/>
  <c r="JI46" i="17"/>
  <c r="JH46" i="17"/>
  <c r="JG46" i="17"/>
  <c r="JF46" i="17"/>
  <c r="JF45" i="17"/>
  <c r="JJ45" i="17"/>
  <c r="JK45" i="17"/>
  <c r="JI45" i="17"/>
  <c r="JH45" i="17"/>
  <c r="JG45" i="17"/>
  <c r="JF36" i="17"/>
  <c r="JI36" i="17"/>
  <c r="JK36" i="17"/>
  <c r="JJ36" i="17"/>
  <c r="JG36" i="17"/>
  <c r="JH36" i="17"/>
  <c r="JH37" i="17"/>
  <c r="JF37" i="17"/>
  <c r="JI37" i="17"/>
  <c r="JJ37" i="17"/>
  <c r="JK37" i="17"/>
  <c r="JG37" i="17"/>
  <c r="JJ38" i="17"/>
  <c r="JG38" i="17"/>
  <c r="JK38" i="17"/>
  <c r="JF38" i="17"/>
  <c r="JI38" i="17"/>
  <c r="JH38" i="17"/>
  <c r="JJ40" i="17"/>
  <c r="JF40" i="17"/>
  <c r="JG40" i="17"/>
  <c r="JH40" i="17"/>
  <c r="JI40" i="17"/>
  <c r="JK40" i="17"/>
  <c r="JG39" i="17"/>
  <c r="JK39" i="17"/>
  <c r="JJ39" i="17"/>
  <c r="JF39" i="17"/>
  <c r="JI39" i="17"/>
  <c r="JH39" i="17"/>
  <c r="JG32" i="17"/>
  <c r="JK32" i="17"/>
  <c r="JI32" i="17"/>
  <c r="JF32" i="17"/>
  <c r="JH32" i="17"/>
  <c r="JJ32" i="17"/>
  <c r="JG31" i="17"/>
  <c r="JJ31" i="17"/>
  <c r="JI31" i="17"/>
  <c r="JH31" i="17"/>
  <c r="JK31" i="17"/>
  <c r="JF31" i="17"/>
  <c r="JJ30" i="17"/>
  <c r="JH30" i="17"/>
  <c r="JF30" i="17"/>
  <c r="JI30" i="17"/>
  <c r="JG30" i="17"/>
  <c r="JK30" i="17"/>
  <c r="JI29" i="17"/>
  <c r="JG29" i="17"/>
  <c r="JJ29" i="17"/>
  <c r="JH29" i="17"/>
  <c r="JK29" i="17"/>
  <c r="JF29" i="17"/>
  <c r="JK23" i="17"/>
  <c r="JI23" i="17"/>
  <c r="JG23" i="17"/>
  <c r="JH23" i="17"/>
  <c r="JJ23" i="17"/>
  <c r="JF23" i="17"/>
  <c r="JI25" i="17"/>
  <c r="JK25" i="17"/>
  <c r="JJ25" i="17"/>
  <c r="JF25" i="17"/>
  <c r="JH25" i="17"/>
  <c r="JG25" i="17"/>
  <c r="JG22" i="17"/>
  <c r="JH22" i="17"/>
  <c r="JK22" i="17"/>
  <c r="JF22" i="17"/>
  <c r="JJ22" i="17"/>
  <c r="JI22" i="17"/>
  <c r="JI24" i="17"/>
  <c r="JH24" i="17"/>
  <c r="JF24" i="17"/>
  <c r="JG24" i="17"/>
  <c r="JJ24" i="17"/>
  <c r="JK24" i="17"/>
  <c r="JG26" i="17"/>
  <c r="JK26" i="17"/>
  <c r="JJ26" i="17"/>
  <c r="JI26" i="17"/>
  <c r="JH26" i="17"/>
  <c r="JF26" i="17"/>
  <c r="JI15" i="17"/>
  <c r="JF15" i="17"/>
  <c r="JK15" i="17"/>
  <c r="JH15" i="17"/>
  <c r="JG15" i="17"/>
  <c r="JJ15" i="17"/>
  <c r="JK17" i="17"/>
  <c r="JI17" i="17"/>
  <c r="JG17" i="17"/>
  <c r="JH17" i="17"/>
  <c r="JF17" i="17"/>
  <c r="JJ17" i="17"/>
  <c r="JG19" i="17"/>
  <c r="JI19" i="17"/>
  <c r="JF19" i="17"/>
  <c r="JK19" i="17"/>
  <c r="JH19" i="17"/>
  <c r="JJ19" i="17"/>
  <c r="JJ16" i="17"/>
  <c r="JG16" i="17"/>
  <c r="JI16" i="17"/>
  <c r="JF16" i="17"/>
  <c r="JH16" i="17"/>
  <c r="JK16" i="17"/>
  <c r="JH18" i="17"/>
  <c r="JK18" i="17"/>
  <c r="JJ18" i="17"/>
  <c r="JG18" i="17"/>
  <c r="JI18" i="17"/>
  <c r="JF18" i="17"/>
  <c r="JF12" i="17"/>
  <c r="JH12" i="17"/>
  <c r="JJ12" i="17"/>
  <c r="JG12" i="17"/>
  <c r="JI12" i="17"/>
  <c r="JK12" i="17"/>
  <c r="JG11" i="17"/>
  <c r="JF11" i="17"/>
  <c r="JH11" i="17"/>
  <c r="JJ11" i="17"/>
  <c r="JI11" i="17"/>
  <c r="JK11" i="17"/>
  <c r="JF9" i="17"/>
  <c r="JG9" i="17"/>
  <c r="JH9" i="17"/>
  <c r="JI9" i="17"/>
  <c r="JJ9" i="17"/>
  <c r="JK9" i="17"/>
  <c r="JF10" i="17"/>
  <c r="JG10" i="17"/>
  <c r="JH10" i="17"/>
  <c r="JJ10" i="17"/>
  <c r="JK10" i="17"/>
  <c r="JI10" i="17"/>
  <c r="JK8" i="17"/>
  <c r="JJ8" i="17"/>
  <c r="JI8" i="17"/>
  <c r="JH8" i="17"/>
  <c r="JG8" i="17"/>
  <c r="JF8" i="17"/>
  <c r="IE57" i="17"/>
  <c r="ID60" i="17"/>
  <c r="IE60" i="17"/>
  <c r="IC60" i="17"/>
  <c r="IC20" i="17"/>
  <c r="IK60" i="17"/>
  <c r="IB60" i="17"/>
  <c r="IB59" i="17"/>
  <c r="IB34" i="17"/>
  <c r="IK57" i="17"/>
  <c r="ID57" i="17"/>
  <c r="ID58" i="17"/>
  <c r="IC58" i="17"/>
  <c r="IE59" i="17"/>
  <c r="ID59" i="17"/>
  <c r="IC57" i="17"/>
  <c r="IC34" i="17"/>
  <c r="IE58" i="17"/>
  <c r="IK59" i="17"/>
  <c r="IB20" i="17"/>
  <c r="IK58" i="17"/>
  <c r="IB58" i="17"/>
  <c r="IY85" i="17" l="1"/>
  <c r="IY75" i="17"/>
  <c r="IY80" i="17"/>
  <c r="IY76" i="17"/>
  <c r="IY77" i="17"/>
  <c r="IY66" i="17"/>
  <c r="IY67" i="17"/>
  <c r="IY68" i="17"/>
  <c r="IY65" i="17"/>
  <c r="IY72" i="17"/>
  <c r="IY70" i="17"/>
  <c r="IY73" i="17"/>
  <c r="IY71" i="17"/>
  <c r="IY86" i="17"/>
  <c r="IY84" i="17"/>
  <c r="IY79" i="17"/>
  <c r="IY83" i="17"/>
  <c r="IY64" i="17"/>
  <c r="IY81" i="17"/>
  <c r="IY82" i="17"/>
  <c r="IY78" i="17"/>
  <c r="IY40" i="17"/>
  <c r="IY19" i="17"/>
  <c r="IY44" i="17"/>
  <c r="IY46" i="17"/>
  <c r="IY36" i="17"/>
  <c r="IY29" i="17"/>
  <c r="IY17" i="17"/>
  <c r="IY74" i="17"/>
  <c r="IY53" i="17"/>
  <c r="IY51" i="17"/>
  <c r="IY52" i="17"/>
  <c r="IY50" i="17"/>
  <c r="IY43" i="17"/>
  <c r="IY45" i="17"/>
  <c r="IY38" i="17"/>
  <c r="IY39" i="17"/>
  <c r="IY32" i="17"/>
  <c r="IY31" i="17"/>
  <c r="IY30" i="17"/>
  <c r="IY23" i="17"/>
  <c r="IY25" i="17"/>
  <c r="IY22" i="17"/>
  <c r="IY24" i="17"/>
  <c r="IY9" i="17"/>
  <c r="IY10" i="17"/>
  <c r="IY69" i="17"/>
  <c r="IY37" i="17"/>
  <c r="IY16" i="17"/>
  <c r="IY26" i="17"/>
  <c r="IY15" i="17"/>
  <c r="IY18" i="17"/>
  <c r="IY12" i="17"/>
  <c r="IY11" i="17"/>
  <c r="IY8" i="17"/>
  <c r="Z6" i="16" l="1"/>
  <c r="AD6" i="16"/>
  <c r="AB16" i="16" l="1"/>
  <c r="AA16" i="16" s="1"/>
  <c r="Z16" i="16" s="1"/>
  <c r="AB8" i="16"/>
  <c r="AA8" i="16" s="1" a="1"/>
  <c r="AA8" i="16" s="1"/>
  <c r="Z8" i="16" s="1"/>
  <c r="AB10" i="16"/>
  <c r="AB11" i="16"/>
  <c r="AB19" i="16"/>
  <c r="AA19" i="16" s="1"/>
  <c r="Z19" i="16" s="1"/>
  <c r="AB18" i="16"/>
  <c r="AA18" i="16" s="1"/>
  <c r="Z18" i="16" s="1"/>
  <c r="AB13" i="16"/>
  <c r="AB20" i="16"/>
  <c r="AB15" i="16"/>
  <c r="AA15" i="16" s="1"/>
  <c r="Z15" i="16" s="1"/>
  <c r="AB12" i="16"/>
  <c r="AB9" i="16"/>
  <c r="AA9" i="16" s="1"/>
  <c r="Z9" i="16" s="1"/>
  <c r="AB17" i="16"/>
  <c r="AA17" i="16" s="1"/>
  <c r="Z17" i="16" s="1"/>
  <c r="AB14" i="16"/>
  <c r="AF20" i="16"/>
  <c r="AE20" i="16" s="1"/>
  <c r="AD20" i="16" s="1"/>
  <c r="AF15" i="16"/>
  <c r="AE15" i="16" s="1"/>
  <c r="AD15" i="16" s="1"/>
  <c r="AF11" i="16"/>
  <c r="AF9" i="16"/>
  <c r="AF17" i="16"/>
  <c r="AE17" i="16" s="1"/>
  <c r="AD17" i="16" s="1"/>
  <c r="AF12" i="16"/>
  <c r="AF18" i="16"/>
  <c r="AE18" i="16" s="1"/>
  <c r="AD18" i="16" s="1"/>
  <c r="AF19" i="16"/>
  <c r="AE19" i="16" s="1"/>
  <c r="AD19" i="16" s="1"/>
  <c r="AF8" i="16"/>
  <c r="AE8" i="16" s="1"/>
  <c r="AD8" i="16" s="1"/>
  <c r="AF14" i="16"/>
  <c r="AF16" i="16"/>
  <c r="AE16" i="16" s="1"/>
  <c r="AD16" i="16" s="1"/>
  <c r="AF10" i="16"/>
  <c r="AE10" i="16" s="1"/>
  <c r="AD10" i="16" s="1"/>
  <c r="AF13" i="16"/>
  <c r="AE9" i="16" l="1"/>
  <c r="AD9" i="16" s="1"/>
  <c r="AA12" i="16"/>
  <c r="Z12" i="16" s="1"/>
  <c r="AE13" i="16"/>
  <c r="AD13" i="16" s="1"/>
  <c r="AE11" i="16"/>
  <c r="AD11" i="16" s="1"/>
  <c r="AA14" i="16"/>
  <c r="Z14" i="16" s="1"/>
  <c r="AE14" i="16"/>
  <c r="AD14" i="16" s="1"/>
  <c r="AE12" i="16"/>
  <c r="AD12" i="16" s="1"/>
  <c r="AA11" i="16"/>
  <c r="Z11" i="16" s="1"/>
  <c r="AA13" i="16"/>
  <c r="Z13" i="16" s="1"/>
  <c r="AA10" i="16"/>
  <c r="Z10" i="16" s="1"/>
  <c r="FV60" i="17"/>
  <c r="DA11" i="17"/>
  <c r="DL24" i="17"/>
  <c r="CJ64" i="17"/>
  <c r="BZ78" i="17"/>
  <c r="FR30" i="17"/>
  <c r="EN54" i="17"/>
  <c r="FZ8" i="17"/>
  <c r="DA48" i="17"/>
  <c r="AZ81" i="17"/>
  <c r="DA79" i="17"/>
  <c r="EV54" i="17"/>
  <c r="CC85" i="17"/>
  <c r="DX43" i="17"/>
  <c r="DR57" i="17"/>
  <c r="CQ31" i="17"/>
  <c r="FB46" i="17"/>
  <c r="HK28" i="17"/>
  <c r="CT47" i="17"/>
  <c r="EZ54" i="17"/>
  <c r="EW24" i="17"/>
  <c r="EG18" i="17"/>
  <c r="AX11" i="17"/>
  <c r="FE86" i="17"/>
  <c r="FI24" i="17"/>
  <c r="BB75" i="17"/>
  <c r="FW25" i="17"/>
  <c r="BA78" i="17"/>
  <c r="DF41" i="17"/>
  <c r="DZ8" i="17"/>
  <c r="CU83" i="17"/>
  <c r="CR81" i="17"/>
  <c r="FT52" i="17"/>
  <c r="HK7" i="17"/>
  <c r="CY65" i="17"/>
  <c r="CI59" i="17"/>
  <c r="CF34" i="17"/>
  <c r="AZ10" i="17"/>
  <c r="DN74" i="17"/>
  <c r="CD71" i="17"/>
  <c r="DW20" i="17"/>
  <c r="EF52" i="17"/>
  <c r="FT15" i="17"/>
  <c r="BB68" i="17"/>
  <c r="HW56" i="17"/>
  <c r="FJ83" i="17"/>
  <c r="BC17" i="17"/>
  <c r="EZ26" i="17"/>
  <c r="CH75" i="17"/>
  <c r="DT18" i="17"/>
  <c r="FU40" i="17"/>
  <c r="EG40" i="17"/>
  <c r="FF30" i="17"/>
  <c r="BZ60" i="17"/>
  <c r="CL75" i="17"/>
  <c r="FF81" i="17"/>
  <c r="BU44" i="17"/>
  <c r="CY74" i="17"/>
  <c r="FH61" i="17"/>
  <c r="EL75" i="17"/>
  <c r="AQ85" i="17"/>
  <c r="DT79" i="17"/>
  <c r="FP76" i="17"/>
  <c r="DX85" i="17"/>
  <c r="GX14" i="17"/>
  <c r="AQ43" i="17"/>
  <c r="EW29" i="17"/>
  <c r="EN43" i="17"/>
  <c r="DB77" i="17"/>
  <c r="CB81" i="17"/>
  <c r="FU85" i="17"/>
  <c r="GD20" i="17"/>
  <c r="FD86" i="17"/>
  <c r="FV44" i="17"/>
  <c r="DU51" i="17"/>
  <c r="FH86" i="17"/>
  <c r="EP60" i="17"/>
  <c r="BD55" i="17"/>
  <c r="FT76" i="17"/>
  <c r="DL9" i="17"/>
  <c r="DK45" i="17"/>
  <c r="HA28" i="17"/>
  <c r="CX39" i="17"/>
  <c r="CH9" i="17"/>
  <c r="BC19" i="17"/>
  <c r="EQ33" i="17"/>
  <c r="AV72" i="17"/>
  <c r="EK27" i="17"/>
  <c r="CZ27" i="17"/>
  <c r="FE55" i="17"/>
  <c r="BZ64" i="17"/>
  <c r="CH8" i="17"/>
  <c r="FR37" i="17"/>
  <c r="HT56" i="17"/>
  <c r="DI18" i="17"/>
  <c r="CH45" i="17"/>
  <c r="CI60" i="17"/>
  <c r="FS54" i="17"/>
  <c r="AU67" i="17"/>
  <c r="FY34" i="17"/>
  <c r="BY39" i="17"/>
  <c r="BZ37" i="17"/>
  <c r="DJ32" i="17"/>
  <c r="DU9" i="17"/>
  <c r="GE59" i="17"/>
  <c r="EK18" i="17"/>
  <c r="GD55" i="17"/>
  <c r="EB39" i="17"/>
  <c r="BW45" i="17"/>
  <c r="BF22" i="17"/>
  <c r="DB45" i="17"/>
  <c r="BV65" i="17"/>
  <c r="CW76" i="17"/>
  <c r="BE70" i="17"/>
  <c r="FZ73" i="17"/>
  <c r="BC80" i="17"/>
  <c r="DD65" i="17"/>
  <c r="AR77" i="17"/>
  <c r="CX69" i="17"/>
  <c r="CP79" i="17"/>
  <c r="DF51" i="17"/>
  <c r="EQ53" i="17"/>
  <c r="FS40" i="17"/>
  <c r="EO65" i="17"/>
  <c r="FH30" i="17"/>
  <c r="FQ52" i="17"/>
  <c r="DR27" i="17"/>
  <c r="EQ38" i="17"/>
  <c r="AU29" i="17"/>
  <c r="GD80" i="17"/>
  <c r="BF75" i="17"/>
  <c r="BB39" i="17"/>
  <c r="BW69" i="17"/>
  <c r="FD61" i="17"/>
  <c r="EP80" i="17"/>
  <c r="GV21" i="17"/>
  <c r="FZ76" i="17"/>
  <c r="CF83" i="17"/>
  <c r="FB23" i="17"/>
  <c r="AZ61" i="17"/>
  <c r="EY36" i="17"/>
  <c r="FD47" i="17"/>
  <c r="DW71" i="17"/>
  <c r="CP9" i="17"/>
  <c r="GC9" i="17"/>
  <c r="EX10" i="17"/>
  <c r="DK85" i="17"/>
  <c r="AV39" i="17"/>
  <c r="GC84" i="17"/>
  <c r="CC9" i="17"/>
  <c r="FP59" i="17"/>
  <c r="FL11" i="17"/>
  <c r="CI30" i="17"/>
  <c r="BW80" i="17"/>
  <c r="BH55" i="17"/>
  <c r="DX34" i="17"/>
  <c r="CI25" i="17"/>
  <c r="EO74" i="17"/>
  <c r="FS31" i="17"/>
  <c r="DR41" i="17"/>
  <c r="FR68" i="17"/>
  <c r="FG41" i="17"/>
  <c r="FK19" i="17"/>
  <c r="AR39" i="17"/>
  <c r="CV45" i="17"/>
  <c r="EB24" i="17"/>
  <c r="CZ18" i="17"/>
  <c r="EI31" i="17"/>
  <c r="AT59" i="17"/>
  <c r="EX26" i="17"/>
  <c r="CF84" i="17"/>
  <c r="EI75" i="17"/>
  <c r="CD25" i="17"/>
  <c r="EE38" i="17"/>
  <c r="DP27" i="17"/>
  <c r="CZ65" i="17"/>
  <c r="CP30" i="17"/>
  <c r="CY22" i="17"/>
  <c r="CH32" i="17"/>
  <c r="FA24" i="17"/>
  <c r="DS43" i="17"/>
  <c r="HS63" i="17"/>
  <c r="AV80" i="17"/>
  <c r="FD46" i="17"/>
  <c r="CE74" i="17"/>
  <c r="CG54" i="17"/>
  <c r="DZ31" i="17"/>
  <c r="EF66" i="17"/>
  <c r="CE77" i="17"/>
  <c r="EK53" i="17"/>
  <c r="EW16" i="17"/>
  <c r="FI26" i="17"/>
  <c r="AZ65" i="17"/>
  <c r="GP56" i="17"/>
  <c r="CR50" i="17"/>
  <c r="DP83" i="17"/>
  <c r="EK84" i="17"/>
  <c r="FY79" i="17"/>
  <c r="DW11" i="17"/>
  <c r="EG80" i="17"/>
  <c r="AR24" i="17"/>
  <c r="FV75" i="17"/>
  <c r="CC80" i="17"/>
  <c r="EN41" i="17"/>
  <c r="FJ69" i="17"/>
  <c r="EH50" i="17"/>
  <c r="DJ76" i="17"/>
  <c r="BV50" i="17"/>
  <c r="EE44" i="17"/>
  <c r="EY8" i="17"/>
  <c r="EP40" i="17"/>
  <c r="GC68" i="17"/>
  <c r="EF51" i="17"/>
  <c r="BA40" i="17"/>
  <c r="FK29" i="17"/>
  <c r="CE80" i="17"/>
  <c r="CE24" i="17"/>
  <c r="FB16" i="17"/>
  <c r="FC30" i="17"/>
  <c r="FN27" i="17"/>
  <c r="FF73" i="17"/>
  <c r="GW56" i="17"/>
  <c r="FU78" i="17"/>
  <c r="AV46" i="17"/>
  <c r="FX59" i="17"/>
  <c r="HR63" i="17"/>
  <c r="DP10" i="17"/>
  <c r="EB81" i="17"/>
  <c r="CU10" i="17"/>
  <c r="AY86" i="17"/>
  <c r="EB31" i="17"/>
  <c r="CY19" i="17"/>
  <c r="CZ31" i="17"/>
  <c r="CT32" i="17"/>
  <c r="CF78" i="17"/>
  <c r="DJ77" i="17"/>
  <c r="EK10" i="17"/>
  <c r="GF69" i="17"/>
  <c r="DV9" i="17"/>
  <c r="CD64" i="17"/>
  <c r="CW41" i="17"/>
  <c r="CL66" i="17"/>
  <c r="AW54" i="17"/>
  <c r="FQ31" i="17"/>
  <c r="CJ53" i="17"/>
  <c r="FG60" i="17"/>
  <c r="DN10" i="17"/>
  <c r="DC53" i="17"/>
  <c r="BV76" i="17"/>
  <c r="CI54" i="17"/>
  <c r="AY11" i="17"/>
  <c r="DV73" i="17"/>
  <c r="FZ15" i="17"/>
  <c r="EO25" i="17"/>
  <c r="GE58" i="17"/>
  <c r="EP59" i="17"/>
  <c r="EP58" i="17"/>
  <c r="BY33" i="17"/>
  <c r="AZ27" i="17"/>
  <c r="DJ12" i="17"/>
  <c r="AU83" i="17"/>
  <c r="EQ20" i="17"/>
  <c r="CA66" i="17"/>
  <c r="HO56" i="17"/>
  <c r="EY60" i="17"/>
  <c r="CL9" i="17"/>
  <c r="EM53" i="17"/>
  <c r="EF81" i="17"/>
  <c r="AZ12" i="17"/>
  <c r="EX23" i="17"/>
  <c r="BW26" i="17"/>
  <c r="FU32" i="17"/>
  <c r="CC20" i="17"/>
  <c r="FI78" i="17"/>
  <c r="FY47" i="17"/>
  <c r="CT81" i="17"/>
  <c r="DT55" i="17"/>
  <c r="CT45" i="17"/>
  <c r="GF41" i="17"/>
  <c r="DK68" i="17"/>
  <c r="AQ45" i="17"/>
  <c r="FJ32" i="17"/>
  <c r="EL41" i="17"/>
  <c r="DD54" i="17"/>
  <c r="FE82" i="17"/>
  <c r="GA80" i="17"/>
  <c r="GA67" i="17"/>
  <c r="FF85" i="17"/>
  <c r="EN25" i="17"/>
  <c r="AV19" i="17"/>
  <c r="EE9" i="17"/>
  <c r="FN23" i="17"/>
  <c r="DW72" i="17"/>
  <c r="DP46" i="17"/>
  <c r="CB84" i="17"/>
  <c r="CC38" i="17"/>
  <c r="GA71" i="17"/>
  <c r="BD74" i="17"/>
  <c r="BC66" i="17"/>
  <c r="CC36" i="17"/>
  <c r="HU42" i="17"/>
  <c r="BF69" i="17"/>
  <c r="CT60" i="17"/>
  <c r="HM7" i="17"/>
  <c r="CZ55" i="17"/>
  <c r="BE69" i="17"/>
  <c r="GD33" i="17"/>
  <c r="ER39" i="17"/>
  <c r="BA66" i="17"/>
  <c r="DP68" i="17"/>
  <c r="EX11" i="17"/>
  <c r="DC9" i="17"/>
  <c r="DL83" i="17"/>
  <c r="DP60" i="17"/>
  <c r="CL30" i="17"/>
  <c r="EO43" i="17"/>
  <c r="FT59" i="17"/>
  <c r="EV26" i="17"/>
  <c r="CR82" i="17"/>
  <c r="ER50" i="17"/>
  <c r="EQ31" i="17"/>
  <c r="CQ73" i="17"/>
  <c r="EL48" i="17"/>
  <c r="AT79" i="17"/>
  <c r="DM71" i="17"/>
  <c r="DA78" i="17"/>
  <c r="FI73" i="17"/>
  <c r="FD84" i="17"/>
  <c r="FX25" i="17"/>
  <c r="FZ23" i="17"/>
  <c r="CU11" i="17"/>
  <c r="ED77" i="17"/>
  <c r="CU32" i="17"/>
  <c r="EF8" i="17"/>
  <c r="EF2" i="17" s="1"/>
  <c r="FF20" i="17"/>
  <c r="CY72" i="17"/>
  <c r="DB41" i="17"/>
  <c r="CH51" i="17"/>
  <c r="EY25" i="17"/>
  <c r="EN86" i="17"/>
  <c r="DS65" i="17"/>
  <c r="CR38" i="17"/>
  <c r="BH8" i="17"/>
  <c r="AX41" i="17"/>
  <c r="DU60" i="17"/>
  <c r="BE45" i="17"/>
  <c r="CE8" i="17"/>
  <c r="DJ74" i="17"/>
  <c r="GF80" i="17"/>
  <c r="FG52" i="17"/>
  <c r="CD43" i="17"/>
  <c r="CV77" i="17"/>
  <c r="FS23" i="17"/>
  <c r="EG46" i="17"/>
  <c r="DH46" i="17"/>
  <c r="GF66" i="17"/>
  <c r="DU48" i="17"/>
  <c r="EJ72" i="17"/>
  <c r="CG82" i="17"/>
  <c r="FQ57" i="17"/>
  <c r="FF32" i="17"/>
  <c r="CF10" i="17"/>
  <c r="FI66" i="17"/>
  <c r="AZ41" i="17"/>
  <c r="AZ19" i="17"/>
  <c r="DS36" i="17"/>
  <c r="BF66" i="17"/>
  <c r="BY12" i="17"/>
  <c r="CF39" i="17"/>
  <c r="CP54" i="17"/>
  <c r="HP28" i="17"/>
  <c r="AR72" i="17"/>
  <c r="GD23" i="17"/>
  <c r="CB86" i="17"/>
  <c r="HG42" i="17"/>
  <c r="FT46" i="17"/>
  <c r="DI70" i="17"/>
  <c r="EL79" i="17"/>
  <c r="FW15" i="17"/>
  <c r="EB10" i="17"/>
  <c r="DI76" i="17"/>
  <c r="CX44" i="17"/>
  <c r="DH60" i="17"/>
  <c r="FG55" i="17"/>
  <c r="DM17" i="17"/>
  <c r="AR80" i="17"/>
  <c r="EN58" i="17"/>
  <c r="DU20" i="17"/>
  <c r="BV8" i="17"/>
  <c r="HA56" i="17"/>
  <c r="EM76" i="17"/>
  <c r="DX50" i="17"/>
  <c r="EL27" i="17"/>
  <c r="CP70" i="17"/>
  <c r="CA46" i="17"/>
  <c r="FE70" i="17"/>
  <c r="DK75" i="17"/>
  <c r="FR23" i="17"/>
  <c r="FC22" i="17"/>
  <c r="CL54" i="17"/>
  <c r="CB12" i="17"/>
  <c r="EF15" i="17"/>
  <c r="FK61" i="17"/>
  <c r="EN80" i="17"/>
  <c r="BD77" i="17"/>
  <c r="CW71" i="17"/>
  <c r="CA72" i="17"/>
  <c r="HL42" i="17"/>
  <c r="FW27" i="17"/>
  <c r="BW64" i="17"/>
  <c r="BC41" i="17"/>
  <c r="DM65" i="17"/>
  <c r="DH64" i="17"/>
  <c r="EG74" i="17"/>
  <c r="DD8" i="17"/>
  <c r="CI57" i="17"/>
  <c r="EK41" i="17"/>
  <c r="EK79" i="17"/>
  <c r="AQ64" i="17"/>
  <c r="FG68" i="17"/>
  <c r="EK86" i="17"/>
  <c r="AW53" i="17"/>
  <c r="DK58" i="17"/>
  <c r="FW40" i="17"/>
  <c r="GH52" i="17"/>
  <c r="DM59" i="17"/>
  <c r="EP32" i="17"/>
  <c r="DP76" i="17"/>
  <c r="DW82" i="17"/>
  <c r="FJ23" i="17"/>
  <c r="FJ82" i="17"/>
  <c r="FP11" i="17"/>
  <c r="AS81" i="17"/>
  <c r="FH9" i="17"/>
  <c r="FI69" i="17"/>
  <c r="CF27" i="17"/>
  <c r="CO39" i="17"/>
  <c r="AS43" i="17"/>
  <c r="FI70" i="17"/>
  <c r="AY72" i="17"/>
  <c r="DV46" i="17"/>
  <c r="CJ17" i="17"/>
  <c r="CB20" i="17"/>
  <c r="DQ22" i="17"/>
  <c r="HK56" i="17"/>
  <c r="FR80" i="17"/>
  <c r="FI83" i="17"/>
  <c r="BX19" i="17"/>
  <c r="AR18" i="17"/>
  <c r="AR60" i="17"/>
  <c r="DT45" i="17"/>
  <c r="AR81" i="17"/>
  <c r="EJ47" i="17"/>
  <c r="FD41" i="17"/>
  <c r="GH57" i="17"/>
  <c r="FN46" i="17"/>
  <c r="GF50" i="17"/>
  <c r="FB51" i="17"/>
  <c r="CR78" i="17"/>
  <c r="FL39" i="17"/>
  <c r="EZ71" i="17"/>
  <c r="CA37" i="17"/>
  <c r="DX55" i="17"/>
  <c r="CX65" i="17"/>
  <c r="DI80" i="17"/>
  <c r="FF55" i="17"/>
  <c r="EP53" i="17"/>
  <c r="DM85" i="17"/>
  <c r="BX65" i="17"/>
  <c r="DO86" i="17"/>
  <c r="FN12" i="17"/>
  <c r="EW69" i="17"/>
  <c r="FK32" i="17"/>
  <c r="BC50" i="17"/>
  <c r="EF31" i="17"/>
  <c r="FL59" i="17"/>
  <c r="DX47" i="17"/>
  <c r="FA26" i="17"/>
  <c r="FH38" i="17"/>
  <c r="FX82" i="17"/>
  <c r="DS61" i="17"/>
  <c r="CQ43" i="17"/>
  <c r="HJ28" i="17"/>
  <c r="BD78" i="17"/>
  <c r="AV58" i="17"/>
  <c r="EV78" i="17"/>
  <c r="FL55" i="17"/>
  <c r="FQ53" i="17"/>
  <c r="FA85" i="17"/>
  <c r="EF77" i="17"/>
  <c r="DQ50" i="17"/>
  <c r="EQ46" i="17"/>
  <c r="CE59" i="17"/>
  <c r="BY58" i="17"/>
  <c r="BW77" i="17"/>
  <c r="CE85" i="17"/>
  <c r="EV19" i="17"/>
  <c r="CQ32" i="17"/>
  <c r="FL48" i="17"/>
  <c r="FH37" i="17"/>
  <c r="BX79" i="17"/>
  <c r="HH28" i="17"/>
  <c r="CI32" i="17"/>
  <c r="ER43" i="17"/>
  <c r="FJ60" i="17"/>
  <c r="EL60" i="17"/>
  <c r="CC48" i="17"/>
  <c r="CV10" i="17"/>
  <c r="ED18" i="17"/>
  <c r="ED74" i="17"/>
  <c r="FF75" i="17"/>
  <c r="FA66" i="17"/>
  <c r="DD19" i="17"/>
  <c r="CZ41" i="17"/>
  <c r="BC22" i="17"/>
  <c r="GH51" i="17"/>
  <c r="DW34" i="17"/>
  <c r="CW84" i="17"/>
  <c r="GA47" i="17"/>
  <c r="DF20" i="17"/>
  <c r="FK69" i="17"/>
  <c r="CL34" i="17"/>
  <c r="FP29" i="17"/>
  <c r="FT61" i="17"/>
  <c r="FC31" i="17"/>
  <c r="GB61" i="17"/>
  <c r="BB34" i="17"/>
  <c r="GB57" i="17"/>
  <c r="CO69" i="17"/>
  <c r="CO77" i="17"/>
  <c r="EO48" i="17"/>
  <c r="FR19" i="17"/>
  <c r="ET45" i="17"/>
  <c r="EV40" i="17"/>
  <c r="DM51" i="17"/>
  <c r="EX32" i="17"/>
  <c r="BX15" i="17"/>
  <c r="AS67" i="17"/>
  <c r="FN67" i="17"/>
  <c r="CZ77" i="17"/>
  <c r="DW66" i="17"/>
  <c r="FB8" i="17"/>
  <c r="CD60" i="17"/>
  <c r="CL19" i="17"/>
  <c r="DP79" i="17"/>
  <c r="DN22" i="17"/>
  <c r="EW15" i="17"/>
  <c r="FC53" i="17"/>
  <c r="GC75" i="17"/>
  <c r="BX74" i="17"/>
  <c r="DS32" i="17"/>
  <c r="FW9" i="17"/>
  <c r="EV8" i="17"/>
  <c r="DC36" i="17"/>
  <c r="DT25" i="17"/>
  <c r="EL86" i="17"/>
  <c r="EQ84" i="17"/>
  <c r="FR83" i="17"/>
  <c r="FZ31" i="17"/>
  <c r="ED76" i="17"/>
  <c r="CU58" i="17"/>
  <c r="CB78" i="17"/>
  <c r="CA51" i="17"/>
  <c r="DP74" i="17"/>
  <c r="FL52" i="17"/>
  <c r="AX73" i="17"/>
  <c r="AQ18" i="17"/>
  <c r="DI36" i="17"/>
  <c r="FY55" i="17"/>
  <c r="DW18" i="17"/>
  <c r="BD45" i="17"/>
  <c r="CA65" i="17"/>
  <c r="CD73" i="17"/>
  <c r="BH45" i="17"/>
  <c r="CL47" i="17"/>
  <c r="GS21" i="17"/>
  <c r="FZ12" i="17"/>
  <c r="CG22" i="17"/>
  <c r="EE53" i="17"/>
  <c r="BB79" i="17"/>
  <c r="CH83" i="17"/>
  <c r="EP48" i="17"/>
  <c r="BT81" i="17"/>
  <c r="CQ76" i="17"/>
  <c r="CE55" i="17"/>
  <c r="EB8" i="17"/>
  <c r="EB2" i="17" s="1"/>
  <c r="EM12" i="17"/>
  <c r="CA50" i="17"/>
  <c r="BB64" i="17"/>
  <c r="GH17" i="17"/>
  <c r="FG27" i="17"/>
  <c r="BD51" i="17"/>
  <c r="CF59" i="17"/>
  <c r="CT17" i="17"/>
  <c r="EM27" i="17"/>
  <c r="GE74" i="17"/>
  <c r="DJ40" i="17"/>
  <c r="HS56" i="17"/>
  <c r="FG26" i="17"/>
  <c r="AP84" i="17"/>
  <c r="CL77" i="17"/>
  <c r="HN42" i="17"/>
  <c r="FU58" i="17"/>
  <c r="AW58" i="17"/>
  <c r="EZ30" i="17"/>
  <c r="AZ43" i="17"/>
  <c r="FL20" i="17"/>
  <c r="AX86" i="17"/>
  <c r="EO18" i="17"/>
  <c r="CR16" i="17"/>
  <c r="FI20" i="17"/>
  <c r="FA19" i="17"/>
  <c r="FL23" i="17"/>
  <c r="EO9" i="17"/>
  <c r="BD22" i="17"/>
  <c r="DC22" i="17"/>
  <c r="BY30" i="17"/>
  <c r="GZ42" i="17"/>
  <c r="FK22" i="17"/>
  <c r="AY52" i="17"/>
  <c r="EQ51" i="17"/>
  <c r="BD20" i="17"/>
  <c r="AU16" i="17"/>
  <c r="FS61" i="17"/>
  <c r="EW64" i="17"/>
  <c r="FF18" i="17"/>
  <c r="FN20" i="17"/>
  <c r="FB39" i="17"/>
  <c r="CZ58" i="17"/>
  <c r="GB40" i="17"/>
  <c r="GU28" i="17"/>
  <c r="HM42" i="17"/>
  <c r="CY68" i="17"/>
  <c r="GD83" i="17"/>
  <c r="DX69" i="17"/>
  <c r="DM12" i="17"/>
  <c r="DX41" i="17"/>
  <c r="FB59" i="17"/>
  <c r="CE11" i="17"/>
  <c r="EP65" i="17"/>
  <c r="EQ23" i="17"/>
  <c r="AX19" i="17"/>
  <c r="FC50" i="17"/>
  <c r="BF67" i="17"/>
  <c r="DQ8" i="17"/>
  <c r="DO82" i="17"/>
  <c r="DB73" i="17"/>
  <c r="AY79" i="17"/>
  <c r="EE76" i="17"/>
  <c r="DT46" i="17"/>
  <c r="CX37" i="17"/>
  <c r="EN74" i="17"/>
  <c r="BY79" i="17"/>
  <c r="DV59" i="17"/>
  <c r="EX44" i="17"/>
  <c r="EL10" i="17"/>
  <c r="FB71" i="17"/>
  <c r="FA70" i="17"/>
  <c r="BU82" i="17"/>
  <c r="AX37" i="17"/>
  <c r="EC82" i="17"/>
  <c r="CF45" i="17"/>
  <c r="CZ50" i="17"/>
  <c r="BU33" i="17"/>
  <c r="EK25" i="17"/>
  <c r="BE34" i="17"/>
  <c r="DT78" i="17"/>
  <c r="EN64" i="17"/>
  <c r="FU36" i="17"/>
  <c r="BD66" i="17"/>
  <c r="EF65" i="17"/>
  <c r="FE24" i="17"/>
  <c r="DH18" i="17"/>
  <c r="DK33" i="17"/>
  <c r="CB23" i="17"/>
  <c r="GW42" i="17"/>
  <c r="FR31" i="17"/>
  <c r="AX10" i="17"/>
  <c r="FD51" i="17"/>
  <c r="CG66" i="17"/>
  <c r="FL73" i="17"/>
  <c r="CS84" i="17"/>
  <c r="CG32" i="17"/>
  <c r="DZ27" i="17"/>
  <c r="CQ16" i="17"/>
  <c r="FW46" i="17"/>
  <c r="DC75" i="17"/>
  <c r="DL36" i="17"/>
  <c r="GC53" i="17"/>
  <c r="CD26" i="17"/>
  <c r="EY70" i="17"/>
  <c r="BU36" i="17"/>
  <c r="EI26" i="17"/>
  <c r="BC34" i="17"/>
  <c r="DD82" i="17"/>
  <c r="FT84" i="17"/>
  <c r="FD31" i="17"/>
  <c r="FD50" i="17"/>
  <c r="EH12" i="17"/>
  <c r="FW53" i="17"/>
  <c r="BF11" i="17"/>
  <c r="ER76" i="17"/>
  <c r="DX51" i="17"/>
  <c r="CE38" i="17"/>
  <c r="AT75" i="17"/>
  <c r="CX51" i="17"/>
  <c r="GE68" i="17"/>
  <c r="FP85" i="17"/>
  <c r="EE8" i="17"/>
  <c r="EE2" i="17" s="1"/>
  <c r="FZ65" i="17"/>
  <c r="DD12" i="17"/>
  <c r="EZ80" i="17"/>
  <c r="BF46" i="17"/>
  <c r="BH20" i="17"/>
  <c r="EB43" i="17"/>
  <c r="CD38" i="17"/>
  <c r="FX43" i="17"/>
  <c r="BB84" i="17"/>
  <c r="FZ80" i="17"/>
  <c r="DR55" i="17"/>
  <c r="EZ37" i="17"/>
  <c r="BF29" i="17"/>
  <c r="DC15" i="17"/>
  <c r="FH40" i="17"/>
  <c r="ET53" i="17"/>
  <c r="DN76" i="17"/>
  <c r="FS64" i="17"/>
  <c r="HJ49" i="17"/>
  <c r="GE23" i="17"/>
  <c r="DA68" i="17"/>
  <c r="FX84" i="17"/>
  <c r="BY78" i="17"/>
  <c r="FV33" i="17"/>
  <c r="DX29" i="17"/>
  <c r="EW12" i="17"/>
  <c r="GF10" i="17"/>
  <c r="EO52" i="17"/>
  <c r="DH52" i="17"/>
  <c r="FP58" i="17"/>
  <c r="DP34" i="17"/>
  <c r="CV16" i="17"/>
  <c r="BV79" i="17"/>
  <c r="GA86" i="17"/>
  <c r="DL15" i="17"/>
  <c r="EK44" i="17"/>
  <c r="GC22" i="17"/>
  <c r="AV29" i="17"/>
  <c r="DL68" i="17"/>
  <c r="FL9" i="17"/>
  <c r="EM61" i="17"/>
  <c r="HP7" i="17"/>
  <c r="AS26" i="17"/>
  <c r="FZ51" i="17"/>
  <c r="CG41" i="17"/>
  <c r="DF11" i="17"/>
  <c r="AT11" i="17"/>
  <c r="GH31" i="17"/>
  <c r="FZ72" i="17"/>
  <c r="AW25" i="17"/>
  <c r="DR43" i="17"/>
  <c r="GD45" i="17"/>
  <c r="EG44" i="17"/>
  <c r="CG40" i="17"/>
  <c r="BA80" i="17"/>
  <c r="CH41" i="17"/>
  <c r="CQ11" i="17"/>
  <c r="CL11" i="17"/>
  <c r="DJ51" i="17"/>
  <c r="EB11" i="17"/>
  <c r="FN16" i="17"/>
  <c r="CW53" i="17"/>
  <c r="CF9" i="17"/>
  <c r="FH71" i="17"/>
  <c r="DM15" i="17"/>
  <c r="DV24" i="17"/>
  <c r="CO15" i="17"/>
  <c r="EO71" i="17"/>
  <c r="AY41" i="17"/>
  <c r="EW81" i="17"/>
  <c r="DB32" i="17"/>
  <c r="BW47" i="17"/>
  <c r="EW53" i="17"/>
  <c r="EJ55" i="17"/>
  <c r="FA31" i="17"/>
  <c r="AY73" i="17"/>
  <c r="FP79" i="17"/>
  <c r="GB39" i="17"/>
  <c r="CC12" i="17"/>
  <c r="EB33" i="17"/>
  <c r="CV61" i="17"/>
  <c r="DO60" i="17"/>
  <c r="BW84" i="17"/>
  <c r="FJ48" i="17"/>
  <c r="CW29" i="17"/>
  <c r="BV47" i="17"/>
  <c r="EW75" i="17"/>
  <c r="EQ27" i="17"/>
  <c r="BA46" i="17"/>
  <c r="DA53" i="17"/>
  <c r="DF17" i="17"/>
  <c r="CG48" i="17"/>
  <c r="FN24" i="17"/>
  <c r="GS35" i="17"/>
  <c r="BA48" i="17"/>
  <c r="CV60" i="17"/>
  <c r="EK54" i="17"/>
  <c r="BD44" i="17"/>
  <c r="AV17" i="17"/>
  <c r="CV24" i="17"/>
  <c r="EG64" i="17"/>
  <c r="EL38" i="17"/>
  <c r="EJ29" i="17"/>
  <c r="FI30" i="17"/>
  <c r="AV69" i="17"/>
  <c r="FK27" i="17"/>
  <c r="GD37" i="17"/>
  <c r="DM31" i="17"/>
  <c r="CX23" i="17"/>
  <c r="CF22" i="17"/>
  <c r="DB64" i="17"/>
  <c r="EC45" i="17"/>
  <c r="EC58" i="17"/>
  <c r="AR45" i="17"/>
  <c r="AW15" i="17"/>
  <c r="AR46" i="17"/>
  <c r="DF69" i="17"/>
  <c r="CU38" i="17"/>
  <c r="EV68" i="17"/>
  <c r="CF26" i="17"/>
  <c r="GE38" i="17"/>
  <c r="CL20" i="17"/>
  <c r="AS83" i="17"/>
  <c r="BD29" i="17"/>
  <c r="DQ25" i="17"/>
  <c r="DV67" i="17"/>
  <c r="FL25" i="17"/>
  <c r="ED57" i="17"/>
  <c r="EM65" i="17"/>
  <c r="DD25" i="17"/>
  <c r="CG74" i="17"/>
  <c r="DK84" i="17"/>
  <c r="DU19" i="17"/>
  <c r="EO82" i="17"/>
  <c r="DU24" i="17"/>
  <c r="CC55" i="17"/>
  <c r="FW45" i="17"/>
  <c r="EO60" i="17"/>
  <c r="CS61" i="17"/>
  <c r="CU75" i="17"/>
  <c r="FC17" i="17"/>
  <c r="EY68" i="17"/>
  <c r="FV8" i="17"/>
  <c r="FT50" i="17"/>
  <c r="EQ57" i="17"/>
  <c r="FN47" i="17"/>
  <c r="FX68" i="17"/>
  <c r="GA64" i="17"/>
  <c r="FB58" i="17"/>
  <c r="CF43" i="17"/>
  <c r="EX61" i="17"/>
  <c r="EE46" i="17"/>
  <c r="EO85" i="17"/>
  <c r="CQ23" i="17"/>
  <c r="BX22" i="17"/>
  <c r="DV77" i="17"/>
  <c r="BH79" i="17"/>
  <c r="BH27" i="17"/>
  <c r="AX69" i="17"/>
  <c r="CD16" i="17"/>
  <c r="FZ55" i="17"/>
  <c r="FC24" i="17"/>
  <c r="EJ39" i="17"/>
  <c r="V13" i="24"/>
  <c r="CZ9" i="17"/>
  <c r="EN59" i="17"/>
  <c r="AQ83" i="17"/>
  <c r="EQ39" i="17"/>
  <c r="CP15" i="17"/>
  <c r="BA64" i="17"/>
  <c r="FW85" i="17"/>
  <c r="DA15" i="17"/>
  <c r="CY24" i="17"/>
  <c r="CY38" i="17"/>
  <c r="FG22" i="17"/>
  <c r="CU70" i="17"/>
  <c r="EW47" i="17"/>
  <c r="CH81" i="17"/>
  <c r="BD65" i="17"/>
  <c r="FY38" i="17"/>
  <c r="FD81" i="17"/>
  <c r="ED29" i="17"/>
  <c r="EJ86" i="17"/>
  <c r="CU26" i="17"/>
  <c r="EG85" i="17"/>
  <c r="FN48" i="17"/>
  <c r="FN34" i="17"/>
  <c r="EV15" i="17"/>
  <c r="FA9" i="17"/>
  <c r="CP51" i="17"/>
  <c r="BZ85" i="17"/>
  <c r="FF64" i="17"/>
  <c r="EK67" i="17"/>
  <c r="CU71" i="17"/>
  <c r="FL57" i="17"/>
  <c r="GJ63" i="17"/>
  <c r="BV11" i="17"/>
  <c r="FC44" i="17"/>
  <c r="BX38" i="17"/>
  <c r="EX83" i="17"/>
  <c r="BH73" i="17"/>
  <c r="FH83" i="17"/>
  <c r="GB34" i="17"/>
  <c r="DX83" i="17"/>
  <c r="EK37" i="17"/>
  <c r="BA45" i="17"/>
  <c r="GD73" i="17"/>
  <c r="DJ79" i="17"/>
  <c r="BH40" i="17"/>
  <c r="CJ8" i="17"/>
  <c r="BF23" i="17"/>
  <c r="CS15" i="17"/>
  <c r="DV69" i="17"/>
  <c r="GA68" i="17"/>
  <c r="DN66" i="17"/>
  <c r="BA76" i="17"/>
  <c r="FZ17" i="17"/>
  <c r="FT83" i="17"/>
  <c r="DX78" i="17"/>
  <c r="CR61" i="17"/>
  <c r="GC17" i="17"/>
  <c r="GF37" i="17"/>
  <c r="BB37" i="17"/>
  <c r="EN45" i="17"/>
  <c r="EC25" i="17"/>
  <c r="FP45" i="17"/>
  <c r="DI26" i="17"/>
  <c r="CT51" i="17"/>
  <c r="CW72" i="17"/>
  <c r="BH61" i="17"/>
  <c r="BX29" i="17"/>
  <c r="CJ75" i="17"/>
  <c r="FD12" i="17"/>
  <c r="CF20" i="17"/>
  <c r="EY65" i="17"/>
  <c r="DR31" i="17"/>
  <c r="CC65" i="17"/>
  <c r="DI60" i="17"/>
  <c r="CB64" i="17"/>
  <c r="AQ12" i="17"/>
  <c r="EO50" i="17"/>
  <c r="EN10" i="17"/>
  <c r="DT20" i="17"/>
  <c r="FA61" i="17"/>
  <c r="DK77" i="17"/>
  <c r="DI31" i="17"/>
  <c r="BE12" i="17"/>
  <c r="EM38" i="17"/>
  <c r="CI41" i="17"/>
  <c r="GF70" i="17"/>
  <c r="FU65" i="17"/>
  <c r="CF65" i="17"/>
  <c r="BD41" i="17"/>
  <c r="DW17" i="17"/>
  <c r="CS33" i="17"/>
  <c r="AZ67" i="17"/>
  <c r="EY73" i="17"/>
  <c r="FA69" i="17"/>
  <c r="FT81" i="17"/>
  <c r="FJ53" i="17"/>
  <c r="BH12" i="17"/>
  <c r="BD38" i="17"/>
  <c r="DX80" i="17"/>
  <c r="EW36" i="17"/>
  <c r="FS60" i="17"/>
  <c r="EO22" i="17"/>
  <c r="DQ53" i="17"/>
  <c r="EO54" i="17"/>
  <c r="GY42" i="17"/>
  <c r="FJ26" i="17"/>
  <c r="ER41" i="17"/>
  <c r="ET80" i="17"/>
  <c r="EG69" i="17"/>
  <c r="FF47" i="17"/>
  <c r="DC81" i="17"/>
  <c r="CX32" i="17"/>
  <c r="DS11" i="17"/>
  <c r="DV10" i="17"/>
  <c r="CE20" i="17"/>
  <c r="EE58" i="17"/>
  <c r="DT29" i="17"/>
  <c r="DQ81" i="17"/>
  <c r="FG51" i="17"/>
  <c r="EH64" i="17"/>
  <c r="GF61" i="17"/>
  <c r="FI38" i="17"/>
  <c r="FT19" i="17"/>
  <c r="CY10" i="17"/>
  <c r="GY56" i="17"/>
  <c r="DH73" i="17"/>
  <c r="CO10" i="17"/>
  <c r="ED46" i="17"/>
  <c r="EM85" i="17"/>
  <c r="FC72" i="17"/>
  <c r="DB16" i="17"/>
  <c r="FL82" i="17"/>
  <c r="FJ41" i="17"/>
  <c r="DW47" i="17"/>
  <c r="DQ48" i="17"/>
  <c r="AZ44" i="17"/>
  <c r="FL15" i="17"/>
  <c r="EH39" i="17"/>
  <c r="BF76" i="17"/>
  <c r="DW39" i="17"/>
  <c r="DN26" i="17"/>
  <c r="DB11" i="17"/>
  <c r="FK44" i="17"/>
  <c r="BZ75" i="17"/>
  <c r="FG58" i="17"/>
  <c r="CB52" i="17"/>
  <c r="AZ73" i="17"/>
  <c r="FT16" i="17"/>
  <c r="EP67" i="17"/>
  <c r="GA85" i="17"/>
  <c r="CD48" i="17"/>
  <c r="CY43" i="17"/>
  <c r="ED44" i="17"/>
  <c r="FW81" i="17"/>
  <c r="AZ29" i="17"/>
  <c r="GH34" i="17"/>
  <c r="EH72" i="17"/>
  <c r="DO45" i="17"/>
  <c r="CI51" i="17"/>
  <c r="EW9" i="17"/>
  <c r="CS8" i="17"/>
  <c r="FB72" i="17"/>
  <c r="DH43" i="17"/>
  <c r="EM55" i="17"/>
  <c r="BC44" i="17"/>
  <c r="CT69" i="17"/>
  <c r="EG29" i="17"/>
  <c r="DJ80" i="17"/>
  <c r="DV20" i="17"/>
  <c r="AV64" i="17"/>
  <c r="EV73" i="17"/>
  <c r="EB47" i="17"/>
  <c r="DL40" i="17"/>
  <c r="AX59" i="17"/>
  <c r="BW79" i="17"/>
  <c r="BW38" i="17"/>
  <c r="CF38" i="17"/>
  <c r="FW41" i="17"/>
  <c r="EO80" i="17"/>
  <c r="BF17" i="17"/>
  <c r="BD8" i="17"/>
  <c r="ER80" i="17"/>
  <c r="BH34" i="17"/>
  <c r="FX48" i="17"/>
  <c r="EI17" i="17"/>
  <c r="FY68" i="17"/>
  <c r="BB51" i="17"/>
  <c r="EJ34" i="17"/>
  <c r="CP84" i="17"/>
  <c r="EJ36" i="17"/>
  <c r="BE26" i="17"/>
  <c r="FN44" i="17"/>
  <c r="BD46" i="17"/>
  <c r="CB16" i="17"/>
  <c r="ER36" i="17"/>
  <c r="DC48" i="17"/>
  <c r="CF85" i="17"/>
  <c r="EW83" i="17"/>
  <c r="FK17" i="17"/>
  <c r="EN30" i="17"/>
  <c r="DH54" i="17"/>
  <c r="GD75" i="17"/>
  <c r="GC33" i="17"/>
  <c r="CV86" i="17"/>
  <c r="FE66" i="17"/>
  <c r="BD64" i="17"/>
  <c r="DA26" i="17"/>
  <c r="EL44" i="17"/>
  <c r="DA65" i="17"/>
  <c r="ER22" i="17"/>
  <c r="CP50" i="17"/>
  <c r="FE77" i="17"/>
  <c r="ED84" i="17"/>
  <c r="DL57" i="17"/>
  <c r="CB50" i="17"/>
  <c r="GA59" i="17"/>
  <c r="CR64" i="17"/>
  <c r="AT47" i="17"/>
  <c r="FC19" i="17"/>
  <c r="CO68" i="17"/>
  <c r="EK31" i="17"/>
  <c r="EO36" i="17"/>
  <c r="CL44" i="17"/>
  <c r="ER72" i="17"/>
  <c r="DF37" i="17"/>
  <c r="EN39" i="17"/>
  <c r="BF54" i="17"/>
  <c r="FI32" i="17"/>
  <c r="AS18" i="17"/>
  <c r="FZ47" i="17"/>
  <c r="HA49" i="17"/>
  <c r="DF29" i="17"/>
  <c r="CZ44" i="17"/>
  <c r="EJ24" i="17"/>
  <c r="CX76" i="17"/>
  <c r="EZ72" i="17"/>
  <c r="FB15" i="17"/>
  <c r="DL17" i="17"/>
  <c r="EK59" i="17"/>
  <c r="FU46" i="17"/>
  <c r="DP69" i="17"/>
  <c r="FH69" i="17"/>
  <c r="HK14" i="17"/>
  <c r="CE23" i="17"/>
  <c r="AY27" i="17"/>
  <c r="EB61" i="17"/>
  <c r="FE23" i="17"/>
  <c r="DI9" i="17"/>
  <c r="BV61" i="17"/>
  <c r="FD72" i="17"/>
  <c r="EF11" i="17"/>
  <c r="DZ48" i="17"/>
  <c r="GD48" i="17"/>
  <c r="EF40" i="17"/>
  <c r="AZ58" i="17"/>
  <c r="CV78" i="17"/>
  <c r="DS74" i="17"/>
  <c r="BW71" i="17"/>
  <c r="ED19" i="17"/>
  <c r="FF59" i="17"/>
  <c r="EQ22" i="17"/>
  <c r="FW75" i="17"/>
  <c r="FA25" i="17"/>
  <c r="FS79" i="17"/>
  <c r="DH57" i="17"/>
  <c r="GE17" i="17"/>
  <c r="FY31" i="17"/>
  <c r="EY54" i="17"/>
  <c r="CE65" i="17"/>
  <c r="FQ43" i="17"/>
  <c r="CT68" i="17"/>
  <c r="DJ16" i="17"/>
  <c r="GC83" i="17"/>
  <c r="EV85" i="17"/>
  <c r="DM8" i="17"/>
  <c r="CD23" i="17"/>
  <c r="CU76" i="17"/>
  <c r="DF61" i="17"/>
  <c r="CV41" i="17"/>
  <c r="FQ60" i="17"/>
  <c r="DL46" i="17"/>
  <c r="CT75" i="17"/>
  <c r="DD84" i="17"/>
  <c r="ET84" i="17"/>
  <c r="FH73" i="17"/>
  <c r="CT37" i="17"/>
  <c r="DT85" i="17"/>
  <c r="EO11" i="17"/>
  <c r="CF40" i="17"/>
  <c r="GP35" i="17"/>
  <c r="CJ48" i="17"/>
  <c r="EP70" i="17"/>
  <c r="CO65" i="17"/>
  <c r="DU25" i="17"/>
  <c r="EQ25" i="17"/>
  <c r="BA16" i="17"/>
  <c r="FL58" i="17"/>
  <c r="CX9" i="17"/>
  <c r="AY59" i="17"/>
  <c r="EV82" i="17"/>
  <c r="CI43" i="17"/>
  <c r="FE53" i="17"/>
  <c r="CV26" i="17"/>
  <c r="GW14" i="17"/>
  <c r="BB74" i="17"/>
  <c r="FE85" i="17"/>
  <c r="AS54" i="17"/>
  <c r="DZ33" i="17"/>
  <c r="DC82" i="17"/>
  <c r="DN82" i="17"/>
  <c r="CG83" i="17"/>
  <c r="CS12" i="17"/>
  <c r="CJ60" i="17"/>
  <c r="EV10" i="17"/>
  <c r="CD53" i="17"/>
  <c r="BB11" i="17"/>
  <c r="CB61" i="17"/>
  <c r="AX30" i="17"/>
  <c r="AV12" i="17"/>
  <c r="AT74" i="17"/>
  <c r="BE77" i="17"/>
  <c r="FN68" i="17"/>
  <c r="DF25" i="17"/>
  <c r="BC11" i="17"/>
  <c r="EO19" i="17"/>
  <c r="ET41" i="17"/>
  <c r="EK51" i="17"/>
  <c r="CW68" i="17"/>
  <c r="ED51" i="17"/>
  <c r="FG34" i="17"/>
  <c r="DN75" i="17"/>
  <c r="CT71" i="17"/>
  <c r="DL38" i="17"/>
  <c r="FP44" i="17"/>
  <c r="GL35" i="17"/>
  <c r="AY78" i="17"/>
  <c r="FK43" i="17"/>
  <c r="DJ59" i="17"/>
  <c r="AY68" i="17"/>
  <c r="HW7" i="17"/>
  <c r="DA32" i="17"/>
  <c r="CI79" i="17"/>
  <c r="CF48" i="17"/>
  <c r="FK83" i="17"/>
  <c r="CH39" i="17"/>
  <c r="CR58" i="17"/>
  <c r="AS47" i="17"/>
  <c r="FN30" i="17"/>
  <c r="FH64" i="17"/>
  <c r="AW44" i="17"/>
  <c r="CX18" i="17"/>
  <c r="DC25" i="17"/>
  <c r="CC37" i="17"/>
  <c r="CA77" i="17"/>
  <c r="CA57" i="17"/>
  <c r="AU79" i="17"/>
  <c r="GD10" i="17"/>
  <c r="FB65" i="17"/>
  <c r="CH10" i="17"/>
  <c r="AW39" i="17"/>
  <c r="DW40" i="17"/>
  <c r="DV83" i="17"/>
  <c r="FT40" i="17"/>
  <c r="EG73" i="17"/>
  <c r="EF68" i="17"/>
  <c r="DP58" i="17"/>
  <c r="AR40" i="17"/>
  <c r="FU74" i="17"/>
  <c r="ED64" i="17"/>
  <c r="ED50" i="17"/>
  <c r="AW76" i="17"/>
  <c r="FJ18" i="17"/>
  <c r="CZ33" i="17"/>
  <c r="BW67" i="17"/>
  <c r="DL50" i="17"/>
  <c r="DF52" i="17"/>
  <c r="AY74" i="17"/>
  <c r="FF43" i="17"/>
  <c r="GC26" i="17"/>
  <c r="CG55" i="17"/>
  <c r="EK61" i="17"/>
  <c r="CA45" i="17"/>
  <c r="AU22" i="17"/>
  <c r="GD81" i="17"/>
  <c r="FU29" i="17"/>
  <c r="CX36" i="17"/>
  <c r="CL84" i="17"/>
  <c r="DU17" i="17"/>
  <c r="AY66" i="17"/>
  <c r="EH40" i="17"/>
  <c r="EI29" i="17"/>
  <c r="AQ11" i="17"/>
  <c r="DN85" i="17"/>
  <c r="EJ83" i="17"/>
  <c r="DP48" i="17"/>
  <c r="FT38" i="17"/>
  <c r="EK38" i="17"/>
  <c r="AW45" i="17"/>
  <c r="FQ77" i="17"/>
  <c r="EM24" i="17"/>
  <c r="DX12" i="17"/>
  <c r="AX43" i="17"/>
  <c r="EH24" i="17"/>
  <c r="EH15" i="17"/>
  <c r="CT44" i="17"/>
  <c r="BU46" i="17"/>
  <c r="GT28" i="17"/>
  <c r="FE39" i="17"/>
  <c r="CH65" i="17"/>
  <c r="FA37" i="17"/>
  <c r="ET46" i="17"/>
  <c r="FJ78" i="17"/>
  <c r="EG83" i="17"/>
  <c r="DZ73" i="17"/>
  <c r="DF84" i="17"/>
  <c r="CT85" i="17"/>
  <c r="FR18" i="17"/>
  <c r="GA83" i="17"/>
  <c r="DS37" i="17"/>
  <c r="BC29" i="17"/>
  <c r="EE70" i="17"/>
  <c r="AR84" i="17"/>
  <c r="GH60" i="17"/>
  <c r="FL64" i="17"/>
  <c r="DC19" i="17"/>
  <c r="FH11" i="17"/>
  <c r="AR51" i="17"/>
  <c r="FR40" i="17"/>
  <c r="DX18" i="17"/>
  <c r="CC25" i="17"/>
  <c r="FJ24" i="17"/>
  <c r="HQ21" i="17"/>
  <c r="GC54" i="17"/>
  <c r="EM19" i="17"/>
  <c r="FS8" i="17"/>
  <c r="CI36" i="17"/>
  <c r="CZ37" i="17"/>
  <c r="BD47" i="17"/>
  <c r="EC19" i="17"/>
  <c r="ER17" i="17"/>
  <c r="BC70" i="17"/>
  <c r="FL29" i="17"/>
  <c r="BC16" i="17"/>
  <c r="FE16" i="17"/>
  <c r="CX68" i="17"/>
  <c r="CA33" i="17"/>
  <c r="DZ79" i="17"/>
  <c r="BE84" i="17"/>
  <c r="FI71" i="17"/>
  <c r="DV27" i="17"/>
  <c r="EH19" i="17"/>
  <c r="GA26" i="17"/>
  <c r="GE31" i="17"/>
  <c r="FS43" i="17"/>
  <c r="FK10" i="17"/>
  <c r="EH68" i="17"/>
  <c r="CS9" i="17"/>
  <c r="CL57" i="17"/>
  <c r="CV80" i="17"/>
  <c r="EM10" i="17"/>
  <c r="HH42" i="17"/>
  <c r="FS50" i="17"/>
  <c r="ER34" i="17"/>
  <c r="ER44" i="17"/>
  <c r="CQ58" i="17"/>
  <c r="HK49" i="17"/>
  <c r="DN45" i="17"/>
  <c r="DU52" i="17"/>
  <c r="GM49" i="17"/>
  <c r="CZ16" i="17"/>
  <c r="EM45" i="17"/>
  <c r="DI11" i="17"/>
  <c r="FL66" i="17"/>
  <c r="EI57" i="17"/>
  <c r="GE32" i="17"/>
  <c r="EO44" i="17"/>
  <c r="FP40" i="17"/>
  <c r="CB27" i="17"/>
  <c r="EM30" i="17"/>
  <c r="AU15" i="17"/>
  <c r="BF79" i="17"/>
  <c r="AY26" i="17"/>
  <c r="DJ81" i="17"/>
  <c r="AW72" i="17"/>
  <c r="BD48" i="17"/>
  <c r="FS47" i="17"/>
  <c r="BF40" i="17"/>
  <c r="BD71" i="17"/>
  <c r="FW37" i="17"/>
  <c r="EH75" i="17"/>
  <c r="BY75" i="17"/>
  <c r="DH72" i="17"/>
  <c r="DN58" i="17"/>
  <c r="AZ32" i="17"/>
  <c r="GA31" i="17"/>
  <c r="DT66" i="17"/>
  <c r="EZ81" i="17"/>
  <c r="CU67" i="17"/>
  <c r="GC80" i="17"/>
  <c r="DH37" i="17"/>
  <c r="EP17" i="17"/>
  <c r="DA20" i="17"/>
  <c r="BV53" i="17"/>
  <c r="EG50" i="17"/>
  <c r="AR11" i="17"/>
  <c r="DT75" i="17"/>
  <c r="EQ41" i="17"/>
  <c r="GL42" i="17"/>
  <c r="DL76" i="17"/>
  <c r="DR16" i="17"/>
  <c r="DM24" i="17"/>
  <c r="FB17" i="17"/>
  <c r="HN49" i="17"/>
  <c r="DW45" i="17"/>
  <c r="FH68" i="17"/>
  <c r="FJ58" i="17"/>
  <c r="EY51" i="17"/>
  <c r="ER48" i="17"/>
  <c r="CR60" i="17"/>
  <c r="CA74" i="17"/>
  <c r="FB32" i="17"/>
  <c r="DD45" i="17"/>
  <c r="DJ84" i="17"/>
  <c r="GY49" i="17"/>
  <c r="GB9" i="17"/>
  <c r="ET12" i="17"/>
  <c r="DU75" i="17"/>
  <c r="EX19" i="17"/>
  <c r="FB33" i="17"/>
  <c r="BB86" i="17"/>
  <c r="DC29" i="17"/>
  <c r="BH10" i="17"/>
  <c r="BV72" i="17"/>
  <c r="FJ12" i="17"/>
  <c r="DA57" i="17"/>
  <c r="DI16" i="17"/>
  <c r="EW65" i="17"/>
  <c r="FG19" i="17"/>
  <c r="CL16" i="17"/>
  <c r="BV77" i="17"/>
  <c r="CS39" i="17"/>
  <c r="DC27" i="17"/>
  <c r="EM80" i="17"/>
  <c r="BZ33" i="17"/>
  <c r="DT86" i="17"/>
  <c r="CV34" i="17"/>
  <c r="CO53" i="17"/>
  <c r="FF15" i="17"/>
  <c r="CW55" i="17"/>
  <c r="CD51" i="17"/>
  <c r="CR72" i="17"/>
  <c r="DL69" i="17"/>
  <c r="CA61" i="17"/>
  <c r="BF32" i="17"/>
  <c r="GC46" i="17"/>
  <c r="AT83" i="17"/>
  <c r="CU69" i="17"/>
  <c r="CJ33" i="17"/>
  <c r="FF27" i="17"/>
  <c r="GY35" i="17"/>
  <c r="FQ25" i="17"/>
  <c r="DA37" i="17"/>
  <c r="CL83" i="17"/>
  <c r="CG47" i="17"/>
  <c r="EL67" i="17"/>
  <c r="EV45" i="17"/>
  <c r="ET40" i="17"/>
  <c r="AS39" i="17"/>
  <c r="CL81" i="17"/>
  <c r="DN71" i="17"/>
  <c r="CP11" i="17"/>
  <c r="GF45" i="17"/>
  <c r="FL16" i="17"/>
  <c r="FG74" i="17"/>
  <c r="CX22" i="17"/>
  <c r="DN43" i="17"/>
  <c r="GD60" i="17"/>
  <c r="CJ73" i="17"/>
  <c r="BB55" i="17"/>
  <c r="DQ44" i="17"/>
  <c r="EE17" i="17"/>
  <c r="EN48" i="17"/>
  <c r="DK70" i="17"/>
  <c r="EB30" i="17"/>
  <c r="BC18" i="17"/>
  <c r="FX57" i="17"/>
  <c r="BC72" i="17"/>
  <c r="CX84" i="17"/>
  <c r="BB78" i="17"/>
  <c r="CG27" i="17"/>
  <c r="GH41" i="17"/>
  <c r="FD78" i="17"/>
  <c r="GE72" i="17"/>
  <c r="FK68" i="17"/>
  <c r="DX54" i="17"/>
  <c r="CX19" i="17"/>
  <c r="FB79" i="17"/>
  <c r="BU8" i="17"/>
  <c r="DP32" i="17"/>
  <c r="GH39" i="17"/>
  <c r="CH55" i="17"/>
  <c r="FN75" i="17"/>
  <c r="EO16" i="17"/>
  <c r="AS76" i="17"/>
  <c r="CD33" i="17"/>
  <c r="CQ30" i="17"/>
  <c r="HM49" i="17"/>
  <c r="BA17" i="17"/>
  <c r="CB51" i="17"/>
  <c r="BF20" i="17"/>
  <c r="BD36" i="17"/>
  <c r="EX54" i="17"/>
  <c r="CG10" i="17"/>
  <c r="FI54" i="17"/>
  <c r="EE29" i="17"/>
  <c r="EQ40" i="17"/>
  <c r="AT52" i="17"/>
  <c r="BE67" i="17"/>
  <c r="GC76" i="17"/>
  <c r="EG51" i="17"/>
  <c r="HH63" i="17"/>
  <c r="EO72" i="17"/>
  <c r="FP51" i="17"/>
  <c r="DF75" i="17"/>
  <c r="DX77" i="17"/>
  <c r="CI19" i="17"/>
  <c r="GA79" i="17"/>
  <c r="FJ76" i="17"/>
  <c r="CG78" i="17"/>
  <c r="BB9" i="17"/>
  <c r="AU38" i="17"/>
  <c r="AX36" i="17"/>
  <c r="CU17" i="17"/>
  <c r="EB85" i="17"/>
  <c r="DU41" i="17"/>
  <c r="FX20" i="17"/>
  <c r="BA25" i="17"/>
  <c r="CW57" i="17"/>
  <c r="BX33" i="17"/>
  <c r="BV37" i="17"/>
  <c r="CI8" i="17"/>
  <c r="FR85" i="17"/>
  <c r="CJ16" i="17"/>
  <c r="EE72" i="17"/>
  <c r="EM25" i="17"/>
  <c r="BW73" i="17"/>
  <c r="GA33" i="17"/>
  <c r="EQ70" i="17"/>
  <c r="CI84" i="17"/>
  <c r="BY83" i="17"/>
  <c r="DL54" i="17"/>
  <c r="FV17" i="17"/>
  <c r="FT26" i="17"/>
  <c r="FZ67" i="17"/>
  <c r="DV65" i="17"/>
  <c r="DL66" i="17"/>
  <c r="HP49" i="17"/>
  <c r="BH18" i="17"/>
  <c r="CI53" i="17"/>
  <c r="GC25" i="17"/>
  <c r="DS78" i="17"/>
  <c r="FG72" i="17"/>
  <c r="CP25" i="17"/>
  <c r="DW51" i="17"/>
  <c r="GA48" i="17"/>
  <c r="ER55" i="17"/>
  <c r="GH46" i="17"/>
  <c r="AZ15" i="17"/>
  <c r="DK82" i="17"/>
  <c r="GH75" i="17"/>
  <c r="FD53" i="17"/>
  <c r="CJ11" i="17"/>
  <c r="AW33" i="17"/>
  <c r="CY15" i="17"/>
  <c r="AS72" i="17"/>
  <c r="FA65" i="17"/>
  <c r="CQ85" i="17"/>
  <c r="FN71" i="17"/>
  <c r="EM20" i="17"/>
  <c r="AZ53" i="17"/>
  <c r="CR51" i="17"/>
  <c r="GD22" i="17"/>
  <c r="FF26" i="17"/>
  <c r="FC52" i="17"/>
  <c r="CW12" i="17"/>
  <c r="ED33" i="17"/>
  <c r="DQ20" i="17"/>
  <c r="FA11" i="17"/>
  <c r="DJ22" i="17"/>
  <c r="CU74" i="17"/>
  <c r="EO58" i="17"/>
  <c r="EB19" i="17"/>
  <c r="BE78" i="17"/>
  <c r="BY18" i="17"/>
  <c r="BY47" i="17"/>
  <c r="CD19" i="17"/>
  <c r="BX60" i="17"/>
  <c r="FY25" i="17"/>
  <c r="CJ84" i="17"/>
  <c r="DV64" i="17"/>
  <c r="DP30" i="17"/>
  <c r="CW60" i="17"/>
  <c r="GC34" i="17"/>
  <c r="AR44" i="17"/>
  <c r="CY51" i="17"/>
  <c r="FG20" i="17"/>
  <c r="FY58" i="17"/>
  <c r="CX38" i="17"/>
  <c r="FY75" i="17"/>
  <c r="DZ23" i="17"/>
  <c r="AW61" i="17"/>
  <c r="GA27" i="17"/>
  <c r="GA51" i="17"/>
  <c r="CG19" i="17"/>
  <c r="CT26" i="17"/>
  <c r="BA58" i="17"/>
  <c r="FZ82" i="17"/>
  <c r="FA23" i="17"/>
  <c r="CZ86" i="17"/>
  <c r="EQ83" i="17"/>
  <c r="CJ9" i="17"/>
  <c r="BE74" i="17"/>
  <c r="CS64" i="17"/>
  <c r="DU54" i="17"/>
  <c r="GA17" i="17"/>
  <c r="FC59" i="17"/>
  <c r="EY66" i="17"/>
  <c r="EJ27" i="17"/>
  <c r="FB19" i="17"/>
  <c r="FH58" i="17"/>
  <c r="AU36" i="17"/>
  <c r="CI15" i="17"/>
  <c r="FF68" i="17"/>
  <c r="AW57" i="17"/>
  <c r="DK67" i="17"/>
  <c r="AU61" i="17"/>
  <c r="DW55" i="17"/>
  <c r="CF72" i="17"/>
  <c r="CL65" i="17"/>
  <c r="EX71" i="17"/>
  <c r="BW50" i="17"/>
  <c r="DN38" i="17"/>
  <c r="EN52" i="17"/>
  <c r="EK9" i="17"/>
  <c r="CB59" i="17"/>
  <c r="FX9" i="17"/>
  <c r="GT35" i="17"/>
  <c r="AW70" i="17"/>
  <c r="FR78" i="17"/>
  <c r="BZ16" i="17"/>
  <c r="BB19" i="17"/>
  <c r="EJ71" i="17"/>
  <c r="BZ69" i="17"/>
  <c r="CT16" i="17"/>
  <c r="CJ82" i="17"/>
  <c r="BX50" i="17"/>
  <c r="CD58" i="17"/>
  <c r="GD78" i="17"/>
  <c r="AZ11" i="17"/>
  <c r="BX9" i="17"/>
  <c r="FX40" i="17"/>
  <c r="FT66" i="17"/>
  <c r="FT79" i="17"/>
  <c r="FL24" i="17"/>
  <c r="AX29" i="17"/>
  <c r="EL68" i="17"/>
  <c r="EX24" i="17"/>
  <c r="DO75" i="17"/>
  <c r="GB82" i="17"/>
  <c r="AU11" i="17"/>
  <c r="EK58" i="17"/>
  <c r="AU59" i="17"/>
  <c r="GA60" i="17"/>
  <c r="EY38" i="17"/>
  <c r="CH29" i="17"/>
  <c r="EO39" i="17"/>
  <c r="AV76" i="17"/>
  <c r="EM41" i="17"/>
  <c r="EO75" i="17"/>
  <c r="DB75" i="17"/>
  <c r="HQ7" i="17"/>
  <c r="GB41" i="17"/>
  <c r="BX61" i="17"/>
  <c r="FF69" i="17"/>
  <c r="FA59" i="17"/>
  <c r="CE66" i="17"/>
  <c r="AZ57" i="17"/>
  <c r="ET48" i="17"/>
  <c r="EV66" i="17"/>
  <c r="FE27" i="17"/>
  <c r="BE38" i="17"/>
  <c r="CP47" i="17"/>
  <c r="FN77" i="17"/>
  <c r="CQ19" i="17"/>
  <c r="CY26" i="17"/>
  <c r="GC41" i="17"/>
  <c r="AX67" i="17"/>
  <c r="DC31" i="17"/>
  <c r="FZ50" i="17"/>
  <c r="BY60" i="17"/>
  <c r="EO23" i="17"/>
  <c r="DK18" i="17"/>
  <c r="EH30" i="17"/>
  <c r="BH37" i="17"/>
  <c r="CC44" i="17"/>
  <c r="EH8" i="17"/>
  <c r="EH2" i="17" s="1"/>
  <c r="EQ8" i="17"/>
  <c r="EQ2" i="17" s="1"/>
  <c r="EK26" i="17"/>
  <c r="DL77" i="17"/>
  <c r="FD67" i="17"/>
  <c r="FQ50" i="17"/>
  <c r="CZ19" i="17"/>
  <c r="GF77" i="17"/>
  <c r="CS74" i="17"/>
  <c r="DI59" i="17"/>
  <c r="CV57" i="17"/>
  <c r="AV16" i="17"/>
  <c r="BB61" i="17"/>
  <c r="DF39" i="17"/>
  <c r="FZ84" i="17"/>
  <c r="BV80" i="17"/>
  <c r="FH34" i="17"/>
  <c r="AQ46" i="17"/>
  <c r="FI17" i="17"/>
  <c r="BY19" i="17"/>
  <c r="CT22" i="17"/>
  <c r="BA36" i="17"/>
  <c r="W10" i="24" a="1"/>
  <c r="BW60" i="17"/>
  <c r="FU8" i="17"/>
  <c r="DD43" i="17"/>
  <c r="FX27" i="17"/>
  <c r="BE25" i="17"/>
  <c r="EM64" i="17"/>
  <c r="DL84" i="17"/>
  <c r="FU19" i="17"/>
  <c r="CT84" i="17"/>
  <c r="FK15" i="17"/>
  <c r="FP37" i="17"/>
  <c r="AR32" i="17"/>
  <c r="CS31" i="17"/>
  <c r="EV50" i="17"/>
  <c r="BY45" i="17"/>
  <c r="DB70" i="17"/>
  <c r="EN85" i="17"/>
  <c r="FA33" i="17"/>
  <c r="DD32" i="17"/>
  <c r="FD71" i="17"/>
  <c r="BX32" i="17"/>
  <c r="DA54" i="17"/>
  <c r="DT68" i="17"/>
  <c r="FX23" i="17"/>
  <c r="CU84" i="17"/>
  <c r="BY80" i="17"/>
  <c r="CV55" i="17"/>
  <c r="BA24" i="17"/>
  <c r="CI85" i="17"/>
  <c r="FE46" i="17"/>
  <c r="AQ76" i="17"/>
  <c r="DC45" i="17"/>
  <c r="BD37" i="17"/>
  <c r="EH36" i="17"/>
  <c r="BF84" i="17"/>
  <c r="ET34" i="17"/>
  <c r="FC51" i="17"/>
  <c r="FW12" i="17"/>
  <c r="DV32" i="17"/>
  <c r="BE76" i="17"/>
  <c r="CP68" i="17"/>
  <c r="BA85" i="17"/>
  <c r="CI68" i="17"/>
  <c r="FX39" i="17"/>
  <c r="HM35" i="17"/>
  <c r="CL61" i="17"/>
  <c r="EG59" i="17"/>
  <c r="EX12" i="17"/>
  <c r="ED24" i="17"/>
  <c r="CU19" i="17"/>
  <c r="FB82" i="17"/>
  <c r="CE46" i="17"/>
  <c r="AT31" i="17"/>
  <c r="FK57" i="17"/>
  <c r="CE76" i="17"/>
  <c r="CC54" i="17"/>
  <c r="CV51" i="17"/>
  <c r="AW71" i="17"/>
  <c r="FN11" i="17"/>
  <c r="CO19" i="17"/>
  <c r="DX48" i="17"/>
  <c r="AS17" i="17"/>
  <c r="EF26" i="17"/>
  <c r="EC69" i="17"/>
  <c r="EI44" i="17"/>
  <c r="AZ68" i="17"/>
  <c r="AY76" i="17"/>
  <c r="EQ58" i="17"/>
  <c r="DZ52" i="17"/>
  <c r="CE82" i="17"/>
  <c r="DP65" i="17"/>
  <c r="DK66" i="17"/>
  <c r="EM32" i="17"/>
  <c r="CY81" i="17"/>
  <c r="BV40" i="17"/>
  <c r="CT65" i="17"/>
  <c r="CW11" i="17"/>
  <c r="DV47" i="17"/>
  <c r="EE23" i="17"/>
  <c r="FY16" i="17"/>
  <c r="EE65" i="17"/>
  <c r="BF19" i="17"/>
  <c r="DV55" i="17"/>
  <c r="DJ8" i="17"/>
  <c r="FP17" i="17"/>
  <c r="FB75" i="17"/>
  <c r="FV45" i="17"/>
  <c r="FZ57" i="17"/>
  <c r="DN39" i="17"/>
  <c r="EP69" i="17"/>
  <c r="DT84" i="17"/>
  <c r="EF83" i="17"/>
  <c r="CF24" i="17"/>
  <c r="DW57" i="17"/>
  <c r="AZ76" i="17"/>
  <c r="FV76" i="17"/>
  <c r="CL73" i="17"/>
  <c r="EJ48" i="17"/>
  <c r="GW7" i="17"/>
  <c r="CZ8" i="17"/>
  <c r="DO12" i="17"/>
  <c r="EB17" i="17"/>
  <c r="FZ68" i="17"/>
  <c r="DB85" i="17"/>
  <c r="EX33" i="17"/>
  <c r="DM81" i="17"/>
  <c r="DX15" i="17"/>
  <c r="GC55" i="17"/>
  <c r="DJ43" i="17"/>
  <c r="GC20" i="17"/>
  <c r="DQ66" i="17"/>
  <c r="AZ86" i="17"/>
  <c r="CI46" i="17"/>
  <c r="GH78" i="17"/>
  <c r="FK78" i="17"/>
  <c r="DL33" i="17"/>
  <c r="BF58" i="17"/>
  <c r="EL82" i="17"/>
  <c r="GD77" i="17"/>
  <c r="CG16" i="17"/>
  <c r="CV8" i="17"/>
  <c r="AU58" i="17"/>
  <c r="DB43" i="17"/>
  <c r="CV48" i="17"/>
  <c r="EZ24" i="17"/>
  <c r="FD59" i="17"/>
  <c r="FQ39" i="17"/>
  <c r="EL53" i="17"/>
  <c r="EC22" i="17"/>
  <c r="GC32" i="17"/>
  <c r="DP33" i="17"/>
  <c r="DC16" i="17"/>
  <c r="DV8" i="17"/>
  <c r="DD80" i="17"/>
  <c r="CD67" i="17"/>
  <c r="GB86" i="17"/>
  <c r="CQ50" i="17"/>
  <c r="DR17" i="17"/>
  <c r="AT68" i="17"/>
  <c r="EJ16" i="17"/>
  <c r="BU10" i="17"/>
  <c r="CF51" i="17"/>
  <c r="DC34" i="17"/>
  <c r="DR75" i="17"/>
  <c r="DH53" i="17"/>
  <c r="DH65" i="17"/>
  <c r="FD73" i="17"/>
  <c r="DT60" i="17"/>
  <c r="DN68" i="17"/>
  <c r="GW49" i="17"/>
  <c r="CT36" i="17"/>
  <c r="EC76" i="17"/>
  <c r="BA9" i="17"/>
  <c r="DM30" i="17"/>
  <c r="DU31" i="17"/>
  <c r="AQ26" i="17"/>
  <c r="FR51" i="17"/>
  <c r="EJ40" i="17"/>
  <c r="CC39" i="17"/>
  <c r="FK54" i="17"/>
  <c r="CT57" i="17"/>
  <c r="CT76" i="17"/>
  <c r="DV57" i="17"/>
  <c r="BA68" i="17"/>
  <c r="EM43" i="17"/>
  <c r="BW24" i="17"/>
  <c r="EP73" i="17"/>
  <c r="AY83" i="17"/>
  <c r="DX23" i="17"/>
  <c r="FZ86" i="17"/>
  <c r="BD53" i="17"/>
  <c r="EN47" i="17"/>
  <c r="FG53" i="17"/>
  <c r="AX23" i="17"/>
  <c r="CC40" i="17"/>
  <c r="AQ78" i="17"/>
  <c r="FW16" i="17"/>
  <c r="BW18" i="17"/>
  <c r="GF86" i="17"/>
  <c r="DQ61" i="17"/>
  <c r="FV25" i="17"/>
  <c r="EY57" i="17"/>
  <c r="CX10" i="17"/>
  <c r="GE27" i="17"/>
  <c r="AT10" i="17"/>
  <c r="EX74" i="17"/>
  <c r="CC58" i="17"/>
  <c r="EN60" i="17"/>
  <c r="CQ46" i="17"/>
  <c r="FC18" i="17"/>
  <c r="BY57" i="17"/>
  <c r="ER66" i="17"/>
  <c r="AY77" i="17"/>
  <c r="CG85" i="17"/>
  <c r="FL51" i="17"/>
  <c r="DA45" i="17"/>
  <c r="BV12" i="17"/>
  <c r="EG17" i="17"/>
  <c r="EJ33" i="17"/>
  <c r="EL36" i="17"/>
  <c r="FW18" i="17"/>
  <c r="EZ74" i="17"/>
  <c r="DX57" i="17"/>
  <c r="FY80" i="17"/>
  <c r="CD86" i="17"/>
  <c r="AX75" i="17"/>
  <c r="FA68" i="17"/>
  <c r="CY16" i="17"/>
  <c r="EO15" i="17"/>
  <c r="BU15" i="17"/>
  <c r="FV58" i="17"/>
  <c r="DC18" i="17"/>
  <c r="CL43" i="17"/>
  <c r="FK70" i="17"/>
  <c r="DU72" i="17"/>
  <c r="BB22" i="17"/>
  <c r="FD75" i="17"/>
  <c r="EC26" i="17"/>
  <c r="DJ29" i="17"/>
  <c r="AW64" i="17"/>
  <c r="EY32" i="17"/>
  <c r="FB44" i="17"/>
  <c r="BD15" i="17"/>
  <c r="EE68" i="17"/>
  <c r="DQ77" i="17"/>
  <c r="AZ40" i="17"/>
  <c r="ER23" i="17"/>
  <c r="FG29" i="17"/>
  <c r="FW55" i="17"/>
  <c r="FF36" i="17"/>
  <c r="GE82" i="17"/>
  <c r="GE60" i="17"/>
  <c r="GC16" i="17"/>
  <c r="AW74" i="17"/>
  <c r="DP11" i="17"/>
  <c r="EV60" i="17"/>
  <c r="DB12" i="17"/>
  <c r="BA70" i="17"/>
  <c r="CR12" i="17"/>
  <c r="FI81" i="17"/>
  <c r="DM9" i="17"/>
  <c r="AY61" i="17"/>
  <c r="CD65" i="17"/>
  <c r="FV80" i="17"/>
  <c r="DC32" i="17"/>
  <c r="CU66" i="17"/>
  <c r="AS37" i="17"/>
  <c r="CS76" i="17"/>
  <c r="FS70" i="17"/>
  <c r="DL59" i="17"/>
  <c r="DC50" i="17"/>
  <c r="BC25" i="17"/>
  <c r="EY77" i="17"/>
  <c r="AX76" i="17"/>
  <c r="FE78" i="17"/>
  <c r="AS29" i="17"/>
  <c r="FU26" i="17"/>
  <c r="CY20" i="17"/>
  <c r="FZ37" i="17"/>
  <c r="DD26" i="17"/>
  <c r="GY14" i="17"/>
  <c r="CB57" i="17"/>
  <c r="CD10" i="17"/>
  <c r="DR70" i="17"/>
  <c r="CG25" i="17"/>
  <c r="FK34" i="17"/>
  <c r="CL68" i="17"/>
  <c r="AY67" i="17"/>
  <c r="BD67" i="17"/>
  <c r="DF12" i="17"/>
  <c r="HS7" i="17"/>
  <c r="FT77" i="17"/>
  <c r="EO40" i="17"/>
  <c r="DN37" i="17"/>
  <c r="FE45" i="17"/>
  <c r="FF76" i="17"/>
  <c r="GA36" i="17"/>
  <c r="GA82" i="17"/>
  <c r="DK47" i="17"/>
  <c r="FY64" i="17"/>
  <c r="FD60" i="17"/>
  <c r="CA9" i="17"/>
  <c r="AR47" i="17"/>
  <c r="FJ40" i="17"/>
  <c r="CW20" i="17"/>
  <c r="FG70" i="17"/>
  <c r="GB44" i="17"/>
  <c r="CH30" i="17"/>
  <c r="EK48" i="17"/>
  <c r="CL78" i="17"/>
  <c r="FV53" i="17"/>
  <c r="HP63" i="17"/>
  <c r="DT58" i="17"/>
  <c r="CJ32" i="17"/>
  <c r="DZ55" i="17"/>
  <c r="EZ32" i="17"/>
  <c r="DX53" i="17"/>
  <c r="FS33" i="17"/>
  <c r="CO26" i="17"/>
  <c r="EB29" i="17"/>
  <c r="BC67" i="17"/>
  <c r="GB85" i="17"/>
  <c r="EV32" i="17"/>
  <c r="FH17" i="17"/>
  <c r="AR65" i="17"/>
  <c r="DM39" i="17"/>
  <c r="EY80" i="17"/>
  <c r="CE37" i="17"/>
  <c r="FL19" i="17"/>
  <c r="FG40" i="17"/>
  <c r="HQ63" i="17"/>
  <c r="EY22" i="17"/>
  <c r="CD17" i="17"/>
  <c r="FZ46" i="17"/>
  <c r="DO33" i="17"/>
  <c r="CD39" i="17"/>
  <c r="EC77" i="17"/>
  <c r="DC61" i="17"/>
  <c r="FZ77" i="17"/>
  <c r="HI56" i="17"/>
  <c r="BE19" i="17"/>
  <c r="FG32" i="17"/>
  <c r="CX61" i="17"/>
  <c r="DS85" i="17"/>
  <c r="DC64" i="17"/>
  <c r="FX67" i="17"/>
  <c r="GF79" i="17"/>
  <c r="EG26" i="17"/>
  <c r="DX40" i="17"/>
  <c r="EG75" i="17"/>
  <c r="AR23" i="17"/>
  <c r="CT31" i="17"/>
  <c r="FZ54" i="17"/>
  <c r="CF55" i="17"/>
  <c r="DF50" i="17"/>
  <c r="GC45" i="17"/>
  <c r="EG57" i="17"/>
  <c r="ER84" i="17"/>
  <c r="AU45" i="17"/>
  <c r="FL68" i="17"/>
  <c r="AV79" i="17"/>
  <c r="AY55" i="17"/>
  <c r="GE29" i="17"/>
  <c r="FB67" i="17"/>
  <c r="BX68" i="17"/>
  <c r="CI24" i="17"/>
  <c r="DM16" i="17"/>
  <c r="CQ70" i="17"/>
  <c r="FI34" i="17"/>
  <c r="DB69" i="17"/>
  <c r="CC29" i="17"/>
  <c r="DU70" i="17"/>
  <c r="EP84" i="17"/>
  <c r="BW40" i="17"/>
  <c r="DV76" i="17"/>
  <c r="FW83" i="17"/>
  <c r="CY9" i="17"/>
  <c r="CW50" i="17"/>
  <c r="BY66" i="17"/>
  <c r="CL40" i="17"/>
  <c r="ER38" i="17"/>
  <c r="EL58" i="17"/>
  <c r="CB29" i="17"/>
  <c r="AY71" i="17"/>
  <c r="EW8" i="17"/>
  <c r="BX58" i="17"/>
  <c r="BY24" i="17"/>
  <c r="EL85" i="17"/>
  <c r="BB54" i="17"/>
  <c r="FS78" i="17"/>
  <c r="EN50" i="17"/>
  <c r="DR20" i="17"/>
  <c r="DF27" i="17"/>
  <c r="BY10" i="17"/>
  <c r="FY51" i="17"/>
  <c r="CO74" i="17"/>
  <c r="DZ18" i="17"/>
  <c r="FW51" i="17"/>
  <c r="ER27" i="17"/>
  <c r="DS57" i="17"/>
  <c r="GA52" i="17"/>
  <c r="CL27" i="17"/>
  <c r="CY8" i="17"/>
  <c r="FI41" i="17"/>
  <c r="FY18" i="17"/>
  <c r="BE82" i="17"/>
  <c r="CD30" i="17"/>
  <c r="FY29" i="17"/>
  <c r="FX32" i="17"/>
  <c r="FQ68" i="17"/>
  <c r="EK55" i="17"/>
  <c r="CG23" i="17"/>
  <c r="CL36" i="17"/>
  <c r="BB83" i="17"/>
  <c r="FS17" i="17"/>
  <c r="AQ31" i="17"/>
  <c r="GP14" i="17"/>
  <c r="CY17" i="17"/>
  <c r="AY24" i="17"/>
  <c r="CU57" i="17"/>
  <c r="FT47" i="17"/>
  <c r="GJ21" i="17"/>
  <c r="GQ63" i="17"/>
  <c r="BW78" i="17"/>
  <c r="GB80" i="17"/>
  <c r="CL72" i="17"/>
  <c r="DK8" i="17"/>
  <c r="DI17" i="17"/>
  <c r="BF70" i="17"/>
  <c r="DU8" i="17"/>
  <c r="DQ16" i="17"/>
  <c r="BV58" i="17"/>
  <c r="HT49" i="17"/>
  <c r="BZ23" i="17"/>
  <c r="FA53" i="17"/>
  <c r="BE8" i="17"/>
  <c r="CJ24" i="17"/>
  <c r="ED66" i="17"/>
  <c r="EN75" i="17"/>
  <c r="EK22" i="17"/>
  <c r="BA31" i="17"/>
  <c r="CQ36" i="17"/>
  <c r="ET74" i="17"/>
  <c r="HP56" i="17"/>
  <c r="EB37" i="17"/>
  <c r="EP85" i="17"/>
  <c r="DJ72" i="17"/>
  <c r="CB46" i="17"/>
  <c r="FT73" i="17"/>
  <c r="EE36" i="17"/>
  <c r="AY64" i="17"/>
  <c r="DA12" i="17"/>
  <c r="FV30" i="17"/>
  <c r="FH70" i="17"/>
  <c r="BX52" i="17"/>
  <c r="FG12" i="17"/>
  <c r="AY39" i="17"/>
  <c r="GB54" i="17"/>
  <c r="AZ85" i="17"/>
  <c r="FK36" i="17"/>
  <c r="FU31" i="17"/>
  <c r="FJ51" i="17"/>
  <c r="HA35" i="17"/>
  <c r="GJ56" i="17"/>
  <c r="FV79" i="17"/>
  <c r="BV73" i="17"/>
  <c r="DS83" i="17"/>
  <c r="FX78" i="17"/>
  <c r="GN49" i="17"/>
  <c r="DI82" i="17"/>
  <c r="BU50" i="17"/>
  <c r="AY82" i="17"/>
  <c r="BX64" i="17"/>
  <c r="DP37" i="17"/>
  <c r="CZ36" i="17"/>
  <c r="EX45" i="17"/>
  <c r="FF82" i="17"/>
  <c r="EN27" i="17"/>
  <c r="DA59" i="17"/>
  <c r="FC26" i="17"/>
  <c r="EE37" i="17"/>
  <c r="BB50" i="17"/>
  <c r="FL30" i="17"/>
  <c r="ER51" i="17"/>
  <c r="GL63" i="17"/>
  <c r="CS11" i="17"/>
  <c r="DJ60" i="17"/>
  <c r="EO73" i="17"/>
  <c r="DI32" i="17"/>
  <c r="CC19" i="17"/>
  <c r="EE73" i="17"/>
  <c r="FD11" i="17"/>
  <c r="FV29" i="17"/>
  <c r="DO68" i="17"/>
  <c r="DZ86" i="17"/>
  <c r="FA40" i="17"/>
  <c r="EX25" i="17"/>
  <c r="GC31" i="17"/>
  <c r="CW46" i="17"/>
  <c r="DC10" i="17"/>
  <c r="CU23" i="17"/>
  <c r="DC17" i="17"/>
  <c r="GL21" i="17"/>
  <c r="CO54" i="17"/>
  <c r="BC43" i="17"/>
  <c r="CS81" i="17"/>
  <c r="FX45" i="17"/>
  <c r="BE83" i="17"/>
  <c r="ED32" i="17"/>
  <c r="DX20" i="17"/>
  <c r="EG32" i="17"/>
  <c r="GF51" i="17"/>
  <c r="BV31" i="17"/>
  <c r="FP53" i="17"/>
  <c r="CV66" i="17"/>
  <c r="DN67" i="17"/>
  <c r="CB43" i="17"/>
  <c r="DB8" i="17"/>
  <c r="BC81" i="17"/>
  <c r="EO27" i="17"/>
  <c r="EQ64" i="17"/>
  <c r="V14" i="24"/>
  <c r="EM75" i="17"/>
  <c r="HG56" i="17"/>
  <c r="FC25" i="17"/>
  <c r="CP76" i="17"/>
  <c r="DB27" i="17"/>
  <c r="AQ68" i="17"/>
  <c r="FT67" i="17"/>
  <c r="DV44" i="17"/>
  <c r="CD40" i="17"/>
  <c r="CF30" i="17"/>
  <c r="DX74" i="17"/>
  <c r="BH22" i="17"/>
  <c r="BV19" i="17"/>
  <c r="EK32" i="17"/>
  <c r="GN35" i="17"/>
  <c r="GW35" i="17"/>
  <c r="EJ80" i="17"/>
  <c r="GW63" i="17"/>
  <c r="AT16" i="17"/>
  <c r="FD36" i="17"/>
  <c r="DT10" i="17"/>
  <c r="GN63" i="17"/>
  <c r="BZ25" i="17"/>
  <c r="GD47" i="17"/>
  <c r="CD69" i="17"/>
  <c r="AY36" i="17"/>
  <c r="DT11" i="17"/>
  <c r="DK72" i="17"/>
  <c r="FJ57" i="17"/>
  <c r="DN79" i="17"/>
  <c r="CV36" i="17"/>
  <c r="BF30" i="17"/>
  <c r="AQ19" i="17"/>
  <c r="GD9" i="17"/>
  <c r="DS40" i="17"/>
  <c r="EZ18" i="17"/>
  <c r="FW82" i="17"/>
  <c r="BV54" i="17"/>
  <c r="ED25" i="17"/>
  <c r="FY43" i="17"/>
  <c r="ER86" i="17"/>
  <c r="CC67" i="17"/>
  <c r="AR12" i="17"/>
  <c r="EQ47" i="17"/>
  <c r="FJ77" i="17"/>
  <c r="CO83" i="17"/>
  <c r="AX80" i="17"/>
  <c r="EX57" i="17"/>
  <c r="HS14" i="17"/>
  <c r="BX37" i="17"/>
  <c r="FW11" i="17"/>
  <c r="DT8" i="17"/>
  <c r="EW80" i="17"/>
  <c r="CZ52" i="17"/>
  <c r="BB47" i="17"/>
  <c r="EE51" i="17"/>
  <c r="EI51" i="17"/>
  <c r="ED15" i="17"/>
  <c r="FU43" i="17"/>
  <c r="EM72" i="17"/>
  <c r="CQ83" i="17"/>
  <c r="FE57" i="17"/>
  <c r="DU71" i="17"/>
  <c r="ET15" i="17"/>
  <c r="FB57" i="17"/>
  <c r="EX66" i="17"/>
  <c r="AQ16" i="17"/>
  <c r="DQ36" i="17"/>
  <c r="FD37" i="17"/>
  <c r="DA43" i="17"/>
  <c r="FH79" i="17"/>
  <c r="FZ41" i="17"/>
  <c r="FY72" i="17"/>
  <c r="DV66" i="17"/>
  <c r="FL60" i="17"/>
  <c r="BA32" i="17"/>
  <c r="DH15" i="17"/>
  <c r="FP52" i="17"/>
  <c r="GE64" i="17"/>
  <c r="FR12" i="17"/>
  <c r="CJ29" i="17"/>
  <c r="CH34" i="17"/>
  <c r="CD54" i="17"/>
  <c r="DS29" i="17"/>
  <c r="EX9" i="17"/>
  <c r="FI51" i="17"/>
  <c r="CY29" i="17"/>
  <c r="EE19" i="17"/>
  <c r="GE50" i="17"/>
  <c r="AS45" i="17"/>
  <c r="DZ66" i="17"/>
  <c r="DF10" i="17"/>
  <c r="BE37" i="17"/>
  <c r="EC18" i="17"/>
  <c r="FP77" i="17"/>
  <c r="CA39" i="17"/>
  <c r="AY34" i="17"/>
  <c r="CC26" i="17"/>
  <c r="EK23" i="17"/>
  <c r="DX11" i="17"/>
  <c r="FE80" i="17"/>
  <c r="BY72" i="17"/>
  <c r="FE75" i="17"/>
  <c r="FH54" i="17"/>
  <c r="BA81" i="17"/>
  <c r="DJ69" i="17"/>
  <c r="BY46" i="17"/>
  <c r="GK35" i="17"/>
  <c r="BY81" i="17"/>
  <c r="GH61" i="17"/>
  <c r="DB80" i="17"/>
  <c r="CF64" i="17"/>
  <c r="EQ55" i="17"/>
  <c r="EE32" i="17"/>
  <c r="GE20" i="17"/>
  <c r="CA30" i="17"/>
  <c r="AZ16" i="17"/>
  <c r="AV33" i="17"/>
  <c r="CD15" i="17"/>
  <c r="ET73" i="17"/>
  <c r="EH17" i="17"/>
  <c r="FG8" i="17"/>
  <c r="BY11" i="17"/>
  <c r="AY9" i="17"/>
  <c r="BD81" i="17"/>
  <c r="AY46" i="17"/>
  <c r="FD80" i="17"/>
  <c r="DH59" i="17"/>
  <c r="AW81" i="17"/>
  <c r="EH76" i="17"/>
  <c r="EC65" i="17"/>
  <c r="AZ55" i="17"/>
  <c r="DH71" i="17"/>
  <c r="DV41" i="17"/>
  <c r="FW29" i="17"/>
  <c r="DH69" i="17"/>
  <c r="FC67" i="17"/>
  <c r="EG9" i="17"/>
  <c r="CI48" i="17"/>
  <c r="CT25" i="17"/>
  <c r="EN67" i="17"/>
  <c r="CO36" i="17"/>
  <c r="EE84" i="17"/>
  <c r="ER60" i="17"/>
  <c r="EG30" i="17"/>
  <c r="CO45" i="17"/>
  <c r="CZ81" i="17"/>
  <c r="FU53" i="17"/>
  <c r="DM47" i="17"/>
  <c r="EP83" i="17"/>
  <c r="BZ32" i="17"/>
  <c r="AS65" i="17"/>
  <c r="EJ10" i="17"/>
  <c r="EZ77" i="17"/>
  <c r="BZ8" i="17"/>
  <c r="FU77" i="17"/>
  <c r="FC40" i="17"/>
  <c r="BB81" i="17"/>
  <c r="CI11" i="17"/>
  <c r="AV61" i="17"/>
  <c r="ED82" i="17"/>
  <c r="HV35" i="17"/>
  <c r="AV67" i="17"/>
  <c r="CP58" i="17"/>
  <c r="DV15" i="17"/>
  <c r="EX30" i="17"/>
  <c r="CW74" i="17"/>
  <c r="FU24" i="17"/>
  <c r="BY43" i="17"/>
  <c r="BU61" i="17"/>
  <c r="DD47" i="17"/>
  <c r="CY52" i="17"/>
  <c r="DV78" i="17"/>
  <c r="CC45" i="17"/>
  <c r="HW35" i="17"/>
  <c r="DM84" i="17"/>
  <c r="FW38" i="17"/>
  <c r="CD18" i="17"/>
  <c r="DV80" i="17"/>
  <c r="DI74" i="17"/>
  <c r="CR30" i="17"/>
  <c r="FQ54" i="17"/>
  <c r="EJ41" i="17"/>
  <c r="FJ50" i="17"/>
  <c r="CO84" i="17"/>
  <c r="CH46" i="17"/>
  <c r="BW82" i="17"/>
  <c r="BH31" i="17"/>
  <c r="EQ11" i="17"/>
  <c r="FV12" i="17"/>
  <c r="FL47" i="17"/>
  <c r="ER57" i="17"/>
  <c r="EI37" i="17"/>
  <c r="GE65" i="17"/>
  <c r="FQ75" i="17"/>
  <c r="BU17" i="17"/>
  <c r="DD55" i="17"/>
  <c r="FY84" i="17"/>
  <c r="FW74" i="17"/>
  <c r="CY66" i="17"/>
  <c r="BA72" i="17"/>
  <c r="DQ40" i="17"/>
  <c r="EX82" i="17"/>
  <c r="CF16" i="17"/>
  <c r="EO69" i="17"/>
  <c r="BZ58" i="17"/>
  <c r="ER32" i="17"/>
  <c r="HJ35" i="17"/>
  <c r="EM34" i="17"/>
  <c r="CV15" i="17"/>
  <c r="BT85" i="17"/>
  <c r="FP36" i="17"/>
  <c r="AR36" i="17"/>
  <c r="CH33" i="17"/>
  <c r="FN9" i="17"/>
  <c r="GA73" i="17"/>
  <c r="FP82" i="17"/>
  <c r="AW26" i="17"/>
  <c r="ED45" i="17"/>
  <c r="EY18" i="17"/>
  <c r="DL52" i="17"/>
  <c r="GU14" i="17"/>
  <c r="CU59" i="17"/>
  <c r="EC8" i="17"/>
  <c r="EC2" i="17" s="1"/>
  <c r="DA51" i="17"/>
  <c r="BZ70" i="17"/>
  <c r="EZ43" i="17"/>
  <c r="GD67" i="17"/>
  <c r="ED31" i="17"/>
  <c r="W11" i="24" a="1"/>
  <c r="EB75" i="17"/>
  <c r="DX58" i="17"/>
  <c r="GD34" i="17"/>
  <c r="BY40" i="17"/>
  <c r="DA52" i="17"/>
  <c r="V10" i="24"/>
  <c r="GF8" i="17"/>
  <c r="CO16" i="17"/>
  <c r="CT23" i="17"/>
  <c r="CI66" i="17"/>
  <c r="HM56" i="17"/>
  <c r="CJ59" i="17"/>
  <c r="DO65" i="17"/>
  <c r="FC8" i="17"/>
  <c r="ER10" i="17"/>
  <c r="CZ43" i="17"/>
  <c r="BC68" i="17"/>
  <c r="DD78" i="17"/>
  <c r="EI18" i="17"/>
  <c r="FQ12" i="17"/>
  <c r="EY40" i="17"/>
  <c r="FQ67" i="17"/>
  <c r="FP9" i="17"/>
  <c r="CD79" i="17"/>
  <c r="EE83" i="17"/>
  <c r="FG59" i="17"/>
  <c r="DX81" i="17"/>
  <c r="CF11" i="17"/>
  <c r="CJ72" i="17"/>
  <c r="DC78" i="17"/>
  <c r="FU47" i="17"/>
  <c r="EW68" i="17"/>
  <c r="EG60" i="17"/>
  <c r="EG67" i="17"/>
  <c r="DX46" i="17"/>
  <c r="FE73" i="17"/>
  <c r="EK29" i="17"/>
  <c r="GJ7" i="17"/>
  <c r="FI64" i="17"/>
  <c r="CD47" i="17"/>
  <c r="CH72" i="17"/>
  <c r="HO63" i="17"/>
  <c r="AU46" i="17"/>
  <c r="EF37" i="17"/>
  <c r="EQ24" i="17"/>
  <c r="FY26" i="17"/>
  <c r="CG45" i="17"/>
  <c r="FY27" i="17"/>
  <c r="DX84" i="17"/>
  <c r="FF34" i="17"/>
  <c r="FF58" i="17"/>
  <c r="FP32" i="17"/>
  <c r="GM63" i="17"/>
  <c r="DA36" i="17"/>
  <c r="AT58" i="17"/>
  <c r="FI48" i="17"/>
  <c r="FG83" i="17"/>
  <c r="FS75" i="17"/>
  <c r="GB66" i="17"/>
  <c r="AS33" i="17"/>
  <c r="EZ38" i="17"/>
  <c r="GA15" i="17"/>
  <c r="CO64" i="17"/>
  <c r="DU29" i="17"/>
  <c r="FW71" i="17"/>
  <c r="CE31" i="17"/>
  <c r="EF18" i="17"/>
  <c r="DX72" i="17"/>
  <c r="CF75" i="17"/>
  <c r="DZ9" i="17"/>
  <c r="BB69" i="17"/>
  <c r="CL31" i="17"/>
  <c r="DM43" i="17"/>
  <c r="BF80" i="17"/>
  <c r="DT64" i="17"/>
  <c r="AT8" i="17"/>
  <c r="AY40" i="17"/>
  <c r="CX78" i="17"/>
  <c r="EE18" i="17"/>
  <c r="DX64" i="17"/>
  <c r="BF81" i="17"/>
  <c r="EY39" i="17"/>
  <c r="BU85" i="17"/>
  <c r="BW9" i="17"/>
  <c r="AS71" i="17"/>
  <c r="DF15" i="17"/>
  <c r="BD17" i="17"/>
  <c r="GC30" i="17"/>
  <c r="AW17" i="17"/>
  <c r="CY36" i="17"/>
  <c r="EN15" i="17"/>
  <c r="DV36" i="17"/>
  <c r="DX71" i="17"/>
  <c r="EI78" i="17"/>
  <c r="GM21" i="17"/>
  <c r="CS52" i="17"/>
  <c r="CE32" i="17"/>
  <c r="DN19" i="17"/>
  <c r="CE79" i="17"/>
  <c r="GA30" i="17"/>
  <c r="EL11" i="17"/>
  <c r="EZ17" i="17"/>
  <c r="FV84" i="17"/>
  <c r="FZ66" i="17"/>
  <c r="GE53" i="17"/>
  <c r="FR70" i="17"/>
  <c r="CG39" i="17"/>
  <c r="EC79" i="17"/>
  <c r="CQ18" i="17"/>
  <c r="DR82" i="17"/>
  <c r="EZ45" i="17"/>
  <c r="DT27" i="17"/>
  <c r="GB81" i="17"/>
  <c r="DB78" i="17"/>
  <c r="DB38" i="17"/>
  <c r="CI75" i="17"/>
  <c r="BW61" i="17"/>
  <c r="BF51" i="17"/>
  <c r="AV74" i="17"/>
  <c r="DR38" i="17"/>
  <c r="DC55" i="17"/>
  <c r="DT43" i="17"/>
  <c r="AU69" i="17"/>
  <c r="DR45" i="17"/>
  <c r="DA86" i="17"/>
  <c r="FA18" i="17"/>
  <c r="BH50" i="17"/>
  <c r="EX38" i="17"/>
  <c r="BU76" i="17"/>
  <c r="CW22" i="17"/>
  <c r="DS34" i="17"/>
  <c r="CJ22" i="17"/>
  <c r="GN7" i="17"/>
  <c r="CA86" i="17"/>
  <c r="CR26" i="17"/>
  <c r="DQ32" i="17"/>
  <c r="AW19" i="17"/>
  <c r="BY50" i="17"/>
  <c r="EI33" i="17"/>
  <c r="EB71" i="17"/>
  <c r="ED43" i="17"/>
  <c r="AT23" i="17"/>
  <c r="DS67" i="17"/>
  <c r="GS49" i="17"/>
  <c r="BE53" i="17"/>
  <c r="BZ52" i="17"/>
  <c r="ED72" i="17"/>
  <c r="EQ18" i="17"/>
  <c r="BE22" i="17"/>
  <c r="EW66" i="17"/>
  <c r="FE26" i="17"/>
  <c r="DR37" i="17"/>
  <c r="EQ65" i="17"/>
  <c r="CG58" i="17"/>
  <c r="EL78" i="17"/>
  <c r="FI8" i="17"/>
  <c r="DP81" i="17"/>
  <c r="EH18" i="17"/>
  <c r="CE16" i="17"/>
  <c r="EG78" i="17"/>
  <c r="EQ16" i="17"/>
  <c r="DV40" i="17"/>
  <c r="CR85" i="17"/>
  <c r="HM21" i="17"/>
  <c r="BZ24" i="17"/>
  <c r="GQ28" i="17"/>
  <c r="CE26" i="17"/>
  <c r="FS32" i="17"/>
  <c r="BB76" i="17"/>
  <c r="FG66" i="17"/>
  <c r="AU76" i="17"/>
  <c r="AZ20" i="17"/>
  <c r="CY82" i="17"/>
  <c r="EQ10" i="17"/>
  <c r="BV66" i="17"/>
  <c r="FI82" i="17"/>
  <c r="BX67" i="17"/>
  <c r="EW52" i="17"/>
  <c r="CJ51" i="17"/>
  <c r="EP72" i="17"/>
  <c r="EE77" i="17"/>
  <c r="FV40" i="17"/>
  <c r="FA73" i="17"/>
  <c r="CR33" i="17"/>
  <c r="BX39" i="17"/>
  <c r="FR22" i="17"/>
  <c r="ED67" i="17"/>
  <c r="HT28" i="17"/>
  <c r="FF19" i="17"/>
  <c r="CR84" i="17"/>
  <c r="GC37" i="17"/>
  <c r="DI43" i="17"/>
  <c r="DQ85" i="17"/>
  <c r="AR26" i="17"/>
  <c r="CD74" i="17"/>
  <c r="EI46" i="17"/>
  <c r="AR58" i="17"/>
  <c r="DD71" i="17"/>
  <c r="DN54" i="17"/>
  <c r="FG78" i="17"/>
  <c r="FJ81" i="17"/>
  <c r="HN14" i="17"/>
  <c r="DS38" i="17"/>
  <c r="EX64" i="17"/>
  <c r="FN72" i="17"/>
  <c r="CW10" i="17"/>
  <c r="GH10" i="17"/>
  <c r="FD66" i="17"/>
  <c r="FD76" i="17"/>
  <c r="BA12" i="17"/>
  <c r="FN26" i="17"/>
  <c r="DB30" i="17"/>
  <c r="CB34" i="17"/>
  <c r="CZ59" i="17"/>
  <c r="EW71" i="17"/>
  <c r="BU60" i="17"/>
  <c r="GP7" i="17"/>
  <c r="BC60" i="17"/>
  <c r="CG67" i="17"/>
  <c r="FV16" i="17"/>
  <c r="BF61" i="17"/>
  <c r="GD25" i="17"/>
  <c r="GH19" i="17"/>
  <c r="GF19" i="17"/>
  <c r="EL37" i="17"/>
  <c r="DD15" i="17"/>
  <c r="EP38" i="17"/>
  <c r="EX50" i="17"/>
  <c r="CT78" i="17"/>
  <c r="DP80" i="17"/>
  <c r="EQ73" i="17"/>
  <c r="EX59" i="17"/>
  <c r="DI79" i="17"/>
  <c r="EM58" i="17"/>
  <c r="GC66" i="17"/>
  <c r="DT23" i="17"/>
  <c r="CS54" i="17"/>
  <c r="GH67" i="17"/>
  <c r="EN17" i="17"/>
  <c r="FH74" i="17"/>
  <c r="DP82" i="17"/>
  <c r="DR51" i="17"/>
  <c r="EI30" i="17"/>
  <c r="EH33" i="17"/>
  <c r="BA44" i="17"/>
  <c r="CC74" i="17"/>
  <c r="DQ73" i="17"/>
  <c r="BX10" i="17"/>
  <c r="CD32" i="17"/>
  <c r="DV25" i="17"/>
  <c r="CL50" i="17"/>
  <c r="EW54" i="17"/>
  <c r="BB46" i="17"/>
  <c r="FN57" i="17"/>
  <c r="EM74" i="17"/>
  <c r="BB24" i="17"/>
  <c r="GE36" i="17"/>
  <c r="DV84" i="17"/>
  <c r="CQ77" i="17"/>
  <c r="BF60" i="17"/>
  <c r="CA18" i="17"/>
  <c r="GH65" i="17"/>
  <c r="GR56" i="17"/>
  <c r="CV50" i="17"/>
  <c r="BU80" i="17"/>
  <c r="GD12" i="17"/>
  <c r="CW70" i="17"/>
  <c r="DO46" i="17"/>
  <c r="FQ73" i="17"/>
  <c r="BY68" i="17"/>
  <c r="EP43" i="17"/>
  <c r="GF82" i="17"/>
  <c r="DI81" i="17"/>
  <c r="CT53" i="17"/>
  <c r="DP54" i="17"/>
  <c r="EV37" i="17"/>
  <c r="GH86" i="17"/>
  <c r="DB83" i="17"/>
  <c r="FT58" i="17"/>
  <c r="FU54" i="17"/>
  <c r="DF76" i="17"/>
  <c r="DZ25" i="17"/>
  <c r="EI81" i="17"/>
  <c r="BU24" i="17"/>
  <c r="EN82" i="17"/>
  <c r="CJ19" i="17"/>
  <c r="FC73" i="17"/>
  <c r="FL36" i="17"/>
  <c r="FZ19" i="17"/>
  <c r="DK65" i="17"/>
  <c r="BV78" i="17"/>
  <c r="BY84" i="17"/>
  <c r="HK35" i="17"/>
  <c r="BW75" i="17"/>
  <c r="ER29" i="17"/>
  <c r="BY9" i="17"/>
  <c r="FY81" i="17"/>
  <c r="BD54" i="17"/>
  <c r="FB69" i="17"/>
  <c r="FL34" i="17"/>
  <c r="GR49" i="17"/>
  <c r="FN79" i="17"/>
  <c r="DQ54" i="17"/>
  <c r="DN15" i="17"/>
  <c r="BW72" i="17"/>
  <c r="AZ22" i="17"/>
  <c r="CX59" i="17"/>
  <c r="CQ15" i="17"/>
  <c r="BF33" i="17"/>
  <c r="FG50" i="17"/>
  <c r="DO50" i="17"/>
  <c r="DV38" i="17"/>
  <c r="ET86" i="17"/>
  <c r="FU84" i="17"/>
  <c r="BZ18" i="17"/>
  <c r="DQ71" i="17"/>
  <c r="EM79" i="17"/>
  <c r="BH47" i="17"/>
  <c r="DF67" i="17"/>
  <c r="DH70" i="17"/>
  <c r="BE39" i="17"/>
  <c r="DT51" i="17"/>
  <c r="BC75" i="17"/>
  <c r="FP57" i="17"/>
  <c r="DV48" i="17"/>
  <c r="GC59" i="17"/>
  <c r="DI39" i="17"/>
  <c r="HM63" i="17"/>
  <c r="CV81" i="17"/>
  <c r="FL61" i="17"/>
  <c r="CD84" i="17"/>
  <c r="CC31" i="17"/>
  <c r="FW24" i="17"/>
  <c r="DW41" i="17"/>
  <c r="FS58" i="17"/>
  <c r="GD58" i="17"/>
  <c r="EC33" i="17"/>
  <c r="DO71" i="17"/>
  <c r="FX70" i="17"/>
  <c r="EW44" i="17"/>
  <c r="DK78" i="17"/>
  <c r="GO42" i="17"/>
  <c r="CC30" i="17"/>
  <c r="GA38" i="17"/>
  <c r="FX79" i="17"/>
  <c r="DO30" i="17"/>
  <c r="ET68" i="17"/>
  <c r="DW44" i="17"/>
  <c r="EH22" i="17"/>
  <c r="FJ71" i="17"/>
  <c r="BA15" i="17"/>
  <c r="FP69" i="17"/>
  <c r="FR45" i="17"/>
  <c r="DM67" i="17"/>
  <c r="CF57" i="17"/>
  <c r="CQ67" i="17"/>
  <c r="DO54" i="17"/>
  <c r="EG53" i="17"/>
  <c r="CZ30" i="17"/>
  <c r="EO26" i="17"/>
  <c r="FZ40" i="17"/>
  <c r="EC50" i="17"/>
  <c r="AX51" i="17"/>
  <c r="DI38" i="17"/>
  <c r="BZ38" i="17"/>
  <c r="GD69" i="17"/>
  <c r="BH58" i="17"/>
  <c r="DJ10" i="17"/>
  <c r="ET38" i="17"/>
  <c r="EM44" i="17"/>
  <c r="BH57" i="17"/>
  <c r="CF50" i="17"/>
  <c r="FH25" i="17"/>
  <c r="BC46" i="17"/>
  <c r="EP75" i="17"/>
  <c r="FU79" i="17"/>
  <c r="GA19" i="17"/>
  <c r="CY45" i="17"/>
  <c r="FJ38" i="17"/>
  <c r="CY50" i="17"/>
  <c r="CO52" i="17"/>
  <c r="EW60" i="17"/>
  <c r="FE64" i="17"/>
  <c r="GC12" i="17"/>
  <c r="FQ23" i="17"/>
  <c r="EM22" i="17"/>
  <c r="EL52" i="17"/>
  <c r="AZ31" i="17"/>
  <c r="FT80" i="17"/>
  <c r="EP52" i="17"/>
  <c r="CF19" i="17"/>
  <c r="EN23" i="17"/>
  <c r="CR8" i="17"/>
  <c r="CA12" i="17"/>
  <c r="DR68" i="17"/>
  <c r="EM51" i="17"/>
  <c r="DA72" i="17"/>
  <c r="EZ83" i="17"/>
  <c r="AS31" i="17"/>
  <c r="FK16" i="17"/>
  <c r="DF40" i="17"/>
  <c r="ED59" i="17"/>
  <c r="BE16" i="17"/>
  <c r="GC39" i="17"/>
  <c r="HR42" i="17"/>
  <c r="FD38" i="17"/>
  <c r="GE76" i="17"/>
  <c r="BA55" i="17"/>
  <c r="CB65" i="17"/>
  <c r="CF23" i="17"/>
  <c r="FT53" i="17"/>
  <c r="CT54" i="17"/>
  <c r="BY52" i="17"/>
  <c r="DI69" i="17"/>
  <c r="CV23" i="17"/>
  <c r="ET51" i="17"/>
  <c r="BA33" i="17"/>
  <c r="DM37" i="17"/>
  <c r="AX8" i="17"/>
  <c r="DT17" i="17"/>
  <c r="DU82" i="17"/>
  <c r="GW28" i="17"/>
  <c r="GA53" i="17"/>
  <c r="CJ68" i="17"/>
  <c r="GF22" i="17"/>
  <c r="FI55" i="17"/>
  <c r="AT84" i="17"/>
  <c r="FH75" i="17"/>
  <c r="BE43" i="17"/>
  <c r="FC69" i="17"/>
  <c r="CJ38" i="17"/>
  <c r="FV31" i="17"/>
  <c r="CJ80" i="17"/>
  <c r="CX85" i="17"/>
  <c r="CI80" i="17"/>
  <c r="DP43" i="17"/>
  <c r="FF44" i="17"/>
  <c r="EH61" i="17"/>
  <c r="EH74" i="17"/>
  <c r="CD27" i="17"/>
  <c r="CR22" i="17"/>
  <c r="EJ76" i="17"/>
  <c r="BZ54" i="17"/>
  <c r="CJ52" i="17"/>
  <c r="BF36" i="17"/>
  <c r="BX45" i="17"/>
  <c r="FB9" i="17"/>
  <c r="GH38" i="17"/>
  <c r="FB31" i="17"/>
  <c r="FI85" i="17"/>
  <c r="DS50" i="17"/>
  <c r="FQ47" i="17"/>
  <c r="EM52" i="17"/>
  <c r="GF68" i="17"/>
  <c r="DD24" i="17"/>
  <c r="DS23" i="17"/>
  <c r="HJ42" i="17"/>
  <c r="EP11" i="17"/>
  <c r="DZ30" i="17"/>
  <c r="FR76" i="17"/>
  <c r="BZ81" i="17"/>
  <c r="FI10" i="17"/>
  <c r="FY54" i="17"/>
  <c r="FV83" i="17"/>
  <c r="BH24" i="17"/>
  <c r="FH53" i="17"/>
  <c r="EX75" i="17"/>
  <c r="BF8" i="17"/>
  <c r="DD83" i="17"/>
  <c r="DT30" i="17"/>
  <c r="AS11" i="17"/>
  <c r="DC39" i="17"/>
  <c r="CT46" i="17"/>
  <c r="DD41" i="17"/>
  <c r="CY85" i="17"/>
  <c r="CY57" i="17"/>
  <c r="GF60" i="17"/>
  <c r="EI25" i="17"/>
  <c r="BX69" i="17"/>
  <c r="GF15" i="17"/>
  <c r="AY75" i="17"/>
  <c r="DU73" i="17"/>
  <c r="EI9" i="17"/>
  <c r="FG76" i="17"/>
  <c r="FJ52" i="17"/>
  <c r="DF18" i="17"/>
  <c r="FI29" i="17"/>
  <c r="FX86" i="17"/>
  <c r="HL7" i="17"/>
  <c r="DL30" i="17"/>
  <c r="FD22" i="17"/>
  <c r="FC36" i="17"/>
  <c r="EF30" i="17"/>
  <c r="CS43" i="17"/>
  <c r="EP9" i="17"/>
  <c r="EV12" i="17"/>
  <c r="FQ58" i="17"/>
  <c r="HN7" i="17"/>
  <c r="GB37" i="17"/>
  <c r="CR54" i="17"/>
  <c r="EF45" i="17"/>
  <c r="FR72" i="17"/>
  <c r="FV32" i="17"/>
  <c r="DS25" i="17"/>
  <c r="EC36" i="17"/>
  <c r="DW26" i="17"/>
  <c r="AY23" i="17"/>
  <c r="BC78" i="17"/>
  <c r="DO9" i="17"/>
  <c r="CR66" i="17"/>
  <c r="AW29" i="17"/>
  <c r="CC50" i="17"/>
  <c r="BV67" i="17"/>
  <c r="FQ15" i="17"/>
  <c r="DO22" i="17"/>
  <c r="ER83" i="17"/>
  <c r="DZ83" i="17"/>
  <c r="EQ86" i="17"/>
  <c r="DM54" i="17"/>
  <c r="GE83" i="17"/>
  <c r="EZ19" i="17"/>
  <c r="FR39" i="17"/>
  <c r="CH69" i="17"/>
  <c r="HF35" i="17"/>
  <c r="FG16" i="17"/>
  <c r="DW37" i="17"/>
  <c r="AV68" i="17"/>
  <c r="BD79" i="17"/>
  <c r="DV11" i="17"/>
  <c r="DT52" i="17"/>
  <c r="GH54" i="17"/>
  <c r="EH81" i="17"/>
  <c r="EI24" i="17"/>
  <c r="EF12" i="17"/>
  <c r="CH61" i="17"/>
  <c r="AV8" i="17"/>
  <c r="CU46" i="17"/>
  <c r="FT9" i="17"/>
  <c r="CG24" i="17"/>
  <c r="BU77" i="17"/>
  <c r="EC83" i="17"/>
  <c r="EJ85" i="17"/>
  <c r="FV71" i="17"/>
  <c r="DB20" i="17"/>
  <c r="BZ77" i="17"/>
  <c r="FB18" i="17"/>
  <c r="CA11" i="17"/>
  <c r="AU17" i="17"/>
  <c r="FT68" i="17"/>
  <c r="DR18" i="17"/>
  <c r="DR24" i="17"/>
  <c r="AR30" i="17"/>
  <c r="EK8" i="17"/>
  <c r="EK2" i="17" s="1"/>
  <c r="EX22" i="17"/>
  <c r="DQ72" i="17"/>
  <c r="DW48" i="17"/>
  <c r="FZ29" i="17"/>
  <c r="EJ23" i="17"/>
  <c r="DT74" i="17"/>
  <c r="DX73" i="17"/>
  <c r="GD59" i="17"/>
  <c r="BU75" i="17"/>
  <c r="FR53" i="17"/>
  <c r="FL18" i="17"/>
  <c r="DT9" i="17"/>
  <c r="GF29" i="17"/>
  <c r="EC73" i="17"/>
  <c r="GC40" i="17"/>
  <c r="CX15" i="17"/>
  <c r="FX80" i="17"/>
  <c r="CJ81" i="17"/>
  <c r="CJ15" i="17"/>
  <c r="DZ76" i="17"/>
  <c r="GU42" i="17"/>
  <c r="BC61" i="17"/>
  <c r="DW83" i="17"/>
  <c r="DH29" i="17"/>
  <c r="EK75" i="17"/>
  <c r="CX82" i="17"/>
  <c r="BE79" i="17"/>
  <c r="DH81" i="17"/>
  <c r="FY66" i="17"/>
  <c r="FG75" i="17"/>
  <c r="CD77" i="17"/>
  <c r="EJ37" i="17"/>
  <c r="BV10" i="17"/>
  <c r="HT14" i="17"/>
  <c r="EJ79" i="17"/>
  <c r="BV15" i="17"/>
  <c r="DL12" i="17"/>
  <c r="FT39" i="17"/>
  <c r="EL76" i="17"/>
  <c r="EL72" i="17"/>
  <c r="FB50" i="17"/>
  <c r="CX75" i="17"/>
  <c r="FZ10" i="17"/>
  <c r="EE69" i="17"/>
  <c r="FZ34" i="17"/>
  <c r="FS46" i="17"/>
  <c r="CB58" i="17"/>
  <c r="CY76" i="17"/>
  <c r="GQ7" i="17"/>
  <c r="GC10" i="17"/>
  <c r="ED9" i="17"/>
  <c r="BH86" i="17"/>
  <c r="EQ85" i="17"/>
  <c r="CH27" i="17"/>
  <c r="EN72" i="17"/>
  <c r="ER61" i="17"/>
  <c r="DX39" i="17"/>
  <c r="DJ82" i="17"/>
  <c r="CE53" i="17"/>
  <c r="GX35" i="17"/>
  <c r="BH16" i="17"/>
  <c r="FK84" i="17"/>
  <c r="GP21" i="17"/>
  <c r="FR69" i="17"/>
  <c r="FW30" i="17"/>
  <c r="CU86" i="17"/>
  <c r="FR29" i="17"/>
  <c r="CU25" i="17"/>
  <c r="FF41" i="17"/>
  <c r="GV35" i="17"/>
  <c r="CD85" i="17"/>
  <c r="GE26" i="17"/>
  <c r="EX31" i="17"/>
  <c r="GC69" i="17"/>
  <c r="DK22" i="17"/>
  <c r="DR36" i="17"/>
  <c r="AU60" i="17"/>
  <c r="EE79" i="17"/>
  <c r="FT30" i="17"/>
  <c r="BH32" i="17"/>
  <c r="AR16" i="17"/>
  <c r="EW11" i="17"/>
  <c r="CW34" i="17"/>
  <c r="DV19" i="17"/>
  <c r="FP67" i="17"/>
  <c r="AX61" i="17"/>
  <c r="EB18" i="17"/>
  <c r="AW82" i="17"/>
  <c r="FH41" i="17"/>
  <c r="GE73" i="17"/>
  <c r="EO38" i="17"/>
  <c r="AT50" i="17"/>
  <c r="DP25" i="17"/>
  <c r="FE52" i="17"/>
  <c r="FS53" i="17"/>
  <c r="FW17" i="17"/>
  <c r="BH25" i="17"/>
  <c r="CJ18" i="17"/>
  <c r="BA65" i="17"/>
  <c r="GE34" i="17"/>
  <c r="EL69" i="17"/>
  <c r="CY39" i="17"/>
  <c r="DT77" i="17"/>
  <c r="FC12" i="17"/>
  <c r="FH31" i="17"/>
  <c r="FD52" i="17"/>
  <c r="FG57" i="17"/>
  <c r="FX44" i="17"/>
  <c r="FK50" i="17"/>
  <c r="AY19" i="17"/>
  <c r="EZ40" i="17"/>
  <c r="EC80" i="17"/>
  <c r="CL22" i="17"/>
  <c r="HF63" i="17"/>
  <c r="CL24" i="17"/>
  <c r="DS59" i="17"/>
  <c r="DM69" i="17"/>
  <c r="FN25" i="17"/>
  <c r="CR70" i="17"/>
  <c r="CF32" i="17"/>
  <c r="EK34" i="17"/>
  <c r="EF43" i="17"/>
  <c r="AV38" i="17"/>
  <c r="CE44" i="17"/>
  <c r="BH76" i="17"/>
  <c r="HH35" i="17"/>
  <c r="CX47" i="17"/>
  <c r="AX64" i="17"/>
  <c r="CF79" i="17"/>
  <c r="CX43" i="17"/>
  <c r="AS74" i="17"/>
  <c r="CO78" i="17"/>
  <c r="BA59" i="17"/>
  <c r="DL47" i="17"/>
  <c r="CY53" i="17"/>
  <c r="EM46" i="17"/>
  <c r="GT14" i="17"/>
  <c r="BH66" i="17"/>
  <c r="DB54" i="17"/>
  <c r="FN40" i="17"/>
  <c r="FE65" i="17"/>
  <c r="FC64" i="17"/>
  <c r="FV69" i="17"/>
  <c r="EB50" i="17"/>
  <c r="AX22" i="17"/>
  <c r="DJ67" i="17"/>
  <c r="DK59" i="17"/>
  <c r="FU10" i="17"/>
  <c r="ET61" i="17"/>
  <c r="EI11" i="17"/>
  <c r="EQ72" i="17"/>
  <c r="AW67" i="17"/>
  <c r="EE57" i="17"/>
  <c r="DT40" i="17"/>
  <c r="FN74" i="17"/>
  <c r="EC47" i="17"/>
  <c r="FB60" i="17"/>
  <c r="GB71" i="17"/>
  <c r="CY25" i="17"/>
  <c r="CP19" i="17"/>
  <c r="DV60" i="17"/>
  <c r="FX73" i="17"/>
  <c r="DR30" i="17"/>
  <c r="BX47" i="17"/>
  <c r="BW17" i="17"/>
  <c r="CH57" i="17"/>
  <c r="DH78" i="17"/>
  <c r="BE86" i="17"/>
  <c r="BC52" i="17"/>
  <c r="CR18" i="17"/>
  <c r="DL65" i="17"/>
  <c r="FL44" i="17"/>
  <c r="BV44" i="17"/>
  <c r="FH23" i="17"/>
  <c r="CL29" i="17"/>
  <c r="CE19" i="17"/>
  <c r="DW60" i="17"/>
  <c r="EI74" i="17"/>
  <c r="FT45" i="17"/>
  <c r="DV22" i="17"/>
  <c r="CS85" i="17"/>
  <c r="GD27" i="17"/>
  <c r="BB43" i="17"/>
  <c r="EE71" i="17"/>
  <c r="DW64" i="17"/>
  <c r="DO59" i="17"/>
  <c r="GH66" i="17"/>
  <c r="EJ11" i="17"/>
  <c r="DB26" i="17"/>
  <c r="FF8" i="17"/>
  <c r="DR8" i="17"/>
  <c r="BV25" i="17"/>
  <c r="FH36" i="17"/>
  <c r="FL32" i="17"/>
  <c r="ER71" i="17"/>
  <c r="AY50" i="17"/>
  <c r="CV84" i="17"/>
  <c r="DR39" i="17"/>
  <c r="EI10" i="17"/>
  <c r="FD74" i="17"/>
  <c r="CE27" i="17"/>
  <c r="FE44" i="17"/>
  <c r="BV36" i="17"/>
  <c r="CC66" i="17"/>
  <c r="HP42" i="17"/>
  <c r="AQ22" i="17"/>
  <c r="EG45" i="17"/>
  <c r="EO84" i="17"/>
  <c r="EO46" i="17"/>
  <c r="AQ44" i="17"/>
  <c r="BD60" i="17"/>
  <c r="ET67" i="17"/>
  <c r="EB84" i="17"/>
  <c r="CW44" i="17"/>
  <c r="HT63" i="17"/>
  <c r="CH67" i="17"/>
  <c r="AT65" i="17"/>
  <c r="CU39" i="17"/>
  <c r="DF57" i="17"/>
  <c r="FY46" i="17"/>
  <c r="ET69" i="17"/>
  <c r="CD57" i="17"/>
  <c r="DJ45" i="17"/>
  <c r="AU57" i="17"/>
  <c r="AX47" i="17"/>
  <c r="EL57" i="17"/>
  <c r="HI35" i="17"/>
  <c r="CF81" i="17"/>
  <c r="DQ19" i="17"/>
  <c r="DD76" i="17"/>
  <c r="FC71" i="17"/>
  <c r="EZ10" i="17"/>
  <c r="CZ60" i="17"/>
  <c r="AW86" i="17"/>
  <c r="DP39" i="17"/>
  <c r="FN55" i="17"/>
  <c r="FN66" i="17"/>
  <c r="BZ73" i="17"/>
  <c r="CS82" i="17"/>
  <c r="FI23" i="17"/>
  <c r="DZ68" i="17"/>
  <c r="AY10" i="17"/>
  <c r="ET27" i="17"/>
  <c r="DR22" i="17"/>
  <c r="ET77" i="17"/>
  <c r="FQ85" i="17"/>
  <c r="GC50" i="17"/>
  <c r="GH24" i="17"/>
  <c r="GA11" i="17"/>
  <c r="CF54" i="17"/>
  <c r="W14" i="24" a="1"/>
  <c r="AV44" i="17"/>
  <c r="FD15" i="17"/>
  <c r="CE50" i="17"/>
  <c r="ED58" i="17"/>
  <c r="BC36" i="17"/>
  <c r="DK36" i="17"/>
  <c r="BH17" i="17"/>
  <c r="DL44" i="17"/>
  <c r="CL33" i="17"/>
  <c r="CW32" i="17"/>
  <c r="CI72" i="17"/>
  <c r="HV42" i="17"/>
  <c r="GO7" i="17"/>
  <c r="CV18" i="17"/>
  <c r="FQ45" i="17"/>
  <c r="BY65" i="17"/>
  <c r="EY52" i="17"/>
  <c r="FT70" i="17"/>
  <c r="FJ55" i="17"/>
  <c r="GP63" i="17"/>
  <c r="BC84" i="17"/>
  <c r="ET65" i="17"/>
  <c r="EK43" i="17"/>
  <c r="CZ20" i="17"/>
  <c r="ER77" i="17"/>
  <c r="EH23" i="17"/>
  <c r="EP74" i="17"/>
  <c r="EJ57" i="17"/>
  <c r="CP32" i="17"/>
  <c r="FY52" i="17"/>
  <c r="BB80" i="17"/>
  <c r="DO61" i="17"/>
  <c r="GC52" i="17"/>
  <c r="W12" i="24" a="1"/>
  <c r="AQ61" i="17"/>
  <c r="BH11" i="17"/>
  <c r="DV58" i="17"/>
  <c r="EL30" i="17"/>
  <c r="EJ59" i="17"/>
  <c r="DH11" i="17"/>
  <c r="EF67" i="17"/>
  <c r="FU15" i="17"/>
  <c r="FV37" i="17"/>
  <c r="EP18" i="17"/>
  <c r="GE66" i="17"/>
  <c r="CX83" i="17"/>
  <c r="BC54" i="17"/>
  <c r="DU81" i="17"/>
  <c r="FI16" i="17"/>
  <c r="DF59" i="17"/>
  <c r="EV36" i="17"/>
  <c r="EO8" i="17"/>
  <c r="EO2" i="17" s="1"/>
  <c r="FP38" i="17"/>
  <c r="EM77" i="17"/>
  <c r="EJ12" i="17"/>
  <c r="AY38" i="17"/>
  <c r="CE29" i="17"/>
  <c r="CC23" i="17"/>
  <c r="CA85" i="17"/>
  <c r="CB24" i="17"/>
  <c r="DS55" i="17"/>
  <c r="GH27" i="17"/>
  <c r="EK11" i="17"/>
  <c r="BU69" i="17"/>
  <c r="GB36" i="17"/>
  <c r="FU80" i="17"/>
  <c r="BU66" i="17"/>
  <c r="DH83" i="17"/>
  <c r="FF52" i="17"/>
  <c r="BW43" i="17"/>
  <c r="DJ66" i="17"/>
  <c r="CG64" i="17"/>
  <c r="EV52" i="17"/>
  <c r="FF79" i="17"/>
  <c r="HR28" i="17"/>
  <c r="AQ77" i="17"/>
  <c r="DC65" i="17"/>
  <c r="GE80" i="17"/>
  <c r="CQ79" i="17"/>
  <c r="DJ75" i="17"/>
  <c r="EM23" i="17"/>
  <c r="HN35" i="17"/>
  <c r="EL59" i="17"/>
  <c r="CV47" i="17"/>
  <c r="FY65" i="17"/>
  <c r="EP27" i="17"/>
  <c r="AT51" i="17"/>
  <c r="DU69" i="17"/>
  <c r="CW47" i="17"/>
  <c r="EO33" i="17"/>
  <c r="DD36" i="17"/>
  <c r="GE48" i="17"/>
  <c r="EF59" i="17"/>
  <c r="CH71" i="17"/>
  <c r="FR46" i="17"/>
  <c r="BZ57" i="17"/>
  <c r="DR81" i="17"/>
  <c r="FB52" i="17"/>
  <c r="DR78" i="17"/>
  <c r="CL10" i="17"/>
  <c r="EL81" i="17"/>
  <c r="AR31" i="17"/>
  <c r="CL71" i="17"/>
  <c r="DN16" i="17"/>
  <c r="BB20" i="17"/>
  <c r="ER33" i="17"/>
  <c r="BH9" i="17"/>
  <c r="EI23" i="17"/>
  <c r="AX74" i="17"/>
  <c r="FC39" i="17"/>
  <c r="BE30" i="17"/>
  <c r="BB33" i="17"/>
  <c r="EC64" i="17"/>
  <c r="DH74" i="17"/>
  <c r="BV60" i="17"/>
  <c r="AU75" i="17"/>
  <c r="GB27" i="17"/>
  <c r="EC81" i="17"/>
  <c r="ER70" i="17"/>
  <c r="HL14" i="17"/>
  <c r="BA54" i="17"/>
  <c r="EX51" i="17"/>
  <c r="FG47" i="17"/>
  <c r="HW21" i="17"/>
  <c r="BC73" i="17"/>
  <c r="CW54" i="17"/>
  <c r="DI65" i="17"/>
  <c r="BD61" i="17"/>
  <c r="DB66" i="17"/>
  <c r="DI77" i="17"/>
  <c r="DN72" i="17"/>
  <c r="DQ55" i="17"/>
  <c r="AX60" i="17"/>
  <c r="AR73" i="17"/>
  <c r="DV72" i="17"/>
  <c r="HQ14" i="17"/>
  <c r="BH38" i="17"/>
  <c r="CQ44" i="17"/>
  <c r="GB70" i="17"/>
  <c r="DO39" i="17"/>
  <c r="GE19" i="17"/>
  <c r="AZ64" i="17"/>
  <c r="DR84" i="17"/>
  <c r="EN46" i="17"/>
  <c r="DX82" i="17"/>
  <c r="DA85" i="17"/>
  <c r="DS16" i="17"/>
  <c r="AU77" i="17"/>
  <c r="FX17" i="17"/>
  <c r="ED80" i="17"/>
  <c r="GV63" i="17"/>
  <c r="BC30" i="17"/>
  <c r="EW76" i="17"/>
  <c r="CZ15" i="17"/>
  <c r="AU54" i="17"/>
  <c r="FR32" i="17"/>
  <c r="CI71" i="17"/>
  <c r="EZ66" i="17"/>
  <c r="FX15" i="17"/>
  <c r="DZ82" i="17"/>
  <c r="DV71" i="17"/>
  <c r="FX54" i="17"/>
  <c r="CH59" i="17"/>
  <c r="BB70" i="17"/>
  <c r="HV49" i="17"/>
  <c r="DK53" i="17"/>
  <c r="GA43" i="17"/>
  <c r="AX17" i="17"/>
  <c r="FJ46" i="17"/>
  <c r="GM14" i="17"/>
  <c r="FB12" i="17"/>
  <c r="CI64" i="17"/>
  <c r="CR83" i="17"/>
  <c r="FZ26" i="17"/>
  <c r="DA10" i="17"/>
  <c r="DP71" i="17"/>
  <c r="DR77" i="17"/>
  <c r="EN33" i="17"/>
  <c r="EF44" i="17"/>
  <c r="FH46" i="17"/>
  <c r="EI68" i="17"/>
  <c r="EQ74" i="17"/>
  <c r="ET52" i="17"/>
  <c r="DK9" i="17"/>
  <c r="DW8" i="17"/>
  <c r="DB10" i="17"/>
  <c r="CY40" i="17"/>
  <c r="DT76" i="17"/>
  <c r="ER15" i="17"/>
  <c r="EN77" i="17"/>
  <c r="AZ54" i="17"/>
  <c r="CP24" i="17"/>
  <c r="AR17" i="17"/>
  <c r="GF33" i="17"/>
  <c r="EV57" i="17"/>
  <c r="DC76" i="17"/>
  <c r="CA84" i="17"/>
  <c r="FP64" i="17"/>
  <c r="ET9" i="17"/>
  <c r="FG31" i="17"/>
  <c r="EW37" i="17"/>
  <c r="AX40" i="17"/>
  <c r="EB38" i="17"/>
  <c r="CU36" i="17"/>
  <c r="EB68" i="17"/>
  <c r="EK81" i="17"/>
  <c r="AX27" i="17"/>
  <c r="FA58" i="17"/>
  <c r="EN12" i="17"/>
  <c r="EQ54" i="17"/>
  <c r="CP37" i="17"/>
  <c r="FK41" i="17"/>
  <c r="DP19" i="17"/>
  <c r="FE32" i="17"/>
  <c r="BZ79" i="17"/>
  <c r="EW46" i="17"/>
  <c r="DS64" i="17"/>
  <c r="AT70" i="17"/>
  <c r="DU78" i="17"/>
  <c r="EG77" i="17"/>
  <c r="CQ26" i="17"/>
  <c r="ER25" i="17"/>
  <c r="DM33" i="17"/>
  <c r="GE22" i="17"/>
  <c r="BU40" i="17"/>
  <c r="AW60" i="17"/>
  <c r="AQ54" i="17"/>
  <c r="BX85" i="17"/>
  <c r="BX59" i="17"/>
  <c r="DN81" i="17"/>
  <c r="CL17" i="17"/>
  <c r="BV24" i="17"/>
  <c r="DN11" i="17"/>
  <c r="DW70" i="17"/>
  <c r="DU65" i="17"/>
  <c r="DF55" i="17"/>
  <c r="FA16" i="17"/>
  <c r="DJ37" i="17"/>
  <c r="DK11" i="17"/>
  <c r="EM9" i="17"/>
  <c r="DZ45" i="17"/>
  <c r="FR25" i="17"/>
  <c r="EK12" i="17"/>
  <c r="FI67" i="17"/>
  <c r="FF78" i="17"/>
  <c r="CD83" i="17"/>
  <c r="DR52" i="17"/>
  <c r="CU8" i="17"/>
  <c r="FZ81" i="17"/>
  <c r="AR59" i="17"/>
  <c r="AZ77" i="17"/>
  <c r="FJ34" i="17"/>
  <c r="EI54" i="17"/>
  <c r="EF39" i="17"/>
  <c r="GH45" i="17"/>
  <c r="GC57" i="17"/>
  <c r="AQ84" i="17"/>
  <c r="CH50" i="17"/>
  <c r="CO9" i="17"/>
  <c r="AT33" i="17"/>
  <c r="CX16" i="17"/>
  <c r="BB38" i="17"/>
  <c r="FZ74" i="17"/>
  <c r="CJ79" i="17"/>
  <c r="EY43" i="17"/>
  <c r="FY60" i="17"/>
  <c r="BE81" i="17"/>
  <c r="EE12" i="17"/>
  <c r="CF80" i="17"/>
  <c r="FP46" i="17"/>
  <c r="GD68" i="17"/>
  <c r="DO79" i="17"/>
  <c r="CT77" i="17"/>
  <c r="BB23" i="17"/>
  <c r="DU61" i="17"/>
  <c r="BZ50" i="17"/>
  <c r="CX34" i="17"/>
  <c r="DO51" i="17"/>
  <c r="BB8" i="17"/>
  <c r="BC69" i="17"/>
  <c r="FU9" i="17"/>
  <c r="CD24" i="17"/>
  <c r="BD52" i="17"/>
  <c r="HA63" i="17"/>
  <c r="FY86" i="17"/>
  <c r="FV38" i="17"/>
  <c r="GD30" i="17"/>
  <c r="BV69" i="17"/>
  <c r="CI78" i="17"/>
  <c r="FS72" i="17"/>
  <c r="FJ86" i="17"/>
  <c r="EF50" i="17"/>
  <c r="CH23" i="17"/>
  <c r="DK80" i="17"/>
  <c r="EK36" i="17"/>
  <c r="DD60" i="17"/>
  <c r="CY27" i="17"/>
  <c r="FP84" i="17"/>
  <c r="DQ43" i="17"/>
  <c r="BB59" i="17"/>
  <c r="FV70" i="17"/>
  <c r="BY69" i="17"/>
  <c r="BV59" i="17"/>
  <c r="DS54" i="17"/>
  <c r="GC24" i="17"/>
  <c r="EV79" i="17"/>
  <c r="FE54" i="17"/>
  <c r="EP19" i="17"/>
  <c r="DM58" i="17"/>
  <c r="CZ57" i="17"/>
  <c r="AR67" i="17"/>
  <c r="FI74" i="17"/>
  <c r="DQ60" i="17"/>
  <c r="EG43" i="17"/>
  <c r="FR9" i="17"/>
  <c r="CY83" i="17"/>
  <c r="AZ51" i="17"/>
  <c r="AQ23" i="17"/>
  <c r="DD59" i="17"/>
  <c r="FK9" i="17"/>
  <c r="AY30" i="17"/>
  <c r="ET36" i="17"/>
  <c r="BZ76" i="17"/>
  <c r="EF32" i="17"/>
  <c r="FQ80" i="17"/>
  <c r="FW59" i="17"/>
  <c r="EB54" i="17"/>
  <c r="FR65" i="17"/>
  <c r="EI82" i="17"/>
  <c r="CU44" i="17"/>
  <c r="FL83" i="17"/>
  <c r="DX9" i="17"/>
  <c r="BH70" i="17"/>
  <c r="CW69" i="17"/>
  <c r="GB65" i="17"/>
  <c r="EZ61" i="17"/>
  <c r="FA10" i="17"/>
  <c r="DA34" i="17"/>
  <c r="DL53" i="17"/>
  <c r="BW44" i="17"/>
  <c r="EM73" i="17"/>
  <c r="BB45" i="17"/>
  <c r="GA55" i="17"/>
  <c r="DB9" i="17"/>
  <c r="EX85" i="17"/>
  <c r="DP77" i="17"/>
  <c r="DX31" i="17"/>
  <c r="AT57" i="17"/>
  <c r="DB55" i="17"/>
  <c r="FJ67" i="17"/>
  <c r="EN11" i="17"/>
  <c r="CZ70" i="17"/>
  <c r="CY86" i="17"/>
  <c r="FI57" i="17"/>
  <c r="EW18" i="17"/>
  <c r="BV32" i="17"/>
  <c r="DZ41" i="17"/>
  <c r="DV29" i="17"/>
  <c r="DQ17" i="17"/>
  <c r="DO83" i="17"/>
  <c r="DO44" i="17"/>
  <c r="CD11" i="17"/>
  <c r="CS73" i="17"/>
  <c r="DH33" i="17"/>
  <c r="CS80" i="17"/>
  <c r="DF48" i="17"/>
  <c r="CU80" i="17"/>
  <c r="DP26" i="17"/>
  <c r="CR44" i="17"/>
  <c r="FZ53" i="17"/>
  <c r="EF64" i="17"/>
  <c r="FH85" i="17"/>
  <c r="DN25" i="17"/>
  <c r="DQ86" i="17"/>
  <c r="CB26" i="17"/>
  <c r="GC79" i="17"/>
  <c r="FJ73" i="17"/>
  <c r="BD72" i="17"/>
  <c r="DF77" i="17"/>
  <c r="CQ52" i="17"/>
  <c r="FD57" i="17"/>
  <c r="DH51" i="17"/>
  <c r="EJ64" i="17"/>
  <c r="EP8" i="17"/>
  <c r="EP2" i="17" s="1"/>
  <c r="DO24" i="17"/>
  <c r="AU24" i="17"/>
  <c r="CB79" i="17"/>
  <c r="EZ64" i="17"/>
  <c r="CX55" i="17"/>
  <c r="BB40" i="17"/>
  <c r="BE73" i="17"/>
  <c r="FC61" i="17"/>
  <c r="ER26" i="17"/>
  <c r="DW54" i="17"/>
  <c r="AX38" i="17"/>
  <c r="DT33" i="17"/>
  <c r="EK47" i="17"/>
  <c r="FZ44" i="17"/>
  <c r="HR7" i="17"/>
  <c r="FV15" i="17"/>
  <c r="BD76" i="17"/>
  <c r="AW50" i="17"/>
  <c r="GO21" i="17"/>
  <c r="CB45" i="17"/>
  <c r="FB73" i="17"/>
  <c r="GH20" i="17"/>
  <c r="DU55" i="17"/>
  <c r="EC31" i="17"/>
  <c r="DX68" i="17"/>
  <c r="FK80" i="17"/>
  <c r="EN81" i="17"/>
  <c r="AT73" i="17"/>
  <c r="DK50" i="17"/>
  <c r="BD11" i="17"/>
  <c r="GH9" i="17"/>
  <c r="EH70" i="17"/>
  <c r="CA25" i="17"/>
  <c r="HA14" i="17"/>
  <c r="CV69" i="17"/>
  <c r="FQ69" i="17"/>
  <c r="CY31" i="17"/>
  <c r="DZ40" i="17"/>
  <c r="CY54" i="17"/>
  <c r="FF83" i="17"/>
  <c r="CH52" i="17"/>
  <c r="DW58" i="17"/>
  <c r="FN15" i="17"/>
  <c r="EE52" i="17"/>
  <c r="FA15" i="17"/>
  <c r="AY25" i="17"/>
  <c r="FG23" i="17"/>
  <c r="DR60" i="17"/>
  <c r="GD46" i="17"/>
  <c r="GB83" i="17"/>
  <c r="EO37" i="17"/>
  <c r="DI50" i="17"/>
  <c r="CA38" i="17"/>
  <c r="EP61" i="17"/>
  <c r="EW70" i="17"/>
  <c r="BX70" i="17"/>
  <c r="DB23" i="17"/>
  <c r="FZ30" i="17"/>
  <c r="DW12" i="17"/>
  <c r="CZ85" i="17"/>
  <c r="CO25" i="17"/>
  <c r="EL34" i="17"/>
  <c r="FS67" i="17"/>
  <c r="FX61" i="17"/>
  <c r="EQ59" i="17"/>
  <c r="FI37" i="17"/>
  <c r="GE40" i="17"/>
  <c r="AU65" i="17"/>
  <c r="CI45" i="17"/>
  <c r="EC46" i="17"/>
  <c r="EM81" i="17"/>
  <c r="CF17" i="17"/>
  <c r="EN38" i="17"/>
  <c r="CE84" i="17"/>
  <c r="DZ11" i="17"/>
  <c r="DN33" i="17"/>
  <c r="BE33" i="17"/>
  <c r="DC51" i="17"/>
  <c r="DP55" i="17"/>
  <c r="DS39" i="17"/>
  <c r="CZ78" i="17"/>
  <c r="CG69" i="17"/>
  <c r="GE78" i="17"/>
  <c r="DS52" i="17"/>
  <c r="FQ44" i="17"/>
  <c r="DI64" i="17"/>
  <c r="FA67" i="17"/>
  <c r="CZ29" i="17"/>
  <c r="DA39" i="17"/>
  <c r="BX66" i="17"/>
  <c r="BH69" i="17"/>
  <c r="FA12" i="17"/>
  <c r="CQ37" i="17"/>
  <c r="AZ50" i="17"/>
  <c r="GD40" i="17"/>
  <c r="CB67" i="17"/>
  <c r="CC34" i="17"/>
  <c r="DR67" i="17"/>
  <c r="FW76" i="17"/>
  <c r="FH60" i="17"/>
  <c r="CV58" i="17"/>
  <c r="BX24" i="17"/>
  <c r="BA23" i="17"/>
  <c r="EH44" i="17"/>
  <c r="FZ43" i="17"/>
  <c r="BU47" i="17"/>
  <c r="CJ83" i="17"/>
  <c r="EN20" i="17"/>
  <c r="FC70" i="17"/>
  <c r="CC79" i="17"/>
  <c r="AY65" i="17"/>
  <c r="ET57" i="17"/>
  <c r="FR24" i="17"/>
  <c r="FV36" i="17"/>
  <c r="FN76" i="17"/>
  <c r="EH16" i="17"/>
  <c r="GE71" i="17"/>
  <c r="GF39" i="17"/>
  <c r="EZ25" i="17"/>
  <c r="CG9" i="17"/>
  <c r="EY67" i="17"/>
  <c r="FN50" i="17"/>
  <c r="EF80" i="17"/>
  <c r="CW40" i="17"/>
  <c r="FI43" i="17"/>
  <c r="FE84" i="17"/>
  <c r="AU68" i="17"/>
  <c r="EL29" i="17"/>
  <c r="DU50" i="17"/>
  <c r="BE44" i="17"/>
  <c r="HH7" i="17"/>
  <c r="GF36" i="17"/>
  <c r="CW79" i="17"/>
  <c r="BZ43" i="17"/>
  <c r="CH22" i="17"/>
  <c r="DS30" i="17"/>
  <c r="GO35" i="17"/>
  <c r="FA29" i="17"/>
  <c r="BV82" i="17"/>
  <c r="DM18" i="17"/>
  <c r="FG18" i="17"/>
  <c r="DS22" i="17"/>
  <c r="CY12" i="17"/>
  <c r="CT40" i="17"/>
  <c r="GZ49" i="17"/>
  <c r="CZ84" i="17"/>
  <c r="CA83" i="17"/>
  <c r="DW10" i="17"/>
  <c r="DW27" i="17"/>
  <c r="BD73" i="17"/>
  <c r="DL78" i="17"/>
  <c r="HF42" i="17"/>
  <c r="DP31" i="17"/>
  <c r="ED61" i="17"/>
  <c r="DJ15" i="17"/>
  <c r="CC16" i="17"/>
  <c r="FB11" i="17"/>
  <c r="EE11" i="17"/>
  <c r="EF47" i="17"/>
  <c r="DU11" i="17"/>
  <c r="CZ64" i="17"/>
  <c r="AQ51" i="17"/>
  <c r="DL79" i="17"/>
  <c r="CC24" i="17"/>
  <c r="EJ31" i="17"/>
  <c r="BE10" i="17"/>
  <c r="CN83" i="17"/>
  <c r="FD27" i="17"/>
  <c r="BF64" i="17"/>
  <c r="DD39" i="17"/>
  <c r="EY58" i="17"/>
  <c r="FI27" i="17"/>
  <c r="EI59" i="17"/>
  <c r="EB60" i="17"/>
  <c r="EE30" i="17"/>
  <c r="HT42" i="17"/>
  <c r="EV24" i="17"/>
  <c r="CS66" i="17"/>
  <c r="DA66" i="17"/>
  <c r="DR76" i="17"/>
  <c r="DP59" i="17"/>
  <c r="BE17" i="17"/>
  <c r="CU40" i="17"/>
  <c r="CP64" i="17"/>
  <c r="CC53" i="17"/>
  <c r="EB73" i="17"/>
  <c r="FB68" i="17"/>
  <c r="BV45" i="17"/>
  <c r="CH79" i="17"/>
  <c r="FQ10" i="17"/>
  <c r="GD70" i="17"/>
  <c r="FV52" i="17"/>
  <c r="EC67" i="17"/>
  <c r="EI8" i="17"/>
  <c r="EI2" i="17" s="1"/>
  <c r="DB65" i="17"/>
  <c r="CV43" i="17"/>
  <c r="FK65" i="17"/>
  <c r="FV47" i="17"/>
  <c r="GD15" i="17"/>
  <c r="BF39" i="17"/>
  <c r="FU50" i="17"/>
  <c r="DK44" i="17"/>
  <c r="EL18" i="17"/>
  <c r="DF60" i="17"/>
  <c r="EX78" i="17"/>
  <c r="EL12" i="17"/>
  <c r="CR23" i="17"/>
  <c r="FZ75" i="17"/>
  <c r="EP12" i="17"/>
  <c r="CT64" i="17"/>
  <c r="CW8" i="17"/>
  <c r="EX16" i="17"/>
  <c r="DZ74" i="17"/>
  <c r="FX26" i="17"/>
  <c r="BF55" i="17"/>
  <c r="FU68" i="17"/>
  <c r="DI68" i="17"/>
  <c r="DK61" i="17"/>
  <c r="EO81" i="17"/>
  <c r="EB57" i="17"/>
  <c r="BF78" i="17"/>
  <c r="DT47" i="17"/>
  <c r="CG20" i="17"/>
  <c r="FB37" i="17"/>
  <c r="DR10" i="17"/>
  <c r="FC58" i="17"/>
  <c r="CY61" i="17"/>
  <c r="GO28" i="17"/>
  <c r="FG65" i="17"/>
  <c r="EP82" i="17"/>
  <c r="BY17" i="17"/>
  <c r="FS74" i="17"/>
  <c r="BH39" i="17"/>
  <c r="BF45" i="17"/>
  <c r="BW85" i="17"/>
  <c r="DC74" i="17"/>
  <c r="DH68" i="17"/>
  <c r="EK65" i="17"/>
  <c r="GD16" i="17"/>
  <c r="FQ76" i="17"/>
  <c r="FZ22" i="17"/>
  <c r="CR73" i="17"/>
  <c r="BA8" i="17"/>
  <c r="CR19" i="17"/>
  <c r="HO14" i="17"/>
  <c r="FK11" i="17"/>
  <c r="CE72" i="17"/>
  <c r="CG26" i="17"/>
  <c r="FF66" i="17"/>
  <c r="CI67" i="17"/>
  <c r="EI67" i="17"/>
  <c r="DJ64" i="17"/>
  <c r="BZ84" i="17"/>
  <c r="DQ59" i="17"/>
  <c r="GY63" i="17"/>
  <c r="FL85" i="17"/>
  <c r="DW19" i="17"/>
  <c r="DS48" i="17"/>
  <c r="EL64" i="17"/>
  <c r="DH82" i="17"/>
  <c r="GD50" i="17"/>
  <c r="BB26" i="17"/>
  <c r="BA69" i="17"/>
  <c r="CU15" i="17"/>
  <c r="BZ26" i="17"/>
  <c r="DN77" i="17"/>
  <c r="HA7" i="17"/>
  <c r="CX71" i="17"/>
  <c r="GH58" i="17"/>
  <c r="CH76" i="17"/>
  <c r="EI85" i="17"/>
  <c r="DL80" i="17"/>
  <c r="EB16" i="17"/>
  <c r="FK20" i="17"/>
  <c r="DD27" i="17"/>
  <c r="BU78" i="17"/>
  <c r="HW42" i="17"/>
  <c r="CY73" i="17"/>
  <c r="CO58" i="17"/>
  <c r="GU56" i="17"/>
  <c r="FH81" i="17"/>
  <c r="BH52" i="17"/>
  <c r="EP64" i="17"/>
  <c r="BD12" i="17"/>
  <c r="CU68" i="17"/>
  <c r="CD50" i="17"/>
  <c r="BE57" i="17"/>
  <c r="BY64" i="17"/>
  <c r="CX57" i="17"/>
  <c r="BB77" i="17"/>
  <c r="FP39" i="17"/>
  <c r="CX12" i="17"/>
  <c r="EO57" i="17"/>
  <c r="FD58" i="17"/>
  <c r="BW16" i="17"/>
  <c r="HP21" i="17"/>
  <c r="DD70" i="17"/>
  <c r="CO72" i="17"/>
  <c r="HI63" i="17"/>
  <c r="GE75" i="17"/>
  <c r="FC81" i="17"/>
  <c r="BE24" i="17"/>
  <c r="DS70" i="17"/>
  <c r="BX75" i="17"/>
  <c r="BY77" i="17"/>
  <c r="CO29" i="17"/>
  <c r="FG77" i="17"/>
  <c r="FR67" i="17"/>
  <c r="CQ51" i="17"/>
  <c r="CP43" i="17"/>
  <c r="CF41" i="17"/>
  <c r="DI15" i="17"/>
  <c r="FX37" i="17"/>
  <c r="DC80" i="17"/>
  <c r="DZ57" i="17"/>
  <c r="GA58" i="17"/>
  <c r="GK14" i="17"/>
  <c r="FD39" i="17"/>
  <c r="ER12" i="17"/>
  <c r="DD16" i="17"/>
  <c r="CV38" i="17"/>
  <c r="EH57" i="17"/>
  <c r="EM68" i="17"/>
  <c r="EH85" i="17"/>
  <c r="BZ53" i="17"/>
  <c r="CW33" i="17"/>
  <c r="FD29" i="17"/>
  <c r="CP29" i="17"/>
  <c r="CL58" i="17"/>
  <c r="FU51" i="17"/>
  <c r="HU28" i="17"/>
  <c r="FD24" i="17"/>
  <c r="FV11" i="17"/>
  <c r="CP39" i="17"/>
  <c r="DI12" i="17"/>
  <c r="CI77" i="17"/>
  <c r="BX17" i="17"/>
  <c r="EO86" i="17"/>
  <c r="EP30" i="17"/>
  <c r="GE18" i="17"/>
  <c r="ET76" i="17"/>
  <c r="FG84" i="17"/>
  <c r="CG37" i="17"/>
  <c r="AS84" i="17"/>
  <c r="DF24" i="17"/>
  <c r="CG17" i="17"/>
  <c r="EH29" i="17"/>
  <c r="BC59" i="17"/>
  <c r="EQ32" i="17"/>
  <c r="EG52" i="17"/>
  <c r="GD85" i="17"/>
  <c r="DX61" i="17"/>
  <c r="CW36" i="17"/>
  <c r="GF71" i="17"/>
  <c r="DL73" i="17"/>
  <c r="CP26" i="17"/>
  <c r="AX70" i="17"/>
  <c r="FL8" i="17"/>
  <c r="BC9" i="17"/>
  <c r="BW15" i="17"/>
  <c r="DM36" i="17"/>
  <c r="AZ48" i="17"/>
  <c r="DA44" i="17"/>
  <c r="CE78" i="17"/>
  <c r="DM76" i="17"/>
  <c r="CT39" i="17"/>
  <c r="BD25" i="17"/>
  <c r="DM74" i="17"/>
  <c r="DO57" i="17"/>
  <c r="DB82" i="17"/>
  <c r="DZ70" i="17"/>
  <c r="FK58" i="17"/>
  <c r="CX86" i="17"/>
  <c r="GO49" i="17"/>
  <c r="CS67" i="17"/>
  <c r="AT76" i="17"/>
  <c r="FH27" i="17"/>
  <c r="GS42" i="17"/>
  <c r="HL35" i="17"/>
  <c r="DB57" i="17"/>
  <c r="FD70" i="17"/>
  <c r="DK10" i="17"/>
  <c r="GT21" i="17"/>
  <c r="BE71" i="17"/>
  <c r="DO70" i="17"/>
  <c r="EF17" i="17"/>
  <c r="EQ29" i="17"/>
  <c r="DD34" i="17"/>
  <c r="BE11" i="17"/>
  <c r="GZ56" i="17"/>
  <c r="FY32" i="17"/>
  <c r="FW10" i="17"/>
  <c r="BV85" i="17"/>
  <c r="CP59" i="17"/>
  <c r="FH16" i="17"/>
  <c r="EM50" i="17"/>
  <c r="AU40" i="17"/>
  <c r="AU74" i="17"/>
  <c r="GE54" i="17"/>
  <c r="AW32" i="17"/>
  <c r="CI74" i="17"/>
  <c r="EL54" i="17"/>
  <c r="FS51" i="17"/>
  <c r="DQ39" i="17"/>
  <c r="FD69" i="17"/>
  <c r="CJ45" i="17"/>
  <c r="FS22" i="17"/>
  <c r="CJ12" i="17"/>
  <c r="HA42" i="17"/>
  <c r="CS70" i="17"/>
  <c r="AW12" i="17"/>
  <c r="AR66" i="17"/>
  <c r="EE59" i="17"/>
  <c r="CT58" i="17"/>
  <c r="CB18" i="17"/>
  <c r="ED40" i="17"/>
  <c r="CL48" i="17"/>
  <c r="FE61" i="17"/>
  <c r="DR12" i="17"/>
  <c r="AU85" i="17"/>
  <c r="GB23" i="17"/>
  <c r="DU18" i="17"/>
  <c r="DJ83" i="17"/>
  <c r="BU16" i="17"/>
  <c r="AX79" i="17"/>
  <c r="AS82" i="17"/>
  <c r="DW73" i="17"/>
  <c r="AU10" i="17"/>
  <c r="FS69" i="17"/>
  <c r="CT66" i="17"/>
  <c r="CD66" i="17"/>
  <c r="BA77" i="17"/>
  <c r="ED70" i="17"/>
  <c r="DA33" i="17"/>
  <c r="EF78" i="17"/>
  <c r="GD38" i="17"/>
  <c r="EW30" i="17"/>
  <c r="BB71" i="17"/>
  <c r="CC10" i="17"/>
  <c r="BU51" i="17"/>
  <c r="BV29" i="17"/>
  <c r="FJ37" i="17"/>
  <c r="FH84" i="17"/>
  <c r="DW59" i="17"/>
  <c r="CJ76" i="17"/>
  <c r="EZ31" i="17"/>
  <c r="FA45" i="17"/>
  <c r="FV74" i="17"/>
  <c r="CA71" i="17"/>
  <c r="DJ50" i="17"/>
  <c r="CE22" i="17"/>
  <c r="DL18" i="17"/>
  <c r="EM39" i="17"/>
  <c r="AS61" i="17"/>
  <c r="FX83" i="17"/>
  <c r="FC38" i="17"/>
  <c r="CZ73" i="17"/>
  <c r="BH67" i="17"/>
  <c r="AZ78" i="17"/>
  <c r="DN50" i="17"/>
  <c r="EQ26" i="17"/>
  <c r="CH43" i="17"/>
  <c r="EB67" i="17"/>
  <c r="AU66" i="17"/>
  <c r="EL20" i="17"/>
  <c r="BD26" i="17"/>
  <c r="EX72" i="17"/>
  <c r="FR74" i="17"/>
  <c r="EL24" i="17"/>
  <c r="EW22" i="17"/>
  <c r="DA58" i="17"/>
  <c r="CZ69" i="17"/>
  <c r="EZ82" i="17"/>
  <c r="FX46" i="17"/>
  <c r="DD44" i="17"/>
  <c r="CY60" i="17"/>
  <c r="EH59" i="17"/>
  <c r="AT30" i="17"/>
  <c r="BD33" i="17"/>
  <c r="GF72" i="17"/>
  <c r="CX77" i="17"/>
  <c r="FL41" i="17"/>
  <c r="ER47" i="17"/>
  <c r="CZ24" i="17"/>
  <c r="EJ67" i="17"/>
  <c r="BY73" i="17"/>
  <c r="AZ59" i="17"/>
  <c r="EM11" i="17"/>
  <c r="CV9" i="17"/>
  <c r="FG30" i="17"/>
  <c r="DH85" i="17"/>
  <c r="AY54" i="17"/>
  <c r="GL7" i="17"/>
  <c r="DQ69" i="17"/>
  <c r="DS71" i="17"/>
  <c r="AT40" i="17"/>
  <c r="CI27" i="17"/>
  <c r="DD67" i="17"/>
  <c r="FW44" i="17"/>
  <c r="CW82" i="17"/>
  <c r="BF52" i="17"/>
  <c r="FY15" i="17"/>
  <c r="FI59" i="17"/>
  <c r="FV39" i="17"/>
  <c r="FE72" i="17"/>
  <c r="GA76" i="17"/>
  <c r="ET43" i="17"/>
  <c r="FE51" i="17"/>
  <c r="EO67" i="17"/>
  <c r="ED78" i="17"/>
  <c r="FL43" i="17"/>
  <c r="AW75" i="17"/>
  <c r="BZ10" i="17"/>
  <c r="CT74" i="17"/>
  <c r="GD39" i="17"/>
  <c r="FW60" i="17"/>
  <c r="CO40" i="17"/>
  <c r="DQ18" i="17"/>
  <c r="DH67" i="17"/>
  <c r="AQ8" i="17"/>
  <c r="FB83" i="17"/>
  <c r="FS39" i="17"/>
  <c r="GF23" i="17"/>
  <c r="GD76" i="17"/>
  <c r="CD78" i="17"/>
  <c r="CB9" i="17"/>
  <c r="FK26" i="17"/>
  <c r="DN36" i="17"/>
  <c r="CX81" i="17"/>
  <c r="FD34" i="17"/>
  <c r="CX41" i="17"/>
  <c r="DC44" i="17"/>
  <c r="DW76" i="17"/>
  <c r="GQ49" i="17"/>
  <c r="ED39" i="17"/>
  <c r="DT70" i="17"/>
  <c r="FJ11" i="17"/>
  <c r="DW53" i="17"/>
  <c r="GH23" i="17"/>
  <c r="AY47" i="17"/>
  <c r="CU45" i="17"/>
  <c r="AY20" i="17"/>
  <c r="CB44" i="17"/>
  <c r="EM69" i="17"/>
  <c r="DW52" i="17"/>
  <c r="EX79" i="17"/>
  <c r="AR71" i="17"/>
  <c r="CI44" i="17"/>
  <c r="BE59" i="17"/>
  <c r="FN84" i="17"/>
  <c r="EV22" i="17"/>
  <c r="CG36" i="17"/>
  <c r="AY43" i="17"/>
  <c r="DU30" i="17"/>
  <c r="EF69" i="17"/>
  <c r="BD83" i="17"/>
  <c r="EV71" i="17"/>
  <c r="CZ47" i="17"/>
  <c r="GH37" i="17"/>
  <c r="EW77" i="17"/>
  <c r="DT57" i="17"/>
  <c r="CQ53" i="17"/>
  <c r="ER74" i="17"/>
  <c r="DC11" i="17"/>
  <c r="DI66" i="17"/>
  <c r="DA67" i="17"/>
  <c r="DU64" i="17"/>
  <c r="CI10" i="17"/>
  <c r="DI73" i="17"/>
  <c r="GM28" i="17"/>
  <c r="BY16" i="17"/>
  <c r="DL67" i="17"/>
  <c r="EV46" i="17"/>
  <c r="DT80" i="17"/>
  <c r="AR75" i="17"/>
  <c r="CC73" i="17"/>
  <c r="HN63" i="17"/>
  <c r="DV17" i="17"/>
  <c r="FP26" i="17"/>
  <c r="GA32" i="17"/>
  <c r="BE27" i="17"/>
  <c r="DP24" i="17"/>
  <c r="BC27" i="17"/>
  <c r="CC75" i="17"/>
  <c r="FJ17" i="17"/>
  <c r="FS71" i="17"/>
  <c r="CG59" i="17"/>
  <c r="FQ70" i="17"/>
  <c r="DB33" i="17"/>
  <c r="FE18" i="17"/>
  <c r="DX66" i="17"/>
  <c r="FI58" i="17"/>
  <c r="FY69" i="17"/>
  <c r="EX47" i="17"/>
  <c r="FT82" i="17"/>
  <c r="GL56" i="17"/>
  <c r="GD54" i="17"/>
  <c r="CG80" i="17"/>
  <c r="EY37" i="17"/>
  <c r="DO52" i="17"/>
  <c r="BU81" i="17"/>
  <c r="DP22" i="17"/>
  <c r="DK51" i="17"/>
  <c r="HU21" i="17"/>
  <c r="EK60" i="17"/>
  <c r="EY79" i="17"/>
  <c r="CF36" i="17"/>
  <c r="FB76" i="17"/>
  <c r="HU49" i="17"/>
  <c r="DA55" i="17"/>
  <c r="EN73" i="17"/>
  <c r="FL81" i="17"/>
  <c r="GR42" i="17"/>
  <c r="CW9" i="17"/>
  <c r="BY51" i="17"/>
  <c r="DR47" i="17"/>
  <c r="DK60" i="17"/>
  <c r="FQ16" i="17"/>
  <c r="BW70" i="17"/>
  <c r="FP80" i="17"/>
  <c r="EX17" i="17"/>
  <c r="GH36" i="17"/>
  <c r="DZ12" i="17"/>
  <c r="FH57" i="17"/>
  <c r="CA8" i="17"/>
  <c r="AS77" i="17"/>
  <c r="CU60" i="17"/>
  <c r="FW86" i="17"/>
  <c r="BW83" i="17"/>
  <c r="FE19" i="17"/>
  <c r="DD69" i="17"/>
  <c r="EG12" i="17"/>
  <c r="GB78" i="17"/>
  <c r="DF22" i="17"/>
  <c r="FS11" i="17"/>
  <c r="FR61" i="17"/>
  <c r="BB52" i="17"/>
  <c r="EW43" i="17"/>
  <c r="HJ56" i="17"/>
  <c r="DR58" i="17"/>
  <c r="DL25" i="17"/>
  <c r="DM44" i="17"/>
  <c r="BA53" i="17"/>
  <c r="DN29" i="17"/>
  <c r="CY58" i="17"/>
  <c r="BA84" i="17"/>
  <c r="DU47" i="17"/>
  <c r="CP78" i="17"/>
  <c r="DN53" i="17"/>
  <c r="CQ78" i="17"/>
  <c r="GF84" i="17"/>
  <c r="FJ85" i="17"/>
  <c r="DL61" i="17"/>
  <c r="BF71" i="17"/>
  <c r="EM71" i="17"/>
  <c r="EG25" i="17"/>
  <c r="DZ16" i="17"/>
  <c r="FY67" i="17"/>
  <c r="DB18" i="17"/>
  <c r="CI23" i="17"/>
  <c r="CF73" i="17"/>
  <c r="AQ36" i="17"/>
  <c r="BB16" i="17"/>
  <c r="GS28" i="17"/>
  <c r="FA78" i="17"/>
  <c r="BX44" i="17"/>
  <c r="GF34" i="17"/>
  <c r="GC85" i="17"/>
  <c r="DI44" i="17"/>
  <c r="FY73" i="17"/>
  <c r="CP80" i="17"/>
  <c r="DK74" i="17"/>
  <c r="FI80" i="17"/>
  <c r="FK71" i="17"/>
  <c r="BB85" i="17"/>
  <c r="FQ65" i="17"/>
  <c r="BW19" i="17"/>
  <c r="FA82" i="17"/>
  <c r="DF36" i="17"/>
  <c r="DF46" i="17"/>
  <c r="FZ59" i="17"/>
  <c r="FU71" i="17"/>
  <c r="DT19" i="17"/>
  <c r="AX68" i="17"/>
  <c r="CP40" i="17"/>
  <c r="FY57" i="17"/>
  <c r="EF10" i="17"/>
  <c r="DZ44" i="17"/>
  <c r="BU79" i="17"/>
  <c r="AQ74" i="17"/>
  <c r="ER16" i="17"/>
  <c r="CW86" i="17"/>
  <c r="EJ82" i="17"/>
  <c r="AZ34" i="17"/>
  <c r="DR23" i="17"/>
  <c r="CC84" i="17"/>
  <c r="GC81" i="17"/>
  <c r="DX27" i="17"/>
  <c r="CJ30" i="17"/>
  <c r="CZ23" i="17"/>
  <c r="BA20" i="17"/>
  <c r="DW25" i="17"/>
  <c r="HR49" i="17"/>
  <c r="CD36" i="17"/>
  <c r="FQ74" i="17"/>
  <c r="EQ19" i="17"/>
  <c r="AZ45" i="17"/>
  <c r="EI47" i="17"/>
  <c r="AQ25" i="17"/>
  <c r="AR68" i="17"/>
  <c r="FY19" i="17"/>
  <c r="V11" i="24"/>
  <c r="CG75" i="17"/>
  <c r="HG35" i="17"/>
  <c r="DU36" i="17"/>
  <c r="DQ9" i="17"/>
  <c r="CH64" i="17"/>
  <c r="CU54" i="17"/>
  <c r="CX70" i="17"/>
  <c r="EL70" i="17"/>
  <c r="FJ64" i="17"/>
  <c r="FT44" i="17"/>
  <c r="DN24" i="17"/>
  <c r="DW65" i="17"/>
  <c r="GF26" i="17"/>
  <c r="DU38" i="17"/>
  <c r="AX16" i="17"/>
  <c r="CE45" i="17"/>
  <c r="FJ27" i="17"/>
  <c r="DD50" i="17"/>
  <c r="EY12" i="17"/>
  <c r="FY44" i="17"/>
  <c r="HO35" i="17"/>
  <c r="BA75" i="17"/>
  <c r="EC51" i="17"/>
  <c r="ET37" i="17"/>
  <c r="DW78" i="17"/>
  <c r="DC77" i="17"/>
  <c r="FN81" i="17"/>
  <c r="DK31" i="17"/>
  <c r="BH51" i="17"/>
  <c r="CY69" i="17"/>
  <c r="DD10" i="17"/>
  <c r="GD26" i="17"/>
  <c r="DM11" i="17"/>
  <c r="CQ82" i="17"/>
  <c r="AX57" i="17"/>
  <c r="EZ58" i="17"/>
  <c r="CC46" i="17"/>
  <c r="CL60" i="17"/>
  <c r="DU67" i="17"/>
  <c r="DK25" i="17"/>
  <c r="DL70" i="17"/>
  <c r="CV31" i="17"/>
  <c r="EZ53" i="17"/>
  <c r="ED8" i="17"/>
  <c r="ED2" i="17" s="1"/>
  <c r="AS58" i="17"/>
  <c r="CQ10" i="17"/>
  <c r="DR40" i="17"/>
  <c r="FS68" i="17"/>
  <c r="FD77" i="17"/>
  <c r="AQ82" i="17"/>
  <c r="DK69" i="17"/>
  <c r="FZ70" i="17"/>
  <c r="HG49" i="17"/>
  <c r="DJ85" i="17"/>
  <c r="EF29" i="17"/>
  <c r="CO73" i="17"/>
  <c r="CS22" i="17"/>
  <c r="GB19" i="17"/>
  <c r="ED11" i="17"/>
  <c r="DB36" i="17"/>
  <c r="CS46" i="17"/>
  <c r="DC73" i="17"/>
  <c r="GC29" i="17"/>
  <c r="EJ32" i="17"/>
  <c r="BE80" i="17"/>
  <c r="CA15" i="17"/>
  <c r="AR74" i="17"/>
  <c r="GA22" i="17"/>
  <c r="BT83" i="17"/>
  <c r="EV11" i="17"/>
  <c r="AY85" i="17"/>
  <c r="CR47" i="17"/>
  <c r="BW23" i="17"/>
  <c r="FN17" i="17"/>
  <c r="AQ70" i="17"/>
  <c r="AW40" i="17"/>
  <c r="CX48" i="17"/>
  <c r="FN33" i="17"/>
  <c r="GH53" i="17"/>
  <c r="GE33" i="17"/>
  <c r="BY71" i="17"/>
  <c r="EF82" i="17"/>
  <c r="GF58" i="17"/>
  <c r="CA40" i="17"/>
  <c r="DT71" i="17"/>
  <c r="GE52" i="17"/>
  <c r="DD51" i="17"/>
  <c r="GE79" i="17"/>
  <c r="BA47" i="17"/>
  <c r="DC59" i="17"/>
  <c r="AQ40" i="17"/>
  <c r="FJ25" i="17"/>
  <c r="CB48" i="17"/>
  <c r="BH78" i="17"/>
  <c r="GH69" i="17"/>
  <c r="DC70" i="17"/>
  <c r="BA41" i="17"/>
  <c r="GF55" i="17"/>
  <c r="EF46" i="17"/>
  <c r="BH83" i="17"/>
  <c r="AV54" i="17"/>
  <c r="DB31" i="17"/>
  <c r="FQ82" i="17"/>
  <c r="FE68" i="17"/>
  <c r="CO51" i="17"/>
  <c r="EL50" i="17"/>
  <c r="CA52" i="17"/>
  <c r="BA86" i="17"/>
  <c r="GF57" i="17"/>
  <c r="AQ9" i="17"/>
  <c r="DB44" i="17"/>
  <c r="CP65" i="17"/>
  <c r="CR15" i="17"/>
  <c r="EC16" i="17"/>
  <c r="BE66" i="17"/>
  <c r="CY46" i="17"/>
  <c r="AV9" i="17"/>
  <c r="CF77" i="17"/>
  <c r="AW22" i="17"/>
  <c r="AR10" i="17"/>
  <c r="DX70" i="17"/>
  <c r="CA60" i="17"/>
  <c r="EJ50" i="17"/>
  <c r="GZ21" i="17"/>
  <c r="CR53" i="17"/>
  <c r="AV50" i="17"/>
  <c r="EL47" i="17"/>
  <c r="GB55" i="17"/>
  <c r="FK79" i="17"/>
  <c r="BW25" i="17"/>
  <c r="CO50" i="17"/>
  <c r="GC27" i="17"/>
  <c r="FJ45" i="17"/>
  <c r="FI15" i="17"/>
  <c r="GB16" i="17"/>
  <c r="EY11" i="17"/>
  <c r="DV79" i="17"/>
  <c r="GF75" i="17"/>
  <c r="GE86" i="17"/>
  <c r="CX17" i="17"/>
  <c r="EM59" i="17"/>
  <c r="FL33" i="17"/>
  <c r="DD52" i="17"/>
  <c r="BV52" i="17"/>
  <c r="EE81" i="17"/>
  <c r="EE82" i="17"/>
  <c r="FN61" i="17"/>
  <c r="DL74" i="17"/>
  <c r="FR36" i="17"/>
  <c r="EG36" i="17"/>
  <c r="EL55" i="17"/>
  <c r="FA72" i="17"/>
  <c r="FJ70" i="17"/>
  <c r="CE18" i="17"/>
  <c r="DZ60" i="17"/>
  <c r="GH55" i="17"/>
  <c r="AQ60" i="17"/>
  <c r="EZ59" i="17"/>
  <c r="BW59" i="17"/>
  <c r="CI9" i="17"/>
  <c r="HM14" i="17"/>
  <c r="GK63" i="17"/>
  <c r="AW68" i="17"/>
  <c r="EY84" i="17"/>
  <c r="BD31" i="17"/>
  <c r="FI61" i="17"/>
  <c r="HV28" i="17"/>
  <c r="BD86" i="17"/>
  <c r="CV64" i="17"/>
  <c r="AV15" i="17"/>
  <c r="DZ69" i="17"/>
  <c r="GK28" i="17"/>
  <c r="CC47" i="17"/>
  <c r="GH12" i="17"/>
  <c r="FW73" i="17"/>
  <c r="FP10" i="17"/>
  <c r="EH25" i="17"/>
  <c r="EL40" i="17"/>
  <c r="DX75" i="17"/>
  <c r="DR71" i="17"/>
  <c r="ET58" i="17"/>
  <c r="FW43" i="17"/>
  <c r="CB75" i="17"/>
  <c r="GA57" i="17"/>
  <c r="CV71" i="17"/>
  <c r="ET39" i="17"/>
  <c r="DF70" i="17"/>
  <c r="EB74" i="17"/>
  <c r="DD48" i="17"/>
  <c r="FS30" i="17"/>
  <c r="CC83" i="17"/>
  <c r="CG76" i="17"/>
  <c r="AY57" i="17"/>
  <c r="FK67" i="17"/>
  <c r="DL10" i="17"/>
  <c r="FS25" i="17"/>
  <c r="GD52" i="17"/>
  <c r="CU65" i="17"/>
  <c r="EH78" i="17"/>
  <c r="BC83" i="17"/>
  <c r="GF9" i="17"/>
  <c r="DB60" i="17"/>
  <c r="EZ69" i="17"/>
  <c r="FX11" i="17"/>
  <c r="GA20" i="17"/>
  <c r="CZ68" i="17"/>
  <c r="DT50" i="17"/>
  <c r="DX26" i="17"/>
  <c r="GZ35" i="17"/>
  <c r="CH47" i="17"/>
  <c r="CO11" i="17"/>
  <c r="FH45" i="17"/>
  <c r="FR44" i="17"/>
  <c r="EI19" i="17"/>
  <c r="AS38" i="17"/>
  <c r="EF57" i="17"/>
  <c r="FY30" i="17"/>
  <c r="DU46" i="17"/>
  <c r="HV56" i="17"/>
  <c r="EX18" i="17"/>
  <c r="CO59" i="17"/>
  <c r="CI81" i="17"/>
  <c r="BZ59" i="17"/>
  <c r="DB19" i="17"/>
  <c r="FN60" i="17"/>
  <c r="GF81" i="17"/>
  <c r="DW24" i="17"/>
  <c r="DZ75" i="17"/>
  <c r="GP49" i="17"/>
  <c r="CJ55" i="17"/>
  <c r="EO79" i="17"/>
  <c r="FU60" i="17"/>
  <c r="CB22" i="17"/>
  <c r="FK77" i="17"/>
  <c r="EN57" i="17"/>
  <c r="EZ68" i="17"/>
  <c r="ET47" i="17"/>
  <c r="FG33" i="17"/>
  <c r="AU51" i="17"/>
  <c r="CX33" i="17"/>
  <c r="DN44" i="17"/>
  <c r="FL27" i="17"/>
  <c r="FA80" i="17"/>
  <c r="FC32" i="17"/>
  <c r="FG82" i="17"/>
  <c r="DN52" i="17"/>
  <c r="EW51" i="17"/>
  <c r="BW30" i="17"/>
  <c r="FI19" i="17"/>
  <c r="EO68" i="17"/>
  <c r="CI82" i="17"/>
  <c r="FE48" i="17"/>
  <c r="FF84" i="17"/>
  <c r="AV83" i="17"/>
  <c r="CE81" i="17"/>
  <c r="BB60" i="17"/>
  <c r="EC43" i="17"/>
  <c r="HV21" i="17"/>
  <c r="AQ58" i="17"/>
  <c r="EP77" i="17"/>
  <c r="FN80" i="17"/>
  <c r="CE10" i="17"/>
  <c r="DI40" i="17"/>
  <c r="HN56" i="17"/>
  <c r="CP83" i="17"/>
  <c r="CA78" i="17"/>
  <c r="CL80" i="17"/>
  <c r="CC22" i="17"/>
  <c r="AZ74" i="17"/>
  <c r="EE26" i="17"/>
  <c r="CW37" i="17"/>
  <c r="CX52" i="17"/>
  <c r="FP25" i="17"/>
  <c r="CA69" i="17"/>
  <c r="DL8" i="17"/>
  <c r="DD73" i="17"/>
  <c r="FN54" i="17"/>
  <c r="DN69" i="17"/>
  <c r="FB47" i="17"/>
  <c r="GV49" i="17"/>
  <c r="EB58" i="17"/>
  <c r="GB50" i="17"/>
  <c r="AV22" i="17"/>
  <c r="EX68" i="17"/>
  <c r="CJ26" i="17"/>
  <c r="FG71" i="17"/>
  <c r="AZ47" i="17"/>
  <c r="EC54" i="17"/>
  <c r="AY48" i="17"/>
  <c r="FT31" i="17"/>
  <c r="DQ24" i="17"/>
  <c r="HI21" i="17"/>
  <c r="GB59" i="17"/>
  <c r="CB69" i="17"/>
  <c r="BU83" i="17"/>
  <c r="GK49" i="17"/>
  <c r="CZ74" i="17"/>
  <c r="DH16" i="17"/>
  <c r="ET25" i="17"/>
  <c r="FG37" i="17"/>
  <c r="CP44" i="17"/>
  <c r="EI79" i="17"/>
  <c r="CC81" i="17"/>
  <c r="HP35" i="17"/>
  <c r="FH43" i="17"/>
  <c r="CJ27" i="17"/>
  <c r="DX25" i="17"/>
  <c r="FD48" i="17"/>
  <c r="CJ36" i="17"/>
  <c r="DF81" i="17"/>
  <c r="BZ22" i="17"/>
  <c r="DF38" i="17"/>
  <c r="BZ39" i="17"/>
  <c r="FR47" i="17"/>
  <c r="AQ47" i="17"/>
  <c r="EO32" i="17"/>
  <c r="CD55" i="17"/>
  <c r="DI33" i="17"/>
  <c r="CS83" i="17"/>
  <c r="ET31" i="17"/>
  <c r="AQ39" i="17"/>
  <c r="EM60" i="17"/>
  <c r="DB76" i="17"/>
  <c r="DR85" i="17"/>
  <c r="CI55" i="17"/>
  <c r="EX15" i="17"/>
  <c r="CZ25" i="17"/>
  <c r="CF86" i="17"/>
  <c r="FW50" i="17"/>
  <c r="DZ34" i="17"/>
  <c r="GH25" i="17"/>
  <c r="DK40" i="17"/>
  <c r="DM77" i="17"/>
  <c r="BE51" i="17"/>
  <c r="BH72" i="17"/>
  <c r="FH67" i="17"/>
  <c r="FD23" i="17"/>
  <c r="AU70" i="17"/>
  <c r="CD46" i="17"/>
  <c r="CE15" i="17"/>
  <c r="CI83" i="17"/>
  <c r="CI38" i="17"/>
  <c r="DT41" i="17"/>
  <c r="BY38" i="17"/>
  <c r="AR85" i="17"/>
  <c r="BW36" i="17"/>
  <c r="CU64" i="17"/>
  <c r="DZ80" i="17"/>
  <c r="ED36" i="17"/>
  <c r="BC32" i="17"/>
  <c r="DS10" i="17"/>
  <c r="DH58" i="17"/>
  <c r="CA75" i="17"/>
  <c r="FY83" i="17"/>
  <c r="FY9" i="17"/>
  <c r="FG79" i="17"/>
  <c r="AT82" i="17"/>
  <c r="DT34" i="17"/>
  <c r="DT67" i="17"/>
  <c r="GE11" i="17"/>
  <c r="CY70" i="17"/>
  <c r="CQ68" i="17"/>
  <c r="EW19" i="17"/>
  <c r="DZ58" i="17"/>
  <c r="AY8" i="17"/>
  <c r="BW22" i="17"/>
  <c r="BV81" i="17"/>
  <c r="CG72" i="17"/>
  <c r="DI58" i="17"/>
  <c r="EE25" i="17"/>
  <c r="BZ36" i="17"/>
  <c r="EV81" i="17"/>
  <c r="DV50" i="17"/>
  <c r="CV76" i="17"/>
  <c r="DP67" i="17"/>
  <c r="AW46" i="17"/>
  <c r="DZ20" i="17"/>
  <c r="BH82" i="17"/>
  <c r="AQ75" i="17"/>
  <c r="FD9" i="17"/>
  <c r="CV65" i="17"/>
  <c r="CF74" i="17"/>
  <c r="FL46" i="17"/>
  <c r="BH60" i="17"/>
  <c r="DA47" i="17"/>
  <c r="AV31" i="17"/>
  <c r="ET19" i="17"/>
  <c r="AU31" i="17"/>
  <c r="DN40" i="17"/>
  <c r="FA76" i="17"/>
  <c r="BU73" i="17"/>
  <c r="EL32" i="17"/>
  <c r="DF47" i="17"/>
  <c r="CT11" i="17"/>
  <c r="FI31" i="17"/>
  <c r="DS26" i="17"/>
  <c r="CG15" i="17"/>
  <c r="FN83" i="17"/>
  <c r="CS58" i="17"/>
  <c r="CR24" i="17"/>
  <c r="CA73" i="17"/>
  <c r="AX31" i="17"/>
  <c r="DF72" i="17"/>
  <c r="DB72" i="17"/>
  <c r="FI33" i="17"/>
  <c r="EG71" i="17"/>
  <c r="CP18" i="17"/>
  <c r="GF48" i="17"/>
  <c r="DW68" i="17"/>
  <c r="AP82" i="17"/>
  <c r="BW53" i="17"/>
  <c r="FZ16" i="17"/>
  <c r="BW37" i="17"/>
  <c r="EG84" i="17"/>
  <c r="GH59" i="17"/>
  <c r="AQ52" i="17"/>
  <c r="EV16" i="17"/>
  <c r="BA39" i="17"/>
  <c r="CH58" i="17"/>
  <c r="DD86" i="17"/>
  <c r="CQ38" i="17"/>
  <c r="EH37" i="17"/>
  <c r="GB75" i="17"/>
  <c r="FL72" i="17"/>
  <c r="FS59" i="17"/>
  <c r="FY8" i="17"/>
  <c r="FN41" i="17"/>
  <c r="FZ25" i="17"/>
  <c r="ED12" i="17"/>
  <c r="EE75" i="17"/>
  <c r="EL17" i="17"/>
  <c r="DV68" i="17"/>
  <c r="CL86" i="17"/>
  <c r="EB72" i="17"/>
  <c r="FC75" i="17"/>
  <c r="GC48" i="17"/>
  <c r="ER81" i="17"/>
  <c r="FJ20" i="17"/>
  <c r="FN82" i="17"/>
  <c r="FS77" i="17"/>
  <c r="EQ82" i="17"/>
  <c r="BV83" i="17"/>
  <c r="HN21" i="17"/>
  <c r="DS76" i="17"/>
  <c r="CX20" i="17"/>
  <c r="FF12" i="17"/>
  <c r="BB72" i="17"/>
  <c r="EH45" i="17"/>
  <c r="CQ66" i="17"/>
  <c r="DX24" i="17"/>
  <c r="CH68" i="17"/>
  <c r="CH26" i="17"/>
  <c r="BE36" i="17"/>
  <c r="BY32" i="17"/>
  <c r="CQ39" i="17"/>
  <c r="HW49" i="17"/>
  <c r="CO47" i="17"/>
  <c r="AV73" i="17"/>
  <c r="EQ52" i="17"/>
  <c r="EC12" i="17"/>
  <c r="FN73" i="17"/>
  <c r="AV32" i="17"/>
  <c r="DP16" i="17"/>
  <c r="CD20" i="17"/>
  <c r="HT35" i="17"/>
  <c r="EC74" i="17"/>
  <c r="FD55" i="17"/>
  <c r="CH70" i="17"/>
  <c r="DM73" i="17"/>
  <c r="BX25" i="17"/>
  <c r="EK69" i="17"/>
  <c r="BW33" i="17"/>
  <c r="CU82" i="17"/>
  <c r="DI84" i="17"/>
  <c r="AV65" i="17"/>
  <c r="FH19" i="17"/>
  <c r="FI76" i="17"/>
  <c r="GA23" i="17"/>
  <c r="EI72" i="17"/>
  <c r="FG15" i="17"/>
  <c r="DT48" i="17"/>
  <c r="CR10" i="17"/>
  <c r="DJ73" i="17"/>
  <c r="GQ21" i="17"/>
  <c r="EK72" i="17"/>
  <c r="CZ10" i="17"/>
  <c r="CA58" i="17"/>
  <c r="FW58" i="17"/>
  <c r="DS41" i="17"/>
  <c r="DV39" i="17"/>
  <c r="CD45" i="17"/>
  <c r="EV64" i="17"/>
  <c r="CJ44" i="17"/>
  <c r="AR15" i="17"/>
  <c r="CR74" i="17"/>
  <c r="AT36" i="17"/>
  <c r="EL23" i="17"/>
  <c r="CG52" i="17"/>
  <c r="EZ75" i="17"/>
  <c r="FF45" i="17"/>
  <c r="HS49" i="17"/>
  <c r="GN28" i="17"/>
  <c r="CG31" i="17"/>
  <c r="AS22" i="17"/>
  <c r="DL19" i="17"/>
  <c r="DL43" i="17"/>
  <c r="BB30" i="17"/>
  <c r="DK32" i="17"/>
  <c r="FX75" i="17"/>
  <c r="BX77" i="17"/>
  <c r="CL46" i="17"/>
  <c r="FY59" i="17"/>
  <c r="AW31" i="17"/>
  <c r="AQ29" i="17"/>
  <c r="DL72" i="17"/>
  <c r="DU12" i="17"/>
  <c r="DW38" i="17"/>
  <c r="DI46" i="17"/>
  <c r="DS72" i="17"/>
  <c r="FB74" i="17"/>
  <c r="EH60" i="17"/>
  <c r="CY37" i="17"/>
  <c r="BX71" i="17"/>
  <c r="DP53" i="17"/>
  <c r="DB71" i="17"/>
  <c r="BX84" i="17"/>
  <c r="EN69" i="17"/>
  <c r="CY84" i="17"/>
  <c r="DD66" i="17"/>
  <c r="BA83" i="17"/>
  <c r="CU30" i="17"/>
  <c r="DO74" i="17"/>
  <c r="CT59" i="17"/>
  <c r="CF18" i="17"/>
  <c r="FA30" i="17"/>
  <c r="FF24" i="17"/>
  <c r="DZ50" i="17"/>
  <c r="BT84" i="17"/>
  <c r="HJ63" i="17"/>
  <c r="EX52" i="17"/>
  <c r="FN45" i="17"/>
  <c r="GX56" i="17"/>
  <c r="FL65" i="17"/>
  <c r="CG33" i="17"/>
  <c r="EB77" i="17"/>
  <c r="GE12" i="17"/>
  <c r="DV81" i="17"/>
  <c r="DZ81" i="17"/>
  <c r="EZ73" i="17"/>
  <c r="BW74" i="17"/>
  <c r="CZ71" i="17"/>
  <c r="CR57" i="17"/>
  <c r="BY25" i="17"/>
  <c r="EQ15" i="17"/>
  <c r="FR38" i="17"/>
  <c r="CN85" i="17"/>
  <c r="DI10" i="17"/>
  <c r="EY69" i="17"/>
  <c r="BH29" i="17"/>
  <c r="BV84" i="17"/>
  <c r="FI47" i="17"/>
  <c r="DO38" i="17"/>
  <c r="FR33" i="17"/>
  <c r="CU51" i="17"/>
  <c r="DQ75" i="17"/>
  <c r="DU86" i="17"/>
  <c r="CW80" i="17"/>
  <c r="AZ39" i="17"/>
  <c r="AV71" i="17"/>
  <c r="BC23" i="17"/>
  <c r="FX60" i="17"/>
  <c r="FV19" i="17"/>
  <c r="EJ69" i="17"/>
  <c r="CI39" i="17"/>
  <c r="DD64" i="17"/>
  <c r="EY23" i="17"/>
  <c r="AW78" i="17"/>
  <c r="FL10" i="17"/>
  <c r="CV59" i="17"/>
  <c r="DT73" i="17"/>
  <c r="BD34" i="17"/>
  <c r="CW25" i="17"/>
  <c r="EK76" i="17"/>
  <c r="BU54" i="17"/>
  <c r="DL45" i="17"/>
  <c r="CW81" i="17"/>
  <c r="EO20" i="17"/>
  <c r="FQ37" i="17"/>
  <c r="EI80" i="17"/>
  <c r="CB33" i="17"/>
  <c r="CF69" i="17"/>
  <c r="FD18" i="17"/>
  <c r="DP40" i="17"/>
  <c r="FW26" i="17"/>
  <c r="DC68" i="17"/>
  <c r="ET23" i="17"/>
  <c r="FV64" i="17"/>
  <c r="FC65" i="17"/>
  <c r="FH20" i="17"/>
  <c r="EG8" i="17"/>
  <c r="EG2" i="17" s="1"/>
  <c r="DQ27" i="17"/>
  <c r="EL61" i="17"/>
  <c r="DR32" i="17"/>
  <c r="CS47" i="17"/>
  <c r="BC55" i="17"/>
  <c r="BA51" i="17"/>
  <c r="DZ72" i="17"/>
  <c r="BE55" i="17"/>
  <c r="FA8" i="17"/>
  <c r="DS79" i="17"/>
  <c r="BY67" i="17"/>
  <c r="EP50" i="17"/>
  <c r="HQ49" i="17"/>
  <c r="CL82" i="17"/>
  <c r="EY78" i="17"/>
  <c r="DO76" i="17"/>
  <c r="FB78" i="17"/>
  <c r="EK30" i="17"/>
  <c r="FQ33" i="17"/>
  <c r="CX72" i="17"/>
  <c r="BB53" i="17"/>
  <c r="DT44" i="17"/>
  <c r="FF72" i="17"/>
  <c r="ET71" i="17"/>
  <c r="FA81" i="17"/>
  <c r="FI84" i="17"/>
  <c r="HG14" i="17"/>
  <c r="FK55" i="17"/>
  <c r="FN10" i="17"/>
  <c r="FA39" i="17"/>
  <c r="FD8" i="17"/>
  <c r="CO17" i="17"/>
  <c r="BA38" i="17"/>
  <c r="DB58" i="17"/>
  <c r="EJ70" i="17"/>
  <c r="AX65" i="17"/>
  <c r="EJ61" i="17"/>
  <c r="DN9" i="17"/>
  <c r="BD57" i="17"/>
  <c r="CT82" i="17"/>
  <c r="CL32" i="17"/>
  <c r="CD72" i="17"/>
  <c r="EK70" i="17"/>
  <c r="BF59" i="17"/>
  <c r="DK19" i="17"/>
  <c r="FW65" i="17"/>
  <c r="FX50" i="17"/>
  <c r="CV54" i="17"/>
  <c r="GB12" i="17"/>
  <c r="BV74" i="17"/>
  <c r="EK82" i="17"/>
  <c r="FL12" i="17"/>
  <c r="GA70" i="17"/>
  <c r="GS7" i="17"/>
  <c r="DX33" i="17"/>
  <c r="CI20" i="17"/>
  <c r="BU26" i="17"/>
  <c r="EI58" i="17"/>
  <c r="EC84" i="17"/>
  <c r="BX16" i="17"/>
  <c r="CA43" i="17"/>
  <c r="EJ77" i="17"/>
  <c r="GD36" i="17"/>
  <c r="BX83" i="17"/>
  <c r="EW32" i="17"/>
  <c r="EE45" i="17"/>
  <c r="CF66" i="17"/>
  <c r="FL17" i="17"/>
  <c r="GJ42" i="17"/>
  <c r="ER40" i="17"/>
  <c r="CI16" i="17"/>
  <c r="DU34" i="17"/>
  <c r="CB76" i="17"/>
  <c r="FW34" i="17"/>
  <c r="DF71" i="17"/>
  <c r="GA25" i="17"/>
  <c r="DJ25" i="17"/>
  <c r="EG66" i="17"/>
  <c r="ET75" i="17"/>
  <c r="CE71" i="17"/>
  <c r="FH65" i="17"/>
  <c r="AS46" i="17"/>
  <c r="AV25" i="17"/>
  <c r="CO71" i="17"/>
  <c r="AW24" i="17"/>
  <c r="EZ12" i="17"/>
  <c r="FB25" i="17"/>
  <c r="FX8" i="17"/>
  <c r="BC12" i="17"/>
  <c r="EV43" i="17"/>
  <c r="W9" i="24" a="1"/>
  <c r="FT25" i="17"/>
  <c r="CQ69" i="17"/>
  <c r="FR64" i="17"/>
  <c r="FU57" i="17"/>
  <c r="DC54" i="17"/>
  <c r="CE86" i="17"/>
  <c r="AS60" i="17"/>
  <c r="FZ27" i="17"/>
  <c r="FE41" i="17"/>
  <c r="DF58" i="17"/>
  <c r="V15" i="24"/>
  <c r="EY74" i="17"/>
  <c r="BF44" i="17"/>
  <c r="CC51" i="17"/>
  <c r="FG24" i="17"/>
  <c r="FL53" i="17"/>
  <c r="FX41" i="17"/>
  <c r="CO61" i="17"/>
  <c r="BF68" i="17"/>
  <c r="AQ30" i="17"/>
  <c r="CB15" i="17"/>
  <c r="AZ72" i="17"/>
  <c r="EC72" i="17"/>
  <c r="EB12" i="17"/>
  <c r="EL19" i="17"/>
  <c r="DU40" i="17"/>
  <c r="BU71" i="17"/>
  <c r="DS12" i="17"/>
  <c r="BF24" i="17"/>
  <c r="HQ35" i="17"/>
  <c r="FH72" i="17"/>
  <c r="GA37" i="17"/>
  <c r="FH12" i="17"/>
  <c r="DB53" i="17"/>
  <c r="GE25" i="17"/>
  <c r="GC60" i="17"/>
  <c r="ED17" i="17"/>
  <c r="AT32" i="17"/>
  <c r="ET16" i="17"/>
  <c r="EZ52" i="17"/>
  <c r="DB39" i="17"/>
  <c r="EV58" i="17"/>
  <c r="DL82" i="17"/>
  <c r="EE33" i="17"/>
  <c r="DS20" i="17"/>
  <c r="BU11" i="17"/>
  <c r="FL86" i="17"/>
  <c r="EF24" i="17"/>
  <c r="CL23" i="17"/>
  <c r="EM33" i="17"/>
  <c r="GF31" i="17"/>
  <c r="ER20" i="17"/>
  <c r="BE68" i="17"/>
  <c r="DF16" i="17"/>
  <c r="DO26" i="17"/>
  <c r="CG34" i="17"/>
  <c r="CG11" i="17"/>
  <c r="DV52" i="17"/>
  <c r="BB44" i="17"/>
  <c r="CP23" i="17"/>
  <c r="FK12" i="17"/>
  <c r="CX67" i="17"/>
  <c r="AV18" i="17"/>
  <c r="DC38" i="17"/>
  <c r="GF40" i="17"/>
  <c r="EW79" i="17"/>
  <c r="FV18" i="17"/>
  <c r="EB36" i="17"/>
  <c r="DO77" i="17"/>
  <c r="AS9" i="17"/>
  <c r="FR15" i="17"/>
  <c r="FU61" i="17"/>
  <c r="DO80" i="17"/>
  <c r="HF28" i="17"/>
  <c r="DP23" i="17"/>
  <c r="DO66" i="17"/>
  <c r="FE11" i="17"/>
  <c r="BW54" i="17"/>
  <c r="DQ68" i="17"/>
  <c r="EF54" i="17"/>
  <c r="AV70" i="17"/>
  <c r="FW48" i="17"/>
  <c r="HI7" i="17"/>
  <c r="CE33" i="17"/>
  <c r="EG19" i="17"/>
  <c r="GD64" i="17"/>
  <c r="DX86" i="17"/>
  <c r="DD33" i="17"/>
  <c r="BE52" i="17"/>
  <c r="DU58" i="17"/>
  <c r="GA74" i="17"/>
  <c r="EC57" i="17"/>
  <c r="EV74" i="17"/>
  <c r="EG54" i="17"/>
  <c r="GA40" i="17"/>
  <c r="HJ7" i="17"/>
  <c r="CC70" i="17"/>
  <c r="AR76" i="17"/>
  <c r="FK66" i="17"/>
  <c r="EE31" i="17"/>
  <c r="FH52" i="17"/>
  <c r="AW47" i="17"/>
  <c r="AV26" i="17"/>
  <c r="CT52" i="17"/>
  <c r="FE47" i="17"/>
  <c r="CL37" i="17"/>
  <c r="FB61" i="17"/>
  <c r="BU70" i="17"/>
  <c r="FP73" i="17"/>
  <c r="GE85" i="17"/>
  <c r="DR59" i="17"/>
  <c r="AW30" i="17"/>
  <c r="GE51" i="17"/>
  <c r="DD29" i="17"/>
  <c r="EJ15" i="17"/>
  <c r="GS14" i="17"/>
  <c r="ET55" i="17"/>
  <c r="CH25" i="17"/>
  <c r="DV18" i="17"/>
  <c r="CW15" i="17"/>
  <c r="EP68" i="17"/>
  <c r="DL60" i="17"/>
  <c r="DA19" i="17"/>
  <c r="EX29" i="17"/>
  <c r="CD76" i="17"/>
  <c r="CP10" i="17"/>
  <c r="EM18" i="17"/>
  <c r="FS83" i="17"/>
  <c r="DX19" i="17"/>
  <c r="DN46" i="17"/>
  <c r="EB23" i="17"/>
  <c r="BF72" i="17"/>
  <c r="DS81" i="17"/>
  <c r="FT43" i="17"/>
  <c r="GB30" i="17"/>
  <c r="DO40" i="17"/>
  <c r="EP51" i="17"/>
  <c r="EM86" i="17"/>
  <c r="EI50" i="17"/>
  <c r="EC37" i="17"/>
  <c r="CE69" i="17"/>
  <c r="BB12" i="17"/>
  <c r="CG30" i="17"/>
  <c r="FN18" i="17"/>
  <c r="EJ51" i="17"/>
  <c r="CQ65" i="17"/>
  <c r="DV30" i="17"/>
  <c r="EN68" i="17"/>
  <c r="GM56" i="17"/>
  <c r="EH77" i="17"/>
  <c r="DT53" i="17"/>
  <c r="CT33" i="17"/>
  <c r="CS60" i="17"/>
  <c r="DP78" i="17"/>
  <c r="DD9" i="17"/>
  <c r="EV9" i="17"/>
  <c r="DP36" i="17"/>
  <c r="BZ44" i="17"/>
  <c r="CV17" i="17"/>
  <c r="GB51" i="17"/>
  <c r="GD18" i="17"/>
  <c r="CR36" i="17"/>
  <c r="EP86" i="17"/>
  <c r="CS75" i="17"/>
  <c r="EO34" i="17"/>
  <c r="BE72" i="17"/>
  <c r="FD68" i="17"/>
  <c r="AS70" i="17"/>
  <c r="EK16" i="17"/>
  <c r="CY48" i="17"/>
  <c r="FR77" i="17"/>
  <c r="GB46" i="17"/>
  <c r="DB61" i="17"/>
  <c r="AQ73" i="17"/>
  <c r="DU39" i="17"/>
  <c r="GA41" i="17"/>
  <c r="EW85" i="17"/>
  <c r="HH21" i="17"/>
  <c r="EL46" i="17"/>
  <c r="FJ74" i="17"/>
  <c r="GF38" i="17"/>
  <c r="DB25" i="17"/>
  <c r="FL22" i="17"/>
  <c r="CD52" i="17"/>
  <c r="BE9" i="17"/>
  <c r="GQ42" i="17"/>
  <c r="EJ84" i="17"/>
  <c r="EG76" i="17"/>
  <c r="GL49" i="17"/>
  <c r="DI53" i="17"/>
  <c r="DS69" i="17"/>
  <c r="DR48" i="17"/>
  <c r="CF25" i="17"/>
  <c r="HT7" i="17"/>
  <c r="CS40" i="17"/>
  <c r="GH79" i="17"/>
  <c r="FJ9" i="17"/>
  <c r="CE43" i="17"/>
  <c r="EP33" i="17"/>
  <c r="AY45" i="17"/>
  <c r="AT24" i="17"/>
  <c r="CJ67" i="17"/>
  <c r="CJ69" i="17"/>
  <c r="BY53" i="17"/>
  <c r="DT72" i="17"/>
  <c r="CY47" i="17"/>
  <c r="EZ60" i="17"/>
  <c r="CQ40" i="17"/>
  <c r="BY74" i="17"/>
  <c r="GB20" i="17"/>
  <c r="CC82" i="17"/>
  <c r="CR77" i="17"/>
  <c r="DJ53" i="17"/>
  <c r="HQ28" i="17"/>
  <c r="CS53" i="17"/>
  <c r="AY37" i="17"/>
  <c r="FX76" i="17"/>
  <c r="FG86" i="17"/>
  <c r="CX60" i="17"/>
  <c r="DA61" i="17"/>
  <c r="DF19" i="17"/>
  <c r="AT61" i="17"/>
  <c r="EQ9" i="17"/>
  <c r="FQ71" i="17"/>
  <c r="AQ59" i="17"/>
  <c r="DZ22" i="17"/>
  <c r="CA22" i="17"/>
  <c r="BC85" i="17"/>
  <c r="DA16" i="17"/>
  <c r="FI68" i="17"/>
  <c r="DT39" i="17"/>
  <c r="FH78" i="17"/>
  <c r="EP31" i="17"/>
  <c r="EN61" i="17"/>
  <c r="BB66" i="17"/>
  <c r="ET59" i="17"/>
  <c r="CO44" i="17"/>
  <c r="DR34" i="17"/>
  <c r="BD59" i="17"/>
  <c r="DK37" i="17"/>
  <c r="GC43" i="17"/>
  <c r="HF7" i="17"/>
  <c r="DO8" i="17"/>
  <c r="CZ34" i="17"/>
  <c r="CU18" i="17"/>
  <c r="GJ14" i="17"/>
  <c r="DK24" i="17"/>
  <c r="EW73" i="17"/>
  <c r="GV42" i="17"/>
  <c r="DX37" i="17"/>
  <c r="FX77" i="17"/>
  <c r="CF76" i="17"/>
  <c r="DI45" i="17"/>
  <c r="EP57" i="17"/>
  <c r="EH54" i="17"/>
  <c r="CC69" i="17"/>
  <c r="FC43" i="17"/>
  <c r="FN43" i="17"/>
  <c r="FE83" i="17"/>
  <c r="DA9" i="17"/>
  <c r="DL37" i="17"/>
  <c r="DO47" i="17"/>
  <c r="CE9" i="17"/>
  <c r="DQ67" i="17"/>
  <c r="GT63" i="17"/>
  <c r="DZ61" i="17"/>
  <c r="BC47" i="17"/>
  <c r="CP82" i="17"/>
  <c r="FV43" i="17"/>
  <c r="DF23" i="17"/>
  <c r="DW31" i="17"/>
  <c r="FY45" i="17"/>
  <c r="BW66" i="17"/>
  <c r="FF74" i="17"/>
  <c r="DR15" i="17"/>
  <c r="DF78" i="17"/>
  <c r="GX21" i="17"/>
  <c r="FS18" i="17"/>
  <c r="BH33" i="17"/>
  <c r="GA12" i="17"/>
  <c r="CZ48" i="17"/>
  <c r="GC8" i="17"/>
  <c r="FG85" i="17"/>
  <c r="FE17" i="17"/>
  <c r="FU39" i="17"/>
  <c r="DQ38" i="17"/>
  <c r="DN17" i="17"/>
  <c r="FB30" i="17"/>
  <c r="HU7" i="17"/>
  <c r="GX42" i="17"/>
  <c r="FP16" i="17"/>
  <c r="ET32" i="17"/>
  <c r="EH79" i="17"/>
  <c r="CY23" i="17"/>
  <c r="DL29" i="17"/>
  <c r="DN51" i="17"/>
  <c r="CB80" i="17"/>
  <c r="ER52" i="17"/>
  <c r="FF53" i="17"/>
  <c r="FY48" i="17"/>
  <c r="GH74" i="17"/>
  <c r="CT67" i="17"/>
  <c r="AY31" i="17"/>
  <c r="FY37" i="17"/>
  <c r="FF80" i="17"/>
  <c r="DU68" i="17"/>
  <c r="AW79" i="17"/>
  <c r="DF30" i="17"/>
  <c r="DZ54" i="17"/>
  <c r="BX51" i="17"/>
  <c r="DI25" i="17"/>
  <c r="AX39" i="17"/>
  <c r="EJ43" i="17"/>
  <c r="CS18" i="17"/>
  <c r="CX8" i="17"/>
  <c r="CL79" i="17"/>
  <c r="FT54" i="17"/>
  <c r="DS45" i="17"/>
  <c r="FY76" i="17"/>
  <c r="EP29" i="17"/>
  <c r="CT73" i="17"/>
  <c r="AU23" i="17"/>
  <c r="DW22" i="17"/>
  <c r="CU16" i="17"/>
  <c r="DH17" i="17"/>
  <c r="DD61" i="17"/>
  <c r="AT22" i="17"/>
  <c r="EV18" i="17"/>
  <c r="DT83" i="17"/>
  <c r="GA29" i="17"/>
  <c r="AR70" i="17"/>
  <c r="FI53" i="17"/>
  <c r="AR19" i="17"/>
  <c r="GC38" i="17"/>
  <c r="FU52" i="17"/>
  <c r="DX32" i="17"/>
  <c r="FZ45" i="17"/>
  <c r="BE40" i="17"/>
  <c r="DM61" i="17"/>
  <c r="CU73" i="17"/>
  <c r="BU52" i="17"/>
  <c r="EG47" i="17"/>
  <c r="EO64" i="17"/>
  <c r="FK31" i="17"/>
  <c r="DJ11" i="17"/>
  <c r="DA81" i="17"/>
  <c r="AV57" i="17"/>
  <c r="GB60" i="17"/>
  <c r="ER67" i="17"/>
  <c r="BC39" i="17"/>
  <c r="DF82" i="17"/>
  <c r="BF15" i="17"/>
  <c r="GA39" i="17"/>
  <c r="EE78" i="17"/>
  <c r="EG10" i="17"/>
  <c r="AZ33" i="17"/>
  <c r="FE38" i="17"/>
  <c r="EP46" i="17"/>
  <c r="CT43" i="17"/>
  <c r="AT26" i="17"/>
  <c r="ET81" i="17"/>
  <c r="EG61" i="17"/>
  <c r="FT69" i="17"/>
  <c r="FY82" i="17"/>
  <c r="CS72" i="17"/>
  <c r="CO85" i="17"/>
  <c r="FK47" i="17"/>
  <c r="GL14" i="17"/>
  <c r="AQ38" i="17"/>
  <c r="EB22" i="17"/>
  <c r="FL80" i="17"/>
  <c r="CF52" i="17"/>
  <c r="EJ66" i="17"/>
  <c r="FK40" i="17"/>
  <c r="DW32" i="17"/>
  <c r="FE34" i="17"/>
  <c r="CZ40" i="17"/>
  <c r="CI76" i="17"/>
  <c r="CW45" i="17"/>
  <c r="DT82" i="17"/>
  <c r="AZ70" i="17"/>
  <c r="AV60" i="17"/>
  <c r="CE52" i="17"/>
  <c r="FY71" i="17"/>
  <c r="CZ38" i="17"/>
  <c r="CH66" i="17"/>
  <c r="FX58" i="17"/>
  <c r="BC74" i="17"/>
  <c r="GF46" i="17"/>
  <c r="EN40" i="17"/>
  <c r="CA23" i="17"/>
  <c r="CT19" i="17"/>
  <c r="BC38" i="17"/>
  <c r="CJ46" i="17"/>
  <c r="EK74" i="17"/>
  <c r="CF82" i="17"/>
  <c r="EK78" i="17"/>
  <c r="FF48" i="17"/>
  <c r="AY15" i="17"/>
  <c r="EE15" i="17"/>
  <c r="DP84" i="17"/>
  <c r="FL45" i="17"/>
  <c r="DL81" i="17"/>
  <c r="EB53" i="17"/>
  <c r="CA54" i="17"/>
  <c r="EN26" i="17"/>
  <c r="DV70" i="17"/>
  <c r="CB17" i="17"/>
  <c r="CC27" i="17"/>
  <c r="CU29" i="17"/>
  <c r="AU18" i="17"/>
  <c r="EP55" i="17"/>
  <c r="DB67" i="17"/>
  <c r="BF57" i="17"/>
  <c r="EK24" i="17"/>
  <c r="BU38" i="17"/>
  <c r="DC12" i="17"/>
  <c r="CW48" i="17"/>
  <c r="CS38" i="17"/>
  <c r="FS44" i="17"/>
  <c r="CZ79" i="17"/>
  <c r="CY79" i="17"/>
  <c r="FN37" i="17"/>
  <c r="FL31" i="17"/>
  <c r="CH54" i="17"/>
  <c r="GU35" i="17"/>
  <c r="EF61" i="17"/>
  <c r="AT60" i="17"/>
  <c r="FC23" i="17"/>
  <c r="AT77" i="17"/>
  <c r="CT9" i="17"/>
  <c r="EV33" i="17"/>
  <c r="CE57" i="17"/>
  <c r="BC20" i="17"/>
  <c r="GD84" i="17"/>
  <c r="GE10" i="17"/>
  <c r="DP72" i="17"/>
  <c r="EY53" i="17"/>
  <c r="GV7" i="17"/>
  <c r="EY75" i="17"/>
  <c r="DH84" i="17"/>
  <c r="DR61" i="17"/>
  <c r="EL43" i="17"/>
  <c r="GF27" i="17"/>
  <c r="DP20" i="17"/>
  <c r="EH31" i="17"/>
  <c r="DI19" i="17"/>
  <c r="AZ84" i="17"/>
  <c r="DZ84" i="17"/>
  <c r="DF44" i="17"/>
  <c r="FU23" i="17"/>
  <c r="CF53" i="17"/>
  <c r="FK81" i="17"/>
  <c r="BX72" i="17"/>
  <c r="AS8" i="17"/>
  <c r="EI38" i="17"/>
  <c r="CV70" i="17"/>
  <c r="ET29" i="17"/>
  <c r="FJ15" i="17"/>
  <c r="AY16" i="17"/>
  <c r="FQ18" i="17"/>
  <c r="GN56" i="17"/>
  <c r="GH76" i="17"/>
  <c r="FZ9" i="17"/>
  <c r="DA41" i="17"/>
  <c r="FG69" i="17"/>
  <c r="EX40" i="17"/>
  <c r="BY15" i="17"/>
  <c r="CA32" i="17"/>
  <c r="DX45" i="17"/>
  <c r="CR25" i="17"/>
  <c r="CQ61" i="17"/>
  <c r="CV19" i="17"/>
  <c r="EH73" i="17"/>
  <c r="EM36" i="17"/>
  <c r="FY22" i="17"/>
  <c r="DX59" i="17"/>
  <c r="DH9" i="17"/>
  <c r="FK37" i="17"/>
  <c r="CH74" i="17"/>
  <c r="DZ53" i="17"/>
  <c r="EF53" i="17"/>
  <c r="FJ43" i="17"/>
  <c r="CH73" i="17"/>
  <c r="FV59" i="17"/>
  <c r="FS37" i="17"/>
  <c r="BZ17" i="17"/>
  <c r="BB67" i="17"/>
  <c r="CC64" i="17"/>
  <c r="EP20" i="17"/>
  <c r="DR64" i="17"/>
  <c r="EJ73" i="17"/>
  <c r="DB52" i="17"/>
  <c r="EG38" i="17"/>
  <c r="AT54" i="17"/>
  <c r="GH77" i="17"/>
  <c r="EB83" i="17"/>
  <c r="CU33" i="17"/>
  <c r="AT37" i="17"/>
  <c r="CJ85" i="17"/>
  <c r="AS15" i="17"/>
  <c r="EH52" i="17"/>
  <c r="FW36" i="17"/>
  <c r="EI60" i="17"/>
  <c r="EN34" i="17"/>
  <c r="HU35" i="17"/>
  <c r="FX55" i="17"/>
  <c r="FC11" i="17"/>
  <c r="CP66" i="17"/>
  <c r="CH20" i="17"/>
  <c r="EN18" i="17"/>
  <c r="EJ81" i="17"/>
  <c r="EB79" i="17"/>
  <c r="GB64" i="17"/>
  <c r="BV30" i="17"/>
  <c r="FL78" i="17"/>
  <c r="FW72" i="17"/>
  <c r="BW31" i="17"/>
  <c r="DI72" i="17"/>
  <c r="AQ67" i="17"/>
  <c r="BD58" i="17"/>
  <c r="EI32" i="17"/>
  <c r="DN78" i="17"/>
  <c r="DU15" i="17"/>
  <c r="CC78" i="17"/>
  <c r="DK29" i="17"/>
  <c r="FE79" i="17"/>
  <c r="FT23" i="17"/>
  <c r="AV78" i="17"/>
  <c r="GH70" i="17"/>
  <c r="DU37" i="17"/>
  <c r="EP22" i="17"/>
  <c r="CS32" i="17"/>
  <c r="FP23" i="17"/>
  <c r="EM17" i="17"/>
  <c r="AW69" i="17"/>
  <c r="AY33" i="17"/>
  <c r="ED30" i="17"/>
  <c r="GH30" i="17"/>
  <c r="DF86" i="17"/>
  <c r="EV84" i="17"/>
  <c r="DI22" i="17"/>
  <c r="GM42" i="17"/>
  <c r="BE58" i="17"/>
  <c r="CF33" i="17"/>
  <c r="GX63" i="17"/>
  <c r="DL39" i="17"/>
  <c r="CA16" i="17"/>
  <c r="ET33" i="17"/>
  <c r="EL80" i="17"/>
  <c r="EC17" i="17"/>
  <c r="FW67" i="17"/>
  <c r="CB72" i="17"/>
  <c r="DL58" i="17"/>
  <c r="DT69" i="17"/>
  <c r="HS21" i="17"/>
  <c r="ET82" i="17"/>
  <c r="GF30" i="17"/>
  <c r="FK82" i="17"/>
  <c r="EN55" i="17"/>
  <c r="DA69" i="17"/>
  <c r="CY64" i="17"/>
  <c r="DJ26" i="17"/>
  <c r="CA64" i="17"/>
  <c r="FE81" i="17"/>
  <c r="FE71" i="17"/>
  <c r="EV39" i="17"/>
  <c r="CU50" i="17"/>
  <c r="FX65" i="17"/>
  <c r="CB73" i="17"/>
  <c r="DJ71" i="17"/>
  <c r="EG39" i="17"/>
  <c r="GF17" i="17"/>
  <c r="CH18" i="17"/>
  <c r="CR79" i="17"/>
  <c r="DJ9" i="17"/>
  <c r="BC48" i="17"/>
  <c r="AU32" i="17"/>
  <c r="BV39" i="17"/>
  <c r="DC86" i="17"/>
  <c r="CL85" i="17"/>
  <c r="CA79" i="17"/>
  <c r="AS64" i="17"/>
  <c r="DW79" i="17"/>
  <c r="DX10" i="17"/>
  <c r="CR45" i="17"/>
  <c r="AV11" i="17"/>
  <c r="EF70" i="17"/>
  <c r="DQ65" i="17"/>
  <c r="AS50" i="17"/>
  <c r="FH44" i="17"/>
  <c r="BB48" i="17"/>
  <c r="FD83" i="17"/>
  <c r="EC60" i="17"/>
  <c r="FD43" i="17"/>
  <c r="EQ67" i="17"/>
  <c r="GH48" i="17"/>
  <c r="DI8" i="17"/>
  <c r="EO53" i="17"/>
  <c r="EI84" i="17"/>
  <c r="AT53" i="17"/>
  <c r="FP19" i="17"/>
  <c r="CF71" i="17"/>
  <c r="EH26" i="17"/>
  <c r="FP65" i="17"/>
  <c r="FK72" i="17"/>
  <c r="BY54" i="17"/>
  <c r="FN70" i="17"/>
  <c r="CO8" i="17"/>
  <c r="EM83" i="17"/>
  <c r="AQ66" i="17"/>
  <c r="ER31" i="17"/>
  <c r="FV72" i="17"/>
  <c r="CD61" i="17"/>
  <c r="CG79" i="17"/>
  <c r="FL54" i="17"/>
  <c r="EB82" i="17"/>
  <c r="GN21" i="17"/>
  <c r="BD43" i="17"/>
  <c r="DO85" i="17"/>
  <c r="EX81" i="17"/>
  <c r="FX69" i="17"/>
  <c r="DF9" i="17"/>
  <c r="FU37" i="17"/>
  <c r="EV44" i="17"/>
  <c r="FW23" i="17"/>
  <c r="AZ79" i="17"/>
  <c r="FQ38" i="17"/>
  <c r="DU66" i="17"/>
  <c r="FC76" i="17"/>
  <c r="CA80" i="17"/>
  <c r="EH47" i="17"/>
  <c r="DW29" i="17"/>
  <c r="FS9" i="17"/>
  <c r="AX15" i="17"/>
  <c r="AZ25" i="17"/>
  <c r="CH38" i="17"/>
  <c r="EL77" i="17"/>
  <c r="CE36" i="17"/>
  <c r="BH68" i="17"/>
  <c r="AT17" i="17"/>
  <c r="CB53" i="17"/>
  <c r="GC36" i="17"/>
  <c r="GE46" i="17"/>
  <c r="DT22" i="17"/>
  <c r="CV32" i="17"/>
  <c r="EX80" i="17"/>
  <c r="BB29" i="17"/>
  <c r="FS66" i="17"/>
  <c r="FV61" i="17"/>
  <c r="EY47" i="17"/>
  <c r="CT24" i="17"/>
  <c r="CD68" i="17"/>
  <c r="DQ74" i="17"/>
  <c r="DJ61" i="17"/>
  <c r="BE85" i="17"/>
  <c r="EG37" i="17"/>
  <c r="DA77" i="17"/>
  <c r="EW25" i="17"/>
  <c r="FQ36" i="17"/>
  <c r="FV46" i="17"/>
  <c r="FB53" i="17"/>
  <c r="V9" i="24"/>
  <c r="DA64" i="17"/>
  <c r="FD33" i="17"/>
  <c r="EG33" i="17"/>
  <c r="AW80" i="17"/>
  <c r="EB51" i="17"/>
  <c r="DO73" i="17"/>
  <c r="CL76" i="17"/>
  <c r="FB77" i="17"/>
  <c r="BD68" i="17"/>
  <c r="EJ53" i="17"/>
  <c r="FP31" i="17"/>
  <c r="FI77" i="17"/>
  <c r="BC77" i="17"/>
  <c r="EL26" i="17"/>
  <c r="GH32" i="17"/>
  <c r="BF12" i="17"/>
  <c r="BH85" i="17"/>
  <c r="FW47" i="17"/>
  <c r="CY77" i="17"/>
  <c r="BD80" i="17"/>
  <c r="EV47" i="17"/>
  <c r="BU59" i="17"/>
  <c r="FN31" i="17"/>
  <c r="DQ37" i="17"/>
  <c r="EZ39" i="17"/>
  <c r="BD40" i="17"/>
  <c r="FJ19" i="17"/>
  <c r="DT65" i="17"/>
  <c r="CW77" i="17"/>
  <c r="EJ74" i="17"/>
  <c r="ET78" i="17"/>
  <c r="BB58" i="17"/>
  <c r="FA60" i="17"/>
  <c r="FR11" i="17"/>
  <c r="FJ84" i="17"/>
  <c r="BW51" i="17"/>
  <c r="EO31" i="17"/>
  <c r="BZ29" i="17"/>
  <c r="BW68" i="17"/>
  <c r="BZ82" i="17"/>
  <c r="BF27" i="17"/>
  <c r="HP14" i="17"/>
  <c r="BX40" i="17"/>
  <c r="DS44" i="17"/>
  <c r="FK48" i="17"/>
  <c r="CL53" i="17"/>
  <c r="DN60" i="17"/>
  <c r="AS52" i="17"/>
  <c r="FT24" i="17"/>
  <c r="EF85" i="17"/>
  <c r="CQ25" i="17"/>
  <c r="FX34" i="17"/>
  <c r="EQ34" i="17"/>
  <c r="EH71" i="17"/>
  <c r="EY15" i="17"/>
  <c r="BW52" i="17"/>
  <c r="HS28" i="17"/>
  <c r="BD27" i="17"/>
  <c r="FH82" i="17"/>
  <c r="FD54" i="17"/>
  <c r="FX24" i="17"/>
  <c r="DB47" i="17"/>
  <c r="EQ69" i="17"/>
  <c r="BB32" i="17"/>
  <c r="DD77" i="17"/>
  <c r="BC51" i="17"/>
  <c r="EI16" i="17"/>
  <c r="CW66" i="17"/>
  <c r="CE73" i="17"/>
  <c r="CC72" i="17"/>
  <c r="AQ37" i="17"/>
  <c r="GE41" i="17"/>
  <c r="HF49" i="17"/>
  <c r="CP85" i="17"/>
  <c r="EK68" i="17"/>
  <c r="DB51" i="17"/>
  <c r="DR83" i="17"/>
  <c r="CJ65" i="17"/>
  <c r="FN51" i="17"/>
  <c r="CW83" i="17"/>
  <c r="BC76" i="17"/>
  <c r="DP50" i="17"/>
  <c r="DU27" i="17"/>
  <c r="CC32" i="17"/>
  <c r="CV30" i="17"/>
  <c r="EY24" i="17"/>
  <c r="DM53" i="17"/>
  <c r="HH14" i="17"/>
  <c r="BF37" i="17"/>
  <c r="CW73" i="17"/>
  <c r="DP8" i="17"/>
  <c r="FP43" i="17"/>
  <c r="GS56" i="17"/>
  <c r="GJ49" i="17"/>
  <c r="CY34" i="17"/>
  <c r="FQ51" i="17"/>
  <c r="CE48" i="17"/>
  <c r="CQ45" i="17"/>
  <c r="ER45" i="17"/>
  <c r="CI17" i="17"/>
  <c r="GA61" i="17"/>
  <c r="DS60" i="17"/>
  <c r="BD82" i="17"/>
  <c r="CF67" i="17"/>
  <c r="EZ51" i="17"/>
  <c r="FH29" i="17"/>
  <c r="CB30" i="17"/>
  <c r="HO49" i="17"/>
  <c r="CE54" i="17"/>
  <c r="AS23" i="17"/>
  <c r="GD19" i="17"/>
  <c r="AZ52" i="17"/>
  <c r="DJ31" i="17"/>
  <c r="DU26" i="17"/>
  <c r="GD43" i="17"/>
  <c r="AQ17" i="17"/>
  <c r="FX66" i="17"/>
  <c r="HW28" i="17"/>
  <c r="AW10" i="17"/>
  <c r="FQ29" i="17"/>
  <c r="EX39" i="17"/>
  <c r="EV72" i="17"/>
  <c r="EH65" i="17"/>
  <c r="FQ59" i="17"/>
  <c r="EB26" i="17"/>
  <c r="CQ22" i="17"/>
  <c r="FC16" i="17"/>
  <c r="DM19" i="17"/>
  <c r="EN22" i="17"/>
  <c r="BF38" i="17"/>
  <c r="CW26" i="17"/>
  <c r="CH31" i="17"/>
  <c r="AZ18" i="17"/>
  <c r="EF72" i="17"/>
  <c r="BF85" i="17"/>
  <c r="AV45" i="17"/>
  <c r="CE83" i="17"/>
  <c r="BU45" i="17"/>
  <c r="CX40" i="17"/>
  <c r="HQ56" i="17"/>
  <c r="EY10" i="17"/>
  <c r="BA73" i="17"/>
  <c r="CT15" i="17"/>
  <c r="EF19" i="17"/>
  <c r="EX69" i="17"/>
  <c r="DR33" i="17"/>
  <c r="FB40" i="17"/>
  <c r="AV75" i="17"/>
  <c r="CI61" i="17"/>
  <c r="AZ9" i="17"/>
  <c r="AZ36" i="17"/>
  <c r="FW20" i="17"/>
  <c r="AT85" i="17"/>
  <c r="DO25" i="17"/>
  <c r="FV65" i="17"/>
  <c r="AT78" i="17"/>
  <c r="DJ65" i="17"/>
  <c r="GC82" i="17"/>
  <c r="CZ26" i="17"/>
  <c r="BB25" i="17"/>
  <c r="DJ46" i="17"/>
  <c r="DU76" i="17"/>
  <c r="AS51" i="17"/>
  <c r="DW15" i="17"/>
  <c r="EY30" i="17"/>
  <c r="DR66" i="17"/>
  <c r="BV43" i="17"/>
  <c r="FG38" i="17"/>
  <c r="DC43" i="17"/>
  <c r="GH15" i="17"/>
  <c r="BF47" i="17"/>
  <c r="FS15" i="17"/>
  <c r="CB38" i="17"/>
  <c r="BB17" i="17"/>
  <c r="AQ50" i="17"/>
  <c r="CI29" i="17"/>
  <c r="GA75" i="17"/>
  <c r="EZ33" i="17"/>
  <c r="HH56" i="17"/>
  <c r="CE25" i="17"/>
  <c r="DH75" i="17"/>
  <c r="DC37" i="17"/>
  <c r="DB24" i="17"/>
  <c r="FT12" i="17"/>
  <c r="BD69" i="17"/>
  <c r="FJ36" i="17"/>
  <c r="ER53" i="17"/>
  <c r="CV75" i="17"/>
  <c r="FC85" i="17"/>
  <c r="HO42" i="17"/>
  <c r="FL40" i="17"/>
  <c r="EM66" i="17"/>
  <c r="CC71" i="17"/>
  <c r="AR22" i="17"/>
  <c r="CY30" i="17"/>
  <c r="CG84" i="17"/>
  <c r="CD12" i="17"/>
  <c r="DK43" i="17"/>
  <c r="DM32" i="17"/>
  <c r="DC23" i="17"/>
  <c r="FA79" i="17"/>
  <c r="FR8" i="17"/>
  <c r="AX52" i="17"/>
  <c r="FU81" i="17"/>
  <c r="FB54" i="17"/>
  <c r="DN18" i="17"/>
  <c r="DK79" i="17"/>
  <c r="DZ29" i="17"/>
  <c r="EH32" i="17"/>
  <c r="EC44" i="17"/>
  <c r="HW63" i="17"/>
  <c r="DU59" i="17"/>
  <c r="BA52" i="17"/>
  <c r="DV16" i="17"/>
  <c r="AW37" i="17"/>
  <c r="CS77" i="17"/>
  <c r="GA72" i="17"/>
  <c r="FQ81" i="17"/>
  <c r="EY61" i="17"/>
  <c r="AY84" i="17"/>
  <c r="AU78" i="17"/>
  <c r="EI66" i="17"/>
  <c r="AR54" i="17"/>
  <c r="FB36" i="17"/>
  <c r="CW52" i="17"/>
  <c r="EF38" i="17"/>
  <c r="FS19" i="17"/>
  <c r="GE67" i="17"/>
  <c r="FG46" i="17"/>
  <c r="AW36" i="17"/>
  <c r="FI22" i="17"/>
  <c r="BU30" i="17"/>
  <c r="BE47" i="17"/>
  <c r="BA27" i="17"/>
  <c r="BY61" i="17"/>
  <c r="FR26" i="17"/>
  <c r="CS71" i="17"/>
  <c r="DZ47" i="17"/>
  <c r="AS59" i="17"/>
  <c r="CS19" i="17"/>
  <c r="EX8" i="17"/>
  <c r="AV24" i="17"/>
  <c r="FA46" i="17"/>
  <c r="BE46" i="17"/>
  <c r="DC41" i="17"/>
  <c r="FP15" i="17"/>
  <c r="CT72" i="17"/>
  <c r="FF86" i="17"/>
  <c r="GY21" i="17"/>
  <c r="DM72" i="17"/>
  <c r="GC47" i="17"/>
  <c r="FZ18" i="17"/>
  <c r="BV26" i="17"/>
  <c r="FQ8" i="17"/>
  <c r="BH77" i="17"/>
  <c r="EQ81" i="17"/>
  <c r="FH18" i="17"/>
  <c r="AU73" i="17"/>
  <c r="CZ75" i="17"/>
  <c r="FD16" i="17"/>
  <c r="BE32" i="17"/>
  <c r="DF53" i="17"/>
  <c r="GF32" i="17"/>
  <c r="DO15" i="17"/>
  <c r="BX80" i="17"/>
  <c r="BZ72" i="17"/>
  <c r="FX16" i="17"/>
  <c r="DB86" i="17"/>
  <c r="DV43" i="17"/>
  <c r="CC18" i="17"/>
  <c r="DF83" i="17"/>
  <c r="CY44" i="17"/>
  <c r="DP29" i="17"/>
  <c r="DI83" i="17"/>
  <c r="GF78" i="17"/>
  <c r="DI54" i="17"/>
  <c r="FZ33" i="17"/>
  <c r="ER19" i="17"/>
  <c r="BA11" i="17"/>
  <c r="EN83" i="17"/>
  <c r="AR57" i="17"/>
  <c r="DW50" i="17"/>
  <c r="FU38" i="17"/>
  <c r="AX71" i="17"/>
  <c r="DH77" i="17"/>
  <c r="DO84" i="17"/>
  <c r="DZ24" i="17"/>
  <c r="BH65" i="17"/>
  <c r="FD44" i="17"/>
  <c r="AY58" i="17"/>
  <c r="BF50" i="17"/>
  <c r="GH82" i="17"/>
  <c r="GA44" i="17"/>
  <c r="AV47" i="17"/>
  <c r="EE54" i="17"/>
  <c r="DI75" i="17"/>
  <c r="EC78" i="17"/>
  <c r="DJ58" i="17"/>
  <c r="HG28" i="17"/>
  <c r="DI51" i="17"/>
  <c r="CY33" i="17"/>
  <c r="CW17" i="17"/>
  <c r="FZ48" i="17"/>
  <c r="GF76" i="17"/>
  <c r="DW67" i="17"/>
  <c r="BV68" i="17"/>
  <c r="FC33" i="17"/>
  <c r="DO43" i="17"/>
  <c r="FL77" i="17"/>
  <c r="DM26" i="17"/>
  <c r="BU31" i="17"/>
  <c r="CI12" i="17"/>
  <c r="FA22" i="17"/>
  <c r="FP68" i="17"/>
  <c r="DQ52" i="17"/>
  <c r="BZ83" i="17"/>
  <c r="FH15" i="17"/>
  <c r="EV29" i="17"/>
  <c r="FY33" i="17"/>
  <c r="AX45" i="17"/>
  <c r="DU77" i="17"/>
  <c r="FR81" i="17"/>
  <c r="ER82" i="17"/>
  <c r="GB69" i="17"/>
  <c r="ED54" i="17"/>
  <c r="DL51" i="17"/>
  <c r="FQ79" i="17"/>
  <c r="CZ46" i="17"/>
  <c r="EC39" i="17"/>
  <c r="EK57" i="17"/>
  <c r="CG43" i="17"/>
  <c r="GF25" i="17"/>
  <c r="AQ24" i="17"/>
  <c r="EV80" i="17"/>
  <c r="EO10" i="17"/>
  <c r="ER9" i="17"/>
  <c r="CW43" i="17"/>
  <c r="EK45" i="17"/>
  <c r="EV83" i="17"/>
  <c r="GU49" i="17"/>
  <c r="CI33" i="17"/>
  <c r="EJ25" i="17"/>
  <c r="CQ33" i="17"/>
  <c r="DH31" i="17"/>
  <c r="CH85" i="17"/>
  <c r="FQ32" i="17"/>
  <c r="CS79" i="17"/>
  <c r="FD65" i="17"/>
  <c r="AS36" i="17"/>
  <c r="FS84" i="17"/>
  <c r="DB29" i="17"/>
  <c r="EG70" i="17"/>
  <c r="BY22" i="17"/>
  <c r="FJ31" i="17"/>
  <c r="CV73" i="17"/>
  <c r="FU75" i="17"/>
  <c r="FL26" i="17"/>
  <c r="EV76" i="17"/>
  <c r="CG46" i="17"/>
  <c r="DS18" i="17"/>
  <c r="EQ76" i="17"/>
  <c r="FH24" i="17"/>
  <c r="FK86" i="17"/>
  <c r="FP74" i="17"/>
  <c r="FN29" i="17"/>
  <c r="BE31" i="17"/>
  <c r="EN31" i="17"/>
  <c r="BF73" i="17"/>
  <c r="BV33" i="17"/>
  <c r="HI14" i="17"/>
  <c r="CR68" i="17"/>
  <c r="FK25" i="17"/>
  <c r="FP60" i="17"/>
  <c r="ER46" i="17"/>
  <c r="FA74" i="17"/>
  <c r="EC70" i="17"/>
  <c r="EE16" i="17"/>
  <c r="GZ7" i="17"/>
  <c r="FH80" i="17"/>
  <c r="CO33" i="17"/>
  <c r="CB41" i="17"/>
  <c r="FH26" i="17"/>
  <c r="AY12" i="17"/>
  <c r="EN79" i="17"/>
  <c r="AS25" i="17"/>
  <c r="GA50" i="17"/>
  <c r="CE12" i="17"/>
  <c r="AV51" i="17"/>
  <c r="DI71" i="17"/>
  <c r="BX8" i="17"/>
  <c r="CW23" i="17"/>
  <c r="CI86" i="17"/>
  <c r="FG44" i="17"/>
  <c r="CV39" i="17"/>
  <c r="CL55" i="17"/>
  <c r="GC11" i="17"/>
  <c r="CW38" i="17"/>
  <c r="GB43" i="17"/>
  <c r="FK51" i="17"/>
  <c r="CL59" i="17"/>
  <c r="DB17" i="17"/>
  <c r="BE60" i="17"/>
  <c r="DJ78" i="17"/>
  <c r="GH44" i="17"/>
  <c r="BF82" i="17"/>
  <c r="EM78" i="17"/>
  <c r="GE15" i="17"/>
  <c r="EP15" i="17"/>
  <c r="FN59" i="17"/>
  <c r="FD79" i="17"/>
  <c r="EC66" i="17"/>
  <c r="EQ17" i="17"/>
  <c r="ED65" i="17"/>
  <c r="DB79" i="17"/>
  <c r="DQ30" i="17"/>
  <c r="EC85" i="17"/>
  <c r="DM78" i="17"/>
  <c r="EH69" i="17"/>
  <c r="GD29" i="17"/>
  <c r="EG16" i="17"/>
  <c r="DN31" i="17"/>
  <c r="FG48" i="17"/>
  <c r="FL70" i="17"/>
  <c r="CI31" i="17"/>
  <c r="DC24" i="17"/>
  <c r="EF76" i="17"/>
  <c r="CB40" i="17"/>
  <c r="FU70" i="17"/>
  <c r="FZ32" i="17"/>
  <c r="CO22" i="17"/>
  <c r="EJ60" i="17"/>
  <c r="CY32" i="17"/>
  <c r="EW82" i="17"/>
  <c r="GS63" i="17"/>
  <c r="AY69" i="17"/>
  <c r="HK63" i="17"/>
  <c r="EC52" i="17"/>
  <c r="DR11" i="17"/>
  <c r="DS17" i="17"/>
  <c r="DB34" i="17"/>
  <c r="FX33" i="17"/>
  <c r="DM25" i="17"/>
  <c r="CW18" i="17"/>
  <c r="DD75" i="17"/>
  <c r="DI29" i="17"/>
  <c r="DS75" i="17"/>
  <c r="FR82" i="17"/>
  <c r="DB68" i="17"/>
  <c r="FB43" i="17"/>
  <c r="CZ54" i="17"/>
  <c r="CR11" i="17"/>
  <c r="FN19" i="17"/>
  <c r="DC79" i="17"/>
  <c r="CV37" i="17"/>
  <c r="EW17" i="17"/>
  <c r="CV27" i="17"/>
  <c r="DD57" i="17"/>
  <c r="CD59" i="17"/>
  <c r="CX79" i="17"/>
  <c r="CI70" i="17"/>
  <c r="CR43" i="17"/>
  <c r="GT49" i="17"/>
  <c r="GA81" i="17"/>
  <c r="BW57" i="17"/>
  <c r="FV10" i="17"/>
  <c r="EQ12" i="17"/>
  <c r="FE9" i="17"/>
  <c r="EO70" i="17"/>
  <c r="DQ79" i="17"/>
  <c r="BU43" i="17"/>
  <c r="DU22" i="17"/>
  <c r="FF9" i="17"/>
  <c r="AU12" i="17"/>
  <c r="FT17" i="17"/>
  <c r="DR53" i="17"/>
  <c r="DP18" i="17"/>
  <c r="DF54" i="17"/>
  <c r="BE23" i="17"/>
  <c r="FR84" i="17"/>
  <c r="CI73" i="17"/>
  <c r="EH58" i="17"/>
  <c r="FZ64" i="17"/>
  <c r="BH23" i="17"/>
  <c r="FZ11" i="17"/>
  <c r="BV57" i="17"/>
  <c r="FA51" i="17"/>
  <c r="FE37" i="17"/>
  <c r="EP23" i="17"/>
  <c r="AY18" i="17"/>
  <c r="DM23" i="17"/>
  <c r="DH23" i="17"/>
  <c r="DF31" i="17"/>
  <c r="BW65" i="17"/>
  <c r="CZ17" i="17"/>
  <c r="EM16" i="17"/>
  <c r="BV17" i="17"/>
  <c r="DQ82" i="17"/>
  <c r="FR54" i="17"/>
  <c r="BF9" i="17"/>
  <c r="CH37" i="17"/>
  <c r="BX26" i="17"/>
  <c r="DN70" i="17"/>
  <c r="AU72" i="17"/>
  <c r="DJ17" i="17"/>
  <c r="FF61" i="17"/>
  <c r="EL31" i="17"/>
  <c r="CO12" i="17"/>
  <c r="ET24" i="17"/>
  <c r="W13" i="24" a="1"/>
  <c r="EF16" i="17"/>
  <c r="CB74" i="17"/>
  <c r="CG71" i="17"/>
  <c r="FS26" i="17"/>
  <c r="CX50" i="17"/>
  <c r="EI64" i="17"/>
  <c r="FD64" i="17"/>
  <c r="DF66" i="17"/>
  <c r="EC71" i="17"/>
  <c r="FJ72" i="17"/>
  <c r="BV46" i="17"/>
  <c r="DO16" i="17"/>
  <c r="EY85" i="17"/>
  <c r="DT81" i="17"/>
  <c r="FH8" i="17"/>
  <c r="GE30" i="17"/>
  <c r="GV56" i="17"/>
  <c r="EO24" i="17"/>
  <c r="AX24" i="17"/>
  <c r="GF43" i="17"/>
  <c r="FY53" i="17"/>
  <c r="BU18" i="17"/>
  <c r="CT61" i="17"/>
  <c r="GB17" i="17"/>
  <c r="AU19" i="17"/>
  <c r="AW84" i="17"/>
  <c r="GH22" i="17"/>
  <c r="ED85" i="17"/>
  <c r="CZ67" i="17"/>
  <c r="DA73" i="17"/>
  <c r="BZ46" i="17"/>
  <c r="AS75" i="17"/>
  <c r="CG29" i="17"/>
  <c r="AT44" i="17"/>
  <c r="DD79" i="17"/>
  <c r="FR50" i="17"/>
  <c r="FH51" i="17"/>
  <c r="BE15" i="17"/>
  <c r="AZ17" i="17"/>
  <c r="FG10" i="17"/>
  <c r="EN71" i="17"/>
  <c r="FT51" i="17"/>
  <c r="DN73" i="17"/>
  <c r="FC74" i="17"/>
  <c r="DM40" i="17"/>
  <c r="ET17" i="17"/>
  <c r="FS24" i="17"/>
  <c r="DQ58" i="17"/>
  <c r="BZ45" i="17"/>
  <c r="GC67" i="17"/>
  <c r="FB24" i="17"/>
  <c r="BH74" i="17"/>
  <c r="FT22" i="17"/>
  <c r="DK39" i="17"/>
  <c r="FH10" i="17"/>
  <c r="DP85" i="17"/>
  <c r="FN38" i="17"/>
  <c r="FI45" i="17"/>
  <c r="FJ30" i="17"/>
  <c r="EP45" i="17"/>
  <c r="BC31" i="17"/>
  <c r="FI36" i="17"/>
  <c r="FU22" i="17"/>
  <c r="GZ63" i="17"/>
  <c r="EK66" i="17"/>
  <c r="CQ80" i="17"/>
  <c r="FQ64" i="17"/>
  <c r="CX73" i="17"/>
  <c r="EJ78" i="17"/>
  <c r="EB46" i="17"/>
  <c r="GH40" i="17"/>
  <c r="EO29" i="17"/>
  <c r="DR69" i="17"/>
  <c r="EK83" i="17"/>
  <c r="HO21" i="17"/>
  <c r="CX80" i="17"/>
  <c r="AZ38" i="17"/>
  <c r="GB58" i="17"/>
  <c r="AV36" i="17"/>
  <c r="DA25" i="17"/>
  <c r="DB84" i="17"/>
  <c r="DI78" i="17"/>
  <c r="GD17" i="17"/>
  <c r="EL45" i="17"/>
  <c r="FP70" i="17"/>
  <c r="FS65" i="17"/>
  <c r="BH81" i="17"/>
  <c r="FW57" i="17"/>
  <c r="FE59" i="17"/>
  <c r="DC83" i="17"/>
  <c r="EP16" i="17"/>
  <c r="DZ17" i="17"/>
  <c r="CS10" i="17"/>
  <c r="AW65" i="17"/>
  <c r="EC11" i="17"/>
  <c r="CC43" i="17"/>
  <c r="FE50" i="17"/>
  <c r="BA60" i="17"/>
  <c r="GE9" i="17"/>
  <c r="EB66" i="17"/>
  <c r="DD30" i="17"/>
  <c r="BA26" i="17"/>
  <c r="GB77" i="17"/>
  <c r="DC60" i="17"/>
  <c r="FC79" i="17"/>
  <c r="GM7" i="17"/>
  <c r="GF64" i="17"/>
  <c r="FD32" i="17"/>
  <c r="FC66" i="17"/>
  <c r="AU39" i="17"/>
  <c r="EO76" i="17"/>
  <c r="FS29" i="17"/>
  <c r="DR29" i="17"/>
  <c r="ED22" i="17"/>
  <c r="FT10" i="17"/>
  <c r="DD85" i="17"/>
  <c r="CZ53" i="17"/>
  <c r="DH25" i="17"/>
  <c r="ER69" i="17"/>
  <c r="DA30" i="17"/>
  <c r="CA44" i="17"/>
  <c r="CI52" i="17"/>
  <c r="EY81" i="17"/>
  <c r="FB45" i="17"/>
  <c r="EF36" i="17"/>
  <c r="EV31" i="17"/>
  <c r="DX36" i="17"/>
  <c r="CA53" i="17"/>
  <c r="FF29" i="17"/>
  <c r="ET10" i="17"/>
  <c r="BH26" i="17"/>
  <c r="CR32" i="17"/>
  <c r="DD17" i="17"/>
  <c r="DF8" i="17"/>
  <c r="FA47" i="17"/>
  <c r="CG12" i="17"/>
  <c r="FV22" i="17"/>
  <c r="FB38" i="17"/>
  <c r="AV10" i="17"/>
  <c r="CO37" i="17"/>
  <c r="FH22" i="17"/>
  <c r="DJ54" i="17"/>
  <c r="EZ9" i="17"/>
  <c r="BC58" i="17"/>
  <c r="DI24" i="17"/>
  <c r="DN65" i="17"/>
  <c r="BH19" i="17"/>
  <c r="FJ33" i="17"/>
  <c r="EY26" i="17"/>
  <c r="HL28" i="17"/>
  <c r="EE67" i="17"/>
  <c r="BE54" i="17"/>
  <c r="FH33" i="17"/>
  <c r="CG57" i="17"/>
  <c r="HM28" i="17"/>
  <c r="CF58" i="17"/>
  <c r="DD53" i="17"/>
  <c r="EI65" i="17"/>
  <c r="GU7" i="17"/>
  <c r="FF22" i="17"/>
  <c r="EB32" i="17"/>
  <c r="GD31" i="17"/>
  <c r="BW58" i="17"/>
  <c r="ET79" i="17"/>
  <c r="EO51" i="17"/>
  <c r="FL37" i="17"/>
  <c r="DO58" i="17"/>
  <c r="EZ23" i="17"/>
  <c r="FV24" i="17"/>
  <c r="FG39" i="17"/>
  <c r="GA65" i="17"/>
  <c r="EQ66" i="17"/>
  <c r="AZ60" i="17"/>
  <c r="DQ45" i="17"/>
  <c r="GA66" i="17"/>
  <c r="HU56" i="17"/>
  <c r="CR46" i="17"/>
  <c r="EV77" i="17"/>
  <c r="CF8" i="17"/>
  <c r="CA17" i="17"/>
  <c r="FG11" i="17"/>
  <c r="ET44" i="17"/>
  <c r="CD41" i="17"/>
  <c r="EQ45" i="17"/>
  <c r="BE18" i="17"/>
  <c r="FF70" i="17"/>
  <c r="FJ80" i="17"/>
  <c r="BU23" i="17"/>
  <c r="EC10" i="17"/>
  <c r="CX24" i="17"/>
  <c r="FC10" i="17"/>
  <c r="FX47" i="17"/>
  <c r="GR21" i="17"/>
  <c r="DO64" i="17"/>
  <c r="FZ85" i="17"/>
  <c r="DR74" i="17"/>
  <c r="GA16" i="17"/>
  <c r="EL39" i="17"/>
  <c r="DM66" i="17"/>
  <c r="BZ40" i="17"/>
  <c r="BE41" i="17"/>
  <c r="GD66" i="17"/>
  <c r="DF43" i="17"/>
  <c r="CZ11" i="17"/>
  <c r="AZ71" i="17"/>
  <c r="DA50" i="17"/>
  <c r="BH30" i="17"/>
  <c r="GF16" i="17"/>
  <c r="FG73" i="17"/>
  <c r="EL25" i="17"/>
  <c r="FX19" i="17"/>
  <c r="BX53" i="17"/>
  <c r="FQ24" i="17"/>
  <c r="HG63" i="17"/>
  <c r="EZ15" i="17"/>
  <c r="AQ32" i="17"/>
  <c r="AR25" i="17"/>
  <c r="DC46" i="17"/>
  <c r="DX52" i="17"/>
  <c r="EY83" i="17"/>
  <c r="CA47" i="17"/>
  <c r="CU31" i="17"/>
  <c r="CD29" i="17"/>
  <c r="DU74" i="17"/>
  <c r="GH43" i="17"/>
  <c r="CP12" i="17"/>
  <c r="CB60" i="17"/>
  <c r="DL22" i="17"/>
  <c r="FK74" i="17"/>
  <c r="FG54" i="17"/>
  <c r="DN59" i="17"/>
  <c r="BF43" i="17"/>
  <c r="DP41" i="17"/>
  <c r="GE16" i="17"/>
  <c r="DK30" i="17"/>
  <c r="CR75" i="17"/>
  <c r="EL15" i="17"/>
  <c r="BD50" i="17"/>
  <c r="DT61" i="17"/>
  <c r="CJ47" i="17"/>
  <c r="FZ83" i="17"/>
  <c r="BC40" i="17"/>
  <c r="ER37" i="17"/>
  <c r="FT18" i="17"/>
  <c r="DC52" i="17"/>
  <c r="DB15" i="17"/>
  <c r="EF25" i="17"/>
  <c r="CB85" i="17"/>
  <c r="GD65" i="17"/>
  <c r="AU71" i="17"/>
  <c r="EM57" i="17"/>
  <c r="BU67" i="17"/>
  <c r="EL71" i="17"/>
  <c r="CD81" i="17"/>
  <c r="GD53" i="17"/>
  <c r="FQ22" i="17"/>
  <c r="GR7" i="17"/>
  <c r="GE39" i="17"/>
  <c r="CC77" i="17"/>
  <c r="DX22" i="17"/>
  <c r="EJ38" i="17"/>
  <c r="CD34" i="17"/>
  <c r="DW33" i="17"/>
  <c r="EC9" i="17"/>
  <c r="BW29" i="17"/>
  <c r="DD74" i="17"/>
  <c r="GC19" i="17"/>
  <c r="DT59" i="17"/>
  <c r="DQ29" i="17"/>
  <c r="CG51" i="17"/>
  <c r="DA70" i="17"/>
  <c r="FW52" i="17"/>
  <c r="DP45" i="17"/>
  <c r="FA44" i="17"/>
  <c r="AS80" i="17"/>
  <c r="FY36" i="17"/>
  <c r="CB19" i="17"/>
  <c r="FF16" i="17"/>
  <c r="EW74" i="17"/>
  <c r="FB29" i="17"/>
  <c r="FQ83" i="17"/>
  <c r="DH38" i="17"/>
  <c r="DN12" i="17"/>
  <c r="DV45" i="17"/>
  <c r="DM29" i="17"/>
  <c r="AP85" i="17"/>
  <c r="CV33" i="17"/>
  <c r="DW9" i="17"/>
  <c r="DL26" i="17"/>
  <c r="FE12" i="17"/>
  <c r="HQ42" i="17"/>
  <c r="FH39" i="17"/>
  <c r="FU66" i="17"/>
  <c r="DV51" i="17"/>
  <c r="CI37" i="17"/>
  <c r="EN65" i="17"/>
  <c r="FP12" i="17"/>
  <c r="FX36" i="17"/>
  <c r="ER30" i="17"/>
  <c r="CF37" i="17"/>
  <c r="CQ57" i="17"/>
  <c r="FU67" i="17"/>
  <c r="HR14" i="17"/>
  <c r="FC46" i="17"/>
  <c r="BB82" i="17"/>
  <c r="GF59" i="17"/>
  <c r="CX29" i="17"/>
  <c r="CV82" i="17"/>
  <c r="BD19" i="17"/>
  <c r="FR17" i="17"/>
  <c r="AS57" i="17"/>
  <c r="BY37" i="17"/>
  <c r="EQ75" i="17"/>
  <c r="GH84" i="17"/>
  <c r="BA34" i="17"/>
  <c r="ET18" i="17"/>
  <c r="GC74" i="17"/>
  <c r="CA31" i="17"/>
  <c r="DM70" i="17"/>
  <c r="DQ76" i="17"/>
  <c r="FD30" i="17"/>
  <c r="CV22" i="17"/>
  <c r="GB68" i="17"/>
  <c r="CA68" i="17"/>
  <c r="CE51" i="17"/>
  <c r="EZ76" i="17"/>
  <c r="DS68" i="17"/>
  <c r="HF56" i="17"/>
  <c r="DX30" i="17"/>
  <c r="CW19" i="17"/>
  <c r="EC59" i="17"/>
  <c r="BE20" i="17"/>
  <c r="BD30" i="17"/>
  <c r="BC26" i="17"/>
  <c r="DV86" i="17"/>
  <c r="BB36" i="17"/>
  <c r="BD70" i="17"/>
  <c r="AU53" i="17"/>
  <c r="BY8" i="17"/>
  <c r="FG61" i="17"/>
  <c r="BA43" i="17"/>
  <c r="EC53" i="17"/>
  <c r="DD40" i="17"/>
  <c r="FK8" i="17"/>
  <c r="AR37" i="17"/>
  <c r="DW23" i="17"/>
  <c r="EY29" i="17"/>
  <c r="BB57" i="17"/>
  <c r="EE39" i="17"/>
  <c r="FU76" i="17"/>
  <c r="GE47" i="17"/>
  <c r="BD75" i="17"/>
  <c r="CX45" i="17"/>
  <c r="GB11" i="17"/>
  <c r="EM26" i="17"/>
  <c r="FG36" i="17"/>
  <c r="FJ59" i="17"/>
  <c r="CB39" i="17"/>
  <c r="CU79" i="17"/>
  <c r="BD16" i="17"/>
  <c r="FZ69" i="17"/>
  <c r="FH55" i="17"/>
  <c r="DV33" i="17"/>
  <c r="GB76" i="17"/>
  <c r="BA79" i="17"/>
  <c r="HV14" i="17"/>
  <c r="BZ80" i="17"/>
  <c r="CE68" i="17"/>
  <c r="CR69" i="17"/>
  <c r="CI65" i="17"/>
  <c r="DT38" i="17"/>
  <c r="EV59" i="17"/>
  <c r="ED16" i="17"/>
  <c r="FC78" i="17"/>
  <c r="GD51" i="17"/>
  <c r="EQ60" i="17"/>
  <c r="CA59" i="17"/>
  <c r="EQ61" i="17"/>
  <c r="DO17" i="17"/>
  <c r="EZ11" i="17"/>
  <c r="EL73" i="17"/>
  <c r="AX33" i="17"/>
  <c r="HH49" i="17"/>
  <c r="DD23" i="17"/>
  <c r="DR73" i="17"/>
  <c r="DK52" i="17"/>
  <c r="FC45" i="17"/>
  <c r="CA70" i="17"/>
  <c r="CC8" i="17"/>
  <c r="DK12" i="17"/>
  <c r="CO30" i="17"/>
  <c r="EK17" i="17"/>
  <c r="EZ50" i="17"/>
  <c r="EX60" i="17"/>
  <c r="FF51" i="17"/>
  <c r="FS76" i="17"/>
  <c r="DM50" i="17"/>
  <c r="FV54" i="17"/>
  <c r="AQ10" i="17"/>
  <c r="DP9" i="17"/>
  <c r="FW70" i="17"/>
  <c r="EN37" i="17"/>
  <c r="FE58" i="17"/>
  <c r="EY46" i="17"/>
  <c r="DR72" i="17"/>
  <c r="HA21" i="17"/>
  <c r="DX44" i="17"/>
  <c r="FI65" i="17"/>
  <c r="DW46" i="17"/>
  <c r="CR76" i="17"/>
  <c r="CB77" i="17"/>
  <c r="DR65" i="17"/>
  <c r="DU84" i="17"/>
  <c r="BV9" i="17"/>
  <c r="FP47" i="17"/>
  <c r="AR64" i="17"/>
  <c r="DI47" i="17"/>
  <c r="EP41" i="17"/>
  <c r="DJ44" i="17"/>
  <c r="GU63" i="17"/>
  <c r="AY32" i="17"/>
  <c r="GN14" i="17"/>
  <c r="FY74" i="17"/>
  <c r="BH44" i="17"/>
  <c r="EK71" i="17"/>
  <c r="CO76" i="17"/>
  <c r="GT42" i="17"/>
  <c r="EL74" i="17"/>
  <c r="DV74" i="17"/>
  <c r="FA50" i="17"/>
  <c r="DP86" i="17"/>
  <c r="FE33" i="17"/>
  <c r="FA83" i="17"/>
  <c r="EJ58" i="17"/>
  <c r="AX26" i="17"/>
  <c r="DM45" i="17"/>
  <c r="GD82" i="17"/>
  <c r="CT38" i="17"/>
  <c r="EQ48" i="17"/>
  <c r="CP38" i="17"/>
  <c r="BD32" i="17"/>
  <c r="CZ22" i="17"/>
  <c r="ED47" i="17"/>
  <c r="AS16" i="17"/>
  <c r="CP81" i="17"/>
  <c r="CG60" i="17"/>
  <c r="FX71" i="17"/>
  <c r="BC57" i="17"/>
  <c r="EN84" i="17"/>
  <c r="EH84" i="17"/>
  <c r="AT67" i="17"/>
  <c r="CJ20" i="17"/>
  <c r="AQ33" i="17"/>
  <c r="BA57" i="17"/>
  <c r="EH83" i="17"/>
  <c r="AT29" i="17"/>
  <c r="FA43" i="17"/>
  <c r="EI83" i="17"/>
  <c r="CJ40" i="17"/>
  <c r="CF12" i="17"/>
  <c r="DS46" i="17"/>
  <c r="GH85" i="17"/>
  <c r="CT29" i="17"/>
  <c r="FK53" i="17"/>
  <c r="DF26" i="17"/>
  <c r="BZ12" i="17"/>
  <c r="FI52" i="17"/>
  <c r="CO60" i="17"/>
  <c r="EH10" i="17"/>
  <c r="EB80" i="17"/>
  <c r="FB85" i="17"/>
  <c r="FY78" i="17"/>
  <c r="CH53" i="17"/>
  <c r="ED26" i="17"/>
  <c r="FW61" i="17"/>
  <c r="CB10" i="17"/>
  <c r="AU64" i="17"/>
  <c r="CA19" i="17"/>
  <c r="CT10" i="17"/>
  <c r="BD23" i="17"/>
  <c r="FN53" i="17"/>
  <c r="EB70" i="17"/>
  <c r="AZ24" i="17"/>
  <c r="EO83" i="17"/>
  <c r="EI70" i="17"/>
  <c r="DJ18" i="17"/>
  <c r="EB44" i="17"/>
  <c r="EL8" i="17"/>
  <c r="EL2" i="17" s="1"/>
  <c r="AV66" i="17"/>
  <c r="CU43" i="17"/>
  <c r="HL56" i="17"/>
  <c r="CE39" i="17"/>
  <c r="FG81" i="17"/>
  <c r="AX18" i="17"/>
  <c r="FH47" i="17"/>
  <c r="DT32" i="17"/>
  <c r="FU25" i="17"/>
  <c r="CB66" i="17"/>
  <c r="CH44" i="17"/>
  <c r="EZ46" i="17"/>
  <c r="FU83" i="17"/>
  <c r="CD75" i="17"/>
  <c r="BX73" i="17"/>
  <c r="AR43" i="17"/>
  <c r="ED71" i="17"/>
  <c r="FC83" i="17"/>
  <c r="GC61" i="17"/>
  <c r="ED52" i="17"/>
  <c r="FJ79" i="17"/>
  <c r="EZ70" i="17"/>
  <c r="AX53" i="17"/>
  <c r="GC73" i="17"/>
  <c r="DH36" i="17"/>
  <c r="EO59" i="17"/>
  <c r="CW75" i="17"/>
  <c r="FQ66" i="17"/>
  <c r="FT60" i="17"/>
  <c r="DN57" i="17"/>
  <c r="AR79" i="17"/>
  <c r="DL16" i="17"/>
  <c r="FL75" i="17"/>
  <c r="FK38" i="17"/>
  <c r="HI49" i="17"/>
  <c r="DS82" i="17"/>
  <c r="EE80" i="17"/>
  <c r="CN82" i="17"/>
  <c r="DQ47" i="17"/>
  <c r="GH33" i="17"/>
  <c r="DM38" i="17"/>
  <c r="FP78" i="17"/>
  <c r="EM40" i="17"/>
  <c r="EM8" i="17"/>
  <c r="EM2" i="17" s="1"/>
  <c r="CY41" i="17"/>
  <c r="GP42" i="17"/>
  <c r="GC15" i="17"/>
  <c r="CT80" i="17"/>
  <c r="DT54" i="17"/>
  <c r="DZ43" i="17"/>
  <c r="DB46" i="17"/>
  <c r="DK17" i="17"/>
  <c r="CL52" i="17"/>
  <c r="GL28" i="17"/>
  <c r="BE50" i="17"/>
  <c r="DL31" i="17"/>
  <c r="CA24" i="17"/>
  <c r="FY70" i="17"/>
  <c r="CS36" i="17"/>
  <c r="DC58" i="17"/>
  <c r="DJ19" i="17"/>
  <c r="BH80" i="17"/>
  <c r="CA67" i="17"/>
  <c r="DP12" i="17"/>
  <c r="DZ46" i="17"/>
  <c r="EE10" i="17"/>
  <c r="FB26" i="17"/>
  <c r="AZ23" i="17"/>
  <c r="CQ47" i="17"/>
  <c r="EP24" i="17"/>
  <c r="ET72" i="17"/>
  <c r="GB29" i="17"/>
  <c r="FW64" i="17"/>
  <c r="FI40" i="17"/>
  <c r="DW85" i="17"/>
  <c r="CW61" i="17"/>
  <c r="AW38" i="17"/>
  <c r="FV67" i="17"/>
  <c r="CS24" i="17"/>
  <c r="CV79" i="17"/>
  <c r="EP71" i="17"/>
  <c r="BX23" i="17"/>
  <c r="ET22" i="17"/>
  <c r="GD32" i="17"/>
  <c r="FW39" i="17"/>
  <c r="CR65" i="17"/>
  <c r="CP8" i="17"/>
  <c r="GC70" i="17"/>
  <c r="FI46" i="17"/>
  <c r="DZ65" i="17"/>
  <c r="GF67" i="17"/>
  <c r="GF12" i="17"/>
  <c r="DK71" i="17"/>
  <c r="AT38" i="17"/>
  <c r="FD85" i="17"/>
  <c r="EF84" i="17"/>
  <c r="EK64" i="17"/>
  <c r="GR28" i="17"/>
  <c r="EX73" i="17"/>
  <c r="EY64" i="17"/>
  <c r="AU84" i="17"/>
  <c r="EJ54" i="17"/>
  <c r="EZ29" i="17"/>
  <c r="DQ26" i="17"/>
  <c r="FC37" i="17"/>
  <c r="AW11" i="17"/>
  <c r="DT37" i="17"/>
  <c r="BU19" i="17"/>
  <c r="CR29" i="17"/>
  <c r="ED79" i="17"/>
  <c r="BF41" i="17"/>
  <c r="CP52" i="17"/>
  <c r="DB40" i="17"/>
  <c r="EP66" i="17"/>
  <c r="GC51" i="17"/>
  <c r="AY51" i="17"/>
  <c r="FK75" i="17"/>
  <c r="FP81" i="17"/>
  <c r="CG68" i="17"/>
  <c r="DK81" i="17"/>
  <c r="BC37" i="17"/>
  <c r="DZ39" i="17"/>
  <c r="EX67" i="17"/>
  <c r="FY17" i="17"/>
  <c r="DS8" i="17"/>
  <c r="CO43" i="17"/>
  <c r="CP17" i="17"/>
  <c r="DU53" i="17"/>
  <c r="DB59" i="17"/>
  <c r="FT32" i="17"/>
  <c r="GJ35" i="17"/>
  <c r="FI9" i="17"/>
  <c r="EE24" i="17"/>
  <c r="DS51" i="17"/>
  <c r="CD31" i="17"/>
  <c r="AS85" i="17"/>
  <c r="FA32" i="17"/>
  <c r="BZ11" i="17"/>
  <c r="FF50" i="17"/>
  <c r="FZ36" i="17"/>
  <c r="BA61" i="17"/>
  <c r="BE65" i="17"/>
  <c r="AX20" i="17"/>
  <c r="DJ36" i="17"/>
  <c r="HS42" i="17"/>
  <c r="CJ71" i="17"/>
  <c r="CV29" i="17"/>
  <c r="CB82" i="17"/>
  <c r="CG81" i="17"/>
  <c r="CH78" i="17"/>
  <c r="DO32" i="17"/>
  <c r="AS19" i="17"/>
  <c r="CY71" i="17"/>
  <c r="GC65" i="17"/>
  <c r="DM57" i="17"/>
  <c r="DD18" i="17"/>
  <c r="CT50" i="17"/>
  <c r="DO31" i="17"/>
  <c r="DH40" i="17"/>
  <c r="DP73" i="17"/>
  <c r="GO14" i="17"/>
  <c r="FU17" i="17"/>
  <c r="GE57" i="17"/>
  <c r="AR83" i="17"/>
  <c r="DD46" i="17"/>
  <c r="DW75" i="17"/>
  <c r="DN47" i="17"/>
  <c r="EF75" i="17"/>
  <c r="AX25" i="17"/>
  <c r="EE61" i="17"/>
  <c r="EM47" i="17"/>
  <c r="CR39" i="17"/>
  <c r="CZ80" i="17"/>
  <c r="EH53" i="17"/>
  <c r="EN36" i="17"/>
  <c r="DK38" i="17"/>
  <c r="FJ44" i="17"/>
  <c r="CG53" i="17"/>
  <c r="EN8" i="17"/>
  <c r="EN2" i="17" s="1"/>
  <c r="BU84" i="17"/>
  <c r="DX79" i="17"/>
  <c r="BD39" i="17"/>
  <c r="CS78" i="17"/>
  <c r="CR67" i="17"/>
  <c r="ET83" i="17"/>
  <c r="FZ52" i="17"/>
  <c r="DC69" i="17"/>
  <c r="BA74" i="17"/>
  <c r="FQ84" i="17"/>
  <c r="DU32" i="17"/>
  <c r="ED37" i="17"/>
  <c r="FI86" i="17"/>
  <c r="DT15" i="17"/>
  <c r="CB37" i="17"/>
  <c r="BZ30" i="17"/>
  <c r="AQ79" i="17"/>
  <c r="CR31" i="17"/>
  <c r="DS73" i="17"/>
  <c r="AV23" i="17"/>
  <c r="FC86" i="17"/>
  <c r="EJ44" i="17"/>
  <c r="EO78" i="17"/>
  <c r="DR46" i="17"/>
  <c r="FQ17" i="17"/>
  <c r="ER73" i="17"/>
  <c r="DH26" i="17"/>
  <c r="EJ18" i="17"/>
  <c r="EI73" i="17"/>
  <c r="BH71" i="17"/>
  <c r="GB53" i="17"/>
  <c r="FE67" i="17"/>
  <c r="AT66" i="17"/>
  <c r="ED60" i="17"/>
  <c r="DL85" i="17"/>
  <c r="GH11" i="17"/>
  <c r="AS44" i="17"/>
  <c r="EG65" i="17"/>
  <c r="DC72" i="17"/>
  <c r="CS57" i="17"/>
  <c r="AV59" i="17"/>
  <c r="CU81" i="17"/>
  <c r="FW33" i="17"/>
  <c r="DC67" i="17"/>
  <c r="EN78" i="17"/>
  <c r="CI69" i="17"/>
  <c r="CR71" i="17"/>
  <c r="FL79" i="17"/>
  <c r="CE58" i="17"/>
  <c r="CL39" i="17"/>
  <c r="GR35" i="17"/>
  <c r="CV74" i="17"/>
  <c r="AU82" i="17"/>
  <c r="BW12" i="17"/>
  <c r="EK46" i="17"/>
  <c r="AY80" i="17"/>
  <c r="FR58" i="17"/>
  <c r="AY81" i="17"/>
  <c r="BC8" i="17"/>
  <c r="AX81" i="17"/>
  <c r="BF48" i="17"/>
  <c r="GN42" i="17"/>
  <c r="FS85" i="17"/>
  <c r="GO63" i="17"/>
  <c r="AV53" i="17"/>
  <c r="FV50" i="17"/>
  <c r="GF18" i="17"/>
  <c r="AT80" i="17"/>
  <c r="AU47" i="17"/>
  <c r="AY60" i="17"/>
  <c r="CZ72" i="17"/>
  <c r="AW9" i="17"/>
  <c r="FY20" i="17"/>
  <c r="AU25" i="17"/>
  <c r="DU85" i="17"/>
  <c r="BW76" i="17"/>
  <c r="GD74" i="17"/>
  <c r="DX8" i="17"/>
  <c r="DN32" i="17"/>
  <c r="DB81" i="17"/>
  <c r="AX12" i="17"/>
  <c r="EJ75" i="17"/>
  <c r="CS44" i="17"/>
  <c r="EZ67" i="17"/>
  <c r="BD10" i="17"/>
  <c r="GC78" i="17"/>
  <c r="AQ72" i="17"/>
  <c r="FI12" i="17"/>
  <c r="GC77" i="17"/>
  <c r="FF57" i="17"/>
  <c r="GB31" i="17"/>
  <c r="DO53" i="17"/>
  <c r="DQ10" i="17"/>
  <c r="DJ70" i="17"/>
  <c r="CE47" i="17"/>
  <c r="DH76" i="17"/>
  <c r="AS68" i="17"/>
  <c r="EQ80" i="17"/>
  <c r="EO30" i="17"/>
  <c r="FQ19" i="17"/>
  <c r="EI43" i="17"/>
  <c r="EN66" i="17"/>
  <c r="CU12" i="17"/>
  <c r="CV20" i="17"/>
  <c r="AX50" i="17"/>
  <c r="EQ50" i="17"/>
  <c r="CC59" i="17"/>
  <c r="AU50" i="17"/>
  <c r="EC24" i="17"/>
  <c r="FT85" i="17"/>
  <c r="GF83" i="17"/>
  <c r="GF47" i="17"/>
  <c r="DS53" i="17"/>
  <c r="DA27" i="17"/>
  <c r="GA18" i="17"/>
  <c r="CZ61" i="17"/>
  <c r="FS38" i="17"/>
  <c r="CX64" i="17"/>
  <c r="FZ20" i="17"/>
  <c r="AQ65" i="17"/>
  <c r="CX31" i="17"/>
  <c r="BY36" i="17"/>
  <c r="GE84" i="17"/>
  <c r="FU44" i="17"/>
  <c r="GF20" i="17"/>
  <c r="GD8" i="17"/>
  <c r="DC57" i="17"/>
  <c r="BX30" i="17"/>
  <c r="GH73" i="17"/>
  <c r="BF26" i="17"/>
  <c r="EQ79" i="17"/>
  <c r="BB73" i="17"/>
  <c r="FY23" i="17"/>
  <c r="FE20" i="17"/>
  <c r="FT71" i="17"/>
  <c r="BF77" i="17"/>
  <c r="DK15" i="17"/>
  <c r="DB48" i="17"/>
  <c r="EI76" i="17"/>
  <c r="FX38" i="17"/>
  <c r="CT18" i="17"/>
  <c r="FS80" i="17"/>
  <c r="FU18" i="17"/>
  <c r="EN19" i="17"/>
  <c r="FJ29" i="17"/>
  <c r="FF10" i="17"/>
  <c r="CB31" i="17"/>
  <c r="ED83" i="17"/>
  <c r="EW58" i="17"/>
  <c r="DR26" i="17"/>
  <c r="EL33" i="17"/>
  <c r="DJ38" i="17"/>
  <c r="GH80" i="17"/>
  <c r="AS32" i="17"/>
  <c r="CW51" i="17"/>
  <c r="FC47" i="17"/>
  <c r="EG31" i="17"/>
  <c r="DI85" i="17"/>
  <c r="FE22" i="17"/>
  <c r="EB76" i="17"/>
  <c r="EW31" i="17"/>
  <c r="CO70" i="17"/>
  <c r="DH44" i="17"/>
  <c r="AR61" i="17"/>
  <c r="FP33" i="17"/>
  <c r="GK7" i="17"/>
  <c r="CW59" i="17"/>
  <c r="EY76" i="17"/>
  <c r="AT71" i="17"/>
  <c r="BY31" i="17"/>
  <c r="EG81" i="17"/>
  <c r="AW85" i="17"/>
  <c r="GA46" i="17"/>
  <c r="DJ57" i="17"/>
  <c r="AZ26" i="17"/>
  <c r="EW10" i="17"/>
  <c r="FT57" i="17"/>
  <c r="AQ69" i="17"/>
  <c r="CS26" i="17"/>
  <c r="FT64" i="17"/>
  <c r="EE22" i="17"/>
  <c r="ED73" i="17"/>
  <c r="CW78" i="17"/>
  <c r="DF65" i="17"/>
  <c r="DN83" i="17"/>
  <c r="EK15" i="17"/>
  <c r="AS79" i="17"/>
  <c r="BW32" i="17"/>
  <c r="CX58" i="17"/>
  <c r="BV71" i="17"/>
  <c r="GD61" i="17"/>
  <c r="CS69" i="17"/>
  <c r="FF67" i="17"/>
  <c r="CC86" i="17"/>
  <c r="FW31" i="17"/>
  <c r="DL23" i="17"/>
  <c r="DJ23" i="17"/>
  <c r="CI58" i="17"/>
  <c r="GB67" i="17"/>
  <c r="AZ66" i="17"/>
  <c r="BH15" i="17"/>
  <c r="CT79" i="17"/>
  <c r="CR40" i="17"/>
  <c r="EH66" i="17"/>
  <c r="AS73" i="17"/>
  <c r="AS24" i="17"/>
  <c r="AY17" i="17"/>
  <c r="CV11" i="17"/>
  <c r="GD86" i="17"/>
  <c r="HJ14" i="17"/>
  <c r="CG38" i="17"/>
  <c r="BU22" i="17"/>
  <c r="DR54" i="17"/>
  <c r="FX74" i="17"/>
  <c r="AZ30" i="17"/>
  <c r="GC71" i="17"/>
  <c r="FC68" i="17"/>
  <c r="DO37" i="17"/>
  <c r="BU37" i="17"/>
  <c r="CS59" i="17"/>
  <c r="EG11" i="17"/>
  <c r="AT25" i="17"/>
  <c r="EW67" i="17"/>
  <c r="FK76" i="17"/>
  <c r="FW69" i="17"/>
  <c r="CV25" i="17"/>
  <c r="HO7" i="17"/>
  <c r="EI36" i="17"/>
  <c r="FD17" i="17"/>
  <c r="FS73" i="17"/>
  <c r="FN32" i="17"/>
  <c r="HV7" i="17"/>
  <c r="CG8" i="17"/>
  <c r="EV70" i="17"/>
  <c r="FV51" i="17"/>
  <c r="DS66" i="17"/>
  <c r="GJ28" i="17"/>
  <c r="FU16" i="17"/>
  <c r="FU72" i="17"/>
  <c r="BY76" i="17"/>
  <c r="BB10" i="17"/>
  <c r="GB33" i="17"/>
  <c r="DC33" i="17"/>
  <c r="CG65" i="17"/>
  <c r="AX58" i="17"/>
  <c r="FI50" i="17"/>
  <c r="FE74" i="17"/>
  <c r="DC47" i="17"/>
  <c r="FV66" i="17"/>
  <c r="DH45" i="17"/>
  <c r="CG73" i="17"/>
  <c r="BB31" i="17"/>
  <c r="BA71" i="17"/>
  <c r="AT12" i="17"/>
  <c r="EG58" i="17"/>
  <c r="EY82" i="17"/>
  <c r="EN24" i="17"/>
  <c r="GA24" i="17"/>
  <c r="EN53" i="17"/>
  <c r="BD24" i="17"/>
  <c r="EI69" i="17"/>
  <c r="FS10" i="17"/>
  <c r="GR63" i="17"/>
  <c r="DO67" i="17"/>
  <c r="DV23" i="17"/>
  <c r="DI57" i="17"/>
  <c r="EZ44" i="17"/>
  <c r="FR75" i="17"/>
  <c r="BT82" i="17"/>
  <c r="BX36" i="17"/>
  <c r="FL67" i="17"/>
  <c r="CQ9" i="17"/>
  <c r="DS24" i="17"/>
  <c r="FI60" i="17"/>
  <c r="CB83" i="17"/>
  <c r="DW74" i="17"/>
  <c r="FB64" i="17"/>
  <c r="EP10" i="17"/>
  <c r="DM52" i="17"/>
  <c r="DX60" i="17"/>
  <c r="FV81" i="17"/>
  <c r="CO75" i="17"/>
  <c r="FZ61" i="17"/>
  <c r="CE64" i="17"/>
  <c r="FX81" i="17"/>
  <c r="FJ10" i="17"/>
  <c r="FT29" i="17"/>
  <c r="DW61" i="17"/>
  <c r="DK83" i="17"/>
  <c r="BC33" i="17"/>
  <c r="BF74" i="17"/>
  <c r="EP54" i="17"/>
  <c r="GV28" i="17"/>
  <c r="GT56" i="17"/>
  <c r="CQ74" i="17"/>
  <c r="DR44" i="17"/>
  <c r="EL9" i="17"/>
  <c r="DA80" i="17"/>
  <c r="AT72" i="17"/>
  <c r="ER65" i="17"/>
  <c r="FX85" i="17"/>
  <c r="FL76" i="17"/>
  <c r="EY44" i="17"/>
  <c r="DP47" i="17"/>
  <c r="EK77" i="17"/>
  <c r="ER11" i="17"/>
  <c r="CN84" i="17"/>
  <c r="FF31" i="17"/>
  <c r="DJ47" i="17"/>
  <c r="DK16" i="17"/>
  <c r="CR59" i="17"/>
  <c r="BV16" i="17"/>
  <c r="FD26" i="17"/>
  <c r="AQ71" i="17"/>
  <c r="BA67" i="17"/>
  <c r="CV40" i="17"/>
  <c r="HG7" i="17"/>
  <c r="GB47" i="17"/>
  <c r="EP47" i="17"/>
  <c r="CS17" i="17"/>
  <c r="BU58" i="17"/>
  <c r="DO78" i="17"/>
  <c r="GB72" i="17"/>
  <c r="AW18" i="17"/>
  <c r="CU53" i="17"/>
  <c r="AX46" i="17"/>
  <c r="FA38" i="17"/>
  <c r="CW64" i="17"/>
  <c r="CQ29" i="17"/>
  <c r="CV46" i="17"/>
  <c r="EX43" i="17"/>
  <c r="EO41" i="17"/>
  <c r="EH82" i="17"/>
  <c r="EK52" i="17"/>
  <c r="GH47" i="17"/>
  <c r="FZ24" i="17"/>
  <c r="CJ23" i="17"/>
  <c r="DO10" i="17"/>
  <c r="HK42" i="17"/>
  <c r="BZ74" i="17"/>
  <c r="AW66" i="17"/>
  <c r="EW72" i="17"/>
  <c r="FE31" i="17"/>
  <c r="BC82" i="17"/>
  <c r="DQ80" i="17"/>
  <c r="CW65" i="17"/>
  <c r="BZ47" i="17"/>
  <c r="FA84" i="17"/>
  <c r="CF68" i="17"/>
  <c r="EO66" i="17"/>
  <c r="DC85" i="17"/>
  <c r="AQ57" i="17"/>
  <c r="FF54" i="17"/>
  <c r="FP8" i="17"/>
  <c r="BB18" i="17"/>
  <c r="BU68" i="17"/>
  <c r="BF83" i="17"/>
  <c r="EB59" i="17"/>
  <c r="EI12" i="17"/>
  <c r="DA71" i="17"/>
  <c r="EZ79" i="17"/>
  <c r="EP34" i="17"/>
  <c r="FU30" i="17"/>
  <c r="DK57" i="17"/>
  <c r="FU64" i="17"/>
  <c r="CQ64" i="17"/>
  <c r="DQ34" i="17"/>
  <c r="CU24" i="17"/>
  <c r="BA29" i="17"/>
  <c r="FS82" i="17"/>
  <c r="AR69" i="17"/>
  <c r="FR10" i="17"/>
  <c r="BD9" i="17"/>
  <c r="GE70" i="17"/>
  <c r="BE61" i="17"/>
  <c r="BU29" i="17"/>
  <c r="EV61" i="17"/>
  <c r="CP71" i="17"/>
  <c r="DP17" i="17"/>
  <c r="AV40" i="17"/>
  <c r="FY40" i="17"/>
  <c r="FW80" i="17"/>
  <c r="GB15" i="17"/>
  <c r="EC30" i="17"/>
  <c r="BX18" i="17"/>
  <c r="BC10" i="17"/>
  <c r="DM60" i="17"/>
  <c r="ET85" i="17"/>
  <c r="CH36" i="17"/>
  <c r="CB8" i="17"/>
  <c r="BV18" i="17"/>
  <c r="ET60" i="17"/>
  <c r="CS29" i="17"/>
  <c r="EJ52" i="17"/>
  <c r="DJ24" i="17"/>
  <c r="CV72" i="17"/>
  <c r="FY85" i="17"/>
  <c r="BY85" i="17"/>
  <c r="EH38" i="17"/>
  <c r="GD57" i="17"/>
  <c r="FS16" i="17"/>
  <c r="CC76" i="17"/>
  <c r="CJ61" i="17"/>
  <c r="BY23" i="17"/>
  <c r="DN23" i="17"/>
  <c r="DU57" i="17"/>
  <c r="CS23" i="17"/>
  <c r="BU64" i="17"/>
  <c r="DQ33" i="17"/>
  <c r="CW30" i="17"/>
  <c r="FE76" i="17"/>
  <c r="DZ59" i="17"/>
  <c r="DA75" i="17"/>
  <c r="EP36" i="17"/>
  <c r="AW16" i="17"/>
  <c r="CW16" i="17"/>
  <c r="DR79" i="17"/>
  <c r="FD19" i="17"/>
  <c r="FV23" i="17"/>
  <c r="CG44" i="17"/>
  <c r="FX53" i="17"/>
  <c r="HO28" i="17"/>
  <c r="CT30" i="17"/>
  <c r="DR86" i="17"/>
  <c r="AY70" i="17"/>
  <c r="CB11" i="17"/>
  <c r="ED69" i="17"/>
  <c r="BU25" i="17"/>
  <c r="DQ15" i="17"/>
  <c r="EL84" i="17"/>
  <c r="BB15" i="17"/>
  <c r="ER79" i="17"/>
  <c r="AS53" i="17"/>
  <c r="FT65" i="17"/>
  <c r="CQ17" i="17"/>
  <c r="DS27" i="17"/>
  <c r="GE77" i="17"/>
  <c r="EW45" i="17"/>
  <c r="EJ45" i="17"/>
  <c r="DH12" i="17"/>
  <c r="EV67" i="17"/>
  <c r="EW78" i="17"/>
  <c r="DL11" i="17"/>
  <c r="CU61" i="17"/>
  <c r="ER85" i="17"/>
  <c r="ET20" i="17"/>
  <c r="EJ65" i="17"/>
  <c r="CV12" i="17"/>
  <c r="EL66" i="17"/>
  <c r="CO31" i="17"/>
  <c r="GH8" i="17"/>
  <c r="FJ8" i="17"/>
  <c r="GK42" i="17"/>
  <c r="CX74" i="17"/>
  <c r="CZ51" i="17"/>
  <c r="DM22" i="17"/>
  <c r="EB64" i="17"/>
  <c r="EG15" i="17"/>
  <c r="DJ52" i="17"/>
  <c r="AX82" i="17"/>
  <c r="BH41" i="17"/>
  <c r="CJ58" i="17"/>
  <c r="DZ36" i="17"/>
  <c r="CP77" i="17"/>
  <c r="EK73" i="17"/>
  <c r="GB18" i="17"/>
  <c r="BZ15" i="17"/>
  <c r="GA78" i="17"/>
  <c r="AV43" i="17"/>
  <c r="AU44" i="17"/>
  <c r="FJ66" i="17"/>
  <c r="EM48" i="17"/>
  <c r="DA83" i="17"/>
  <c r="GH72" i="17"/>
  <c r="CX53" i="17"/>
  <c r="CI22" i="17"/>
  <c r="DD20" i="17"/>
  <c r="FF11" i="17"/>
  <c r="HG21" i="17"/>
  <c r="FH59" i="17"/>
  <c r="DU23" i="17"/>
  <c r="DC30" i="17"/>
  <c r="DZ37" i="17"/>
  <c r="FY10" i="17"/>
  <c r="AX78" i="17"/>
  <c r="EW40" i="17"/>
  <c r="GF74" i="17"/>
  <c r="CR9" i="17"/>
  <c r="DD31" i="17"/>
  <c r="FS81" i="17"/>
  <c r="CA29" i="17"/>
  <c r="BZ51" i="17"/>
  <c r="FS52" i="17"/>
  <c r="BU53" i="17"/>
  <c r="AS78" i="17"/>
  <c r="FI75" i="17"/>
  <c r="DS31" i="17"/>
  <c r="FU11" i="17"/>
  <c r="FD10" i="17"/>
  <c r="CF29" i="17"/>
  <c r="GB52" i="17"/>
  <c r="DU79" i="17"/>
  <c r="DZ10" i="17"/>
  <c r="AR33" i="17"/>
  <c r="FT74" i="17"/>
  <c r="DN61" i="17"/>
  <c r="EX84" i="17"/>
  <c r="EF71" i="17"/>
  <c r="DQ12" i="17"/>
  <c r="CL64" i="17"/>
  <c r="EL65" i="17"/>
  <c r="CZ76" i="17"/>
  <c r="FF39" i="17"/>
  <c r="EB9" i="17"/>
  <c r="DO11" i="17"/>
  <c r="ED38" i="17"/>
  <c r="EP39" i="17"/>
  <c r="CC33" i="17"/>
  <c r="FU33" i="17"/>
  <c r="CC17" i="17"/>
  <c r="FY12" i="17"/>
  <c r="CZ39" i="17"/>
  <c r="EP76" i="17"/>
  <c r="FS12" i="17"/>
  <c r="CO57" i="17"/>
  <c r="AR9" i="17"/>
  <c r="DC8" i="17"/>
  <c r="EX53" i="17"/>
  <c r="DA84" i="17"/>
  <c r="DC66" i="17"/>
  <c r="EF22" i="17"/>
  <c r="DS19" i="17"/>
  <c r="GF54" i="17"/>
  <c r="DV82" i="17"/>
  <c r="CB55" i="17"/>
  <c r="DC84" i="17"/>
  <c r="FW78" i="17"/>
  <c r="BZ61" i="17"/>
  <c r="BW11" i="17"/>
  <c r="FB66" i="17"/>
  <c r="CO23" i="17"/>
  <c r="CJ70" i="17"/>
  <c r="DQ46" i="17"/>
  <c r="FY39" i="17"/>
  <c r="DB50" i="17"/>
  <c r="CI47" i="17"/>
  <c r="CQ84" i="17"/>
  <c r="EH51" i="17"/>
  <c r="AV52" i="17"/>
  <c r="DS58" i="17"/>
  <c r="EX65" i="17"/>
  <c r="BC15" i="17"/>
  <c r="FQ46" i="17"/>
  <c r="GB84" i="17"/>
  <c r="EP81" i="17"/>
  <c r="FF25" i="17"/>
  <c r="CD8" i="17"/>
  <c r="FQ30" i="17"/>
  <c r="DP44" i="17"/>
  <c r="DC71" i="17"/>
  <c r="EV17" i="17"/>
  <c r="BH64" i="17"/>
  <c r="EW39" i="17"/>
  <c r="CX26" i="17"/>
  <c r="CL67" i="17"/>
  <c r="AX32" i="17"/>
  <c r="ER78" i="17"/>
  <c r="EP37" i="17"/>
  <c r="FA64" i="17"/>
  <c r="FT78" i="17"/>
  <c r="EJ20" i="17"/>
  <c r="CS68" i="17"/>
  <c r="CL74" i="17"/>
  <c r="CP67" i="17"/>
  <c r="GM35" i="17"/>
  <c r="CW85" i="17"/>
  <c r="FN39" i="17"/>
  <c r="EI53" i="17"/>
  <c r="DA38" i="17"/>
  <c r="CG61" i="17"/>
  <c r="DH10" i="17"/>
  <c r="EQ68" i="17"/>
  <c r="HW14" i="17"/>
  <c r="GB73" i="17"/>
  <c r="DQ83" i="17"/>
  <c r="FN58" i="17"/>
  <c r="GC72" i="17"/>
  <c r="FW8" i="17"/>
  <c r="AV30" i="17"/>
  <c r="CZ66" i="17"/>
  <c r="EP26" i="17"/>
  <c r="DK54" i="17"/>
  <c r="GP28" i="17"/>
  <c r="FC54" i="17"/>
  <c r="FJ47" i="17"/>
  <c r="DA74" i="17"/>
  <c r="DT24" i="17"/>
  <c r="FR16" i="17"/>
  <c r="FD40" i="17"/>
  <c r="FK85" i="17"/>
  <c r="DN30" i="17"/>
  <c r="FX31" i="17"/>
  <c r="FG64" i="17"/>
  <c r="FN8" i="17"/>
  <c r="FL69" i="17"/>
  <c r="FF40" i="17"/>
  <c r="EL22" i="17"/>
  <c r="FH77" i="17"/>
  <c r="CD22" i="17"/>
  <c r="AY53" i="17"/>
  <c r="BC79" i="17"/>
  <c r="DM80" i="17"/>
  <c r="DU45" i="17"/>
  <c r="CS30" i="17"/>
  <c r="AT19" i="17"/>
  <c r="FY61" i="17"/>
  <c r="EM70" i="17"/>
  <c r="FS45" i="17"/>
  <c r="BF53" i="17"/>
  <c r="DI30" i="17"/>
  <c r="AX85" i="17"/>
  <c r="FI25" i="17"/>
  <c r="DQ84" i="17"/>
  <c r="DO81" i="17"/>
  <c r="AT43" i="17"/>
  <c r="FR60" i="17"/>
  <c r="CS16" i="17"/>
  <c r="HL21" i="17"/>
  <c r="AR53" i="17"/>
  <c r="FN65" i="17"/>
  <c r="CY55" i="17"/>
  <c r="EQ78" i="17"/>
  <c r="EB15" i="17"/>
  <c r="CD82" i="17"/>
  <c r="DI61" i="17"/>
  <c r="DZ38" i="17"/>
  <c r="CQ59" i="17"/>
  <c r="CT83" i="17"/>
  <c r="CH15" i="17"/>
  <c r="AV82" i="17"/>
  <c r="CI18" i="17"/>
  <c r="CJ57" i="17"/>
  <c r="GD11" i="17"/>
  <c r="CA36" i="17"/>
  <c r="EC61" i="17"/>
  <c r="FE25" i="17"/>
  <c r="CP60" i="17"/>
  <c r="BF86" i="17"/>
  <c r="AT81" i="17"/>
  <c r="DR19" i="17"/>
  <c r="EV51" i="17"/>
  <c r="FY24" i="17"/>
  <c r="GD71" i="17"/>
  <c r="ED68" i="17"/>
  <c r="GE43" i="17"/>
  <c r="GE44" i="17"/>
  <c r="DH32" i="17"/>
  <c r="FX18" i="17"/>
  <c r="BU74" i="17"/>
  <c r="FP30" i="17"/>
  <c r="FI72" i="17"/>
  <c r="DV75" i="17"/>
  <c r="FV82" i="17"/>
  <c r="CH80" i="17"/>
  <c r="BX11" i="17"/>
  <c r="BY26" i="17"/>
  <c r="EV25" i="17"/>
  <c r="DI23" i="17"/>
  <c r="CA76" i="17"/>
  <c r="EB69" i="17"/>
  <c r="FA57" i="17"/>
  <c r="DN64" i="17"/>
  <c r="CJ74" i="17"/>
  <c r="BU12" i="17"/>
  <c r="GB48" i="17"/>
  <c r="HS35" i="17"/>
  <c r="CJ43" i="17"/>
  <c r="GF85" i="17"/>
  <c r="AS66" i="17"/>
  <c r="DA60" i="17"/>
  <c r="DV54" i="17"/>
  <c r="CU37" i="17"/>
  <c r="DO29" i="17"/>
  <c r="EY16" i="17"/>
  <c r="BF16" i="17"/>
  <c r="CZ82" i="17"/>
  <c r="DH50" i="17"/>
  <c r="HL63" i="17"/>
  <c r="DB22" i="17"/>
  <c r="HF21" i="17"/>
  <c r="EK33" i="17"/>
  <c r="CE40" i="17"/>
  <c r="AX55" i="17"/>
  <c r="CO24" i="17"/>
  <c r="FB22" i="17"/>
  <c r="AX34" i="17"/>
  <c r="CQ81" i="17"/>
  <c r="EX77" i="17"/>
  <c r="DC20" i="17"/>
  <c r="FZ39" i="17"/>
  <c r="CO32" i="17"/>
  <c r="GC44" i="17"/>
  <c r="AW83" i="17"/>
  <c r="AY29" i="17"/>
  <c r="ED75" i="17"/>
  <c r="DJ33" i="17"/>
  <c r="EH9" i="17"/>
  <c r="FT8" i="17"/>
  <c r="FK39" i="17"/>
  <c r="CP75" i="17"/>
  <c r="AX54" i="17"/>
  <c r="FV68" i="17"/>
  <c r="CC68" i="17"/>
  <c r="DH66" i="17"/>
  <c r="HT21" i="17"/>
  <c r="BZ68" i="17"/>
  <c r="DV61" i="17"/>
  <c r="BA82" i="17"/>
  <c r="FH48" i="17"/>
  <c r="EO47" i="17"/>
  <c r="EN16" i="17"/>
  <c r="FS36" i="17"/>
  <c r="FW19" i="17"/>
  <c r="FC82" i="17"/>
  <c r="EC68" i="17"/>
  <c r="EN44" i="17"/>
  <c r="DX76" i="17"/>
  <c r="EJ30" i="17"/>
  <c r="CB70" i="17"/>
  <c r="FE8" i="17"/>
  <c r="FV26" i="17"/>
  <c r="FK33" i="17"/>
  <c r="CP57" i="17"/>
  <c r="FB80" i="17"/>
  <c r="DV85" i="17"/>
  <c r="CV52" i="17"/>
  <c r="FJ65" i="17"/>
  <c r="BX76" i="17"/>
  <c r="GF65" i="17"/>
  <c r="DX17" i="17"/>
  <c r="ER64" i="17"/>
  <c r="FF65" i="17"/>
  <c r="EW38" i="17"/>
  <c r="AS69" i="17"/>
  <c r="AR82" i="17"/>
  <c r="DA76" i="17"/>
  <c r="BH84" i="17"/>
  <c r="DW69" i="17"/>
  <c r="EF74" i="17"/>
  <c r="DZ71" i="17"/>
  <c r="EB25" i="17"/>
  <c r="CE30" i="17"/>
  <c r="FP71" i="17"/>
  <c r="DP15" i="17"/>
  <c r="DN84" i="17"/>
  <c r="FE40" i="17"/>
  <c r="GB10" i="17"/>
  <c r="EQ36" i="17"/>
  <c r="DP52" i="17"/>
  <c r="DP57" i="17"/>
  <c r="FU12" i="17"/>
  <c r="AQ80" i="17"/>
  <c r="BZ9" i="17"/>
  <c r="EO77" i="17"/>
  <c r="EJ9" i="17"/>
  <c r="BF25" i="17"/>
  <c r="FC29" i="17"/>
  <c r="DU16" i="17"/>
  <c r="DM46" i="17"/>
  <c r="EQ44" i="17"/>
  <c r="HL49" i="17"/>
  <c r="GH18" i="17"/>
  <c r="FV78" i="17"/>
  <c r="DT12" i="17"/>
  <c r="EP78" i="17"/>
  <c r="EK40" i="17"/>
  <c r="DZ85" i="17"/>
  <c r="GH16" i="17"/>
  <c r="EV23" i="17"/>
  <c r="DI52" i="17"/>
  <c r="FV73" i="17"/>
  <c r="EM15" i="17"/>
  <c r="EY71" i="17"/>
  <c r="BF34" i="17"/>
  <c r="DF79" i="17"/>
  <c r="GE45" i="17"/>
  <c r="CD70" i="17"/>
  <c r="CP36" i="17"/>
  <c r="DZ77" i="17"/>
  <c r="DZ78" i="17"/>
  <c r="FS57" i="17"/>
  <c r="CQ60" i="17"/>
  <c r="GA84" i="17"/>
  <c r="CV67" i="17"/>
  <c r="CH40" i="17"/>
  <c r="EJ17" i="17"/>
  <c r="BV75" i="17"/>
  <c r="EV75" i="17"/>
  <c r="BY59" i="17"/>
  <c r="CL18" i="17"/>
  <c r="FU69" i="17"/>
  <c r="DI67" i="17"/>
  <c r="FQ72" i="17"/>
  <c r="FN36" i="17"/>
  <c r="DK73" i="17"/>
  <c r="GF53" i="17"/>
  <c r="CI40" i="17"/>
  <c r="FQ78" i="17"/>
  <c r="FP75" i="17"/>
  <c r="HN28" i="17"/>
  <c r="DA23" i="17"/>
  <c r="AS40" i="17"/>
  <c r="ET30" i="17"/>
  <c r="HU63" i="17"/>
  <c r="CB71" i="17"/>
  <c r="FX22" i="17"/>
  <c r="FK73" i="17"/>
  <c r="BC64" i="17"/>
  <c r="EJ26" i="17"/>
  <c r="CJ37" i="17"/>
  <c r="EZ85" i="17"/>
  <c r="GB32" i="17"/>
  <c r="AT46" i="17"/>
  <c r="HK21" i="17"/>
  <c r="DA8" i="17"/>
  <c r="FK18" i="17"/>
  <c r="CV53" i="17"/>
  <c r="CH16" i="17"/>
  <c r="FK45" i="17"/>
  <c r="EF9" i="17"/>
  <c r="CU78" i="17"/>
  <c r="BX31" i="17"/>
  <c r="DF80" i="17"/>
  <c r="AR52" i="17"/>
  <c r="GT7" i="17"/>
  <c r="CY18" i="17"/>
  <c r="EI15" i="17"/>
  <c r="CD9" i="17"/>
  <c r="DV12" i="17"/>
  <c r="FI79" i="17"/>
  <c r="FZ60" i="17"/>
  <c r="EV53" i="17"/>
  <c r="BU32" i="17"/>
  <c r="CD37" i="17"/>
  <c r="HV63" i="17"/>
  <c r="EH80" i="17"/>
  <c r="AS30" i="17"/>
  <c r="BU39" i="17"/>
  <c r="EM31" i="17"/>
  <c r="BB41" i="17"/>
  <c r="BY29" i="17"/>
  <c r="FL38" i="17"/>
  <c r="EC32" i="17"/>
  <c r="GE81" i="17"/>
  <c r="EJ22" i="17"/>
  <c r="BH59" i="17"/>
  <c r="DZ15" i="17"/>
  <c r="CL51" i="17"/>
  <c r="DH24" i="17"/>
  <c r="EE47" i="17"/>
  <c r="ET8" i="17"/>
  <c r="FE36" i="17"/>
  <c r="CY80" i="17"/>
  <c r="EX36" i="17"/>
  <c r="DS86" i="17"/>
  <c r="AU9" i="17"/>
  <c r="CF61" i="17"/>
  <c r="AT64" i="17"/>
  <c r="GF73" i="17"/>
  <c r="CO82" i="17"/>
  <c r="EZ65" i="17"/>
  <c r="EZ84" i="17"/>
  <c r="FI11" i="17"/>
  <c r="CS37" i="17"/>
  <c r="BV70" i="17"/>
  <c r="CI26" i="17"/>
  <c r="CQ75" i="17"/>
  <c r="DS84" i="17"/>
  <c r="HR56" i="17"/>
  <c r="DM82" i="17"/>
  <c r="AU8" i="17"/>
  <c r="CW58" i="17"/>
  <c r="CJ77" i="17"/>
  <c r="DR9" i="17"/>
  <c r="EF73" i="17"/>
  <c r="ET66" i="17"/>
  <c r="GH71" i="17"/>
  <c r="FQ11" i="17"/>
  <c r="FJ22" i="17"/>
  <c r="CC60" i="17"/>
  <c r="GC86" i="17"/>
  <c r="CT8" i="17"/>
  <c r="DX65" i="17"/>
  <c r="GH83" i="17"/>
  <c r="EK80" i="17"/>
  <c r="DO19" i="17"/>
  <c r="CQ54" i="17"/>
  <c r="EM29" i="17"/>
  <c r="CL45" i="17"/>
  <c r="EX70" i="17"/>
  <c r="GA45" i="17"/>
  <c r="HI28" i="17"/>
  <c r="CC11" i="17"/>
  <c r="CL15" i="17"/>
  <c r="FX12" i="17"/>
  <c r="CI50" i="17"/>
  <c r="DD22" i="17"/>
  <c r="FT11" i="17"/>
  <c r="FC15" i="17"/>
  <c r="FT36" i="17"/>
  <c r="AU33" i="17"/>
  <c r="AV81" i="17"/>
  <c r="AT45" i="17"/>
  <c r="BW39" i="17"/>
  <c r="DD81" i="17"/>
  <c r="GW21" i="17"/>
  <c r="GA54" i="17"/>
  <c r="DX38" i="17"/>
  <c r="DH22" i="17"/>
  <c r="ER68" i="17"/>
  <c r="FZ79" i="17"/>
  <c r="BC45" i="17"/>
  <c r="FZ58" i="17"/>
  <c r="FV9" i="17"/>
  <c r="AR29" i="17"/>
  <c r="EY33" i="17"/>
  <c r="AW73" i="17"/>
  <c r="DJ30" i="17"/>
  <c r="CB68" i="17"/>
  <c r="FL74" i="17"/>
  <c r="EV30" i="17"/>
  <c r="FX10" i="17"/>
  <c r="AX83" i="17"/>
  <c r="CJ25" i="17"/>
  <c r="CU47" i="17"/>
  <c r="FA36" i="17"/>
  <c r="FK23" i="17"/>
  <c r="EZ47" i="17"/>
  <c r="FZ71" i="17"/>
  <c r="GV14" i="17"/>
  <c r="DA40" i="17"/>
  <c r="DC40" i="17"/>
  <c r="DP66" i="17"/>
  <c r="GQ35" i="17"/>
  <c r="FP61" i="17"/>
  <c r="DQ11" i="17"/>
  <c r="EK50" i="17"/>
  <c r="CU22" i="17"/>
  <c r="CQ8" i="17"/>
  <c r="EZ16" i="17"/>
  <c r="GH64" i="17"/>
  <c r="GB38" i="17"/>
  <c r="DW80" i="17"/>
  <c r="GE37" i="17"/>
  <c r="DF74" i="17"/>
  <c r="BC86" i="17"/>
  <c r="FK59" i="17"/>
  <c r="EB40" i="17"/>
  <c r="CX66" i="17"/>
  <c r="AU26" i="17"/>
  <c r="AU37" i="17"/>
  <c r="BH54" i="17"/>
  <c r="DH47" i="17"/>
  <c r="V8" i="24"/>
  <c r="EJ8" i="17"/>
  <c r="EJ2" i="17" s="1"/>
  <c r="EI71" i="17"/>
  <c r="BA22" i="17"/>
  <c r="FF71" i="17"/>
  <c r="AS10" i="17"/>
  <c r="FK64" i="17"/>
  <c r="DX67" i="17"/>
  <c r="CH17" i="17"/>
  <c r="EV65" i="17"/>
  <c r="GD41" i="17"/>
  <c r="GZ14" i="17"/>
  <c r="CJ86" i="17"/>
  <c r="EG24" i="17"/>
  <c r="CL25" i="17"/>
  <c r="CC52" i="17"/>
  <c r="CH86" i="17"/>
  <c r="AZ37" i="17"/>
  <c r="DV53" i="17"/>
  <c r="FC57" i="17"/>
  <c r="CB25" i="17"/>
  <c r="BV23" i="17"/>
  <c r="FP22" i="17"/>
  <c r="BF18" i="17"/>
  <c r="FL71" i="17"/>
  <c r="EF33" i="17"/>
  <c r="EC23" i="17"/>
  <c r="CE67" i="17"/>
  <c r="DP70" i="17"/>
  <c r="DM64" i="17"/>
  <c r="DW30" i="17"/>
  <c r="DH61" i="17"/>
  <c r="BF10" i="17"/>
  <c r="DW43" i="17"/>
  <c r="FZ78" i="17"/>
  <c r="EY17" i="17"/>
  <c r="BX43" i="17"/>
  <c r="EQ30" i="17"/>
  <c r="CV68" i="17"/>
  <c r="GZ28" i="17"/>
  <c r="DD38" i="17"/>
  <c r="EC40" i="17"/>
  <c r="GY28" i="17"/>
  <c r="AZ83" i="17"/>
  <c r="FZ38" i="17"/>
  <c r="GX28" i="17"/>
  <c r="FT75" i="17"/>
  <c r="EW59" i="17"/>
  <c r="FH50" i="17"/>
  <c r="EW57" i="17"/>
  <c r="DH30" i="17"/>
  <c r="AY22" i="17"/>
  <c r="BW10" i="17"/>
  <c r="DW81" i="17"/>
  <c r="BU9" i="17"/>
  <c r="FY50" i="17"/>
  <c r="CL69" i="17"/>
  <c r="FX51" i="17"/>
  <c r="DV31" i="17"/>
  <c r="FF38" i="17"/>
  <c r="EC29" i="17"/>
  <c r="DQ78" i="17"/>
  <c r="CZ32" i="17"/>
  <c r="EQ71" i="17"/>
  <c r="EQ77" i="17"/>
  <c r="EI40" i="17"/>
  <c r="AU30" i="17"/>
  <c r="EI39" i="17"/>
  <c r="BF31" i="17"/>
  <c r="CQ24" i="17"/>
  <c r="FH76" i="17"/>
  <c r="BU57" i="17"/>
  <c r="DQ64" i="17"/>
  <c r="GF24" i="17"/>
  <c r="EH11" i="17"/>
  <c r="EM37" i="17"/>
  <c r="DP75" i="17"/>
  <c r="BB27" i="17"/>
  <c r="AW77" i="17"/>
  <c r="DX16" i="17"/>
  <c r="BF65" i="17"/>
  <c r="EI77" i="17"/>
  <c r="GC18" i="17"/>
  <c r="FB10" i="17"/>
  <c r="DQ51" i="17"/>
  <c r="FE15" i="17"/>
  <c r="CG18" i="17"/>
  <c r="CQ72" i="17"/>
  <c r="CZ45" i="17"/>
  <c r="DA29" i="17"/>
  <c r="AS12" i="17"/>
  <c r="BW81" i="17"/>
  <c r="ER8" i="17"/>
  <c r="ER2" i="17" s="1"/>
  <c r="GB74" i="17"/>
  <c r="EY19" i="17"/>
  <c r="DD11" i="17"/>
  <c r="DT26" i="17"/>
  <c r="CP74" i="17"/>
  <c r="FH66" i="17"/>
  <c r="DJ68" i="17"/>
  <c r="CS65" i="17"/>
  <c r="CS50" i="17"/>
  <c r="EW50" i="17"/>
  <c r="DU10" i="17"/>
  <c r="CB32" i="17"/>
  <c r="CL70" i="17"/>
  <c r="AZ75" i="17"/>
  <c r="GA8" i="17"/>
  <c r="GX7" i="17"/>
  <c r="ET70" i="17"/>
  <c r="BV22" i="17"/>
  <c r="BE64" i="17"/>
  <c r="CB54" i="17"/>
  <c r="FB81" i="17"/>
  <c r="BA18" i="17"/>
  <c r="CJ54" i="17"/>
  <c r="CH77" i="17"/>
  <c r="GB45" i="17"/>
  <c r="FK52" i="17"/>
  <c r="CH60" i="17"/>
  <c r="CU77" i="17"/>
  <c r="FN86" i="17"/>
  <c r="CY59" i="17"/>
  <c r="EK20" i="17"/>
  <c r="CY67" i="17"/>
  <c r="FF17" i="17"/>
  <c r="FI18" i="17"/>
  <c r="DZ19" i="17"/>
  <c r="GC64" i="17"/>
  <c r="BX57" i="17"/>
  <c r="AW8" i="17"/>
  <c r="FF60" i="17"/>
  <c r="AV85" i="17"/>
  <c r="GB24" i="17"/>
  <c r="GE55" i="17"/>
  <c r="CJ78" i="17"/>
  <c r="FE69" i="17"/>
  <c r="CL41" i="17"/>
  <c r="BZ19" i="17"/>
  <c r="FV85" i="17"/>
  <c r="FW66" i="17"/>
  <c r="CS45" i="17"/>
  <c r="ER58" i="17"/>
  <c r="CW39" i="17"/>
  <c r="DZ51" i="17"/>
  <c r="BU72" i="17"/>
  <c r="FE29" i="17"/>
  <c r="DO72" i="17"/>
  <c r="BA19" i="17"/>
  <c r="AU81" i="17"/>
  <c r="FJ68" i="17"/>
  <c r="ER18" i="17"/>
  <c r="FE60" i="17"/>
  <c r="CJ41" i="17"/>
  <c r="BH46" i="17"/>
  <c r="FR43" i="17"/>
  <c r="ER75" i="17"/>
  <c r="FB84" i="17"/>
  <c r="DA82" i="17"/>
  <c r="CP33" i="17"/>
  <c r="EP44" i="17"/>
  <c r="FY41" i="17"/>
  <c r="FA77" i="17"/>
  <c r="DA22" i="17"/>
  <c r="AR50" i="17"/>
  <c r="FQ26" i="17"/>
  <c r="EP79" i="17"/>
  <c r="CU9" i="17"/>
  <c r="FR66" i="17"/>
  <c r="DF73" i="17"/>
  <c r="CH19" i="17"/>
  <c r="FT33" i="17"/>
  <c r="FR71" i="17"/>
  <c r="CX11" i="17"/>
  <c r="CF15" i="17"/>
  <c r="FN69" i="17"/>
  <c r="DU43" i="17"/>
  <c r="EJ19" i="17"/>
  <c r="GC58" i="17"/>
  <c r="FJ54" i="17"/>
  <c r="ED23" i="17"/>
  <c r="AY44" i="17"/>
  <c r="FP83" i="17"/>
  <c r="DA17" i="17"/>
  <c r="FP24" i="17"/>
  <c r="EX37" i="17"/>
  <c r="BZ71" i="17"/>
  <c r="AU43" i="17"/>
  <c r="CQ71" i="17"/>
  <c r="CP61" i="17"/>
  <c r="DK23" i="17"/>
  <c r="CV44" i="17"/>
  <c r="FD25" i="17"/>
  <c r="GH81" i="17"/>
  <c r="EO17" i="17"/>
  <c r="FY11" i="17"/>
  <c r="GY7" i="17"/>
  <c r="EZ8" i="17"/>
  <c r="AR8" i="17"/>
  <c r="CS51" i="17"/>
  <c r="EE74" i="17"/>
  <c r="GB25" i="17"/>
  <c r="EG79" i="17"/>
  <c r="AZ46" i="17"/>
  <c r="BZ66" i="17"/>
  <c r="EQ43" i="17"/>
  <c r="EC38" i="17"/>
  <c r="EG72" i="17"/>
  <c r="EH67" i="17"/>
  <c r="GF44" i="17"/>
  <c r="FU45" i="17"/>
  <c r="CO67" i="17"/>
  <c r="CS25" i="17"/>
  <c r="FA71" i="17"/>
  <c r="EM82" i="17"/>
  <c r="BX54" i="17"/>
  <c r="CR80" i="17"/>
  <c r="GA9" i="17"/>
  <c r="CW24" i="17"/>
  <c r="GH50" i="17"/>
  <c r="BD18" i="17"/>
  <c r="FX72" i="17"/>
  <c r="CA10" i="17"/>
  <c r="FQ61" i="17"/>
  <c r="FG67" i="17"/>
  <c r="CO66" i="17"/>
  <c r="BC71" i="17"/>
  <c r="FN52" i="17"/>
  <c r="EB52" i="17"/>
  <c r="FX52" i="17"/>
  <c r="DP51" i="17"/>
  <c r="CP73" i="17"/>
  <c r="EN76" i="17"/>
  <c r="CY11" i="17"/>
  <c r="FQ9" i="17"/>
  <c r="GH68" i="17"/>
  <c r="DQ41" i="17"/>
  <c r="FU73" i="17"/>
  <c r="FI39" i="17"/>
  <c r="FL50" i="17"/>
  <c r="EZ36" i="17"/>
  <c r="EE50" i="17"/>
  <c r="FF77" i="17"/>
  <c r="FD82" i="17"/>
  <c r="BZ31" i="17"/>
  <c r="EB65" i="17"/>
  <c r="AX72" i="17"/>
  <c r="DF33" i="17"/>
  <c r="BY70" i="17"/>
  <c r="CX46" i="17"/>
  <c r="EM54" i="17"/>
  <c r="CT12" i="17"/>
  <c r="DK64" i="17"/>
  <c r="V12" i="24"/>
  <c r="CU72" i="17"/>
  <c r="CW27" i="17"/>
  <c r="EO61" i="17"/>
  <c r="AR78" i="17"/>
  <c r="CE70" i="17"/>
  <c r="CJ39" i="17"/>
  <c r="FH32" i="17"/>
  <c r="FC80" i="17"/>
  <c r="BX82" i="17"/>
  <c r="ET64" i="17"/>
  <c r="CL12" i="17"/>
  <c r="CL38" i="17"/>
  <c r="FR57" i="17"/>
  <c r="EJ68" i="17"/>
  <c r="FA75" i="17"/>
  <c r="CX25" i="17"/>
  <c r="FF37" i="17"/>
  <c r="EL51" i="17"/>
  <c r="DC26" i="17"/>
  <c r="DS9" i="17"/>
  <c r="DP38" i="17"/>
  <c r="DH80" i="17"/>
  <c r="CF60" i="17"/>
  <c r="DF85" i="17"/>
  <c r="FK60" i="17"/>
  <c r="EF23" i="17"/>
  <c r="FA54" i="17"/>
  <c r="ER59" i="17"/>
  <c r="DI37" i="17"/>
  <c r="DW86" i="17"/>
  <c r="DS80" i="17"/>
  <c r="EX58" i="17"/>
  <c r="GD24" i="17"/>
  <c r="BV38" i="17"/>
  <c r="FN22" i="17"/>
  <c r="EW84" i="17"/>
  <c r="CG50" i="17"/>
  <c r="AW23" i="17"/>
  <c r="EN9" i="17"/>
  <c r="CJ50" i="17"/>
  <c r="CG86" i="17"/>
  <c r="DW84" i="17"/>
  <c r="DM79" i="17"/>
  <c r="CW67" i="17"/>
  <c r="BX46" i="17"/>
  <c r="HJ21" i="17"/>
  <c r="CJ66" i="17"/>
  <c r="EO45" i="17"/>
  <c r="BW46" i="17"/>
  <c r="CR17" i="17"/>
  <c r="AW52" i="17"/>
  <c r="HF14" i="17"/>
  <c r="CO18" i="17"/>
  <c r="DH19" i="17"/>
  <c r="FQ40" i="17"/>
  <c r="DW77" i="17"/>
  <c r="BV51" i="17"/>
  <c r="FD45" i="17"/>
  <c r="GF11" i="17"/>
  <c r="AZ82" i="17"/>
  <c r="EN32" i="17"/>
  <c r="GQ56" i="17"/>
  <c r="HI42" i="17"/>
  <c r="FE10" i="17"/>
  <c r="FG80" i="17"/>
  <c r="AQ81" i="17"/>
  <c r="HR35" i="17"/>
  <c r="EX46" i="17"/>
  <c r="CB47" i="17"/>
  <c r="FP18" i="17"/>
  <c r="BD85" i="17"/>
  <c r="EB45" i="17"/>
  <c r="DQ31" i="17"/>
  <c r="DU33" i="17"/>
  <c r="DJ39" i="17"/>
  <c r="FP72" i="17"/>
  <c r="EK39" i="17"/>
  <c r="CP22" i="17"/>
  <c r="GU21" i="17"/>
  <c r="FV57" i="17"/>
  <c r="EW33" i="17"/>
  <c r="DF32" i="17"/>
  <c r="FP54" i="17"/>
  <c r="CC41" i="17"/>
  <c r="BV64" i="17"/>
  <c r="CP69" i="17"/>
  <c r="FR73" i="17"/>
  <c r="DT31" i="17"/>
  <c r="GF52" i="17"/>
  <c r="EE64" i="17"/>
  <c r="FT72" i="17"/>
  <c r="BD84" i="17"/>
  <c r="EK19" i="17"/>
  <c r="BH36" i="17"/>
  <c r="GA77" i="17"/>
  <c r="BX78" i="17"/>
  <c r="CY78" i="17"/>
  <c r="GA69" i="17"/>
  <c r="EN51" i="17"/>
  <c r="DM68" i="17"/>
  <c r="DV26" i="17"/>
  <c r="CR52" i="17"/>
  <c r="CP46" i="17"/>
  <c r="EZ57" i="17"/>
  <c r="CH11" i="17"/>
  <c r="DZ26" i="17"/>
  <c r="EW26" i="17"/>
  <c r="EW61" i="17"/>
  <c r="ET26" i="17"/>
  <c r="CV83" i="17"/>
  <c r="CQ12" i="17"/>
  <c r="EY31" i="17"/>
  <c r="DZ64" i="17"/>
  <c r="AW43" i="17"/>
  <c r="BH43" i="17"/>
  <c r="FG25" i="17"/>
  <c r="EY9" i="17"/>
  <c r="GK56" i="17"/>
  <c r="EE85" i="17"/>
  <c r="DD37" i="17"/>
  <c r="CE75" i="17"/>
  <c r="EO55" i="17"/>
  <c r="BW8" i="17"/>
  <c r="DA46" i="17"/>
  <c r="BA30" i="17"/>
  <c r="EY72" i="17"/>
  <c r="CH82" i="17"/>
  <c r="CZ12" i="17"/>
  <c r="EL83" i="17"/>
  <c r="DF64" i="17"/>
  <c r="DU83" i="17"/>
  <c r="AW51" i="17"/>
  <c r="CX27" i="17"/>
  <c r="FK46" i="17"/>
  <c r="FB70" i="17"/>
  <c r="CP72" i="17"/>
  <c r="DP64" i="17"/>
  <c r="DR80" i="17"/>
  <c r="AU80" i="17"/>
  <c r="DS77" i="17"/>
  <c r="BZ65" i="17"/>
  <c r="DU80" i="17"/>
  <c r="DM10" i="17"/>
  <c r="BU65" i="17"/>
  <c r="ED81" i="17"/>
  <c r="DB37" i="17"/>
  <c r="FU82" i="17"/>
  <c r="ET54" i="17"/>
  <c r="CA81" i="17"/>
  <c r="DW16" i="17"/>
  <c r="GE8" i="17"/>
  <c r="FR59" i="17"/>
  <c r="BC24" i="17"/>
  <c r="GD72" i="17"/>
  <c r="HR21" i="17"/>
  <c r="DV37" i="17"/>
  <c r="FR79" i="17"/>
  <c r="GA34" i="17"/>
  <c r="FW54" i="17"/>
  <c r="CZ83" i="17"/>
  <c r="CP31" i="17"/>
  <c r="DA18" i="17"/>
  <c r="FF23" i="17"/>
  <c r="CP45" i="17"/>
  <c r="CC57" i="17"/>
  <c r="BE29" i="17"/>
  <c r="BA10" i="17"/>
  <c r="FI44" i="17"/>
  <c r="AX9" i="17"/>
  <c r="CX30" i="17"/>
  <c r="FC77" i="17"/>
  <c r="DS33" i="17"/>
  <c r="DD58" i="17"/>
  <c r="DT16" i="17"/>
  <c r="FN85" i="17"/>
  <c r="AV37" i="17"/>
  <c r="BE75" i="17"/>
  <c r="DW36" i="17"/>
  <c r="CB36" i="17"/>
  <c r="FC9" i="17"/>
  <c r="AT69" i="17"/>
  <c r="AX48" i="17"/>
  <c r="ER54" i="17"/>
  <c r="FK30" i="17"/>
  <c r="DO69" i="17"/>
  <c r="EM67" i="17"/>
  <c r="DH79" i="17"/>
  <c r="BH53" i="17"/>
  <c r="AQ53" i="17"/>
  <c r="CH12" i="17"/>
  <c r="CD80" i="17"/>
  <c r="BH48" i="17"/>
  <c r="EH43" i="17"/>
  <c r="CC61" i="17"/>
  <c r="CF46" i="17"/>
  <c r="EB78" i="17"/>
  <c r="EI86" i="17"/>
  <c r="DK76" i="17"/>
  <c r="FU59" i="17"/>
  <c r="EY45" i="17"/>
  <c r="EC15" i="17"/>
  <c r="EZ78" i="17"/>
  <c r="W15" i="24" a="1"/>
  <c r="FW84" i="17"/>
  <c r="DL71" i="17"/>
  <c r="AZ69" i="17"/>
  <c r="EG22" i="17"/>
  <c r="AV77" i="17"/>
  <c r="DD68" i="17"/>
  <c r="CP16" i="17"/>
  <c r="FP66" i="17"/>
  <c r="AZ80" i="17"/>
  <c r="CE41" i="17"/>
  <c r="CJ31" i="17"/>
  <c r="ET50" i="17"/>
  <c r="FW32" i="17"/>
  <c r="DN8" i="17"/>
  <c r="EI52" i="17"/>
  <c r="DP61" i="17"/>
  <c r="DD72" i="17"/>
  <c r="EE40" i="17"/>
  <c r="FD20" i="17"/>
  <c r="CT70" i="17"/>
  <c r="DH8" i="17"/>
  <c r="FG9" i="17"/>
  <c r="GA10" i="17"/>
  <c r="EV38" i="17"/>
  <c r="BX12" i="17"/>
  <c r="CH24" i="17"/>
  <c r="DO23" i="17"/>
  <c r="FW77" i="17"/>
  <c r="CF47" i="17"/>
  <c r="CY75" i="17"/>
  <c r="CH48" i="17"/>
  <c r="AR38" i="17"/>
  <c r="DB74" i="17"/>
  <c r="DL64" i="17"/>
  <c r="EI22" i="17"/>
  <c r="FG45" i="17"/>
  <c r="EN29" i="17"/>
  <c r="CF31" i="17"/>
  <c r="AX44" i="17"/>
  <c r="FJ39" i="17"/>
  <c r="HU14" i="17"/>
  <c r="CG70" i="17"/>
  <c r="BY82" i="17"/>
  <c r="EG82" i="17"/>
  <c r="CD44" i="17"/>
  <c r="DO36" i="17"/>
  <c r="DQ57" i="17"/>
  <c r="CE61" i="17"/>
  <c r="EF58" i="17"/>
  <c r="AU52" i="17"/>
  <c r="AV84" i="17"/>
  <c r="CW31" i="17"/>
  <c r="AX66" i="17"/>
  <c r="CL26" i="17"/>
  <c r="BC65" i="17"/>
  <c r="EE66" i="17"/>
  <c r="GH26" i="17"/>
  <c r="DN80" i="17"/>
  <c r="EK85" i="17"/>
  <c r="AX84" i="17"/>
  <c r="EX76" i="17"/>
  <c r="FG43" i="17"/>
  <c r="GH29" i="17"/>
  <c r="FR52" i="17"/>
  <c r="EJ46" i="17"/>
  <c r="FJ75" i="17"/>
  <c r="CC15" i="17"/>
  <c r="CH84" i="17"/>
  <c r="GB26" i="17"/>
  <c r="CX54" i="17"/>
  <c r="FP50" i="17"/>
  <c r="CJ34" i="17"/>
  <c r="AW59" i="17"/>
  <c r="FJ16" i="17"/>
  <c r="DS15" i="17"/>
  <c r="DR25" i="17"/>
  <c r="DA24" i="17"/>
  <c r="DO18" i="17"/>
  <c r="FL84" i="17"/>
  <c r="DK46" i="17"/>
  <c r="GB79" i="17"/>
  <c r="GE24" i="17"/>
  <c r="EV69" i="17"/>
  <c r="FX30" i="17"/>
  <c r="BB65" i="17"/>
  <c r="AT18" i="17"/>
  <c r="BC53" i="17"/>
  <c r="FW22" i="17"/>
  <c r="EE43" i="17"/>
  <c r="FA17" i="17"/>
  <c r="FJ61" i="17"/>
  <c r="GO56" i="17"/>
  <c r="AT9" i="17"/>
  <c r="ER24" i="17"/>
  <c r="AZ8" i="17"/>
  <c r="FY77" i="17"/>
  <c r="DK26" i="17"/>
  <c r="ED53" i="17"/>
  <c r="FG17" i="17"/>
  <c r="EY50" i="17"/>
  <c r="EH46" i="17"/>
  <c r="EC75" i="17"/>
  <c r="DL75" i="17"/>
  <c r="AT39" i="17"/>
  <c r="DL32" i="17"/>
  <c r="FX29" i="17"/>
  <c r="DM75" i="17"/>
  <c r="GE69" i="17"/>
  <c r="DF34" i="17"/>
  <c r="FW79" i="17"/>
  <c r="FE43" i="17"/>
  <c r="EN70" i="17"/>
  <c r="DA31" i="17"/>
  <c r="EM84" i="17"/>
  <c r="DQ70" i="17"/>
  <c r="DF45" i="17"/>
  <c r="DV34" i="17"/>
  <c r="FC84" i="17"/>
  <c r="CO46" i="17"/>
  <c r="FE30" i="17"/>
  <c r="EF60" i="17"/>
  <c r="FW68" i="17"/>
  <c r="BA50" i="17"/>
  <c r="EL16" i="17"/>
  <c r="BY44" i="17"/>
  <c r="EY59" i="17"/>
  <c r="CR37" i="17"/>
  <c r="FT37" i="17"/>
  <c r="GB8" i="17"/>
  <c r="AT15" i="17"/>
  <c r="EF79" i="17"/>
  <c r="FK24" i="17"/>
  <c r="AX77" i="17"/>
  <c r="CA82" i="17"/>
  <c r="FX64" i="17"/>
  <c r="FV77" i="17"/>
  <c r="BX81" i="17"/>
  <c r="CO38" i="17"/>
  <c r="CF70" i="17"/>
  <c r="EQ37" i="17"/>
  <c r="DS47" i="17"/>
  <c r="CJ10" i="17"/>
  <c r="CL8" i="17"/>
  <c r="DM83" i="17"/>
  <c r="ET11" i="17"/>
  <c r="FF46" i="17"/>
  <c r="DZ67" i="17"/>
  <c r="DU44" i="17"/>
  <c r="EI61" i="17"/>
  <c r="GC23" i="17"/>
  <c r="EP25" i="17"/>
  <c r="DT36" i="17"/>
  <c r="CI34" i="17"/>
  <c r="CF44" i="17"/>
  <c r="BE48" i="17"/>
  <c r="DR50" i="17"/>
  <c r="EG23" i="17"/>
  <c r="CE60" i="17"/>
  <c r="GD79" i="17"/>
  <c r="EW23" i="17"/>
  <c r="GB22" i="17"/>
  <c r="DF68" i="17"/>
  <c r="FN78" i="17"/>
  <c r="GQ14" i="17"/>
  <c r="FF33" i="17"/>
  <c r="EE60" i="17"/>
  <c r="GE61" i="17"/>
  <c r="FN64" i="17"/>
  <c r="AP83" i="17"/>
  <c r="DZ32" i="17"/>
  <c r="CE17" i="17"/>
  <c r="EO12" i="17"/>
  <c r="DQ23" i="17"/>
  <c r="CV85" i="17"/>
  <c r="CA26" i="17"/>
  <c r="ED10" i="17"/>
  <c r="BH75" i="17"/>
  <c r="CU52" i="17"/>
  <c r="EI45" i="17"/>
  <c r="GX49" i="17"/>
  <c r="FA52" i="17"/>
  <c r="BZ67" i="17"/>
  <c r="CU85" i="17"/>
  <c r="BA37" i="17"/>
  <c r="GD44" i="17"/>
  <c r="CG77" i="17"/>
  <c r="EG68" i="17"/>
  <c r="FC60" i="17"/>
  <c r="CP53" i="17"/>
  <c r="EZ22" i="17"/>
  <c r="GR14" i="17"/>
  <c r="H83" i="17" l="1" a="1"/>
  <c r="H83" i="17" s="1"/>
  <c r="I83" i="17" a="1"/>
  <c r="I83" i="17" s="1"/>
  <c r="L83" i="17" a="1"/>
  <c r="L83" i="17" s="1"/>
  <c r="O83" i="17" a="1"/>
  <c r="O83" i="17" s="1"/>
  <c r="N83" i="17" a="1"/>
  <c r="N83" i="17" s="1"/>
  <c r="M83" i="17" a="1"/>
  <c r="M83" i="17" s="1"/>
  <c r="Q83" i="17" a="1"/>
  <c r="Q83" i="17" s="1"/>
  <c r="E83" i="17"/>
  <c r="K83" i="17" a="1"/>
  <c r="K83" i="17" s="1"/>
  <c r="P83" i="17" a="1"/>
  <c r="P83" i="17" s="1"/>
  <c r="J83" i="17" a="1"/>
  <c r="J83" i="17" s="1"/>
  <c r="AA69" i="17"/>
  <c r="AB50" i="17"/>
  <c r="AA38" i="17"/>
  <c r="X8" i="17"/>
  <c r="AB66" i="17"/>
  <c r="W15" i="24"/>
  <c r="Z86" i="17"/>
  <c r="Z78" i="17"/>
  <c r="I53" i="17" a="1"/>
  <c r="I53" i="17" s="1"/>
  <c r="O53" i="17" a="1"/>
  <c r="O53" i="17" s="1"/>
  <c r="Q53" i="17" a="1"/>
  <c r="Q53" i="17" s="1"/>
  <c r="P53" i="17" a="1"/>
  <c r="P53" i="17" s="1"/>
  <c r="E53" i="17"/>
  <c r="H53" i="17" a="1"/>
  <c r="H53" i="17" s="1"/>
  <c r="J53" i="17" a="1"/>
  <c r="J53" i="17" s="1"/>
  <c r="N53" i="17" a="1"/>
  <c r="N53" i="17" s="1"/>
  <c r="L53" i="17" a="1"/>
  <c r="L53" i="17" s="1"/>
  <c r="K53" i="17" a="1"/>
  <c r="K53" i="17" s="1"/>
  <c r="M53" i="17" a="1"/>
  <c r="M53" i="17" s="1"/>
  <c r="X79" i="17"/>
  <c r="Q48" i="17" a="1"/>
  <c r="Q48" i="17" s="1"/>
  <c r="K48" i="17" a="1"/>
  <c r="K48" i="17" s="1"/>
  <c r="I48" i="17" a="1"/>
  <c r="I48" i="17" s="1"/>
  <c r="J48" i="17" a="1"/>
  <c r="J48" i="17" s="1"/>
  <c r="F48" i="17"/>
  <c r="H48" i="17" a="1"/>
  <c r="H48" i="17" s="1"/>
  <c r="E48" i="17"/>
  <c r="AB72" i="17"/>
  <c r="Z45" i="17"/>
  <c r="AB18" i="17"/>
  <c r="E81" i="17"/>
  <c r="X19" i="17"/>
  <c r="HY14" i="17"/>
  <c r="X80" i="17"/>
  <c r="Z12" i="24"/>
  <c r="Z65" i="17"/>
  <c r="Z52" i="17"/>
  <c r="AB24" i="17"/>
  <c r="AB83" i="17"/>
  <c r="T57" i="17"/>
  <c r="X30" i="17"/>
  <c r="AB22" i="17"/>
  <c r="AA65" i="17"/>
  <c r="Z8" i="24"/>
  <c r="Y8" i="24"/>
  <c r="X8" i="24"/>
  <c r="X47" i="17"/>
  <c r="Z40" i="17"/>
  <c r="CQ1" i="17"/>
  <c r="CQ2" i="17" s="1"/>
  <c r="AA30" i="17"/>
  <c r="X22" i="17"/>
  <c r="CT1" i="17"/>
  <c r="CT2" i="17" s="1"/>
  <c r="P6" i="16"/>
  <c r="X24" i="17"/>
  <c r="AA53" i="17"/>
  <c r="DA1" i="17"/>
  <c r="DA2" i="17" s="1"/>
  <c r="AB75" i="17"/>
  <c r="AA75" i="17"/>
  <c r="AA23" i="17"/>
  <c r="I80" i="17" a="1"/>
  <c r="I80" i="17" s="1"/>
  <c r="O80" i="17" a="1"/>
  <c r="O80" i="17" s="1"/>
  <c r="M80" i="17" a="1"/>
  <c r="M80" i="17" s="1"/>
  <c r="J80" i="17" a="1"/>
  <c r="J80" i="17" s="1"/>
  <c r="E80" i="17"/>
  <c r="P80" i="17" a="1"/>
  <c r="P80" i="17" s="1"/>
  <c r="Q80" i="17" a="1"/>
  <c r="Q80" i="17" s="1"/>
  <c r="N80" i="17" a="1"/>
  <c r="N80" i="17" s="1"/>
  <c r="K80" i="17" a="1"/>
  <c r="K80" i="17" s="1"/>
  <c r="H80" i="17"/>
  <c r="L80" i="17" a="1"/>
  <c r="L80" i="17" s="1"/>
  <c r="AB71" i="17"/>
  <c r="Z25" i="17"/>
  <c r="X66" i="17"/>
  <c r="K34" i="17" a="1"/>
  <c r="K34" i="17" s="1"/>
  <c r="J34" i="17" a="1"/>
  <c r="J34" i="17" s="1"/>
  <c r="Q34" i="17" a="1"/>
  <c r="Q34" i="17" s="1"/>
  <c r="E34" i="17"/>
  <c r="Q55" i="17" a="1"/>
  <c r="Q55" i="17" s="1"/>
  <c r="F55" i="17"/>
  <c r="E55" i="17"/>
  <c r="I55" i="17" a="1"/>
  <c r="I55" i="17" s="1"/>
  <c r="K55" i="17" a="1"/>
  <c r="K55" i="17" s="1"/>
  <c r="H55" i="17" a="1"/>
  <c r="H55" i="17" s="1"/>
  <c r="J55" i="17" a="1"/>
  <c r="J55" i="17" s="1"/>
  <c r="HY21" i="17"/>
  <c r="X50" i="17"/>
  <c r="Z69" i="17"/>
  <c r="AA25" i="17"/>
  <c r="AB30" i="17"/>
  <c r="X32" i="17"/>
  <c r="AA51" i="17"/>
  <c r="Z15" i="17"/>
  <c r="U6" i="16"/>
  <c r="X10" i="17"/>
  <c r="AA17" i="17"/>
  <c r="DC1" i="17"/>
  <c r="DC2" i="17" s="1"/>
  <c r="Z9" i="17"/>
  <c r="Z64" i="17"/>
  <c r="AA67" i="17"/>
  <c r="X12" i="17"/>
  <c r="Z59" i="17"/>
  <c r="AB8" i="17"/>
  <c r="E57" i="17"/>
  <c r="T58" i="17"/>
  <c r="I71" i="17" a="1"/>
  <c r="I71" i="17" s="1"/>
  <c r="K71" i="17" a="1"/>
  <c r="K71" i="17" s="1"/>
  <c r="L71" i="17" a="1"/>
  <c r="L71" i="17" s="1"/>
  <c r="O71" i="17" a="1"/>
  <c r="O71" i="17" s="1"/>
  <c r="M71" i="17" a="1"/>
  <c r="M71" i="17" s="1"/>
  <c r="H71" i="17" a="1"/>
  <c r="H71" i="17" s="1"/>
  <c r="P71" i="17" a="1"/>
  <c r="P71" i="17" s="1"/>
  <c r="N71" i="17" a="1"/>
  <c r="N71" i="17" s="1"/>
  <c r="Q71" i="17" a="1"/>
  <c r="Q71" i="17" s="1"/>
  <c r="J71" i="17" a="1"/>
  <c r="J71" i="17" s="1"/>
  <c r="E71" i="17"/>
  <c r="X45" i="17"/>
  <c r="HC28" i="17" a="1"/>
  <c r="HC28" i="17" s="1"/>
  <c r="HD28" i="17"/>
  <c r="AA70" i="17"/>
  <c r="I69" i="17" a="1"/>
  <c r="I69" i="17" s="1"/>
  <c r="H69" i="17" a="1"/>
  <c r="H69" i="17" s="1"/>
  <c r="N69" i="17" a="1"/>
  <c r="N69" i="17" s="1"/>
  <c r="K69" i="17" a="1"/>
  <c r="K69" i="17" s="1"/>
  <c r="J69" i="17" a="1"/>
  <c r="J69" i="17" s="1"/>
  <c r="Q69" i="17" a="1"/>
  <c r="Q69" i="17" s="1"/>
  <c r="P69" i="17" a="1"/>
  <c r="P69" i="17" s="1"/>
  <c r="E69" i="17"/>
  <c r="L69" i="17" a="1"/>
  <c r="L69" i="17" s="1"/>
  <c r="M69" i="17" a="1"/>
  <c r="M69" i="17" s="1"/>
  <c r="O69" i="17" a="1"/>
  <c r="O69" i="17" s="1"/>
  <c r="AB33" i="17"/>
  <c r="X44" i="17"/>
  <c r="Z76" i="17"/>
  <c r="L65" i="17" a="1"/>
  <c r="L65" i="17" s="1"/>
  <c r="P65" i="17" a="1"/>
  <c r="P65" i="17" s="1"/>
  <c r="I65" i="17" a="1"/>
  <c r="I65" i="17" s="1"/>
  <c r="M65" i="17" a="1"/>
  <c r="M65" i="17" s="1"/>
  <c r="Q65" i="17" a="1"/>
  <c r="Q65" i="17" s="1"/>
  <c r="H65" i="17"/>
  <c r="N65" i="17" a="1"/>
  <c r="N65" i="17" s="1"/>
  <c r="K65" i="17" a="1"/>
  <c r="K65" i="17" s="1"/>
  <c r="O65" i="17" a="1"/>
  <c r="O65" i="17" s="1"/>
  <c r="J65" i="17" a="1"/>
  <c r="J65" i="17" s="1"/>
  <c r="E65" i="17"/>
  <c r="X76" i="17"/>
  <c r="K72" i="17" a="1"/>
  <c r="K72" i="17" s="1"/>
  <c r="N72" i="17" a="1"/>
  <c r="N72" i="17" s="1"/>
  <c r="L72" i="17" a="1"/>
  <c r="L72" i="17" s="1"/>
  <c r="P72" i="17" a="1"/>
  <c r="P72" i="17" s="1"/>
  <c r="E72" i="17"/>
  <c r="I72" i="17" a="1"/>
  <c r="I72" i="17" s="1"/>
  <c r="O72" i="17" a="1"/>
  <c r="O72" i="17" s="1"/>
  <c r="M72" i="17" a="1"/>
  <c r="M72" i="17" s="1"/>
  <c r="J72" i="17" a="1"/>
  <c r="J72" i="17" s="1"/>
  <c r="H72" i="17" a="1"/>
  <c r="H72" i="17" s="1"/>
  <c r="Q72" i="17" a="1"/>
  <c r="Q72" i="17" s="1"/>
  <c r="X26" i="17"/>
  <c r="AA86" i="17"/>
  <c r="M79" i="17" a="1"/>
  <c r="M79" i="17" s="1"/>
  <c r="K79" i="17" a="1"/>
  <c r="K79" i="17" s="1"/>
  <c r="Q79" i="17" a="1"/>
  <c r="Q79" i="17" s="1"/>
  <c r="N79" i="17" a="1"/>
  <c r="N79" i="17" s="1"/>
  <c r="J79" i="17" a="1"/>
  <c r="J79" i="17" s="1"/>
  <c r="O79" i="17" a="1"/>
  <c r="O79" i="17" s="1"/>
  <c r="H79" i="17" a="1"/>
  <c r="H79" i="17" s="1"/>
  <c r="L79" i="17" a="1"/>
  <c r="L79" i="17" s="1"/>
  <c r="P79" i="17" a="1"/>
  <c r="P79" i="17" s="1"/>
  <c r="E79" i="17"/>
  <c r="I79" i="17" a="1"/>
  <c r="I79" i="17" s="1"/>
  <c r="X40" i="17"/>
  <c r="K20" i="17" a="1"/>
  <c r="K20" i="17" s="1"/>
  <c r="Q20" i="17" a="1"/>
  <c r="Q20" i="17" s="1"/>
  <c r="E20" i="17"/>
  <c r="J20" i="17" a="1"/>
  <c r="J20" i="17" s="1"/>
  <c r="HC35" i="17" a="1"/>
  <c r="HC35" i="17" s="1"/>
  <c r="HD35" i="17"/>
  <c r="AB81" i="17"/>
  <c r="CP1" i="17"/>
  <c r="CP2" i="17" s="1"/>
  <c r="AB78" i="17"/>
  <c r="CN1" i="17"/>
  <c r="CN2" i="17" s="1"/>
  <c r="X36" i="17"/>
  <c r="Z44" i="17"/>
  <c r="Z70" i="17"/>
  <c r="Z80" i="17"/>
  <c r="H33" i="17" a="1"/>
  <c r="H33" i="17" s="1"/>
  <c r="J33" i="17" a="1"/>
  <c r="J33" i="17" s="1"/>
  <c r="IR33" i="17" a="1"/>
  <c r="IR33" i="17" s="1"/>
  <c r="N33" i="17" a="1"/>
  <c r="N33" i="17" s="1"/>
  <c r="IW33" i="17" a="1"/>
  <c r="IW33" i="17" s="1"/>
  <c r="I33" i="17" a="1"/>
  <c r="I33" i="17" s="1"/>
  <c r="IN33" i="17" a="1"/>
  <c r="IN33" i="17" s="1"/>
  <c r="L33" i="17" a="1"/>
  <c r="L33" i="17" s="1"/>
  <c r="O33" i="17" a="1"/>
  <c r="O33" i="17" s="1"/>
  <c r="IS33" i="17" a="1"/>
  <c r="IS33" i="17" s="1"/>
  <c r="K33" i="17" a="1"/>
  <c r="K33" i="17" s="1"/>
  <c r="IT33" i="17" a="1"/>
  <c r="IT33" i="17" s="1"/>
  <c r="Q33" i="17" a="1"/>
  <c r="Q33" i="17" s="1"/>
  <c r="IU33" i="17" a="1"/>
  <c r="IU33" i="17" s="1"/>
  <c r="M33" i="17" a="1"/>
  <c r="M33" i="17" s="1"/>
  <c r="E33" i="17"/>
  <c r="P33" i="17" a="1"/>
  <c r="P33" i="17" s="1"/>
  <c r="IQ33" i="17" a="1"/>
  <c r="IQ33" i="17" s="1"/>
  <c r="IP33" i="17" a="1"/>
  <c r="IP33" i="17" s="1"/>
  <c r="IV33" i="17" a="1"/>
  <c r="IV33" i="17" s="1"/>
  <c r="IO33" i="17" a="1"/>
  <c r="IO33" i="17" s="1"/>
  <c r="AB47" i="17"/>
  <c r="E10" i="17"/>
  <c r="H10" i="17" a="1"/>
  <c r="H10" i="17" s="1"/>
  <c r="P10" i="17" a="1"/>
  <c r="P10" i="17" s="1"/>
  <c r="O10" i="17" a="1"/>
  <c r="O10" i="17" s="1"/>
  <c r="N10" i="17" a="1"/>
  <c r="N10" i="17" s="1"/>
  <c r="I10" i="17" a="1"/>
  <c r="I10" i="17" s="1"/>
  <c r="J10" i="17" a="1"/>
  <c r="J10" i="17" s="1"/>
  <c r="Q10" i="17" a="1"/>
  <c r="Q10" i="17" s="1"/>
  <c r="L10" i="17" a="1"/>
  <c r="L10" i="17" s="1"/>
  <c r="K10" i="17" a="1"/>
  <c r="K10" i="17" s="1"/>
  <c r="M10" i="17" a="1"/>
  <c r="M10" i="17" s="1"/>
  <c r="AA59" i="17"/>
  <c r="HY56" i="17"/>
  <c r="AB12" i="17"/>
  <c r="H85" i="17"/>
  <c r="E85" i="17"/>
  <c r="I85" i="17" a="1"/>
  <c r="I85" i="17" s="1"/>
  <c r="L85" i="17" a="1"/>
  <c r="L85" i="17" s="1"/>
  <c r="O85" i="17" a="1"/>
  <c r="O85" i="17" s="1"/>
  <c r="P85" i="17" a="1"/>
  <c r="P85" i="17" s="1"/>
  <c r="N85" i="17" a="1"/>
  <c r="N85" i="17" s="1"/>
  <c r="J85" i="17" a="1"/>
  <c r="J85" i="17" s="1"/>
  <c r="K85" i="17" a="1"/>
  <c r="K85" i="17" s="1"/>
  <c r="M85" i="17" a="1"/>
  <c r="M85" i="17" s="1"/>
  <c r="Q85" i="17" a="1"/>
  <c r="Q85" i="17" s="1"/>
  <c r="X38" i="17"/>
  <c r="E32" i="17"/>
  <c r="H32" i="17" a="1"/>
  <c r="H32" i="17" s="1"/>
  <c r="I32" i="17" a="1"/>
  <c r="I32" i="17" s="1"/>
  <c r="M32" i="17" a="1"/>
  <c r="M32" i="17" s="1"/>
  <c r="P32" i="17" a="1"/>
  <c r="P32" i="17" s="1"/>
  <c r="K32" i="17" a="1"/>
  <c r="K32" i="17" s="1"/>
  <c r="L32" i="17" a="1"/>
  <c r="L32" i="17" s="1"/>
  <c r="Q32" i="17" a="1"/>
  <c r="Q32" i="17" s="1"/>
  <c r="N32" i="17" a="1"/>
  <c r="N32" i="17" s="1"/>
  <c r="J32" i="17" a="1"/>
  <c r="J32" i="17" s="1"/>
  <c r="O32" i="17" a="1"/>
  <c r="O32" i="17" s="1"/>
  <c r="AA77" i="17"/>
  <c r="Z32" i="17"/>
  <c r="DF1" i="17"/>
  <c r="DF2" i="17" s="1"/>
  <c r="AA31" i="17"/>
  <c r="X25" i="17"/>
  <c r="Z66" i="17"/>
  <c r="AB70" i="17"/>
  <c r="Z46" i="17"/>
  <c r="W13" i="24"/>
  <c r="X23" i="17"/>
  <c r="AB60" i="17"/>
  <c r="AB74" i="17"/>
  <c r="AA76" i="17"/>
  <c r="X31" i="17"/>
  <c r="AA83" i="17"/>
  <c r="AA80" i="17"/>
  <c r="J24" i="17" a="1"/>
  <c r="J24" i="17" s="1"/>
  <c r="O24" i="17" a="1"/>
  <c r="O24" i="17" s="1"/>
  <c r="P24" i="17" a="1"/>
  <c r="P24" i="17" s="1"/>
  <c r="Q24" i="17" a="1"/>
  <c r="Q24" i="17" s="1"/>
  <c r="L24" i="17" a="1"/>
  <c r="L24" i="17" s="1"/>
  <c r="E24" i="17"/>
  <c r="H24" i="17" a="1"/>
  <c r="H24" i="17" s="1"/>
  <c r="M24" i="17" a="1"/>
  <c r="M24" i="17" s="1"/>
  <c r="I24" i="17" a="1"/>
  <c r="I24" i="17" s="1"/>
  <c r="N24" i="17" a="1"/>
  <c r="N24" i="17" s="1"/>
  <c r="K24" i="17" a="1"/>
  <c r="K24" i="17" s="1"/>
  <c r="AA29" i="17"/>
  <c r="AB68" i="17"/>
  <c r="X77" i="17"/>
  <c r="AB15" i="17"/>
  <c r="X75" i="17"/>
  <c r="J50" i="17" a="1"/>
  <c r="J50" i="17" s="1"/>
  <c r="K50" i="17" a="1"/>
  <c r="K50" i="17" s="1"/>
  <c r="L50" i="17" a="1"/>
  <c r="L50" i="17" s="1"/>
  <c r="P50" i="17" a="1"/>
  <c r="P50" i="17" s="1"/>
  <c r="O50" i="17" a="1"/>
  <c r="O50" i="17" s="1"/>
  <c r="I50" i="17" a="1"/>
  <c r="I50" i="17" s="1"/>
  <c r="M50" i="17" a="1"/>
  <c r="M50" i="17" s="1"/>
  <c r="Q50" i="17" a="1"/>
  <c r="Q50" i="17" s="1"/>
  <c r="H50" i="17" a="1"/>
  <c r="H50" i="17" s="1"/>
  <c r="E50" i="17"/>
  <c r="N50" i="17" a="1"/>
  <c r="N50" i="17" s="1"/>
  <c r="AB20" i="17"/>
  <c r="Z26" i="17"/>
  <c r="AA72" i="17"/>
  <c r="E17" i="17"/>
  <c r="L17" i="17" a="1"/>
  <c r="L17" i="17" s="1"/>
  <c r="J17" i="17" a="1"/>
  <c r="J17" i="17" s="1"/>
  <c r="I17" i="17" a="1"/>
  <c r="I17" i="17" s="1"/>
  <c r="K17" i="17" a="1"/>
  <c r="K17" i="17" s="1"/>
  <c r="H17" i="17" a="1"/>
  <c r="H17" i="17" s="1"/>
  <c r="M17" i="17" a="1"/>
  <c r="M17" i="17" s="1"/>
  <c r="O17" i="17" a="1"/>
  <c r="O17" i="17" s="1"/>
  <c r="P17" i="17" a="1"/>
  <c r="P17" i="17" s="1"/>
  <c r="N17" i="17" a="1"/>
  <c r="N17" i="17" s="1"/>
  <c r="Q17" i="17" a="1"/>
  <c r="Q17" i="17" s="1"/>
  <c r="HC49" i="17" a="1"/>
  <c r="HC49" i="17" s="1"/>
  <c r="HD49" i="17"/>
  <c r="AB43" i="17"/>
  <c r="HY49" i="17"/>
  <c r="P37" i="17" a="1"/>
  <c r="P37" i="17" s="1"/>
  <c r="L37" i="17" a="1"/>
  <c r="L37" i="17" s="1"/>
  <c r="I37" i="17" a="1"/>
  <c r="I37" i="17" s="1"/>
  <c r="M37" i="17" a="1"/>
  <c r="M37" i="17" s="1"/>
  <c r="O37" i="17" a="1"/>
  <c r="O37" i="17" s="1"/>
  <c r="N37" i="17" a="1"/>
  <c r="N37" i="17" s="1"/>
  <c r="K37" i="17" a="1"/>
  <c r="K37" i="17" s="1"/>
  <c r="E37" i="17"/>
  <c r="H37" i="17"/>
  <c r="Q37" i="17" a="1"/>
  <c r="Q37" i="17" s="1"/>
  <c r="J37" i="17" a="1"/>
  <c r="J37" i="17" s="1"/>
  <c r="T59" i="17"/>
  <c r="AA47" i="17"/>
  <c r="AB31" i="17"/>
  <c r="Z51" i="17"/>
  <c r="Z9" i="24"/>
  <c r="AA44" i="17"/>
  <c r="Z82" i="17"/>
  <c r="N66" i="17" a="1"/>
  <c r="N66" i="17" s="1"/>
  <c r="J66" i="17" a="1"/>
  <c r="J66" i="17" s="1"/>
  <c r="O66" i="17" a="1"/>
  <c r="O66" i="17" s="1"/>
  <c r="E66" i="17"/>
  <c r="K66" i="17" a="1"/>
  <c r="K66" i="17" s="1"/>
  <c r="Q66" i="17" a="1"/>
  <c r="Q66" i="17" s="1"/>
  <c r="M66" i="17" a="1"/>
  <c r="M66" i="17" s="1"/>
  <c r="L66" i="17" a="1"/>
  <c r="L66" i="17" s="1"/>
  <c r="P66" i="17" a="1"/>
  <c r="P66" i="17" s="1"/>
  <c r="I66" i="17" a="1"/>
  <c r="I66" i="17" s="1"/>
  <c r="H66" i="17" a="1"/>
  <c r="H66" i="17" s="1"/>
  <c r="CO1" i="17"/>
  <c r="CO2" i="17" s="1"/>
  <c r="AB65" i="17"/>
  <c r="AB19" i="17"/>
  <c r="AA39" i="17"/>
  <c r="AA84" i="17"/>
  <c r="AB23" i="17"/>
  <c r="E67" i="17"/>
  <c r="K67" i="17" a="1"/>
  <c r="K67" i="17" s="1"/>
  <c r="P67" i="17" a="1"/>
  <c r="P67" i="17" s="1"/>
  <c r="J67" i="17" a="1"/>
  <c r="J67" i="17" s="1"/>
  <c r="Q67" i="17" a="1"/>
  <c r="Q67" i="17" s="1"/>
  <c r="M67" i="17" a="1"/>
  <c r="M67" i="17" s="1"/>
  <c r="N67" i="17" a="1"/>
  <c r="N67" i="17" s="1"/>
  <c r="O67" i="17" a="1"/>
  <c r="O67" i="17" s="1"/>
  <c r="I67" i="17" a="1"/>
  <c r="I67" i="17" s="1"/>
  <c r="L67" i="17" a="1"/>
  <c r="L67" i="17" s="1"/>
  <c r="H67" i="17" a="1"/>
  <c r="H67" i="17" s="1"/>
  <c r="Z79" i="17"/>
  <c r="Z83" i="17"/>
  <c r="X9" i="17"/>
  <c r="X84" i="17"/>
  <c r="Z53" i="17"/>
  <c r="Z22" i="17"/>
  <c r="Q38" i="17" a="1"/>
  <c r="Q38" i="17" s="1"/>
  <c r="O38" i="17" a="1"/>
  <c r="O38" i="17" s="1"/>
  <c r="M38" i="17" a="1"/>
  <c r="M38" i="17" s="1"/>
  <c r="N38" i="17" a="1"/>
  <c r="N38" i="17" s="1"/>
  <c r="K38" i="17" a="1"/>
  <c r="K38" i="17" s="1"/>
  <c r="I38" i="17" a="1"/>
  <c r="I38" i="17" s="1"/>
  <c r="L38" i="17" a="1"/>
  <c r="L38" i="17" s="1"/>
  <c r="J38" i="17" a="1"/>
  <c r="J38" i="17" s="1"/>
  <c r="P38" i="17" a="1"/>
  <c r="P38" i="17" s="1"/>
  <c r="E38" i="17"/>
  <c r="H38" i="17" a="1"/>
  <c r="H38" i="17" s="1"/>
  <c r="AA18" i="17"/>
  <c r="X17" i="17"/>
  <c r="CX1" i="17"/>
  <c r="CX2" i="17" s="1"/>
  <c r="AB16" i="17"/>
  <c r="HC14" i="17" a="1"/>
  <c r="HC14" i="17" s="1"/>
  <c r="HD14" i="17"/>
  <c r="HY7" i="17"/>
  <c r="E59" i="17"/>
  <c r="I73" i="17" a="1"/>
  <c r="I73" i="17" s="1"/>
  <c r="N73" i="17" a="1"/>
  <c r="N73" i="17" s="1"/>
  <c r="J73" i="17" a="1"/>
  <c r="J73" i="17" s="1"/>
  <c r="M73" i="17" a="1"/>
  <c r="M73" i="17" s="1"/>
  <c r="H73" i="17" a="1"/>
  <c r="H73" i="17" s="1"/>
  <c r="E73" i="17"/>
  <c r="L73" i="17" a="1"/>
  <c r="L73" i="17" s="1"/>
  <c r="Q73" i="17" a="1"/>
  <c r="Q73" i="17" s="1"/>
  <c r="K73" i="17" a="1"/>
  <c r="K73" i="17" s="1"/>
  <c r="P73" i="17" a="1"/>
  <c r="P73" i="17" s="1"/>
  <c r="O73" i="17" a="1"/>
  <c r="O73" i="17" s="1"/>
  <c r="AA9" i="17"/>
  <c r="Z23" i="17"/>
  <c r="AB73" i="17"/>
  <c r="AA74" i="17"/>
  <c r="AB48" i="17"/>
  <c r="HY28" i="17"/>
  <c r="Z36" i="17"/>
  <c r="AA58" i="17"/>
  <c r="Z12" i="17"/>
  <c r="J30" i="17" a="1"/>
  <c r="J30" i="17" s="1"/>
  <c r="E30" i="17"/>
  <c r="L30" i="17" a="1"/>
  <c r="L30" i="17" s="1"/>
  <c r="H30" i="17"/>
  <c r="O30" i="17" a="1"/>
  <c r="O30" i="17" s="1"/>
  <c r="P30" i="17" a="1"/>
  <c r="P30" i="17" s="1"/>
  <c r="I30" i="17" a="1"/>
  <c r="I30" i="17" s="1"/>
  <c r="N30" i="17" a="1"/>
  <c r="N30" i="17" s="1"/>
  <c r="M30" i="17" a="1"/>
  <c r="M30" i="17" s="1"/>
  <c r="K30" i="17" a="1"/>
  <c r="K30" i="17" s="1"/>
  <c r="Q30" i="17" a="1"/>
  <c r="Q30" i="17" s="1"/>
  <c r="Z15" i="24"/>
  <c r="W9" i="24"/>
  <c r="X9" i="24" s="1"/>
  <c r="AA43" i="17"/>
  <c r="AB34" i="17"/>
  <c r="HD42" i="17"/>
  <c r="HC42" i="17" a="1"/>
  <c r="HC42" i="17" s="1"/>
  <c r="Z77" i="17"/>
  <c r="O29" i="17" a="1"/>
  <c r="O29" i="17" s="1"/>
  <c r="I29" i="17" a="1"/>
  <c r="I29" i="17" s="1"/>
  <c r="J29" i="17" a="1"/>
  <c r="J29" i="17" s="1"/>
  <c r="E29" i="17"/>
  <c r="L29" i="17" a="1"/>
  <c r="L29" i="17" s="1"/>
  <c r="Q29" i="17" a="1"/>
  <c r="Q29" i="17" s="1"/>
  <c r="M29" i="17" a="1"/>
  <c r="M29" i="17" s="1"/>
  <c r="N29" i="17" a="1"/>
  <c r="N29" i="17" s="1"/>
  <c r="H29" i="17" a="1"/>
  <c r="H29" i="17" s="1"/>
  <c r="K29" i="17" a="1"/>
  <c r="K29" i="17" s="1"/>
  <c r="P29" i="17" a="1"/>
  <c r="P29" i="17" s="1"/>
  <c r="E15" i="17"/>
  <c r="AA64" i="17"/>
  <c r="Z72" i="17"/>
  <c r="AA16" i="17"/>
  <c r="Q52" i="17" a="1"/>
  <c r="Q52" i="17" s="1"/>
  <c r="I52" i="17" a="1"/>
  <c r="I52" i="17" s="1"/>
  <c r="H52" i="17" a="1"/>
  <c r="H52" i="17" s="1"/>
  <c r="M52" i="17" a="1"/>
  <c r="M52" i="17" s="1"/>
  <c r="N52" i="17" a="1"/>
  <c r="N52" i="17" s="1"/>
  <c r="E52" i="17"/>
  <c r="K52" i="17" a="1"/>
  <c r="K52" i="17" s="1"/>
  <c r="L52" i="17" a="1"/>
  <c r="L52" i="17" s="1"/>
  <c r="P52" i="17" a="1"/>
  <c r="P52" i="17" s="1"/>
  <c r="J52" i="17" a="1"/>
  <c r="J52" i="17" s="1"/>
  <c r="O52" i="17" a="1"/>
  <c r="O52" i="17" s="1"/>
  <c r="P82" i="17" a="1"/>
  <c r="P82" i="17" s="1"/>
  <c r="I82" i="17" a="1"/>
  <c r="I82" i="17" s="1"/>
  <c r="O82" i="17" a="1"/>
  <c r="O82" i="17" s="1"/>
  <c r="L82" i="17" a="1"/>
  <c r="L82" i="17" s="1"/>
  <c r="M82" i="17" a="1"/>
  <c r="M82" i="17" s="1"/>
  <c r="E82" i="17"/>
  <c r="Q82" i="17" a="1"/>
  <c r="Q82" i="17" s="1"/>
  <c r="N82" i="17" a="1"/>
  <c r="N82" i="17" s="1"/>
  <c r="K82" i="17" a="1"/>
  <c r="K82" i="17" s="1"/>
  <c r="J82" i="17" a="1"/>
  <c r="J82" i="17" s="1"/>
  <c r="H82" i="17" a="1"/>
  <c r="H82" i="17" s="1"/>
  <c r="K75" i="17" a="1"/>
  <c r="K75" i="17" s="1"/>
  <c r="E75" i="17"/>
  <c r="P75" i="17" a="1"/>
  <c r="P75" i="17" s="1"/>
  <c r="L75" i="17" a="1"/>
  <c r="L75" i="17" s="1"/>
  <c r="M75" i="17" a="1"/>
  <c r="M75" i="17" s="1"/>
  <c r="J75" i="17" a="1"/>
  <c r="J75" i="17" s="1"/>
  <c r="Q75" i="17" a="1"/>
  <c r="Q75" i="17" s="1"/>
  <c r="H75" i="17"/>
  <c r="I75" i="17" a="1"/>
  <c r="I75" i="17" s="1"/>
  <c r="O75" i="17" a="1"/>
  <c r="O75" i="17" s="1"/>
  <c r="N75" i="17" a="1"/>
  <c r="N75" i="17" s="1"/>
  <c r="AA81" i="17"/>
  <c r="X58" i="17"/>
  <c r="Q39" i="17" a="1"/>
  <c r="Q39" i="17" s="1"/>
  <c r="J39" i="17" a="1"/>
  <c r="J39" i="17" s="1"/>
  <c r="P39" i="17" a="1"/>
  <c r="P39" i="17" s="1"/>
  <c r="H39" i="17" a="1"/>
  <c r="H39" i="17" s="1"/>
  <c r="O39" i="17" a="1"/>
  <c r="O39" i="17" s="1"/>
  <c r="L39" i="17" a="1"/>
  <c r="L39" i="17" s="1"/>
  <c r="I39" i="17" a="1"/>
  <c r="I39" i="17" s="1"/>
  <c r="M39" i="17" a="1"/>
  <c r="M39" i="17" s="1"/>
  <c r="K39" i="17" a="1"/>
  <c r="K39" i="17" s="1"/>
  <c r="E39" i="17"/>
  <c r="N39" i="17" a="1"/>
  <c r="N39" i="17" s="1"/>
  <c r="K47" i="17" a="1"/>
  <c r="K47" i="17" s="1"/>
  <c r="N47" i="17" a="1"/>
  <c r="N47" i="17" s="1"/>
  <c r="IP47" i="17" a="1"/>
  <c r="IP47" i="17" s="1"/>
  <c r="H47" i="17" a="1"/>
  <c r="H47" i="17" s="1"/>
  <c r="J47" i="17" a="1"/>
  <c r="J47" i="17" s="1"/>
  <c r="I47" i="17" a="1"/>
  <c r="I47" i="17" s="1"/>
  <c r="IU47" i="17" a="1"/>
  <c r="IU47" i="17" s="1"/>
  <c r="IS47" i="17" a="1"/>
  <c r="IS47" i="17" s="1"/>
  <c r="M47" i="17" a="1"/>
  <c r="M47" i="17" s="1"/>
  <c r="IN47" i="17" a="1"/>
  <c r="IN47" i="17" s="1"/>
  <c r="L47" i="17" a="1"/>
  <c r="L47" i="17" s="1"/>
  <c r="IO47" i="17" a="1"/>
  <c r="IO47" i="17" s="1"/>
  <c r="E47" i="17"/>
  <c r="IV47" i="17" a="1"/>
  <c r="IV47" i="17" s="1"/>
  <c r="IW47" i="17" a="1"/>
  <c r="IW47" i="17" s="1"/>
  <c r="IT47" i="17" a="1"/>
  <c r="IT47" i="17" s="1"/>
  <c r="IR47" i="17" a="1"/>
  <c r="IR47" i="17" s="1"/>
  <c r="Q47" i="17" a="1"/>
  <c r="Q47" i="17" s="1"/>
  <c r="IQ47" i="17" a="1"/>
  <c r="IQ47" i="17" s="1"/>
  <c r="O47" i="17" a="1"/>
  <c r="O47" i="17" s="1"/>
  <c r="P47" i="17" a="1"/>
  <c r="P47" i="17" s="1"/>
  <c r="X16" i="17"/>
  <c r="Z58" i="17"/>
  <c r="AB25" i="17"/>
  <c r="E58" i="17"/>
  <c r="Z74" i="17"/>
  <c r="AB10" i="17"/>
  <c r="E60" i="17"/>
  <c r="L9" i="17" a="1"/>
  <c r="L9" i="17" s="1"/>
  <c r="K9" i="17" a="1"/>
  <c r="K9" i="17" s="1"/>
  <c r="J9" i="17" a="1"/>
  <c r="J9" i="17" s="1"/>
  <c r="H9" i="17"/>
  <c r="I9" i="17" a="1"/>
  <c r="I9" i="17" s="1"/>
  <c r="P9" i="17" a="1"/>
  <c r="P9" i="17" s="1"/>
  <c r="N9" i="17" a="1"/>
  <c r="N9" i="17" s="1"/>
  <c r="Q9" i="17" a="1"/>
  <c r="Q9" i="17" s="1"/>
  <c r="E9" i="17"/>
  <c r="M9" i="17" a="1"/>
  <c r="M9" i="17" s="1"/>
  <c r="O9" i="17" a="1"/>
  <c r="O9" i="17" s="1"/>
  <c r="H40" i="17" a="1"/>
  <c r="H40" i="17" s="1"/>
  <c r="L40" i="17" a="1"/>
  <c r="L40" i="17" s="1"/>
  <c r="K40" i="17" a="1"/>
  <c r="K40" i="17" s="1"/>
  <c r="Q40" i="17" a="1"/>
  <c r="Q40" i="17" s="1"/>
  <c r="E40" i="17"/>
  <c r="J40" i="17" a="1"/>
  <c r="J40" i="17" s="1"/>
  <c r="N40" i="17" a="1"/>
  <c r="N40" i="17" s="1"/>
  <c r="I40" i="17" a="1"/>
  <c r="I40" i="17" s="1"/>
  <c r="M40" i="17" a="1"/>
  <c r="M40" i="17" s="1"/>
  <c r="O40" i="17" a="1"/>
  <c r="O40" i="17" s="1"/>
  <c r="P40" i="17" a="1"/>
  <c r="P40" i="17" s="1"/>
  <c r="Q70" i="17" a="1"/>
  <c r="Q70" i="17" s="1"/>
  <c r="P70" i="17" a="1"/>
  <c r="P70" i="17" s="1"/>
  <c r="O70" i="17" a="1"/>
  <c r="O70" i="17" s="1"/>
  <c r="J70" i="17" a="1"/>
  <c r="J70" i="17" s="1"/>
  <c r="H70" i="17"/>
  <c r="K70" i="17" a="1"/>
  <c r="K70" i="17" s="1"/>
  <c r="I70" i="17" a="1"/>
  <c r="I70" i="17" s="1"/>
  <c r="L70" i="17" a="1"/>
  <c r="L70" i="17" s="1"/>
  <c r="M70" i="17" a="1"/>
  <c r="M70" i="17" s="1"/>
  <c r="N70" i="17" a="1"/>
  <c r="N70" i="17" s="1"/>
  <c r="E70" i="17"/>
  <c r="AA11" i="17"/>
  <c r="Z11" i="24"/>
  <c r="N25" i="17" a="1"/>
  <c r="N25" i="17" s="1"/>
  <c r="Q25" i="17" a="1"/>
  <c r="Q25" i="17" s="1"/>
  <c r="P25" i="17" a="1"/>
  <c r="P25" i="17" s="1"/>
  <c r="L25" i="17" a="1"/>
  <c r="L25" i="17" s="1"/>
  <c r="J25" i="17" a="1"/>
  <c r="J25" i="17" s="1"/>
  <c r="H25" i="17" a="1"/>
  <c r="H25" i="17" s="1"/>
  <c r="K25" i="17" a="1"/>
  <c r="K25" i="17" s="1"/>
  <c r="I25" i="17" a="1"/>
  <c r="I25" i="17" s="1"/>
  <c r="E25" i="17"/>
  <c r="M25" i="17" a="1"/>
  <c r="M25" i="17" s="1"/>
  <c r="O25" i="17" a="1"/>
  <c r="O25" i="17" s="1"/>
  <c r="J74" i="17" a="1"/>
  <c r="J74" i="17" s="1"/>
  <c r="E74" i="17"/>
  <c r="K74" i="17" a="1"/>
  <c r="K74" i="17" s="1"/>
  <c r="I74" i="17" a="1"/>
  <c r="I74" i="17" s="1"/>
  <c r="Q74" i="17" a="1"/>
  <c r="Q74" i="17" s="1"/>
  <c r="H74" i="17" a="1"/>
  <c r="H74" i="17" s="1"/>
  <c r="P74" i="17" a="1"/>
  <c r="P74" i="17" s="1"/>
  <c r="O74" i="17" a="1"/>
  <c r="O74" i="17" s="1"/>
  <c r="N74" i="17" a="1"/>
  <c r="N74" i="17" s="1"/>
  <c r="M74" i="17" a="1"/>
  <c r="M74" i="17" s="1"/>
  <c r="L74" i="17" a="1"/>
  <c r="L74" i="17" s="1"/>
  <c r="Q36" i="17" a="1"/>
  <c r="Q36" i="17" s="1"/>
  <c r="I36" i="17" a="1"/>
  <c r="I36" i="17" s="1"/>
  <c r="O36" i="17" a="1"/>
  <c r="O36" i="17" s="1"/>
  <c r="K36" i="17" a="1"/>
  <c r="K36" i="17" s="1"/>
  <c r="J36" i="17" a="1"/>
  <c r="J36" i="17" s="1"/>
  <c r="E36" i="17"/>
  <c r="L36" i="17" a="1"/>
  <c r="L36" i="17" s="1"/>
  <c r="M36" i="17" a="1"/>
  <c r="M36" i="17" s="1"/>
  <c r="N36" i="17" a="1"/>
  <c r="N36" i="17" s="1"/>
  <c r="H36" i="17" a="1"/>
  <c r="H36" i="17" s="1"/>
  <c r="P36" i="17" a="1"/>
  <c r="P36" i="17" s="1"/>
  <c r="AB86" i="17"/>
  <c r="AB80" i="17"/>
  <c r="AB26" i="17"/>
  <c r="AA46" i="17"/>
  <c r="AA71" i="17"/>
  <c r="AA22" i="17"/>
  <c r="O8" i="17" a="1"/>
  <c r="O8" i="17" s="1"/>
  <c r="I8" i="17" a="1"/>
  <c r="I8" i="17" s="1"/>
  <c r="BH2" i="17"/>
  <c r="N8" i="17" a="1"/>
  <c r="N8" i="17" s="1"/>
  <c r="J8" i="17" a="1"/>
  <c r="J8" i="17" s="1"/>
  <c r="K8" i="17" a="1"/>
  <c r="K8" i="17" s="1"/>
  <c r="BH1" i="17"/>
  <c r="P8" i="17" a="1"/>
  <c r="P8" i="17" s="1"/>
  <c r="M8" i="17" a="1"/>
  <c r="M8" i="17" s="1"/>
  <c r="E8" i="17"/>
  <c r="H8" i="17" a="1"/>
  <c r="H8" i="17" s="1"/>
  <c r="Q8" i="17" a="1"/>
  <c r="Q8" i="17" s="1"/>
  <c r="L8" i="17" a="1"/>
  <c r="L8" i="17" s="1"/>
  <c r="X67" i="17"/>
  <c r="X85" i="17"/>
  <c r="Z67" i="17"/>
  <c r="AB39" i="17"/>
  <c r="Z16" i="17"/>
  <c r="X82" i="17"/>
  <c r="X68" i="17"/>
  <c r="Z57" i="17"/>
  <c r="CW1" i="17"/>
  <c r="CW2" i="17" s="1"/>
  <c r="Z73" i="17"/>
  <c r="AA24" i="17"/>
  <c r="Z60" i="17"/>
  <c r="M51" i="17" a="1"/>
  <c r="M51" i="17" s="1"/>
  <c r="J51" i="17" a="1"/>
  <c r="J51" i="17" s="1"/>
  <c r="E51" i="17"/>
  <c r="O51" i="17" a="1"/>
  <c r="O51" i="17" s="1"/>
  <c r="I51" i="17" a="1"/>
  <c r="I51" i="17" s="1"/>
  <c r="K51" i="17" a="1"/>
  <c r="K51" i="17" s="1"/>
  <c r="Q51" i="17" a="1"/>
  <c r="Q51" i="17" s="1"/>
  <c r="P51" i="17" a="1"/>
  <c r="P51" i="17" s="1"/>
  <c r="H51" i="17"/>
  <c r="N51" i="17" a="1"/>
  <c r="N51" i="17" s="1"/>
  <c r="L51" i="17" a="1"/>
  <c r="L51" i="17" s="1"/>
  <c r="HY42" i="17"/>
  <c r="X51" i="17"/>
  <c r="O23" i="17" a="1"/>
  <c r="O23" i="17" s="1"/>
  <c r="H23" i="17"/>
  <c r="I23" i="17" a="1"/>
  <c r="I23" i="17" s="1"/>
  <c r="K23" i="17" a="1"/>
  <c r="K23" i="17" s="1"/>
  <c r="N23" i="17" a="1"/>
  <c r="N23" i="17" s="1"/>
  <c r="M23" i="17" a="1"/>
  <c r="M23" i="17" s="1"/>
  <c r="P23" i="17" a="1"/>
  <c r="P23" i="17" s="1"/>
  <c r="L23" i="17" a="1"/>
  <c r="L23" i="17" s="1"/>
  <c r="Q23" i="17" a="1"/>
  <c r="Q23" i="17" s="1"/>
  <c r="E23" i="17"/>
  <c r="J23" i="17" a="1"/>
  <c r="J23" i="17" s="1"/>
  <c r="AA79" i="17"/>
  <c r="AB84" i="17"/>
  <c r="AB46" i="17"/>
  <c r="CU1" i="17"/>
  <c r="CU2" i="17" s="1"/>
  <c r="IN54" i="17" a="1"/>
  <c r="IN54" i="17" s="1"/>
  <c r="M54" i="17" a="1"/>
  <c r="M54" i="17" s="1"/>
  <c r="IT54" i="17" a="1"/>
  <c r="IT54" i="17" s="1"/>
  <c r="H54" i="17" a="1"/>
  <c r="H54" i="17" s="1"/>
  <c r="IS54" i="17" a="1"/>
  <c r="IS54" i="17" s="1"/>
  <c r="J54" i="17" a="1"/>
  <c r="J54" i="17" s="1"/>
  <c r="IV54" i="17" a="1"/>
  <c r="IV54" i="17" s="1"/>
  <c r="K54" i="17" a="1"/>
  <c r="K54" i="17" s="1"/>
  <c r="O54" i="17" a="1"/>
  <c r="O54" i="17" s="1"/>
  <c r="IU54" i="17" a="1"/>
  <c r="IU54" i="17" s="1"/>
  <c r="IW54" i="17" a="1"/>
  <c r="IW54" i="17" s="1"/>
  <c r="IP54" i="17" a="1"/>
  <c r="IP54" i="17" s="1"/>
  <c r="N54" i="17" a="1"/>
  <c r="N54" i="17" s="1"/>
  <c r="L54" i="17" a="1"/>
  <c r="L54" i="17" s="1"/>
  <c r="IQ54" i="17" a="1"/>
  <c r="IQ54" i="17" s="1"/>
  <c r="I54" i="17" a="1"/>
  <c r="I54" i="17" s="1"/>
  <c r="P54" i="17" a="1"/>
  <c r="P54" i="17" s="1"/>
  <c r="IR54" i="17" a="1"/>
  <c r="IR54" i="17" s="1"/>
  <c r="Q54" i="17" a="1"/>
  <c r="Q54" i="17" s="1"/>
  <c r="IO54" i="17" a="1"/>
  <c r="IO54" i="17" s="1"/>
  <c r="F27" i="17"/>
  <c r="E27" i="17"/>
  <c r="K27" i="17" a="1"/>
  <c r="K27" i="17" s="1"/>
  <c r="J27" i="17" a="1"/>
  <c r="J27" i="17" s="1"/>
  <c r="I27" i="17" a="1"/>
  <c r="I27" i="17" s="1"/>
  <c r="H27" i="17" a="1"/>
  <c r="H27" i="17" s="1"/>
  <c r="Q27" i="17" a="1"/>
  <c r="Q27" i="17" s="1"/>
  <c r="Z68" i="17"/>
  <c r="Z38" i="17"/>
  <c r="AB64" i="17"/>
  <c r="AA57" i="17"/>
  <c r="X74" i="17"/>
  <c r="E77" i="17"/>
  <c r="P77" i="17" a="1"/>
  <c r="P77" i="17" s="1"/>
  <c r="K77" i="17" a="1"/>
  <c r="K77" i="17" s="1"/>
  <c r="I77" i="17" a="1"/>
  <c r="I77" i="17" s="1"/>
  <c r="N77" i="17" a="1"/>
  <c r="N77" i="17" s="1"/>
  <c r="J77" i="17" a="1"/>
  <c r="J77" i="17" s="1"/>
  <c r="H77" i="17" a="1"/>
  <c r="H77" i="17" s="1"/>
  <c r="M77" i="17" a="1"/>
  <c r="M77" i="17" s="1"/>
  <c r="L77" i="17" a="1"/>
  <c r="L77" i="17" s="1"/>
  <c r="Q77" i="17" a="1"/>
  <c r="Q77" i="17" s="1"/>
  <c r="O77" i="17" a="1"/>
  <c r="O77" i="17" s="1"/>
  <c r="AA52" i="17"/>
  <c r="X83" i="17"/>
  <c r="AB38" i="17"/>
  <c r="AA36" i="17"/>
  <c r="X11" i="17"/>
  <c r="H61" i="17" a="1"/>
  <c r="H61" i="17" s="1"/>
  <c r="I61" i="17" a="1"/>
  <c r="I61" i="17" s="1"/>
  <c r="IC61" i="17" s="1"/>
  <c r="J61" i="17" a="1"/>
  <c r="J61" i="17" s="1"/>
  <c r="K61" i="17" a="1"/>
  <c r="K61" i="17" s="1"/>
  <c r="Q61" i="17" a="1"/>
  <c r="Q61" i="17" s="1"/>
  <c r="W12" i="24"/>
  <c r="X12" i="24" s="1"/>
  <c r="W14" i="24"/>
  <c r="X14" i="24" s="1"/>
  <c r="M86" i="17" a="1"/>
  <c r="M86" i="17" s="1"/>
  <c r="E86" i="17"/>
  <c r="P86" i="17" a="1"/>
  <c r="P86" i="17" s="1"/>
  <c r="J86" i="17" a="1"/>
  <c r="J86" i="17" s="1"/>
  <c r="H86" i="17" a="1"/>
  <c r="H86" i="17" s="1"/>
  <c r="L86" i="17" a="1"/>
  <c r="L86" i="17" s="1"/>
  <c r="N86" i="17" a="1"/>
  <c r="N86" i="17" s="1"/>
  <c r="Q86" i="17" a="1"/>
  <c r="Q86" i="17" s="1"/>
  <c r="O86" i="17" a="1"/>
  <c r="O86" i="17" s="1"/>
  <c r="K86" i="17" a="1"/>
  <c r="K86" i="17" s="1"/>
  <c r="I86" i="17" a="1"/>
  <c r="I86" i="17" s="1"/>
  <c r="Z84" i="17"/>
  <c r="N44" i="17" a="1"/>
  <c r="N44" i="17" s="1"/>
  <c r="I44" i="17" a="1"/>
  <c r="I44" i="17" s="1"/>
  <c r="M44" i="17" a="1"/>
  <c r="M44" i="17" s="1"/>
  <c r="K44" i="17" a="1"/>
  <c r="K44" i="17" s="1"/>
  <c r="L44" i="17" a="1"/>
  <c r="L44" i="17" s="1"/>
  <c r="O44" i="17" a="1"/>
  <c r="O44" i="17" s="1"/>
  <c r="J44" i="17" a="1"/>
  <c r="J44" i="17" s="1"/>
  <c r="H44" i="17"/>
  <c r="P44" i="17" a="1"/>
  <c r="P44" i="17" s="1"/>
  <c r="E44" i="17"/>
  <c r="Q44" i="17" a="1"/>
  <c r="Q44" i="17" s="1"/>
  <c r="O22" i="17" a="1"/>
  <c r="O22" i="17" s="1"/>
  <c r="K22" i="17" a="1"/>
  <c r="K22" i="17" s="1"/>
  <c r="Q22" i="17" a="1"/>
  <c r="Q22" i="17" s="1"/>
  <c r="P22" i="17" a="1"/>
  <c r="P22" i="17" s="1"/>
  <c r="E22" i="17"/>
  <c r="H22" i="17" a="1"/>
  <c r="H22" i="17" s="1"/>
  <c r="I22" i="17" a="1"/>
  <c r="I22" i="17" s="1"/>
  <c r="N22" i="17" a="1"/>
  <c r="N22" i="17" s="1"/>
  <c r="M22" i="17" a="1"/>
  <c r="M22" i="17" s="1"/>
  <c r="L22" i="17" a="1"/>
  <c r="L22" i="17" s="1"/>
  <c r="J22" i="17" a="1"/>
  <c r="J22" i="17" s="1"/>
  <c r="X78" i="17"/>
  <c r="Z50" i="17"/>
  <c r="Z18" i="17"/>
  <c r="AB67" i="17"/>
  <c r="X81" i="17"/>
  <c r="X29" i="17"/>
  <c r="HY35" i="17"/>
  <c r="AA12" i="17"/>
  <c r="CR1" i="17"/>
  <c r="CR2" i="17" s="1"/>
  <c r="AB69" i="17"/>
  <c r="X39" i="17"/>
  <c r="AB57" i="17"/>
  <c r="X70" i="17"/>
  <c r="AA37" i="17"/>
  <c r="T60" i="17"/>
  <c r="Z71" i="17"/>
  <c r="AB32" i="17"/>
  <c r="HD7" i="17"/>
  <c r="HC7" i="17" a="1"/>
  <c r="HC7" i="17" s="1"/>
  <c r="GJ1" i="17"/>
  <c r="AB9" i="17"/>
  <c r="Z10" i="24"/>
  <c r="Z75" i="17"/>
  <c r="W11" i="24"/>
  <c r="Y11" i="24" s="1"/>
  <c r="AB82" i="17"/>
  <c r="AB36" i="17"/>
  <c r="X69" i="17"/>
  <c r="X71" i="17"/>
  <c r="X59" i="17"/>
  <c r="AB77" i="17"/>
  <c r="AB52" i="17"/>
  <c r="X15" i="17"/>
  <c r="J16" i="17" a="1"/>
  <c r="J16" i="17" s="1"/>
  <c r="L16" i="17" a="1"/>
  <c r="L16" i="17" s="1"/>
  <c r="I16" i="17" a="1"/>
  <c r="I16" i="17" s="1"/>
  <c r="K16" i="17" a="1"/>
  <c r="K16" i="17" s="1"/>
  <c r="N16" i="17" a="1"/>
  <c r="N16" i="17" s="1"/>
  <c r="Q16" i="17" a="1"/>
  <c r="Q16" i="17" s="1"/>
  <c r="E16" i="17"/>
  <c r="P16" i="17" a="1"/>
  <c r="P16" i="17" s="1"/>
  <c r="H16" i="17"/>
  <c r="M16" i="17" a="1"/>
  <c r="M16" i="17" s="1"/>
  <c r="O16" i="17" a="1"/>
  <c r="O16" i="17" s="1"/>
  <c r="M19" i="17" a="1"/>
  <c r="M19" i="17" s="1"/>
  <c r="P19" i="17" a="1"/>
  <c r="P19" i="17" s="1"/>
  <c r="Q19" i="17" a="1"/>
  <c r="Q19" i="17" s="1"/>
  <c r="E19" i="17"/>
  <c r="I19" i="17" a="1"/>
  <c r="I19" i="17" s="1"/>
  <c r="K19" i="17" a="1"/>
  <c r="K19" i="17" s="1"/>
  <c r="H19" i="17" a="1"/>
  <c r="H19" i="17" s="1"/>
  <c r="J19" i="17" a="1"/>
  <c r="J19" i="17" s="1"/>
  <c r="L19" i="17" a="1"/>
  <c r="L19" i="17" s="1"/>
  <c r="O19" i="17" a="1"/>
  <c r="O19" i="17" s="1"/>
  <c r="N19" i="17" a="1"/>
  <c r="N19" i="17" s="1"/>
  <c r="P68" i="17" a="1"/>
  <c r="P68" i="17" s="1"/>
  <c r="H68" i="17" a="1"/>
  <c r="H68" i="17" s="1"/>
  <c r="K68" i="17" a="1"/>
  <c r="K68" i="17" s="1"/>
  <c r="E68" i="17"/>
  <c r="Q68" i="17" a="1"/>
  <c r="Q68" i="17" s="1"/>
  <c r="I68" i="17" a="1"/>
  <c r="I68" i="17" s="1"/>
  <c r="M68" i="17" a="1"/>
  <c r="M68" i="17" s="1"/>
  <c r="O68" i="17" a="1"/>
  <c r="O68" i="17" s="1"/>
  <c r="J68" i="17" a="1"/>
  <c r="J68" i="17" s="1"/>
  <c r="N68" i="17" a="1"/>
  <c r="N68" i="17" s="1"/>
  <c r="L68" i="17" a="1"/>
  <c r="L68" i="17" s="1"/>
  <c r="Z14" i="24"/>
  <c r="DB1" i="17"/>
  <c r="DB2" i="17" s="1"/>
  <c r="AB53" i="17"/>
  <c r="HC56" i="17" a="1"/>
  <c r="HC56" i="17" s="1"/>
  <c r="HD56" i="17"/>
  <c r="Z37" i="17"/>
  <c r="HC21" i="17" a="1"/>
  <c r="HC21" i="17" s="1"/>
  <c r="HD21" i="17"/>
  <c r="P31" i="17" a="1"/>
  <c r="P31" i="17" s="1"/>
  <c r="M31" i="17" a="1"/>
  <c r="M31" i="17" s="1"/>
  <c r="E31" i="17"/>
  <c r="J31" i="17" a="1"/>
  <c r="J31" i="17" s="1"/>
  <c r="K31" i="17" a="1"/>
  <c r="K31" i="17" s="1"/>
  <c r="L31" i="17" a="1"/>
  <c r="L31" i="17" s="1"/>
  <c r="Q31" i="17" a="1"/>
  <c r="Q31" i="17" s="1"/>
  <c r="H31" i="17" a="1"/>
  <c r="H31" i="17" s="1"/>
  <c r="I31" i="17" a="1"/>
  <c r="I31" i="17" s="1"/>
  <c r="N31" i="17" a="1"/>
  <c r="N31" i="17" s="1"/>
  <c r="O31" i="17" a="1"/>
  <c r="O31" i="17" s="1"/>
  <c r="CY1" i="17"/>
  <c r="CY2" i="17" s="1"/>
  <c r="AA32" i="17"/>
  <c r="Z29" i="17"/>
  <c r="AA60" i="17"/>
  <c r="AB55" i="17"/>
  <c r="M15" i="17" a="1"/>
  <c r="M15" i="17" s="1"/>
  <c r="O15" i="17" a="1"/>
  <c r="O15" i="17" s="1"/>
  <c r="I15" i="17" a="1"/>
  <c r="I15" i="17" s="1"/>
  <c r="K15" i="17" a="1"/>
  <c r="K15" i="17" s="1"/>
  <c r="N15" i="17" a="1"/>
  <c r="N15" i="17" s="1"/>
  <c r="Q15" i="17" a="1"/>
  <c r="Q15" i="17" s="1"/>
  <c r="L15" i="17" a="1"/>
  <c r="L15" i="17" s="1"/>
  <c r="P15" i="17" a="1"/>
  <c r="P15" i="17" s="1"/>
  <c r="H15" i="17" a="1"/>
  <c r="H15" i="17" s="1"/>
  <c r="J15" i="17" a="1"/>
  <c r="J15" i="17" s="1"/>
  <c r="M78" i="17" a="1"/>
  <c r="M78" i="17" s="1"/>
  <c r="Q78" i="17" a="1"/>
  <c r="Q78" i="17" s="1"/>
  <c r="K78" i="17" a="1"/>
  <c r="K78" i="17" s="1"/>
  <c r="E78" i="17"/>
  <c r="L78" i="17" a="1"/>
  <c r="L78" i="17" s="1"/>
  <c r="O78" i="17" a="1"/>
  <c r="O78" i="17" s="1"/>
  <c r="N78" i="17" a="1"/>
  <c r="N78" i="17" s="1"/>
  <c r="H78" i="17" a="1"/>
  <c r="H78" i="17" s="1"/>
  <c r="J78" i="17" a="1"/>
  <c r="J78" i="17" s="1"/>
  <c r="P78" i="17" a="1"/>
  <c r="P78" i="17" s="1"/>
  <c r="I78" i="17" a="1"/>
  <c r="I78" i="17" s="1"/>
  <c r="J26" i="17" a="1"/>
  <c r="J26" i="17" s="1"/>
  <c r="H26" i="17" a="1"/>
  <c r="H26" i="17" s="1"/>
  <c r="L26" i="17" a="1"/>
  <c r="L26" i="17" s="1"/>
  <c r="M26" i="17" a="1"/>
  <c r="M26" i="17" s="1"/>
  <c r="Q26" i="17" a="1"/>
  <c r="Q26" i="17" s="1"/>
  <c r="I26" i="17" a="1"/>
  <c r="I26" i="17" s="1"/>
  <c r="O26" i="17" a="1"/>
  <c r="O26" i="17" s="1"/>
  <c r="P26" i="17" a="1"/>
  <c r="P26" i="17" s="1"/>
  <c r="K26" i="17" a="1"/>
  <c r="K26" i="17" s="1"/>
  <c r="E26" i="17"/>
  <c r="N26" i="17" a="1"/>
  <c r="N26" i="17" s="1"/>
  <c r="X65" i="17"/>
  <c r="X53" i="17"/>
  <c r="CV1" i="17"/>
  <c r="CV2" i="17" s="1"/>
  <c r="Z17" i="17"/>
  <c r="CZ1" i="17"/>
  <c r="CZ2" i="17" s="1"/>
  <c r="AB17" i="17"/>
  <c r="Q76" i="17" a="1"/>
  <c r="Q76" i="17" s="1"/>
  <c r="H76" i="17" a="1"/>
  <c r="H76" i="17" s="1"/>
  <c r="L76" i="17" a="1"/>
  <c r="L76" i="17" s="1"/>
  <c r="M76" i="17" a="1"/>
  <c r="M76" i="17" s="1"/>
  <c r="I76" i="17" a="1"/>
  <c r="I76" i="17" s="1"/>
  <c r="P76" i="17" a="1"/>
  <c r="P76" i="17" s="1"/>
  <c r="J76" i="17" a="1"/>
  <c r="J76" i="17" s="1"/>
  <c r="N76" i="17" a="1"/>
  <c r="N76" i="17" s="1"/>
  <c r="K76" i="17" a="1"/>
  <c r="K76" i="17" s="1"/>
  <c r="O76" i="17" a="1"/>
  <c r="O76" i="17" s="1"/>
  <c r="E76" i="17"/>
  <c r="AA50" i="17"/>
  <c r="AB37" i="17"/>
  <c r="W10" i="24"/>
  <c r="Y10" i="24" s="1"/>
  <c r="M46" i="17" a="1"/>
  <c r="M46" i="17" s="1"/>
  <c r="P46" i="17" a="1"/>
  <c r="P46" i="17" s="1"/>
  <c r="O46" i="17" a="1"/>
  <c r="O46" i="17" s="1"/>
  <c r="N46" i="17" a="1"/>
  <c r="N46" i="17" s="1"/>
  <c r="L46" i="17" a="1"/>
  <c r="L46" i="17" s="1"/>
  <c r="K46" i="17" a="1"/>
  <c r="K46" i="17" s="1"/>
  <c r="H46" i="17" a="1"/>
  <c r="H46" i="17" s="1"/>
  <c r="Q46" i="17" a="1"/>
  <c r="Q46" i="17" s="1"/>
  <c r="J46" i="17" a="1"/>
  <c r="J46" i="17" s="1"/>
  <c r="E46" i="17"/>
  <c r="I46" i="17" a="1"/>
  <c r="I46" i="17" s="1"/>
  <c r="AA66" i="17"/>
  <c r="Z19" i="17"/>
  <c r="Z85" i="17"/>
  <c r="AB51" i="17"/>
  <c r="Z30" i="17"/>
  <c r="AA45" i="17"/>
  <c r="X37" i="17"/>
  <c r="X72" i="17"/>
  <c r="AB40" i="17"/>
  <c r="M11" i="17" a="1"/>
  <c r="M11" i="17" s="1"/>
  <c r="O11" i="17" a="1"/>
  <c r="O11" i="17" s="1"/>
  <c r="E11" i="17"/>
  <c r="K11" i="17" a="1"/>
  <c r="K11" i="17" s="1"/>
  <c r="L11" i="17" a="1"/>
  <c r="L11" i="17" s="1"/>
  <c r="Q11" i="17" a="1"/>
  <c r="Q11" i="17" s="1"/>
  <c r="H11" i="17" a="1"/>
  <c r="H11" i="17" s="1"/>
  <c r="J11" i="17" a="1"/>
  <c r="J11" i="17" s="1"/>
  <c r="N11" i="17" a="1"/>
  <c r="N11" i="17" s="1"/>
  <c r="I11" i="17" a="1"/>
  <c r="I11" i="17" s="1"/>
  <c r="P11" i="17" a="1"/>
  <c r="P11" i="17" s="1"/>
  <c r="AB44" i="17"/>
  <c r="AA10" i="17"/>
  <c r="AA82" i="17"/>
  <c r="AA85" i="17"/>
  <c r="X57" i="17"/>
  <c r="AB41" i="17"/>
  <c r="Z47" i="17"/>
  <c r="AA73" i="17"/>
  <c r="X43" i="17"/>
  <c r="CS1" i="17"/>
  <c r="CS2" i="17" s="1"/>
  <c r="X73" i="17"/>
  <c r="O12" i="17" a="1"/>
  <c r="O12" i="17" s="1"/>
  <c r="H12" i="17" a="1"/>
  <c r="H12" i="17" s="1"/>
  <c r="J12" i="17" a="1"/>
  <c r="J12" i="17" s="1"/>
  <c r="P12" i="17" a="1"/>
  <c r="P12" i="17" s="1"/>
  <c r="E12" i="17"/>
  <c r="L12" i="17" a="1"/>
  <c r="L12" i="17" s="1"/>
  <c r="N12" i="17" a="1"/>
  <c r="N12" i="17" s="1"/>
  <c r="Q12" i="17" a="1"/>
  <c r="Q12" i="17" s="1"/>
  <c r="K12" i="17" a="1"/>
  <c r="K12" i="17" s="1"/>
  <c r="M12" i="17" a="1"/>
  <c r="M12" i="17" s="1"/>
  <c r="I12" i="17" a="1"/>
  <c r="I12" i="17" s="1"/>
  <c r="AB45" i="17"/>
  <c r="HD63" i="17"/>
  <c r="AA15" i="17"/>
  <c r="Z13" i="24"/>
  <c r="AA68" i="17"/>
  <c r="AB79" i="17"/>
  <c r="Z11" i="17"/>
  <c r="AB58" i="17"/>
  <c r="X52" i="17"/>
  <c r="Z43" i="17"/>
  <c r="AB85" i="17"/>
  <c r="X18" i="17"/>
  <c r="O84" i="17" a="1"/>
  <c r="O84" i="17" s="1"/>
  <c r="J84" i="17" a="1"/>
  <c r="J84" i="17" s="1"/>
  <c r="P84" i="17" a="1"/>
  <c r="P84" i="17" s="1"/>
  <c r="I84" i="17" a="1"/>
  <c r="I84" i="17" s="1"/>
  <c r="Q84" i="17" a="1"/>
  <c r="Q84" i="17" s="1"/>
  <c r="M84" i="17" a="1"/>
  <c r="M84" i="17" s="1"/>
  <c r="H84" i="17" a="1"/>
  <c r="H84" i="17" s="1"/>
  <c r="K84" i="17" a="1"/>
  <c r="K84" i="17" s="1"/>
  <c r="L84" i="17" a="1"/>
  <c r="L84" i="17" s="1"/>
  <c r="N84" i="17" a="1"/>
  <c r="N84" i="17" s="1"/>
  <c r="E84" i="17"/>
  <c r="EB99" i="17" a="1"/>
  <c r="EB99" i="17" s="1"/>
  <c r="Z8" i="17"/>
  <c r="M81" i="17" a="1"/>
  <c r="M81" i="17" s="1"/>
  <c r="L81" i="17" a="1"/>
  <c r="L81" i="17" s="1"/>
  <c r="K81" i="17" a="1"/>
  <c r="K81" i="17" s="1"/>
  <c r="H81" i="17" a="1"/>
  <c r="H81" i="17" s="1"/>
  <c r="J81" i="17" a="1"/>
  <c r="J81" i="17" s="1"/>
  <c r="N81" i="17" a="1"/>
  <c r="N81" i="17" s="1"/>
  <c r="Q81" i="17" a="1"/>
  <c r="Q81" i="17" s="1"/>
  <c r="P81" i="17" a="1"/>
  <c r="P81" i="17" s="1"/>
  <c r="I81" i="17" a="1"/>
  <c r="I81" i="17" s="1"/>
  <c r="O81" i="17" a="1"/>
  <c r="O81" i="17" s="1"/>
  <c r="L18" i="17" a="1"/>
  <c r="L18" i="17" s="1"/>
  <c r="Q18" i="17" a="1"/>
  <c r="Q18" i="17" s="1"/>
  <c r="K18" i="17" a="1"/>
  <c r="K18" i="17" s="1"/>
  <c r="P18" i="17" a="1"/>
  <c r="P18" i="17" s="1"/>
  <c r="H18" i="17" a="1"/>
  <c r="H18" i="17" s="1"/>
  <c r="I18" i="17" a="1"/>
  <c r="I18" i="17" s="1"/>
  <c r="J18" i="17" a="1"/>
  <c r="J18" i="17" s="1"/>
  <c r="E18" i="17"/>
  <c r="O18" i="17" a="1"/>
  <c r="O18" i="17" s="1"/>
  <c r="N18" i="17" a="1"/>
  <c r="N18" i="17" s="1"/>
  <c r="M18" i="17" a="1"/>
  <c r="M18" i="17" s="1"/>
  <c r="AA8" i="17"/>
  <c r="AA40" i="17"/>
  <c r="AB29" i="17"/>
  <c r="AA19" i="17"/>
  <c r="AA78" i="17"/>
  <c r="X86" i="17"/>
  <c r="AB11" i="17"/>
  <c r="Q64" i="17" a="1"/>
  <c r="Q64" i="17" s="1"/>
  <c r="E64" i="17"/>
  <c r="O64" i="17" a="1"/>
  <c r="O64" i="17" s="1"/>
  <c r="H64" i="17" a="1"/>
  <c r="H64" i="17" s="1"/>
  <c r="N64" i="17" a="1"/>
  <c r="N64" i="17" s="1"/>
  <c r="I64" i="17" a="1"/>
  <c r="I64" i="17" s="1"/>
  <c r="J64" i="17" a="1"/>
  <c r="J64" i="17" s="1"/>
  <c r="P64" i="17" a="1"/>
  <c r="P64" i="17" s="1"/>
  <c r="M64" i="17" a="1"/>
  <c r="M64" i="17" s="1"/>
  <c r="K64" i="17" a="1"/>
  <c r="K64" i="17" s="1"/>
  <c r="L64" i="17" a="1"/>
  <c r="L64" i="17" s="1"/>
  <c r="DD1" i="17"/>
  <c r="DD2" i="17" s="1"/>
  <c r="X64" i="17"/>
  <c r="AB27" i="17"/>
  <c r="X60" i="17"/>
  <c r="Z10" i="17"/>
  <c r="X46" i="17"/>
  <c r="F41" i="17"/>
  <c r="J41" i="17" a="1"/>
  <c r="J41" i="17" s="1"/>
  <c r="H41" i="17" a="1"/>
  <c r="H41" i="17" s="1"/>
  <c r="I41" i="17" a="1"/>
  <c r="I41" i="17" s="1"/>
  <c r="E41" i="17"/>
  <c r="K41" i="17" a="1"/>
  <c r="K41" i="17" s="1"/>
  <c r="Q41" i="17" a="1"/>
  <c r="Q41" i="17" s="1"/>
  <c r="A6" i="16" a="1"/>
  <c r="A6" i="16" s="1"/>
  <c r="AA26" i="17"/>
  <c r="N45" i="17" a="1"/>
  <c r="N45" i="17" s="1"/>
  <c r="H45" i="17" a="1"/>
  <c r="H45" i="17" s="1"/>
  <c r="P45" i="17" a="1"/>
  <c r="P45" i="17" s="1"/>
  <c r="O45" i="17" a="1"/>
  <c r="O45" i="17" s="1"/>
  <c r="L45" i="17" a="1"/>
  <c r="L45" i="17" s="1"/>
  <c r="J45" i="17" a="1"/>
  <c r="J45" i="17" s="1"/>
  <c r="E45" i="17"/>
  <c r="I45" i="17" a="1"/>
  <c r="I45" i="17" s="1"/>
  <c r="Q45" i="17" a="1"/>
  <c r="Q45" i="17" s="1"/>
  <c r="K45" i="17" a="1"/>
  <c r="K45" i="17" s="1"/>
  <c r="M45" i="17" a="1"/>
  <c r="M45" i="17" s="1"/>
  <c r="Z31" i="17"/>
  <c r="Z81" i="17"/>
  <c r="Z24" i="17"/>
  <c r="AB59" i="17"/>
  <c r="Z39" i="17"/>
  <c r="I43" i="17" a="1"/>
  <c r="I43" i="17" s="1"/>
  <c r="N43" i="17" a="1"/>
  <c r="N43" i="17" s="1"/>
  <c r="K43" i="17" a="1"/>
  <c r="K43" i="17" s="1"/>
  <c r="J43" i="17" a="1"/>
  <c r="J43" i="17" s="1"/>
  <c r="P43" i="17" a="1"/>
  <c r="P43" i="17" s="1"/>
  <c r="Q43" i="17" a="1"/>
  <c r="Q43" i="17" s="1"/>
  <c r="L43" i="17" a="1"/>
  <c r="L43" i="17" s="1"/>
  <c r="O43" i="17" a="1"/>
  <c r="O43" i="17" s="1"/>
  <c r="H43" i="17" a="1"/>
  <c r="H43" i="17" s="1"/>
  <c r="E43" i="17"/>
  <c r="M43" i="17" a="1"/>
  <c r="M43" i="17" s="1"/>
  <c r="AB76" i="17"/>
  <c r="IC33" i="17" l="1"/>
  <c r="IE41" i="17"/>
  <c r="X15" i="24"/>
  <c r="Y15" i="24"/>
  <c r="IC41" i="17"/>
  <c r="IE34" i="17"/>
  <c r="IC55" i="17"/>
  <c r="ID27" i="17"/>
  <c r="AA13" i="24"/>
  <c r="Y13" i="24"/>
  <c r="X13" i="24"/>
  <c r="AO34" i="19"/>
  <c r="AM34" i="19" s="1" a="1"/>
  <c r="AM34" i="19" s="1"/>
  <c r="AO19" i="19"/>
  <c r="AM19" i="19" s="1" a="1"/>
  <c r="AM19" i="19" s="1"/>
  <c r="AO16" i="19"/>
  <c r="AM16" i="19" s="1" a="1"/>
  <c r="AM16" i="19" s="1"/>
  <c r="AO8" i="19"/>
  <c r="AM8" i="19" s="1" a="1"/>
  <c r="AM8" i="19" s="1"/>
  <c r="AO33" i="19"/>
  <c r="AM33" i="19" s="1" a="1"/>
  <c r="AM33" i="19" s="1"/>
  <c r="AO13" i="19"/>
  <c r="AM13" i="19" s="1" a="1"/>
  <c r="AM13" i="19" s="1"/>
  <c r="AO10" i="19"/>
  <c r="AM10" i="19" s="1" a="1"/>
  <c r="AM10" i="19" s="1"/>
  <c r="AO26" i="19"/>
  <c r="AM26" i="19" s="1" a="1"/>
  <c r="AM26" i="19" s="1"/>
  <c r="AO31" i="19"/>
  <c r="AM31" i="19" s="1" a="1"/>
  <c r="AM31" i="19" s="1"/>
  <c r="AO18" i="19"/>
  <c r="AM18" i="19" s="1" a="1"/>
  <c r="AM18" i="19" s="1"/>
  <c r="AO15" i="19"/>
  <c r="AM15" i="19" s="1" a="1"/>
  <c r="AM15" i="19" s="1"/>
  <c r="AO23" i="19"/>
  <c r="AM23" i="19" s="1" a="1"/>
  <c r="AM23" i="19" s="1"/>
  <c r="AO37" i="19"/>
  <c r="AM37" i="19" s="1" a="1"/>
  <c r="AM37" i="19" s="1"/>
  <c r="AO32" i="19"/>
  <c r="AM32" i="19" s="1" a="1"/>
  <c r="AM32" i="19" s="1"/>
  <c r="AO30" i="19"/>
  <c r="AM30" i="19" s="1" a="1"/>
  <c r="AM30" i="19" s="1"/>
  <c r="AO9" i="19"/>
  <c r="AM9" i="19" s="1" a="1"/>
  <c r="AM9" i="19" s="1"/>
  <c r="AO24" i="19"/>
  <c r="AM24" i="19" s="1" a="1"/>
  <c r="AM24" i="19" s="1"/>
  <c r="AO25" i="19"/>
  <c r="AM25" i="19" s="1" a="1"/>
  <c r="AM25" i="19" s="1"/>
  <c r="AO22" i="19"/>
  <c r="AM22" i="19" s="1" a="1"/>
  <c r="AM22" i="19" s="1"/>
  <c r="AO29" i="19"/>
  <c r="AM29" i="19" s="1" a="1"/>
  <c r="AM29" i="19" s="1"/>
  <c r="AO21" i="19"/>
  <c r="AM21" i="19" s="1" a="1"/>
  <c r="AM21" i="19" s="1"/>
  <c r="AO12" i="19"/>
  <c r="AM12" i="19" s="1" a="1"/>
  <c r="AM12" i="19" s="1"/>
  <c r="AO35" i="19"/>
  <c r="AM35" i="19" s="1" a="1"/>
  <c r="AM35" i="19" s="1"/>
  <c r="AO11" i="19"/>
  <c r="AM11" i="19" s="1" a="1"/>
  <c r="AM11" i="19" s="1"/>
  <c r="AO28" i="19"/>
  <c r="AM28" i="19" s="1" a="1"/>
  <c r="AM28" i="19" s="1"/>
  <c r="AO17" i="19"/>
  <c r="AM17" i="19" s="1" a="1"/>
  <c r="AM17" i="19" s="1"/>
  <c r="AO27" i="19"/>
  <c r="AM27" i="19" s="1" a="1"/>
  <c r="AM27" i="19" s="1"/>
  <c r="AO36" i="19"/>
  <c r="AM36" i="19" s="1" a="1"/>
  <c r="AM36" i="19" s="1"/>
  <c r="AO20" i="19"/>
  <c r="AM20" i="19" s="1" a="1"/>
  <c r="AM20" i="19" s="1"/>
  <c r="AO14" i="19"/>
  <c r="AM14" i="19" s="1" a="1"/>
  <c r="AM14" i="19" s="1"/>
  <c r="F51" i="17"/>
  <c r="IF51" i="17"/>
  <c r="IG51" i="17"/>
  <c r="IE51" i="17"/>
  <c r="IJ51" i="17"/>
  <c r="IC51" i="17"/>
  <c r="ID51" i="17"/>
  <c r="IH51" i="17"/>
  <c r="IK51" i="17"/>
  <c r="S51" i="17"/>
  <c r="II51" i="17"/>
  <c r="IB51" i="17"/>
  <c r="T25" i="17"/>
  <c r="W25" i="17"/>
  <c r="U25" i="17"/>
  <c r="V25" i="17"/>
  <c r="Y25" i="17"/>
  <c r="Y58" i="17"/>
  <c r="W58" i="17"/>
  <c r="V58" i="17"/>
  <c r="U58" i="17"/>
  <c r="IG39" i="17"/>
  <c r="ID39" i="17"/>
  <c r="II39" i="17"/>
  <c r="S39" i="17"/>
  <c r="IH39" i="17"/>
  <c r="IF39" i="17"/>
  <c r="IJ39" i="17"/>
  <c r="IK39" i="17"/>
  <c r="IB39" i="17"/>
  <c r="F39" i="17"/>
  <c r="IC39" i="17"/>
  <c r="IE39" i="17"/>
  <c r="D21" i="16"/>
  <c r="I11" i="16"/>
  <c r="I32" i="16"/>
  <c r="G32" i="16" s="1"/>
  <c r="N36" i="16"/>
  <c r="L36" i="16" s="1"/>
  <c r="N9" i="16"/>
  <c r="L9" i="16" s="1"/>
  <c r="N20" i="16"/>
  <c r="L20" i="16" s="1"/>
  <c r="D29" i="16"/>
  <c r="B29" i="16" s="1"/>
  <c r="I13" i="16"/>
  <c r="I30" i="16"/>
  <c r="G30" i="16" s="1"/>
  <c r="I38" i="16"/>
  <c r="G38" i="16" s="1"/>
  <c r="D14" i="16"/>
  <c r="I9" i="16"/>
  <c r="D25" i="16"/>
  <c r="B25" i="16" s="1"/>
  <c r="I37" i="16"/>
  <c r="G37" i="16" s="1"/>
  <c r="D22" i="16"/>
  <c r="I26" i="16"/>
  <c r="G26" i="16" s="1"/>
  <c r="N13" i="16"/>
  <c r="L13" i="16" s="1"/>
  <c r="N10" i="16"/>
  <c r="L10" i="16" s="1"/>
  <c r="I18" i="16"/>
  <c r="D31" i="16"/>
  <c r="B31" i="16" s="1"/>
  <c r="D35" i="16"/>
  <c r="B35" i="16" s="1"/>
  <c r="I25" i="16"/>
  <c r="G25" i="16" s="1"/>
  <c r="I39" i="16"/>
  <c r="G39" i="16" s="1"/>
  <c r="N22" i="16"/>
  <c r="L22" i="16" s="1"/>
  <c r="N24" i="16"/>
  <c r="L24" i="16" s="1"/>
  <c r="D24" i="16"/>
  <c r="B24" i="16" s="1"/>
  <c r="D13" i="16"/>
  <c r="N33" i="16"/>
  <c r="L33" i="16" s="1"/>
  <c r="D12" i="16"/>
  <c r="I22" i="16"/>
  <c r="N16" i="16"/>
  <c r="L16" i="16" s="1"/>
  <c r="I23" i="16"/>
  <c r="I16" i="16"/>
  <c r="D37" i="16"/>
  <c r="B37" i="16" s="1"/>
  <c r="I28" i="16"/>
  <c r="G28" i="16" s="1"/>
  <c r="I15" i="16"/>
  <c r="I10" i="16"/>
  <c r="N14" i="16"/>
  <c r="L14" i="16" s="1"/>
  <c r="I34" i="16"/>
  <c r="G34" i="16" s="1"/>
  <c r="D36" i="16"/>
  <c r="B36" i="16" s="1"/>
  <c r="N23" i="16"/>
  <c r="L23" i="16" s="1"/>
  <c r="D20" i="16"/>
  <c r="N39" i="16"/>
  <c r="L39" i="16" s="1"/>
  <c r="I12" i="16"/>
  <c r="D34" i="16"/>
  <c r="B34" i="16" s="1"/>
  <c r="N8" i="16"/>
  <c r="L8" i="16" s="1"/>
  <c r="N37" i="16"/>
  <c r="L37" i="16" s="1"/>
  <c r="I35" i="16"/>
  <c r="G35" i="16" s="1"/>
  <c r="N29" i="16"/>
  <c r="L29" i="16" s="1"/>
  <c r="N21" i="16"/>
  <c r="L21" i="16" s="1"/>
  <c r="D18" i="16"/>
  <c r="D26" i="16"/>
  <c r="B26" i="16" s="1"/>
  <c r="N11" i="16"/>
  <c r="L11" i="16" s="1"/>
  <c r="I21" i="16"/>
  <c r="I19" i="16"/>
  <c r="N12" i="16"/>
  <c r="L12" i="16" s="1"/>
  <c r="D10" i="16"/>
  <c r="N19" i="16"/>
  <c r="L19" i="16" s="1"/>
  <c r="D33" i="16"/>
  <c r="B33" i="16" s="1"/>
  <c r="N15" i="16"/>
  <c r="L15" i="16" s="1"/>
  <c r="D28" i="16"/>
  <c r="B28" i="16" s="1"/>
  <c r="D16" i="16"/>
  <c r="I14" i="16"/>
  <c r="I29" i="16"/>
  <c r="G29" i="16" s="1"/>
  <c r="N32" i="16"/>
  <c r="L32" i="16" s="1"/>
  <c r="D32" i="16"/>
  <c r="B32" i="16" s="1"/>
  <c r="I33" i="16"/>
  <c r="G33" i="16" s="1"/>
  <c r="I20" i="16"/>
  <c r="D17" i="16"/>
  <c r="N27" i="16"/>
  <c r="L27" i="16" s="1"/>
  <c r="D19" i="16"/>
  <c r="I8" i="16"/>
  <c r="G8" i="16" s="1"/>
  <c r="I36" i="16"/>
  <c r="G36" i="16" s="1"/>
  <c r="D39" i="16"/>
  <c r="B39" i="16" s="1"/>
  <c r="N26" i="16"/>
  <c r="L26" i="16" s="1"/>
  <c r="N38" i="16"/>
  <c r="L38" i="16" s="1"/>
  <c r="N18" i="16"/>
  <c r="L18" i="16" s="1"/>
  <c r="D30" i="16"/>
  <c r="B30" i="16" s="1"/>
  <c r="N34" i="16"/>
  <c r="L34" i="16" s="1"/>
  <c r="N25" i="16"/>
  <c r="L25" i="16" s="1"/>
  <c r="D8" i="16"/>
  <c r="B8" i="16" s="1"/>
  <c r="D11" i="16"/>
  <c r="N17" i="16"/>
  <c r="L17" i="16" s="1"/>
  <c r="N30" i="16"/>
  <c r="L30" i="16" s="1"/>
  <c r="D38" i="16"/>
  <c r="B38" i="16" s="1"/>
  <c r="N40" i="16"/>
  <c r="L40" i="16" s="1"/>
  <c r="D9" i="16"/>
  <c r="B9" i="16" s="1"/>
  <c r="I27" i="16"/>
  <c r="G27" i="16" s="1"/>
  <c r="I17" i="16"/>
  <c r="N31" i="16"/>
  <c r="L31" i="16" s="1"/>
  <c r="I24" i="16"/>
  <c r="G24" i="16" s="1"/>
  <c r="I40" i="16"/>
  <c r="G40" i="16" s="1"/>
  <c r="D40" i="16"/>
  <c r="B40" i="16" s="1"/>
  <c r="N28" i="16"/>
  <c r="L28" i="16" s="1"/>
  <c r="N35" i="16"/>
  <c r="L35" i="16" s="1"/>
  <c r="D27" i="16"/>
  <c r="B27" i="16" s="1"/>
  <c r="D23" i="16"/>
  <c r="D15" i="16"/>
  <c r="I31" i="16"/>
  <c r="G31" i="16" s="1"/>
  <c r="IJ19" i="17"/>
  <c r="IG19" i="17"/>
  <c r="IC19" i="17"/>
  <c r="ID19" i="17"/>
  <c r="II19" i="17"/>
  <c r="S19" i="17"/>
  <c r="IE19" i="17"/>
  <c r="IB19" i="17"/>
  <c r="F19" i="17"/>
  <c r="IK19" i="17"/>
  <c r="IF19" i="17"/>
  <c r="IH19" i="17"/>
  <c r="IK81" i="17"/>
  <c r="IG81" i="17"/>
  <c r="IF81" i="17"/>
  <c r="IJ81" i="17"/>
  <c r="IB81" i="17"/>
  <c r="ID81" i="17"/>
  <c r="F81" i="17"/>
  <c r="II81" i="17"/>
  <c r="IE81" i="17"/>
  <c r="IC81" i="17"/>
  <c r="IH81" i="17"/>
  <c r="S81" i="17"/>
  <c r="IK26" i="17"/>
  <c r="S26" i="17"/>
  <c r="F26" i="17"/>
  <c r="G26" i="17" s="1"/>
  <c r="IE26" i="17"/>
  <c r="IB26" i="17"/>
  <c r="IF26" i="17"/>
  <c r="IC26" i="17"/>
  <c r="ID26" i="17"/>
  <c r="II26" i="17"/>
  <c r="IG26" i="17"/>
  <c r="IJ26" i="17"/>
  <c r="IH26" i="17"/>
  <c r="IE44" i="17"/>
  <c r="ID44" i="17"/>
  <c r="IG44" i="17"/>
  <c r="II44" i="17"/>
  <c r="IH44" i="17"/>
  <c r="IC44" i="17"/>
  <c r="IK44" i="17"/>
  <c r="S44" i="17"/>
  <c r="IJ44" i="17"/>
  <c r="IF44" i="17"/>
  <c r="IB44" i="17"/>
  <c r="F44" i="17"/>
  <c r="W23" i="17"/>
  <c r="Y23" i="17"/>
  <c r="T23" i="17"/>
  <c r="U23" i="17"/>
  <c r="V23" i="17"/>
  <c r="IF70" i="17"/>
  <c r="IK70" i="17"/>
  <c r="IH70" i="17"/>
  <c r="II70" i="17"/>
  <c r="IJ70" i="17"/>
  <c r="S70" i="17"/>
  <c r="IB70" i="17"/>
  <c r="IG70" i="17"/>
  <c r="IC70" i="17"/>
  <c r="F70" i="17"/>
  <c r="G70" i="17" s="1"/>
  <c r="ID70" i="17"/>
  <c r="IE70" i="17"/>
  <c r="Y29" i="17"/>
  <c r="V29" i="17"/>
  <c r="W29" i="17"/>
  <c r="T29" i="17"/>
  <c r="U29" i="17"/>
  <c r="IE33" i="17"/>
  <c r="U71" i="17"/>
  <c r="W71" i="17"/>
  <c r="V71" i="17"/>
  <c r="Y71" i="17"/>
  <c r="T71" i="17"/>
  <c r="IK55" i="17"/>
  <c r="S55" i="17"/>
  <c r="IB55" i="17"/>
  <c r="IK27" i="17"/>
  <c r="IB27" i="17"/>
  <c r="S27" i="17"/>
  <c r="IG25" i="17"/>
  <c r="IC25" i="17"/>
  <c r="IK25" i="17"/>
  <c r="S25" i="17"/>
  <c r="IF25" i="17"/>
  <c r="IB25" i="17"/>
  <c r="IE25" i="17"/>
  <c r="IH25" i="17"/>
  <c r="F25" i="17"/>
  <c r="IJ25" i="17"/>
  <c r="II25" i="17"/>
  <c r="ID25" i="17"/>
  <c r="Y17" i="17"/>
  <c r="V17" i="17"/>
  <c r="T17" i="17"/>
  <c r="U17" i="17"/>
  <c r="W17" i="17"/>
  <c r="IE55" i="17"/>
  <c r="Y12" i="24"/>
  <c r="U19" i="17"/>
  <c r="T19" i="17"/>
  <c r="V19" i="17"/>
  <c r="Y19" i="17"/>
  <c r="W19" i="17"/>
  <c r="V86" i="17"/>
  <c r="T86" i="17"/>
  <c r="U86" i="17"/>
  <c r="W86" i="17"/>
  <c r="Y86" i="17"/>
  <c r="IC27" i="17"/>
  <c r="U9" i="17"/>
  <c r="W9" i="17"/>
  <c r="T9" i="17"/>
  <c r="Y9" i="17"/>
  <c r="V9" i="17"/>
  <c r="IJ52" i="17"/>
  <c r="F52" i="17"/>
  <c r="IK52" i="17"/>
  <c r="IC52" i="17"/>
  <c r="IF52" i="17"/>
  <c r="S52" i="17"/>
  <c r="IE52" i="17"/>
  <c r="IH52" i="17"/>
  <c r="IG52" i="17"/>
  <c r="ID52" i="17"/>
  <c r="II52" i="17"/>
  <c r="IB52" i="17"/>
  <c r="Y9" i="24"/>
  <c r="AA12" i="24"/>
  <c r="IC47" i="17"/>
  <c r="IF47" i="17"/>
  <c r="IE47" i="17"/>
  <c r="F47" i="17"/>
  <c r="IJ47" i="17"/>
  <c r="IK47" i="17"/>
  <c r="IG47" i="17"/>
  <c r="S47" i="17"/>
  <c r="ID47" i="17"/>
  <c r="II47" i="17"/>
  <c r="IH47" i="17"/>
  <c r="IB47" i="17"/>
  <c r="IC30" i="17"/>
  <c r="IF30" i="17"/>
  <c r="S30" i="17"/>
  <c r="IB30" i="17"/>
  <c r="II30" i="17"/>
  <c r="F30" i="17"/>
  <c r="IH30" i="17"/>
  <c r="ID30" i="17"/>
  <c r="IK30" i="17"/>
  <c r="IG30" i="17"/>
  <c r="IJ30" i="17"/>
  <c r="IE30" i="17"/>
  <c r="S38" i="17"/>
  <c r="IE38" i="17"/>
  <c r="IK38" i="17"/>
  <c r="IJ38" i="17"/>
  <c r="IB38" i="17"/>
  <c r="IG38" i="17"/>
  <c r="ID38" i="17"/>
  <c r="IF38" i="17"/>
  <c r="IH38" i="17"/>
  <c r="F38" i="17"/>
  <c r="IC38" i="17"/>
  <c r="II38" i="17"/>
  <c r="AA9" i="24"/>
  <c r="F10" i="17"/>
  <c r="IG10" i="17"/>
  <c r="ID10" i="17"/>
  <c r="IC10" i="17"/>
  <c r="IK10" i="17"/>
  <c r="IH10" i="17"/>
  <c r="II10" i="17"/>
  <c r="IE10" i="17"/>
  <c r="IF10" i="17"/>
  <c r="S10" i="17"/>
  <c r="IB10" i="17"/>
  <c r="IJ10" i="17"/>
  <c r="Y65" i="17"/>
  <c r="V65" i="17"/>
  <c r="W65" i="17"/>
  <c r="U65" i="17"/>
  <c r="T65" i="17"/>
  <c r="Y80" i="17"/>
  <c r="W80" i="17"/>
  <c r="T80" i="17"/>
  <c r="U80" i="17"/>
  <c r="V80" i="17"/>
  <c r="IB41" i="17"/>
  <c r="IK41" i="17"/>
  <c r="S41" i="17"/>
  <c r="AI31" i="19"/>
  <c r="AG31" i="19" s="1"/>
  <c r="AI8" i="19"/>
  <c r="AG8" i="19" s="1"/>
  <c r="AI36" i="19"/>
  <c r="AG36" i="19" s="1"/>
  <c r="AI35" i="19"/>
  <c r="AG35" i="19" s="1"/>
  <c r="AI33" i="19"/>
  <c r="AG33" i="19" s="1"/>
  <c r="AI13" i="19"/>
  <c r="AI14" i="19"/>
  <c r="AI25" i="19"/>
  <c r="AI11" i="19"/>
  <c r="AI44" i="19"/>
  <c r="AG44" i="19" s="1"/>
  <c r="AI9" i="19"/>
  <c r="AI12" i="19"/>
  <c r="AI22" i="19"/>
  <c r="AI26" i="19"/>
  <c r="AI19" i="19"/>
  <c r="AI37" i="19"/>
  <c r="AG37" i="19" s="1"/>
  <c r="AI15" i="19"/>
  <c r="AI48" i="19"/>
  <c r="AG48" i="19" s="1"/>
  <c r="AI24" i="19"/>
  <c r="AI45" i="19"/>
  <c r="AG45" i="19" s="1"/>
  <c r="AI23" i="19"/>
  <c r="AI28" i="19"/>
  <c r="AI47" i="19"/>
  <c r="AG47" i="19" s="1"/>
  <c r="AI40" i="19"/>
  <c r="AG40" i="19" s="1"/>
  <c r="AI30" i="19"/>
  <c r="AI18" i="19"/>
  <c r="AI41" i="19"/>
  <c r="AG41" i="19" s="1"/>
  <c r="AI42" i="19"/>
  <c r="AG42" i="19" s="1"/>
  <c r="AI20" i="19"/>
  <c r="AI16" i="19"/>
  <c r="AI21" i="19"/>
  <c r="AI32" i="19"/>
  <c r="AG32" i="19" s="1"/>
  <c r="AI27" i="19"/>
  <c r="AI34" i="19"/>
  <c r="AG34" i="19" s="1"/>
  <c r="AI43" i="19"/>
  <c r="AG43" i="19" s="1"/>
  <c r="AI38" i="19"/>
  <c r="AG38" i="19" s="1"/>
  <c r="AI17" i="19"/>
  <c r="AI10" i="19"/>
  <c r="AG10" i="19" s="1"/>
  <c r="AI39" i="19"/>
  <c r="AG39" i="19" s="1"/>
  <c r="AI29" i="19"/>
  <c r="AI46" i="19"/>
  <c r="AG46" i="19" s="1"/>
  <c r="IC77" i="17"/>
  <c r="IG77" i="17"/>
  <c r="II77" i="17"/>
  <c r="IJ77" i="17"/>
  <c r="IF77" i="17"/>
  <c r="IH77" i="17"/>
  <c r="S77" i="17"/>
  <c r="IB77" i="17"/>
  <c r="ID77" i="17"/>
  <c r="IK77" i="17"/>
  <c r="F77" i="17"/>
  <c r="G77" i="17" s="1"/>
  <c r="IE77" i="17"/>
  <c r="IE27" i="17"/>
  <c r="W51" i="17"/>
  <c r="U51" i="17"/>
  <c r="T51" i="17"/>
  <c r="V51" i="17"/>
  <c r="Y51" i="17"/>
  <c r="Y82" i="17"/>
  <c r="W82" i="17"/>
  <c r="T82" i="17"/>
  <c r="V82" i="17"/>
  <c r="U82" i="17"/>
  <c r="W38" i="17"/>
  <c r="U38" i="17"/>
  <c r="T38" i="17"/>
  <c r="Y38" i="17"/>
  <c r="V38" i="17"/>
  <c r="IF67" i="17"/>
  <c r="IJ67" i="17"/>
  <c r="S67" i="17"/>
  <c r="F67" i="17"/>
  <c r="IB67" i="17"/>
  <c r="ID67" i="17"/>
  <c r="II67" i="17"/>
  <c r="IE67" i="17"/>
  <c r="IG67" i="17"/>
  <c r="IC67" i="17"/>
  <c r="IH67" i="17"/>
  <c r="IK67" i="17"/>
  <c r="Y10" i="17"/>
  <c r="T10" i="17"/>
  <c r="W10" i="17"/>
  <c r="U10" i="17"/>
  <c r="V10" i="17"/>
  <c r="JJ33" i="17"/>
  <c r="JI33" i="17"/>
  <c r="JD33" i="17"/>
  <c r="JC33" i="17"/>
  <c r="JH33" i="17"/>
  <c r="JK33" i="17"/>
  <c r="IX33" i="17"/>
  <c r="IY33" i="17" s="1"/>
  <c r="JE33" i="17"/>
  <c r="JB33" i="17"/>
  <c r="JG33" i="17"/>
  <c r="JF33" i="17"/>
  <c r="W69" i="17"/>
  <c r="T69" i="17"/>
  <c r="Y69" i="17"/>
  <c r="U69" i="17"/>
  <c r="V69" i="17"/>
  <c r="ID18" i="17"/>
  <c r="IG18" i="17"/>
  <c r="F18" i="17"/>
  <c r="S18" i="17"/>
  <c r="II18" i="17"/>
  <c r="IC18" i="17"/>
  <c r="IK18" i="17"/>
  <c r="IJ18" i="17"/>
  <c r="IF18" i="17"/>
  <c r="IH18" i="17"/>
  <c r="IB18" i="17"/>
  <c r="IE18" i="17"/>
  <c r="U30" i="17"/>
  <c r="W30" i="17"/>
  <c r="T30" i="17"/>
  <c r="Y30" i="17"/>
  <c r="V30" i="17"/>
  <c r="U73" i="17"/>
  <c r="Y73" i="17"/>
  <c r="T73" i="17"/>
  <c r="W73" i="17"/>
  <c r="V73" i="17"/>
  <c r="IF66" i="17"/>
  <c r="IC66" i="17"/>
  <c r="F66" i="17"/>
  <c r="G66" i="17" s="1"/>
  <c r="II66" i="17"/>
  <c r="IB66" i="17"/>
  <c r="IJ66" i="17"/>
  <c r="IG66" i="17"/>
  <c r="ID66" i="17"/>
  <c r="IH66" i="17"/>
  <c r="IK66" i="17"/>
  <c r="S66" i="17"/>
  <c r="IE66" i="17"/>
  <c r="W85" i="17"/>
  <c r="Y85" i="17"/>
  <c r="V85" i="17"/>
  <c r="T85" i="17"/>
  <c r="U85" i="17"/>
  <c r="ID20" i="17"/>
  <c r="S20" i="17"/>
  <c r="IK20" i="17"/>
  <c r="F71" i="17"/>
  <c r="IC71" i="17"/>
  <c r="ID71" i="17"/>
  <c r="II71" i="17"/>
  <c r="IK71" i="17"/>
  <c r="IE71" i="17"/>
  <c r="IJ71" i="17"/>
  <c r="IH71" i="17"/>
  <c r="S71" i="17"/>
  <c r="IF71" i="17"/>
  <c r="IB71" i="17"/>
  <c r="IG71" i="17"/>
  <c r="ID41" i="17"/>
  <c r="IJ8" i="17"/>
  <c r="F8" i="17"/>
  <c r="IE8" i="17"/>
  <c r="IF8" i="17"/>
  <c r="ID8" i="17"/>
  <c r="IH8" i="17"/>
  <c r="II8" i="17"/>
  <c r="IK8" i="17"/>
  <c r="IG8" i="17"/>
  <c r="IB8" i="17"/>
  <c r="IC8" i="17"/>
  <c r="S8" i="17"/>
  <c r="S85" i="17"/>
  <c r="IB85" i="17"/>
  <c r="F85" i="17"/>
  <c r="G85" i="17" s="1"/>
  <c r="ID85" i="17"/>
  <c r="IC85" i="17"/>
  <c r="IJ85" i="17"/>
  <c r="IF85" i="17"/>
  <c r="IK85" i="17"/>
  <c r="II85" i="17"/>
  <c r="IH85" i="17"/>
  <c r="IG85" i="17"/>
  <c r="IE85" i="17"/>
  <c r="X23" i="16"/>
  <c r="V23" i="16" s="1" a="1"/>
  <c r="V23" i="16" s="1"/>
  <c r="X9" i="16"/>
  <c r="V9" i="16" s="1" a="1"/>
  <c r="V9" i="16" s="1"/>
  <c r="X26" i="16"/>
  <c r="V26" i="16" s="1" a="1"/>
  <c r="V26" i="16" s="1"/>
  <c r="X40" i="16"/>
  <c r="V40" i="16" s="1" a="1"/>
  <c r="V40" i="16" s="1"/>
  <c r="X22" i="16"/>
  <c r="V22" i="16" s="1" a="1"/>
  <c r="V22" i="16" s="1"/>
  <c r="X34" i="16"/>
  <c r="V34" i="16" s="1" a="1"/>
  <c r="V34" i="16" s="1"/>
  <c r="X38" i="16"/>
  <c r="V38" i="16" s="1" a="1"/>
  <c r="V38" i="16" s="1"/>
  <c r="X39" i="16"/>
  <c r="V39" i="16" s="1" a="1"/>
  <c r="V39" i="16" s="1"/>
  <c r="X33" i="16"/>
  <c r="V33" i="16" s="1" a="1"/>
  <c r="V33" i="16" s="1"/>
  <c r="X11" i="16"/>
  <c r="V11" i="16" s="1" a="1"/>
  <c r="V11" i="16" s="1"/>
  <c r="X17" i="16"/>
  <c r="V17" i="16" s="1" a="1"/>
  <c r="V17" i="16" s="1"/>
  <c r="X32" i="16"/>
  <c r="V32" i="16" s="1" a="1"/>
  <c r="V32" i="16" s="1"/>
  <c r="X37" i="16"/>
  <c r="V37" i="16" s="1" a="1"/>
  <c r="V37" i="16" s="1"/>
  <c r="X24" i="16"/>
  <c r="V24" i="16" s="1" a="1"/>
  <c r="V24" i="16" s="1"/>
  <c r="X25" i="16"/>
  <c r="V25" i="16" s="1" a="1"/>
  <c r="V25" i="16" s="1"/>
  <c r="X13" i="16"/>
  <c r="V13" i="16" s="1" a="1"/>
  <c r="V13" i="16" s="1"/>
  <c r="X15" i="16"/>
  <c r="V15" i="16" s="1" a="1"/>
  <c r="V15" i="16" s="1"/>
  <c r="X31" i="16"/>
  <c r="V31" i="16" s="1" a="1"/>
  <c r="V31" i="16" s="1"/>
  <c r="X27" i="16"/>
  <c r="V27" i="16" s="1" a="1"/>
  <c r="V27" i="16" s="1"/>
  <c r="X10" i="16"/>
  <c r="V10" i="16" s="1" a="1"/>
  <c r="V10" i="16" s="1"/>
  <c r="X29" i="16"/>
  <c r="V29" i="16" s="1" a="1"/>
  <c r="V29" i="16" s="1"/>
  <c r="X21" i="16"/>
  <c r="V21" i="16" s="1" a="1"/>
  <c r="V21" i="16" s="1"/>
  <c r="X14" i="16"/>
  <c r="V14" i="16" s="1" a="1"/>
  <c r="V14" i="16" s="1"/>
  <c r="X28" i="16"/>
  <c r="V28" i="16" s="1" a="1"/>
  <c r="V28" i="16" s="1"/>
  <c r="X16" i="16"/>
  <c r="V16" i="16" s="1" a="1"/>
  <c r="V16" i="16" s="1"/>
  <c r="X18" i="16"/>
  <c r="V18" i="16" s="1" a="1"/>
  <c r="V18" i="16" s="1"/>
  <c r="X35" i="16"/>
  <c r="V35" i="16" s="1" a="1"/>
  <c r="V35" i="16" s="1"/>
  <c r="X12" i="16"/>
  <c r="V12" i="16" s="1" a="1"/>
  <c r="V12" i="16" s="1"/>
  <c r="X20" i="16"/>
  <c r="V20" i="16" s="1" a="1"/>
  <c r="V20" i="16" s="1"/>
  <c r="X30" i="16"/>
  <c r="V30" i="16" s="1" a="1"/>
  <c r="V30" i="16" s="1"/>
  <c r="X19" i="16"/>
  <c r="V19" i="16" s="1" a="1"/>
  <c r="V19" i="16" s="1"/>
  <c r="X36" i="16"/>
  <c r="V36" i="16" s="1" a="1"/>
  <c r="V36" i="16" s="1"/>
  <c r="X8" i="16"/>
  <c r="V8" i="16" s="1" a="1"/>
  <c r="V8" i="16" s="1"/>
  <c r="U81" i="17"/>
  <c r="Y81" i="17"/>
  <c r="T81" i="17"/>
  <c r="W81" i="17"/>
  <c r="V81" i="17"/>
  <c r="IH78" i="17"/>
  <c r="IF78" i="17"/>
  <c r="S78" i="17"/>
  <c r="IE78" i="17"/>
  <c r="IB78" i="17"/>
  <c r="IG78" i="17"/>
  <c r="IC78" i="17"/>
  <c r="ID78" i="17"/>
  <c r="IK78" i="17"/>
  <c r="F78" i="17"/>
  <c r="II78" i="17"/>
  <c r="IJ78" i="17"/>
  <c r="T64" i="17"/>
  <c r="U64" i="17"/>
  <c r="W64" i="17"/>
  <c r="Y64" i="17"/>
  <c r="V64" i="17"/>
  <c r="V84" i="17"/>
  <c r="T84" i="17"/>
  <c r="Y84" i="17"/>
  <c r="W84" i="17"/>
  <c r="U84" i="17"/>
  <c r="V76" i="17"/>
  <c r="Y76" i="17"/>
  <c r="T76" i="17"/>
  <c r="W76" i="17"/>
  <c r="U76" i="17"/>
  <c r="W8" i="17"/>
  <c r="T8" i="17"/>
  <c r="U8" i="17"/>
  <c r="Y8" i="17"/>
  <c r="V8" i="17"/>
  <c r="IK74" i="17"/>
  <c r="ID74" i="17"/>
  <c r="IG74" i="17"/>
  <c r="S74" i="17"/>
  <c r="IH74" i="17"/>
  <c r="II74" i="17"/>
  <c r="IB74" i="17"/>
  <c r="IF74" i="17"/>
  <c r="IJ74" i="17"/>
  <c r="IC74" i="17"/>
  <c r="F74" i="17"/>
  <c r="G74" i="17" s="1"/>
  <c r="IE74" i="17"/>
  <c r="IC73" i="17"/>
  <c r="IB73" i="17"/>
  <c r="II73" i="17"/>
  <c r="F73" i="17"/>
  <c r="IJ73" i="17"/>
  <c r="S73" i="17"/>
  <c r="IF73" i="17"/>
  <c r="IG73" i="17"/>
  <c r="IH73" i="17"/>
  <c r="IE73" i="17"/>
  <c r="ID73" i="17"/>
  <c r="IK73" i="17"/>
  <c r="U50" i="17"/>
  <c r="W50" i="17"/>
  <c r="T50" i="17"/>
  <c r="Y50" i="17"/>
  <c r="V50" i="17"/>
  <c r="V45" i="17"/>
  <c r="Y45" i="17"/>
  <c r="W45" i="17"/>
  <c r="U45" i="17"/>
  <c r="T45" i="17"/>
  <c r="IH12" i="17"/>
  <c r="IE12" i="17"/>
  <c r="IK12" i="17"/>
  <c r="IF12" i="17"/>
  <c r="II12" i="17"/>
  <c r="IB12" i="17"/>
  <c r="IC12" i="17"/>
  <c r="S12" i="17"/>
  <c r="IG12" i="17"/>
  <c r="F12" i="17"/>
  <c r="ID12" i="17"/>
  <c r="IJ12" i="17"/>
  <c r="Y68" i="17"/>
  <c r="T68" i="17"/>
  <c r="V68" i="17"/>
  <c r="U68" i="17"/>
  <c r="W68" i="17"/>
  <c r="IF22" i="17"/>
  <c r="ID22" i="17"/>
  <c r="IK22" i="17"/>
  <c r="S22" i="17"/>
  <c r="IH22" i="17"/>
  <c r="IC22" i="17"/>
  <c r="II22" i="17"/>
  <c r="IE22" i="17"/>
  <c r="IJ22" i="17"/>
  <c r="IB22" i="17"/>
  <c r="F22" i="17"/>
  <c r="IG22" i="17"/>
  <c r="S54" i="17"/>
  <c r="IB36" i="17"/>
  <c r="IF36" i="17"/>
  <c r="II36" i="17"/>
  <c r="IJ36" i="17"/>
  <c r="ID36" i="17"/>
  <c r="IK36" i="17"/>
  <c r="F36" i="17"/>
  <c r="IG36" i="17"/>
  <c r="IH36" i="17"/>
  <c r="IC36" i="17"/>
  <c r="IE36" i="17"/>
  <c r="S36" i="17"/>
  <c r="X11" i="24"/>
  <c r="IC9" i="17"/>
  <c r="IF9" i="17"/>
  <c r="IB9" i="17"/>
  <c r="S9" i="17"/>
  <c r="IJ9" i="17"/>
  <c r="F9" i="17"/>
  <c r="IE9" i="17"/>
  <c r="IG9" i="17"/>
  <c r="II9" i="17"/>
  <c r="ID9" i="17"/>
  <c r="IK9" i="17"/>
  <c r="IH9" i="17"/>
  <c r="IB75" i="17"/>
  <c r="IE75" i="17"/>
  <c r="IC75" i="17"/>
  <c r="IK75" i="17"/>
  <c r="F75" i="17"/>
  <c r="G75" i="17" s="1"/>
  <c r="IF75" i="17"/>
  <c r="II75" i="17"/>
  <c r="IG75" i="17"/>
  <c r="IH75" i="17"/>
  <c r="S75" i="17"/>
  <c r="IJ75" i="17"/>
  <c r="ID75" i="17"/>
  <c r="IG50" i="17"/>
  <c r="II50" i="17"/>
  <c r="IF50" i="17"/>
  <c r="F50" i="17"/>
  <c r="IB50" i="17"/>
  <c r="IE50" i="17"/>
  <c r="IC50" i="17"/>
  <c r="IK50" i="17"/>
  <c r="IJ50" i="17"/>
  <c r="IH50" i="17"/>
  <c r="S50" i="17"/>
  <c r="ID50" i="17"/>
  <c r="IC53" i="17"/>
  <c r="II53" i="17"/>
  <c r="IF53" i="17"/>
  <c r="F53" i="17"/>
  <c r="ID53" i="17"/>
  <c r="IB53" i="17"/>
  <c r="IK53" i="17"/>
  <c r="S53" i="17"/>
  <c r="IJ53" i="17"/>
  <c r="IE53" i="17"/>
  <c r="IG53" i="17"/>
  <c r="IH53" i="17"/>
  <c r="Y18" i="17"/>
  <c r="U18" i="17"/>
  <c r="V18" i="17"/>
  <c r="T18" i="17"/>
  <c r="W18" i="17"/>
  <c r="T43" i="17"/>
  <c r="U43" i="17"/>
  <c r="Y43" i="17"/>
  <c r="W43" i="17"/>
  <c r="V43" i="17"/>
  <c r="IG64" i="17"/>
  <c r="IC64" i="17"/>
  <c r="II64" i="17"/>
  <c r="S64" i="17"/>
  <c r="F64" i="17"/>
  <c r="IH64" i="17"/>
  <c r="IJ64" i="17"/>
  <c r="IB64" i="17"/>
  <c r="IF64" i="17"/>
  <c r="IE64" i="17"/>
  <c r="ID64" i="17"/>
  <c r="IK64" i="17"/>
  <c r="Y12" i="17"/>
  <c r="V12" i="17"/>
  <c r="W12" i="17"/>
  <c r="U12" i="17"/>
  <c r="T12" i="17"/>
  <c r="U31" i="17"/>
  <c r="Y31" i="17"/>
  <c r="W31" i="17"/>
  <c r="V31" i="17"/>
  <c r="T31" i="17"/>
  <c r="ID43" i="17"/>
  <c r="F43" i="17"/>
  <c r="IB43" i="17"/>
  <c r="IC43" i="17"/>
  <c r="IG43" i="17"/>
  <c r="IH43" i="17"/>
  <c r="IK43" i="17"/>
  <c r="IE43" i="17"/>
  <c r="S43" i="17"/>
  <c r="IJ43" i="17"/>
  <c r="IF43" i="17"/>
  <c r="II43" i="17"/>
  <c r="IJ11" i="17"/>
  <c r="IC11" i="17"/>
  <c r="IB11" i="17"/>
  <c r="IH11" i="17"/>
  <c r="II11" i="17"/>
  <c r="IF11" i="17"/>
  <c r="S11" i="17"/>
  <c r="IG11" i="17"/>
  <c r="IK11" i="17"/>
  <c r="IE11" i="17"/>
  <c r="F11" i="17"/>
  <c r="ID11" i="17"/>
  <c r="U26" i="17"/>
  <c r="W26" i="17"/>
  <c r="V26" i="17"/>
  <c r="Y26" i="17"/>
  <c r="T26" i="17"/>
  <c r="IG16" i="17"/>
  <c r="IK16" i="17"/>
  <c r="IC16" i="17"/>
  <c r="IE16" i="17"/>
  <c r="IJ16" i="17"/>
  <c r="S16" i="17"/>
  <c r="IF16" i="17"/>
  <c r="ID16" i="17"/>
  <c r="IH16" i="17"/>
  <c r="II16" i="17"/>
  <c r="IB16" i="17"/>
  <c r="F16" i="17"/>
  <c r="V22" i="17"/>
  <c r="Y22" i="17"/>
  <c r="U22" i="17"/>
  <c r="T22" i="17"/>
  <c r="W22" i="17"/>
  <c r="IG23" i="17"/>
  <c r="IJ23" i="17"/>
  <c r="IF23" i="17"/>
  <c r="IB23" i="17"/>
  <c r="ID23" i="17"/>
  <c r="IE23" i="17"/>
  <c r="IH23" i="17"/>
  <c r="IK23" i="17"/>
  <c r="IC23" i="17"/>
  <c r="II23" i="17"/>
  <c r="F23" i="17"/>
  <c r="S23" i="17"/>
  <c r="AA11" i="24"/>
  <c r="U39" i="17"/>
  <c r="Y39" i="17"/>
  <c r="W39" i="17"/>
  <c r="T39" i="17"/>
  <c r="V39" i="17"/>
  <c r="T15" i="17"/>
  <c r="Y15" i="17"/>
  <c r="V15" i="17"/>
  <c r="U15" i="17"/>
  <c r="W15" i="17"/>
  <c r="IE20" i="17"/>
  <c r="S72" i="17"/>
  <c r="IK72" i="17"/>
  <c r="IB72" i="17"/>
  <c r="IH72" i="17"/>
  <c r="IC72" i="17"/>
  <c r="II72" i="17"/>
  <c r="ID72" i="17"/>
  <c r="IF72" i="17"/>
  <c r="IE72" i="17"/>
  <c r="F72" i="17"/>
  <c r="G72" i="17" s="1"/>
  <c r="IG72" i="17"/>
  <c r="IJ72" i="17"/>
  <c r="F65" i="17"/>
  <c r="G65" i="17" s="1"/>
  <c r="IH65" i="17"/>
  <c r="S65" i="17"/>
  <c r="IK65" i="17"/>
  <c r="IE65" i="17"/>
  <c r="IC65" i="17"/>
  <c r="ID65" i="17"/>
  <c r="IF65" i="17"/>
  <c r="II65" i="17"/>
  <c r="IB65" i="17"/>
  <c r="IJ65" i="17"/>
  <c r="IG65" i="17"/>
  <c r="S34" i="17"/>
  <c r="IK34" i="17"/>
  <c r="ID34" i="17"/>
  <c r="AA8" i="24"/>
  <c r="U53" i="17"/>
  <c r="V53" i="17"/>
  <c r="Y53" i="17"/>
  <c r="T53" i="17"/>
  <c r="W53" i="17"/>
  <c r="W83" i="17"/>
  <c r="T83" i="17"/>
  <c r="V83" i="17"/>
  <c r="Y83" i="17"/>
  <c r="U83" i="17"/>
  <c r="ID24" i="17"/>
  <c r="IE24" i="17"/>
  <c r="IG24" i="17"/>
  <c r="IH24" i="17"/>
  <c r="IK24" i="17"/>
  <c r="IC24" i="17"/>
  <c r="F24" i="17"/>
  <c r="II24" i="17"/>
  <c r="S24" i="17"/>
  <c r="IF24" i="17"/>
  <c r="IB24" i="17"/>
  <c r="IJ24" i="17"/>
  <c r="IJ32" i="17"/>
  <c r="IK32" i="17"/>
  <c r="IE32" i="17"/>
  <c r="IC32" i="17"/>
  <c r="II32" i="17"/>
  <c r="ID32" i="17"/>
  <c r="IF32" i="17"/>
  <c r="IG32" i="17"/>
  <c r="IB32" i="17"/>
  <c r="IH32" i="17"/>
  <c r="F32" i="17"/>
  <c r="S32" i="17"/>
  <c r="ID33" i="17"/>
  <c r="Y46" i="17"/>
  <c r="U46" i="17"/>
  <c r="V46" i="17"/>
  <c r="T46" i="17"/>
  <c r="W46" i="17"/>
  <c r="Y78" i="17"/>
  <c r="T78" i="17"/>
  <c r="W78" i="17"/>
  <c r="V78" i="17"/>
  <c r="U78" i="17"/>
  <c r="T16" i="17"/>
  <c r="U16" i="17"/>
  <c r="Y16" i="17"/>
  <c r="V16" i="17"/>
  <c r="W16" i="17"/>
  <c r="S61" i="17"/>
  <c r="U77" i="17"/>
  <c r="Y77" i="17"/>
  <c r="T77" i="17"/>
  <c r="V77" i="17"/>
  <c r="W77" i="17"/>
  <c r="W74" i="17"/>
  <c r="U74" i="17"/>
  <c r="Y74" i="17"/>
  <c r="T74" i="17"/>
  <c r="V74" i="17"/>
  <c r="V70" i="17"/>
  <c r="W70" i="17"/>
  <c r="U70" i="17"/>
  <c r="T70" i="17"/>
  <c r="Y70" i="17"/>
  <c r="Y47" i="17"/>
  <c r="W47" i="17"/>
  <c r="U47" i="17"/>
  <c r="V47" i="17"/>
  <c r="T47" i="17"/>
  <c r="F37" i="17"/>
  <c r="ID37" i="17"/>
  <c r="S37" i="17"/>
  <c r="IJ37" i="17"/>
  <c r="IB37" i="17"/>
  <c r="IE37" i="17"/>
  <c r="IK37" i="17"/>
  <c r="II37" i="17"/>
  <c r="IH37" i="17"/>
  <c r="IG37" i="17"/>
  <c r="IF37" i="17"/>
  <c r="IC37" i="17"/>
  <c r="Y24" i="17"/>
  <c r="T24" i="17"/>
  <c r="U24" i="17"/>
  <c r="W24" i="17"/>
  <c r="V24" i="17"/>
  <c r="W32" i="17"/>
  <c r="Y32" i="17"/>
  <c r="U32" i="17"/>
  <c r="T32" i="17"/>
  <c r="V32" i="17"/>
  <c r="IB33" i="17"/>
  <c r="F33" i="17"/>
  <c r="G33" i="17" s="1"/>
  <c r="IK33" i="17"/>
  <c r="S33" i="17"/>
  <c r="S69" i="17"/>
  <c r="F69" i="17"/>
  <c r="G69" i="17" s="1"/>
  <c r="IF69" i="17"/>
  <c r="IG69" i="17"/>
  <c r="IB69" i="17"/>
  <c r="IH69" i="17"/>
  <c r="IC69" i="17"/>
  <c r="IE69" i="17"/>
  <c r="ID69" i="17"/>
  <c r="IK69" i="17"/>
  <c r="II69" i="17"/>
  <c r="IJ69" i="17"/>
  <c r="X10" i="24"/>
  <c r="W36" i="17"/>
  <c r="Y36" i="17"/>
  <c r="U36" i="17"/>
  <c r="T36" i="17"/>
  <c r="V36" i="17"/>
  <c r="W40" i="17"/>
  <c r="Y40" i="17"/>
  <c r="V40" i="17"/>
  <c r="T40" i="17"/>
  <c r="U40" i="17"/>
  <c r="W60" i="17"/>
  <c r="V60" i="17"/>
  <c r="Y60" i="17"/>
  <c r="U60" i="17"/>
  <c r="II29" i="17"/>
  <c r="IC29" i="17"/>
  <c r="IE29" i="17"/>
  <c r="IH29" i="17"/>
  <c r="IF29" i="17"/>
  <c r="IG29" i="17"/>
  <c r="F29" i="17"/>
  <c r="S29" i="17"/>
  <c r="IK29" i="17"/>
  <c r="IJ29" i="17"/>
  <c r="ID29" i="17"/>
  <c r="IB29" i="17"/>
  <c r="AA15" i="24"/>
  <c r="W59" i="17"/>
  <c r="U59" i="17"/>
  <c r="V59" i="17"/>
  <c r="Y59" i="17"/>
  <c r="T37" i="17"/>
  <c r="Y37" i="17"/>
  <c r="W37" i="17"/>
  <c r="U37" i="17"/>
  <c r="V37" i="17"/>
  <c r="Y79" i="17"/>
  <c r="U79" i="17"/>
  <c r="T79" i="17"/>
  <c r="W79" i="17"/>
  <c r="V79" i="17"/>
  <c r="IB48" i="17"/>
  <c r="S48" i="17"/>
  <c r="IK48" i="17"/>
  <c r="IE68" i="17"/>
  <c r="IH68" i="17"/>
  <c r="IC68" i="17"/>
  <c r="F68" i="17"/>
  <c r="G68" i="17" s="1"/>
  <c r="S68" i="17"/>
  <c r="IF68" i="17"/>
  <c r="IB68" i="17"/>
  <c r="IG68" i="17"/>
  <c r="ID68" i="17"/>
  <c r="IJ68" i="17"/>
  <c r="II68" i="17"/>
  <c r="IK68" i="17"/>
  <c r="IG46" i="17"/>
  <c r="II46" i="17"/>
  <c r="S46" i="17"/>
  <c r="IH46" i="17"/>
  <c r="IF46" i="17"/>
  <c r="IJ46" i="17"/>
  <c r="IE46" i="17"/>
  <c r="IK46" i="17"/>
  <c r="IC46" i="17"/>
  <c r="F46" i="17"/>
  <c r="ID46" i="17"/>
  <c r="IB46" i="17"/>
  <c r="AX10" i="19"/>
  <c r="AX13" i="19"/>
  <c r="AX14" i="19"/>
  <c r="AX12" i="19"/>
  <c r="AX8" i="19"/>
  <c r="AW8" i="19" s="1" a="1"/>
  <c r="AW8" i="19" s="1"/>
  <c r="AV8" i="19" s="1"/>
  <c r="AX11" i="19"/>
  <c r="AX9" i="19"/>
  <c r="AX15" i="19"/>
  <c r="T66" i="17"/>
  <c r="W66" i="17"/>
  <c r="V66" i="17"/>
  <c r="Y66" i="17"/>
  <c r="U66" i="17"/>
  <c r="IG17" i="17"/>
  <c r="IH17" i="17"/>
  <c r="IC17" i="17"/>
  <c r="IE17" i="17"/>
  <c r="ID17" i="17"/>
  <c r="S17" i="17"/>
  <c r="II17" i="17"/>
  <c r="IK17" i="17"/>
  <c r="IJ17" i="17"/>
  <c r="IF17" i="17"/>
  <c r="F17" i="17"/>
  <c r="IB17" i="17"/>
  <c r="V57" i="17"/>
  <c r="W57" i="17"/>
  <c r="Y57" i="17"/>
  <c r="U57" i="17"/>
  <c r="IE84" i="17"/>
  <c r="IG84" i="17"/>
  <c r="S84" i="17"/>
  <c r="IB84" i="17"/>
  <c r="II84" i="17"/>
  <c r="IH84" i="17"/>
  <c r="IK84" i="17"/>
  <c r="ID84" i="17"/>
  <c r="IJ84" i="17"/>
  <c r="F84" i="17"/>
  <c r="IC84" i="17"/>
  <c r="IF84" i="17"/>
  <c r="JK47" i="17"/>
  <c r="JE47" i="17"/>
  <c r="JB47" i="17"/>
  <c r="JG47" i="17"/>
  <c r="JI47" i="17"/>
  <c r="IX47" i="17"/>
  <c r="JH47" i="17"/>
  <c r="JD47" i="17"/>
  <c r="JF47" i="17"/>
  <c r="JJ47" i="17"/>
  <c r="JC47" i="17"/>
  <c r="W75" i="17"/>
  <c r="T75" i="17"/>
  <c r="U75" i="17"/>
  <c r="V75" i="17"/>
  <c r="Y75" i="17"/>
  <c r="V72" i="17"/>
  <c r="T72" i="17"/>
  <c r="W72" i="17"/>
  <c r="U72" i="17"/>
  <c r="Y72" i="17"/>
  <c r="ID48" i="17"/>
  <c r="IJ45" i="17"/>
  <c r="IB45" i="17"/>
  <c r="IF45" i="17"/>
  <c r="S45" i="17"/>
  <c r="II45" i="17"/>
  <c r="IK45" i="17"/>
  <c r="IC45" i="17"/>
  <c r="F45" i="17"/>
  <c r="IE45" i="17"/>
  <c r="IH45" i="17"/>
  <c r="IG45" i="17"/>
  <c r="ID45" i="17"/>
  <c r="F15" i="17"/>
  <c r="IE15" i="17"/>
  <c r="IC15" i="17"/>
  <c r="IK15" i="17"/>
  <c r="ID15" i="17"/>
  <c r="S15" i="17"/>
  <c r="IB15" i="17"/>
  <c r="IJ15" i="17"/>
  <c r="IF15" i="17"/>
  <c r="II15" i="17"/>
  <c r="IH15" i="17"/>
  <c r="IG15" i="17"/>
  <c r="Y14" i="24"/>
  <c r="T44" i="17"/>
  <c r="Y44" i="17"/>
  <c r="V44" i="17"/>
  <c r="U44" i="17"/>
  <c r="W44" i="17"/>
  <c r="T67" i="17"/>
  <c r="Y67" i="17"/>
  <c r="U67" i="17"/>
  <c r="V67" i="17"/>
  <c r="W67" i="17"/>
  <c r="ID79" i="17"/>
  <c r="IJ79" i="17"/>
  <c r="II79" i="17"/>
  <c r="IE79" i="17"/>
  <c r="IB79" i="17"/>
  <c r="F79" i="17"/>
  <c r="G79" i="17" s="1"/>
  <c r="IC79" i="17"/>
  <c r="IG79" i="17"/>
  <c r="IF79" i="17"/>
  <c r="IH79" i="17"/>
  <c r="IK79" i="17"/>
  <c r="S79" i="17"/>
  <c r="IJ80" i="17"/>
  <c r="IH80" i="17"/>
  <c r="IB80" i="17"/>
  <c r="II80" i="17"/>
  <c r="IG80" i="17"/>
  <c r="IF80" i="17"/>
  <c r="IK80" i="17"/>
  <c r="S80" i="17"/>
  <c r="IE80" i="17"/>
  <c r="F80" i="17"/>
  <c r="G80" i="17" s="1"/>
  <c r="IC80" i="17"/>
  <c r="ID80" i="17"/>
  <c r="S17" i="16"/>
  <c r="Q17" i="16" s="1"/>
  <c r="S32" i="16"/>
  <c r="Q32" i="16" s="1"/>
  <c r="S36" i="16"/>
  <c r="Q36" i="16" s="1"/>
  <c r="S11" i="16"/>
  <c r="S21" i="16"/>
  <c r="Q21" i="16" s="1"/>
  <c r="S38" i="16"/>
  <c r="Q38" i="16" s="1"/>
  <c r="S24" i="16"/>
  <c r="Q24" i="16" s="1"/>
  <c r="S33" i="16"/>
  <c r="Q33" i="16" s="1"/>
  <c r="S30" i="16"/>
  <c r="Q30" i="16" s="1"/>
  <c r="S9" i="16"/>
  <c r="S16" i="16"/>
  <c r="Q16" i="16" s="1"/>
  <c r="S37" i="16"/>
  <c r="Q37" i="16" s="1"/>
  <c r="S23" i="16"/>
  <c r="Q23" i="16" s="1"/>
  <c r="S15" i="16"/>
  <c r="Q15" i="16" s="1"/>
  <c r="S35" i="16"/>
  <c r="Q35" i="16" s="1"/>
  <c r="S20" i="16"/>
  <c r="Q20" i="16" s="1"/>
  <c r="S18" i="16"/>
  <c r="Q18" i="16" s="1"/>
  <c r="S12" i="16"/>
  <c r="S10" i="16"/>
  <c r="S13" i="16"/>
  <c r="Q13" i="16" s="1"/>
  <c r="S40" i="16"/>
  <c r="Q40" i="16" s="1"/>
  <c r="S19" i="16"/>
  <c r="Q19" i="16" s="1"/>
  <c r="S14" i="16"/>
  <c r="Q14" i="16" s="1"/>
  <c r="S25" i="16"/>
  <c r="Q25" i="16" s="1"/>
  <c r="S28" i="16"/>
  <c r="Q28" i="16" s="1"/>
  <c r="S31" i="16"/>
  <c r="Q31" i="16" s="1"/>
  <c r="S39" i="16"/>
  <c r="Q39" i="16" s="1"/>
  <c r="S8" i="16"/>
  <c r="Q8" i="16" s="1"/>
  <c r="S29" i="16"/>
  <c r="Q29" i="16" s="1"/>
  <c r="S26" i="16"/>
  <c r="Q26" i="16" s="1"/>
  <c r="S27" i="16"/>
  <c r="Q27" i="16" s="1"/>
  <c r="S22" i="16"/>
  <c r="Q22" i="16" s="1"/>
  <c r="S34" i="16"/>
  <c r="Q34" i="16" s="1"/>
  <c r="IC48" i="17"/>
  <c r="T11" i="17"/>
  <c r="U11" i="17"/>
  <c r="W11" i="17"/>
  <c r="V11" i="17"/>
  <c r="Y11" i="17"/>
  <c r="AA10" i="24"/>
  <c r="IC76" i="17"/>
  <c r="S76" i="17"/>
  <c r="IG76" i="17"/>
  <c r="IF76" i="17"/>
  <c r="ID76" i="17"/>
  <c r="II76" i="17"/>
  <c r="IB76" i="17"/>
  <c r="F76" i="17"/>
  <c r="IJ76" i="17"/>
  <c r="IK76" i="17"/>
  <c r="IH76" i="17"/>
  <c r="IE76" i="17"/>
  <c r="IF31" i="17"/>
  <c r="IJ31" i="17"/>
  <c r="F31" i="17"/>
  <c r="S31" i="17"/>
  <c r="IE31" i="17"/>
  <c r="IG31" i="17"/>
  <c r="IB31" i="17"/>
  <c r="IH31" i="17"/>
  <c r="II31" i="17"/>
  <c r="IC31" i="17"/>
  <c r="IK31" i="17"/>
  <c r="ID31" i="17"/>
  <c r="AA14" i="24"/>
  <c r="AT14" i="19"/>
  <c r="AT15" i="19"/>
  <c r="AT10" i="19"/>
  <c r="AT11" i="19"/>
  <c r="AT8" i="19"/>
  <c r="AS8" i="19" s="1" a="1"/>
  <c r="AS8" i="19" s="1"/>
  <c r="AR8" i="19" s="1"/>
  <c r="AT13" i="19"/>
  <c r="AT9" i="19"/>
  <c r="AS9" i="19" s="1" a="1"/>
  <c r="AS9" i="19" s="1"/>
  <c r="AR9" i="19" s="1"/>
  <c r="AT12" i="19"/>
  <c r="AS12" i="19" s="1" a="1"/>
  <c r="AS12" i="19" s="1"/>
  <c r="AR12" i="19" s="1"/>
  <c r="IK86" i="17"/>
  <c r="IF86" i="17"/>
  <c r="ID86" i="17"/>
  <c r="IH86" i="17"/>
  <c r="S86" i="17"/>
  <c r="IG86" i="17"/>
  <c r="II86" i="17"/>
  <c r="IJ86" i="17"/>
  <c r="IE86" i="17"/>
  <c r="F86" i="17"/>
  <c r="IC86" i="17"/>
  <c r="IB86" i="17"/>
  <c r="S40" i="17"/>
  <c r="IF40" i="17"/>
  <c r="IG40" i="17"/>
  <c r="ID40" i="17"/>
  <c r="F40" i="17"/>
  <c r="IH40" i="17"/>
  <c r="II40" i="17"/>
  <c r="IJ40" i="17"/>
  <c r="IC40" i="17"/>
  <c r="IB40" i="17"/>
  <c r="IE40" i="17"/>
  <c r="IK40" i="17"/>
  <c r="IE82" i="17"/>
  <c r="II82" i="17"/>
  <c r="IC82" i="17"/>
  <c r="IG82" i="17"/>
  <c r="F82" i="17"/>
  <c r="G82" i="17" s="1"/>
  <c r="S82" i="17"/>
  <c r="IJ82" i="17"/>
  <c r="IB82" i="17"/>
  <c r="IH82" i="17"/>
  <c r="IF82" i="17"/>
  <c r="ID82" i="17"/>
  <c r="IK82" i="17"/>
  <c r="T52" i="17"/>
  <c r="W52" i="17"/>
  <c r="U52" i="17"/>
  <c r="V52" i="17"/>
  <c r="Y52" i="17"/>
  <c r="ID55" i="17"/>
  <c r="IE48" i="17"/>
  <c r="IG83" i="17"/>
  <c r="F83" i="17"/>
  <c r="IB83" i="17"/>
  <c r="IC83" i="17"/>
  <c r="IE83" i="17"/>
  <c r="IK83" i="17"/>
  <c r="II83" i="17"/>
  <c r="S83" i="17"/>
  <c r="ID83" i="17"/>
  <c r="IF83" i="17"/>
  <c r="IJ83" i="17"/>
  <c r="IH83" i="17"/>
  <c r="AG9" i="19" l="1"/>
  <c r="G64" i="17"/>
  <c r="G76" i="17"/>
  <c r="G22" i="17"/>
  <c r="G39" i="17"/>
  <c r="G24" i="17"/>
  <c r="G16" i="17"/>
  <c r="G32" i="17"/>
  <c r="G44" i="17"/>
  <c r="G51" i="17"/>
  <c r="G16" i="16"/>
  <c r="G10" i="16"/>
  <c r="G25" i="17"/>
  <c r="AG20" i="19"/>
  <c r="AG16" i="19"/>
  <c r="AG18" i="19"/>
  <c r="G8" i="17"/>
  <c r="G9" i="16"/>
  <c r="G12" i="16"/>
  <c r="G19" i="16"/>
  <c r="G14" i="16"/>
  <c r="G20" i="16"/>
  <c r="B23" i="16"/>
  <c r="G10" i="17"/>
  <c r="AG11" i="19"/>
  <c r="AG19" i="19"/>
  <c r="AG15" i="19"/>
  <c r="AG24" i="19"/>
  <c r="G67" i="17"/>
  <c r="G18" i="17"/>
  <c r="G71" i="17"/>
  <c r="G53" i="17"/>
  <c r="G29" i="17"/>
  <c r="AW13" i="19" a="1"/>
  <c r="AW13" i="19" s="1"/>
  <c r="AV13" i="19" s="1"/>
  <c r="IY47" i="17"/>
  <c r="Q9" i="16"/>
  <c r="Q12" i="16"/>
  <c r="G31" i="17"/>
  <c r="F5" i="24"/>
  <c r="AB8" i="24" a="1"/>
  <c r="AB8" i="24" s="1"/>
  <c r="P16" i="16"/>
  <c r="R16" i="16"/>
  <c r="R33" i="16"/>
  <c r="P33" i="16"/>
  <c r="AJ37" i="19"/>
  <c r="AH37" i="19"/>
  <c r="AF37" i="19"/>
  <c r="M30" i="16"/>
  <c r="K30" i="16"/>
  <c r="U28" i="16"/>
  <c r="W28" i="16"/>
  <c r="U39" i="16"/>
  <c r="W39" i="16"/>
  <c r="AG22" i="19"/>
  <c r="A8" i="16"/>
  <c r="C8" i="16"/>
  <c r="C52" i="16"/>
  <c r="K32" i="16"/>
  <c r="M32" i="16"/>
  <c r="M29" i="16"/>
  <c r="K29" i="16"/>
  <c r="K13" i="16"/>
  <c r="M13" i="16"/>
  <c r="B21" i="16"/>
  <c r="AP9" i="19"/>
  <c r="AN9" i="19"/>
  <c r="AL9" i="19"/>
  <c r="AS10" i="19" a="1"/>
  <c r="AS10" i="19" s="1"/>
  <c r="AR10" i="19" s="1"/>
  <c r="R13" i="16"/>
  <c r="P13" i="16"/>
  <c r="Q11" i="16"/>
  <c r="G46" i="17"/>
  <c r="G43" i="17"/>
  <c r="U14" i="16"/>
  <c r="W14" i="16"/>
  <c r="U38" i="16"/>
  <c r="W38" i="16"/>
  <c r="AJ42" i="19"/>
  <c r="AF42" i="19"/>
  <c r="AH42" i="19"/>
  <c r="AG12" i="19"/>
  <c r="A27" i="16"/>
  <c r="C27" i="16"/>
  <c r="K25" i="16"/>
  <c r="M25" i="16"/>
  <c r="H29" i="16"/>
  <c r="F29" i="16"/>
  <c r="H35" i="16"/>
  <c r="F35" i="16"/>
  <c r="G23" i="16"/>
  <c r="H26" i="16"/>
  <c r="F26" i="16"/>
  <c r="AN30" i="19"/>
  <c r="AP30" i="19"/>
  <c r="AL30" i="19"/>
  <c r="R25" i="16"/>
  <c r="P25" i="16"/>
  <c r="AS11" i="19" a="1"/>
  <c r="AS11" i="19" s="1"/>
  <c r="AR11" i="19" s="1"/>
  <c r="AS15" i="19" a="1"/>
  <c r="AS15" i="19" s="1"/>
  <c r="AR15" i="19" s="1"/>
  <c r="Q10" i="16"/>
  <c r="P36" i="16"/>
  <c r="R36" i="16"/>
  <c r="G73" i="17"/>
  <c r="D41" i="19"/>
  <c r="D77" i="19"/>
  <c r="B77" i="19" s="1"/>
  <c r="C77" i="19" s="1"/>
  <c r="D50" i="19"/>
  <c r="D39" i="19"/>
  <c r="D11" i="19"/>
  <c r="D51" i="19"/>
  <c r="D36" i="19"/>
  <c r="D14" i="19"/>
  <c r="D26" i="19"/>
  <c r="D60" i="19"/>
  <c r="B60" i="19" s="1"/>
  <c r="D47" i="19"/>
  <c r="D32" i="19"/>
  <c r="D55" i="19"/>
  <c r="D37" i="19"/>
  <c r="D13" i="19"/>
  <c r="D43" i="19"/>
  <c r="D42" i="19"/>
  <c r="D18" i="19"/>
  <c r="D53" i="19"/>
  <c r="D19" i="19"/>
  <c r="D63" i="19"/>
  <c r="B63" i="19" s="1"/>
  <c r="D66" i="19"/>
  <c r="B66" i="19" s="1"/>
  <c r="D38" i="19"/>
  <c r="D56" i="19"/>
  <c r="D33" i="19"/>
  <c r="D23" i="19"/>
  <c r="E72" i="19"/>
  <c r="D22" i="19"/>
  <c r="D64" i="19"/>
  <c r="B64" i="19" s="1"/>
  <c r="D31" i="19"/>
  <c r="D69" i="19"/>
  <c r="B69" i="19" s="1"/>
  <c r="D40" i="19"/>
  <c r="D76" i="19"/>
  <c r="B76" i="19" s="1"/>
  <c r="D35" i="19"/>
  <c r="D62" i="19"/>
  <c r="B62" i="19" s="1"/>
  <c r="D68" i="19"/>
  <c r="B68" i="19" s="1"/>
  <c r="D34" i="19"/>
  <c r="D65" i="19"/>
  <c r="B65" i="19" s="1"/>
  <c r="D74" i="19"/>
  <c r="B74" i="19" s="1"/>
  <c r="D15" i="19"/>
  <c r="D10" i="19"/>
  <c r="D48" i="19"/>
  <c r="D44" i="19"/>
  <c r="D54" i="19"/>
  <c r="D30" i="19"/>
  <c r="D52" i="19"/>
  <c r="D24" i="19"/>
  <c r="D67" i="19"/>
  <c r="B67" i="19" s="1"/>
  <c r="D28" i="19"/>
  <c r="D73" i="19"/>
  <c r="B73" i="19" s="1"/>
  <c r="D59" i="19"/>
  <c r="B59" i="19" s="1"/>
  <c r="D61" i="19"/>
  <c r="B61" i="19" s="1"/>
  <c r="D16" i="19"/>
  <c r="D20" i="19"/>
  <c r="D75" i="19"/>
  <c r="B75" i="19" s="1"/>
  <c r="D29" i="19"/>
  <c r="D70" i="19"/>
  <c r="B70" i="19" s="1"/>
  <c r="D12" i="19"/>
  <c r="D72" i="19"/>
  <c r="B72" i="19" s="1"/>
  <c r="D46" i="19"/>
  <c r="D21" i="19"/>
  <c r="D8" i="19"/>
  <c r="D71" i="19"/>
  <c r="B71" i="19" s="1"/>
  <c r="D58" i="19"/>
  <c r="B58" i="19" s="1"/>
  <c r="D57" i="19"/>
  <c r="D17" i="19"/>
  <c r="D45" i="19"/>
  <c r="D78" i="19"/>
  <c r="B78" i="19" s="1"/>
  <c r="C78" i="19" s="1"/>
  <c r="D27" i="19"/>
  <c r="D49" i="19"/>
  <c r="D25" i="19"/>
  <c r="D9" i="19"/>
  <c r="U21" i="16"/>
  <c r="W21" i="16"/>
  <c r="U34" i="16"/>
  <c r="W34" i="16"/>
  <c r="AF41" i="19"/>
  <c r="AJ41" i="19"/>
  <c r="AH41" i="19"/>
  <c r="K35" i="16"/>
  <c r="M35" i="16"/>
  <c r="M34" i="16"/>
  <c r="K34" i="16"/>
  <c r="M37" i="16"/>
  <c r="K37" i="16"/>
  <c r="K16" i="16"/>
  <c r="M16" i="16"/>
  <c r="B22" i="16"/>
  <c r="AL14" i="19"/>
  <c r="AP14" i="19"/>
  <c r="AN14" i="19"/>
  <c r="AN32" i="19"/>
  <c r="AP32" i="19"/>
  <c r="AL32" i="19"/>
  <c r="W35" i="16"/>
  <c r="U35" i="16"/>
  <c r="R14" i="16"/>
  <c r="P14" i="16"/>
  <c r="P57" i="19"/>
  <c r="N57" i="19" s="1"/>
  <c r="P9" i="19"/>
  <c r="P17" i="19"/>
  <c r="P40" i="19"/>
  <c r="P8" i="19"/>
  <c r="N8" i="19" s="1"/>
  <c r="P29" i="19"/>
  <c r="P45" i="19"/>
  <c r="P44" i="19"/>
  <c r="P34" i="19"/>
  <c r="P36" i="19"/>
  <c r="P20" i="19"/>
  <c r="P38" i="19"/>
  <c r="P28" i="19"/>
  <c r="P55" i="19"/>
  <c r="N55" i="19" s="1"/>
  <c r="P59" i="19"/>
  <c r="N59" i="19" s="1"/>
  <c r="P12" i="19"/>
  <c r="P33" i="19"/>
  <c r="P46" i="19"/>
  <c r="P61" i="19"/>
  <c r="N61" i="19" s="1"/>
  <c r="P58" i="19"/>
  <c r="N58" i="19" s="1"/>
  <c r="P32" i="19"/>
  <c r="P50" i="19"/>
  <c r="N50" i="19" s="1"/>
  <c r="P43" i="19"/>
  <c r="P31" i="19"/>
  <c r="P23" i="19"/>
  <c r="P56" i="19"/>
  <c r="N56" i="19" s="1"/>
  <c r="P24" i="19"/>
  <c r="P47" i="19"/>
  <c r="N47" i="19" s="1"/>
  <c r="P49" i="19"/>
  <c r="N49" i="19" s="1"/>
  <c r="P13" i="19"/>
  <c r="P39" i="19"/>
  <c r="P52" i="19"/>
  <c r="N52" i="19" s="1"/>
  <c r="P25" i="19"/>
  <c r="P60" i="19"/>
  <c r="N60" i="19" s="1"/>
  <c r="P62" i="19"/>
  <c r="N62" i="19" s="1"/>
  <c r="P18" i="19"/>
  <c r="P51" i="19"/>
  <c r="N51" i="19" s="1"/>
  <c r="P10" i="19"/>
  <c r="P11" i="19"/>
  <c r="P26" i="19"/>
  <c r="P41" i="19"/>
  <c r="P63" i="19"/>
  <c r="N63" i="19" s="1"/>
  <c r="P21" i="19"/>
  <c r="P48" i="19"/>
  <c r="N48" i="19" s="1"/>
  <c r="P54" i="19"/>
  <c r="N54" i="19" s="1"/>
  <c r="P30" i="19"/>
  <c r="P16" i="19"/>
  <c r="P14" i="19"/>
  <c r="P53" i="19"/>
  <c r="N53" i="19" s="1"/>
  <c r="P27" i="19"/>
  <c r="P22" i="19"/>
  <c r="P37" i="19"/>
  <c r="P35" i="19"/>
  <c r="P15" i="19"/>
  <c r="P19" i="19"/>
  <c r="P42" i="19"/>
  <c r="U29" i="16"/>
  <c r="W29" i="16"/>
  <c r="W22" i="16"/>
  <c r="U22" i="16"/>
  <c r="AF44" i="19"/>
  <c r="AJ44" i="19"/>
  <c r="AH44" i="19"/>
  <c r="M28" i="16"/>
  <c r="K28" i="16"/>
  <c r="C30" i="16"/>
  <c r="A30" i="16"/>
  <c r="B16" i="16"/>
  <c r="M8" i="16"/>
  <c r="K8" i="16"/>
  <c r="G22" i="16"/>
  <c r="F37" i="16"/>
  <c r="H37" i="16"/>
  <c r="AN20" i="19"/>
  <c r="AL20" i="19"/>
  <c r="AP20" i="19"/>
  <c r="AP37" i="19"/>
  <c r="AL37" i="19"/>
  <c r="AN37" i="19"/>
  <c r="W17" i="16"/>
  <c r="U17" i="16"/>
  <c r="G15" i="17"/>
  <c r="AC24" i="19"/>
  <c r="AC33" i="19"/>
  <c r="AC23" i="19"/>
  <c r="AC61" i="19"/>
  <c r="AA61" i="19" s="1"/>
  <c r="AC42" i="19"/>
  <c r="AC39" i="19"/>
  <c r="AC58" i="19"/>
  <c r="AA58" i="19" s="1"/>
  <c r="AC15" i="19"/>
  <c r="AC30" i="19"/>
  <c r="AC20" i="19"/>
  <c r="AC16" i="19"/>
  <c r="AC48" i="19"/>
  <c r="AA48" i="19" s="1"/>
  <c r="AC26" i="19"/>
  <c r="AC18" i="19"/>
  <c r="AC51" i="19"/>
  <c r="AA51" i="19" s="1"/>
  <c r="AC57" i="19"/>
  <c r="AA57" i="19" s="1"/>
  <c r="AC22" i="19"/>
  <c r="AC19" i="19"/>
  <c r="AC37" i="19"/>
  <c r="AC47" i="19"/>
  <c r="AA47" i="19" s="1"/>
  <c r="AC31" i="19"/>
  <c r="AC38" i="19"/>
  <c r="AC21" i="19"/>
  <c r="AC56" i="19"/>
  <c r="AA56" i="19" s="1"/>
  <c r="AC11" i="19"/>
  <c r="AC63" i="19"/>
  <c r="AA63" i="19" s="1"/>
  <c r="AC14" i="19"/>
  <c r="AC27" i="19"/>
  <c r="AC41" i="19"/>
  <c r="AC8" i="19"/>
  <c r="AA8" i="19" s="1"/>
  <c r="AC44" i="19"/>
  <c r="AC25" i="19"/>
  <c r="AC59" i="19"/>
  <c r="AA59" i="19" s="1"/>
  <c r="AC54" i="19"/>
  <c r="AA54" i="19" s="1"/>
  <c r="AC55" i="19"/>
  <c r="AA55" i="19" s="1"/>
  <c r="AC12" i="19"/>
  <c r="AC28" i="19"/>
  <c r="AC35" i="19"/>
  <c r="AC50" i="19"/>
  <c r="AA50" i="19" s="1"/>
  <c r="AC17" i="19"/>
  <c r="AC52" i="19"/>
  <c r="AA52" i="19" s="1"/>
  <c r="AC40" i="19"/>
  <c r="AC53" i="19"/>
  <c r="AA53" i="19" s="1"/>
  <c r="AC46" i="19"/>
  <c r="AC9" i="19"/>
  <c r="AA9" i="19" s="1"/>
  <c r="AC13" i="19"/>
  <c r="AC62" i="19"/>
  <c r="AA62" i="19" s="1"/>
  <c r="AC36" i="19"/>
  <c r="AC29" i="19"/>
  <c r="AC10" i="19"/>
  <c r="AC34" i="19"/>
  <c r="AC32" i="19"/>
  <c r="AC49" i="19"/>
  <c r="AA49" i="19" s="1"/>
  <c r="AC45" i="19"/>
  <c r="AC43" i="19"/>
  <c r="AC60" i="19"/>
  <c r="AA60" i="19" s="1"/>
  <c r="U10" i="16"/>
  <c r="W10" i="16"/>
  <c r="U40" i="16"/>
  <c r="W40" i="16"/>
  <c r="AJ46" i="19"/>
  <c r="AF46" i="19"/>
  <c r="AH46" i="19"/>
  <c r="AG30" i="19"/>
  <c r="A40" i="16"/>
  <c r="C40" i="16"/>
  <c r="M18" i="16"/>
  <c r="K18" i="16"/>
  <c r="C28" i="16"/>
  <c r="A28" i="16"/>
  <c r="C34" i="16"/>
  <c r="A34" i="16"/>
  <c r="B12" i="16"/>
  <c r="C25" i="16"/>
  <c r="A25" i="16"/>
  <c r="AL36" i="19"/>
  <c r="AP36" i="19"/>
  <c r="AN36" i="19"/>
  <c r="AN23" i="19"/>
  <c r="AP23" i="19"/>
  <c r="AL23" i="19"/>
  <c r="C26" i="16"/>
  <c r="A26" i="16"/>
  <c r="AS14" i="19" a="1"/>
  <c r="AS14" i="19" s="1"/>
  <c r="AR14" i="19" s="1"/>
  <c r="R34" i="16"/>
  <c r="P34" i="16"/>
  <c r="R22" i="16"/>
  <c r="P22" i="16"/>
  <c r="W42" i="19"/>
  <c r="W9" i="19"/>
  <c r="W10" i="19"/>
  <c r="W8" i="19"/>
  <c r="U8" i="19" s="1"/>
  <c r="W16" i="19"/>
  <c r="W52" i="19"/>
  <c r="U52" i="19" s="1"/>
  <c r="W20" i="19"/>
  <c r="W18" i="19"/>
  <c r="W22" i="19"/>
  <c r="W60" i="19"/>
  <c r="U60" i="19" s="1"/>
  <c r="W63" i="19"/>
  <c r="U63" i="19" s="1"/>
  <c r="W44" i="19"/>
  <c r="U44" i="19" s="1"/>
  <c r="W33" i="19"/>
  <c r="W51" i="19"/>
  <c r="U51" i="19" s="1"/>
  <c r="W58" i="19"/>
  <c r="U58" i="19" s="1"/>
  <c r="W59" i="19"/>
  <c r="U59" i="19" s="1"/>
  <c r="W62" i="19"/>
  <c r="U62" i="19" s="1"/>
  <c r="W31" i="19"/>
  <c r="W35" i="19"/>
  <c r="W38" i="19"/>
  <c r="W49" i="19"/>
  <c r="U49" i="19" s="1"/>
  <c r="W24" i="19"/>
  <c r="W27" i="19"/>
  <c r="W61" i="19"/>
  <c r="U61" i="19" s="1"/>
  <c r="W17" i="19"/>
  <c r="W14" i="19"/>
  <c r="W36" i="19"/>
  <c r="W12" i="19"/>
  <c r="W13" i="19"/>
  <c r="W30" i="19"/>
  <c r="W45" i="19"/>
  <c r="U45" i="19" s="1"/>
  <c r="W40" i="19"/>
  <c r="W21" i="19"/>
  <c r="W53" i="19"/>
  <c r="U53" i="19" s="1"/>
  <c r="W57" i="19"/>
  <c r="U57" i="19" s="1"/>
  <c r="W56" i="19"/>
  <c r="U56" i="19" s="1"/>
  <c r="W28" i="19"/>
  <c r="W25" i="19"/>
  <c r="W50" i="19"/>
  <c r="U50" i="19" s="1"/>
  <c r="W39" i="19"/>
  <c r="W37" i="19"/>
  <c r="W43" i="19"/>
  <c r="U43" i="19" s="1"/>
  <c r="W54" i="19"/>
  <c r="U54" i="19" s="1"/>
  <c r="W41" i="19"/>
  <c r="W19" i="19"/>
  <c r="W15" i="19"/>
  <c r="W34" i="19"/>
  <c r="W55" i="19"/>
  <c r="U55" i="19" s="1"/>
  <c r="W26" i="19"/>
  <c r="W11" i="19"/>
  <c r="W48" i="19"/>
  <c r="U48" i="19" s="1"/>
  <c r="W47" i="19"/>
  <c r="U47" i="19" s="1"/>
  <c r="W23" i="19"/>
  <c r="W32" i="19"/>
  <c r="W29" i="19"/>
  <c r="W46" i="19"/>
  <c r="U46" i="19" s="1"/>
  <c r="U27" i="16"/>
  <c r="W27" i="16"/>
  <c r="W26" i="16"/>
  <c r="U26" i="16"/>
  <c r="AG29" i="19"/>
  <c r="AJ40" i="19"/>
  <c r="AF40" i="19"/>
  <c r="AH40" i="19"/>
  <c r="AG25" i="19"/>
  <c r="G19" i="17"/>
  <c r="H40" i="16"/>
  <c r="F40" i="16"/>
  <c r="M38" i="16"/>
  <c r="K38" i="16"/>
  <c r="K15" i="16"/>
  <c r="M15" i="16"/>
  <c r="M33" i="16"/>
  <c r="K33" i="16"/>
  <c r="AN27" i="19"/>
  <c r="AL27" i="19"/>
  <c r="AP27" i="19"/>
  <c r="AN15" i="19"/>
  <c r="AP15" i="19"/>
  <c r="AL15" i="19"/>
  <c r="P27" i="16"/>
  <c r="R27" i="16"/>
  <c r="P35" i="16"/>
  <c r="R35" i="16"/>
  <c r="G12" i="17"/>
  <c r="J19" i="19"/>
  <c r="J23" i="19"/>
  <c r="J32" i="19"/>
  <c r="J74" i="19"/>
  <c r="H74" i="19" s="1"/>
  <c r="J48" i="19"/>
  <c r="J18" i="19"/>
  <c r="J77" i="19"/>
  <c r="H77" i="19" s="1"/>
  <c r="J15" i="19"/>
  <c r="J61" i="19"/>
  <c r="H61" i="19" s="1"/>
  <c r="J28" i="19"/>
  <c r="J62" i="19"/>
  <c r="H62" i="19" s="1"/>
  <c r="J70" i="19"/>
  <c r="H70" i="19" s="1"/>
  <c r="J14" i="19"/>
  <c r="J36" i="19"/>
  <c r="J52" i="19"/>
  <c r="J10" i="19"/>
  <c r="J64" i="19"/>
  <c r="H64" i="19" s="1"/>
  <c r="J65" i="19"/>
  <c r="H65" i="19" s="1"/>
  <c r="J40" i="19"/>
  <c r="J59" i="19"/>
  <c r="H59" i="19" s="1"/>
  <c r="J25" i="19"/>
  <c r="J63" i="19"/>
  <c r="H63" i="19" s="1"/>
  <c r="J75" i="19"/>
  <c r="H75" i="19" s="1"/>
  <c r="J21" i="19"/>
  <c r="J16" i="19"/>
  <c r="J20" i="19"/>
  <c r="J29" i="19"/>
  <c r="J22" i="19"/>
  <c r="J33" i="19"/>
  <c r="J50" i="19"/>
  <c r="J56" i="19"/>
  <c r="J67" i="19"/>
  <c r="H67" i="19" s="1"/>
  <c r="J11" i="19"/>
  <c r="J55" i="19"/>
  <c r="J46" i="19"/>
  <c r="J60" i="19"/>
  <c r="H60" i="19" s="1"/>
  <c r="J38" i="19"/>
  <c r="J53" i="19"/>
  <c r="J34" i="19"/>
  <c r="J71" i="19"/>
  <c r="H71" i="19" s="1"/>
  <c r="J73" i="19"/>
  <c r="H73" i="19" s="1"/>
  <c r="J57" i="19"/>
  <c r="J69" i="19"/>
  <c r="H69" i="19" s="1"/>
  <c r="J49" i="19"/>
  <c r="J24" i="19"/>
  <c r="J12" i="19"/>
  <c r="J17" i="19"/>
  <c r="J9" i="19"/>
  <c r="J43" i="19"/>
  <c r="J39" i="19"/>
  <c r="J35" i="19"/>
  <c r="J44" i="19"/>
  <c r="J45" i="19"/>
  <c r="J72" i="19"/>
  <c r="H72" i="19" s="1"/>
  <c r="J30" i="19"/>
  <c r="J47" i="19"/>
  <c r="J58" i="19"/>
  <c r="H58" i="19" s="1"/>
  <c r="J26" i="19"/>
  <c r="J54" i="19"/>
  <c r="J27" i="19"/>
  <c r="J76" i="19"/>
  <c r="H76" i="19" s="1"/>
  <c r="J42" i="19"/>
  <c r="J51" i="19"/>
  <c r="J13" i="19"/>
  <c r="J31" i="19"/>
  <c r="J68" i="19"/>
  <c r="H68" i="19" s="1"/>
  <c r="J66" i="19"/>
  <c r="H66" i="19" s="1"/>
  <c r="J8" i="19"/>
  <c r="J41" i="19"/>
  <c r="J37" i="19"/>
  <c r="U31" i="16"/>
  <c r="W31" i="16"/>
  <c r="U9" i="16"/>
  <c r="W9" i="16"/>
  <c r="AF39" i="19"/>
  <c r="AH39" i="19"/>
  <c r="AJ39" i="19"/>
  <c r="AJ47" i="19"/>
  <c r="AH47" i="19"/>
  <c r="AF47" i="19"/>
  <c r="AG14" i="19"/>
  <c r="H24" i="16"/>
  <c r="F24" i="16"/>
  <c r="M26" i="16"/>
  <c r="K26" i="16"/>
  <c r="A33" i="16"/>
  <c r="C33" i="16"/>
  <c r="M39" i="16"/>
  <c r="K39" i="16"/>
  <c r="B13" i="16"/>
  <c r="B14" i="16"/>
  <c r="AL17" i="19"/>
  <c r="AN17" i="19"/>
  <c r="AP17" i="19"/>
  <c r="AP18" i="19"/>
  <c r="AL18" i="19"/>
  <c r="AN18" i="19"/>
  <c r="AF32" i="19"/>
  <c r="AH32" i="19"/>
  <c r="AJ32" i="19"/>
  <c r="G83" i="17"/>
  <c r="P21" i="16"/>
  <c r="R21" i="16"/>
  <c r="G86" i="17"/>
  <c r="R17" i="16"/>
  <c r="P17" i="16"/>
  <c r="AW15" i="19" a="1"/>
  <c r="AW15" i="19" s="1"/>
  <c r="AV15" i="19" s="1"/>
  <c r="W8" i="16"/>
  <c r="U8" i="16"/>
  <c r="U15" i="16"/>
  <c r="W15" i="16"/>
  <c r="W23" i="16"/>
  <c r="U23" i="16"/>
  <c r="AH10" i="19"/>
  <c r="AF10" i="19"/>
  <c r="AJ10" i="19"/>
  <c r="AG28" i="19"/>
  <c r="AG13" i="19"/>
  <c r="G47" i="17"/>
  <c r="G52" i="17"/>
  <c r="M31" i="16"/>
  <c r="K31" i="16"/>
  <c r="A39" i="16"/>
  <c r="C39" i="16"/>
  <c r="M19" i="16"/>
  <c r="K19" i="16"/>
  <c r="B20" i="16"/>
  <c r="A24" i="16"/>
  <c r="C24" i="16"/>
  <c r="H38" i="16"/>
  <c r="F38" i="16"/>
  <c r="AL28" i="19"/>
  <c r="AP28" i="19"/>
  <c r="AN28" i="19"/>
  <c r="AL31" i="19"/>
  <c r="AN31" i="19"/>
  <c r="AP31" i="19"/>
  <c r="P39" i="16"/>
  <c r="R39" i="16"/>
  <c r="R18" i="16"/>
  <c r="P18" i="16"/>
  <c r="P20" i="16"/>
  <c r="R20" i="16"/>
  <c r="R15" i="16"/>
  <c r="P15" i="16"/>
  <c r="R29" i="16"/>
  <c r="P29" i="16"/>
  <c r="AW9" i="19" a="1"/>
  <c r="AW9" i="19" s="1"/>
  <c r="AV9" i="19" s="1"/>
  <c r="G78" i="17"/>
  <c r="U36" i="16"/>
  <c r="W36" i="16"/>
  <c r="U13" i="16"/>
  <c r="W13" i="16"/>
  <c r="AG17" i="19"/>
  <c r="AG23" i="19"/>
  <c r="AJ33" i="19"/>
  <c r="AF33" i="19"/>
  <c r="AH33" i="19"/>
  <c r="G17" i="16"/>
  <c r="F36" i="16"/>
  <c r="H36" i="16"/>
  <c r="B10" i="16"/>
  <c r="K23" i="16"/>
  <c r="M23" i="16"/>
  <c r="M24" i="16"/>
  <c r="K24" i="16"/>
  <c r="H30" i="16"/>
  <c r="F30" i="16"/>
  <c r="AL11" i="19"/>
  <c r="AP11" i="19"/>
  <c r="AN11" i="19"/>
  <c r="AL26" i="19"/>
  <c r="AN26" i="19"/>
  <c r="AP26" i="19"/>
  <c r="AS13" i="19" a="1"/>
  <c r="AS13" i="19" s="1"/>
  <c r="AR13" i="19" s="1"/>
  <c r="P40" i="16"/>
  <c r="R40" i="16"/>
  <c r="R32" i="16"/>
  <c r="P32" i="16"/>
  <c r="P26" i="16"/>
  <c r="R26" i="16"/>
  <c r="G17" i="17"/>
  <c r="P23" i="16"/>
  <c r="R23" i="16"/>
  <c r="G45" i="17"/>
  <c r="G84" i="17"/>
  <c r="R8" i="16"/>
  <c r="P8" i="16"/>
  <c r="R37" i="16"/>
  <c r="P37" i="16"/>
  <c r="AW11" i="19" a="1"/>
  <c r="AW11" i="19" s="1"/>
  <c r="AV11" i="19" s="1"/>
  <c r="G37" i="17"/>
  <c r="G50" i="17"/>
  <c r="W19" i="16"/>
  <c r="U19" i="16"/>
  <c r="W25" i="16"/>
  <c r="U25" i="16"/>
  <c r="AH38" i="19"/>
  <c r="AJ38" i="19"/>
  <c r="AF38" i="19"/>
  <c r="AF45" i="19"/>
  <c r="AH45" i="19"/>
  <c r="AJ45" i="19"/>
  <c r="AF35" i="19"/>
  <c r="AH35" i="19"/>
  <c r="AJ35" i="19"/>
  <c r="G38" i="17"/>
  <c r="G30" i="17"/>
  <c r="F27" i="16"/>
  <c r="H27" i="16"/>
  <c r="H8" i="16"/>
  <c r="F8" i="16"/>
  <c r="M12" i="16"/>
  <c r="K12" i="16"/>
  <c r="A36" i="16"/>
  <c r="C36" i="16"/>
  <c r="K22" i="16"/>
  <c r="M22" i="16"/>
  <c r="G13" i="16"/>
  <c r="AP35" i="19"/>
  <c r="AL35" i="19"/>
  <c r="AN35" i="19"/>
  <c r="AN10" i="19"/>
  <c r="AP10" i="19"/>
  <c r="AL10" i="19"/>
  <c r="G23" i="17"/>
  <c r="W30" i="16"/>
  <c r="U30" i="16"/>
  <c r="U24" i="16"/>
  <c r="W24" i="16"/>
  <c r="AF43" i="19"/>
  <c r="AJ43" i="19"/>
  <c r="AH43" i="19"/>
  <c r="AH36" i="19"/>
  <c r="AF36" i="19"/>
  <c r="AJ36" i="19"/>
  <c r="A9" i="16"/>
  <c r="C9" i="16"/>
  <c r="B19" i="16"/>
  <c r="H34" i="16"/>
  <c r="F34" i="16"/>
  <c r="F39" i="16"/>
  <c r="H39" i="16"/>
  <c r="C29" i="16"/>
  <c r="A29" i="16"/>
  <c r="AL12" i="19"/>
  <c r="AN12" i="19"/>
  <c r="AP12" i="19"/>
  <c r="AP13" i="19"/>
  <c r="AL13" i="19"/>
  <c r="AN13" i="19"/>
  <c r="G40" i="17"/>
  <c r="P31" i="16"/>
  <c r="R31" i="16"/>
  <c r="AW12" i="19" a="1"/>
  <c r="AW12" i="19" s="1"/>
  <c r="AV12" i="19" s="1"/>
  <c r="G36" i="17"/>
  <c r="U20" i="16"/>
  <c r="W20" i="16"/>
  <c r="U37" i="16"/>
  <c r="W37" i="16"/>
  <c r="AH34" i="19"/>
  <c r="AF34" i="19"/>
  <c r="AJ34" i="19"/>
  <c r="AH48" i="19"/>
  <c r="AJ48" i="19"/>
  <c r="AF48" i="19"/>
  <c r="AJ8" i="19"/>
  <c r="AF8" i="19"/>
  <c r="AH8" i="19"/>
  <c r="G81" i="17"/>
  <c r="K40" i="16"/>
  <c r="M40" i="16"/>
  <c r="M27" i="16"/>
  <c r="K27" i="16"/>
  <c r="G21" i="16"/>
  <c r="M14" i="16"/>
  <c r="K14" i="16"/>
  <c r="H25" i="16"/>
  <c r="F25" i="16"/>
  <c r="M20" i="16"/>
  <c r="K20" i="16"/>
  <c r="AL21" i="19"/>
  <c r="AN21" i="19"/>
  <c r="AP21" i="19"/>
  <c r="AN33" i="19"/>
  <c r="AP33" i="19"/>
  <c r="AL33" i="19"/>
  <c r="R28" i="16"/>
  <c r="P28" i="16"/>
  <c r="P30" i="16"/>
  <c r="R30" i="16"/>
  <c r="AW14" i="19" a="1"/>
  <c r="AW14" i="19" s="1"/>
  <c r="AV14" i="19" s="1"/>
  <c r="G11" i="17"/>
  <c r="W12" i="16"/>
  <c r="U12" i="16"/>
  <c r="W32" i="16"/>
  <c r="U32" i="16"/>
  <c r="AG27" i="19"/>
  <c r="AF31" i="19"/>
  <c r="AJ31" i="19"/>
  <c r="AH31" i="19"/>
  <c r="D8" i="24" a="1"/>
  <c r="C38" i="16"/>
  <c r="A38" i="16"/>
  <c r="B17" i="16"/>
  <c r="K11" i="16"/>
  <c r="M11" i="16"/>
  <c r="A35" i="16"/>
  <c r="C35" i="16"/>
  <c r="K9" i="16"/>
  <c r="M9" i="16"/>
  <c r="AL29" i="19"/>
  <c r="AP29" i="19"/>
  <c r="AN29" i="19"/>
  <c r="AP8" i="19"/>
  <c r="AL8" i="19"/>
  <c r="AN8" i="19"/>
  <c r="G15" i="16"/>
  <c r="A31" i="16"/>
  <c r="C31" i="16"/>
  <c r="K36" i="16"/>
  <c r="M36" i="16"/>
  <c r="AP22" i="19"/>
  <c r="AL22" i="19"/>
  <c r="AN22" i="19"/>
  <c r="AN16" i="19"/>
  <c r="AL16" i="19"/>
  <c r="AP16" i="19"/>
  <c r="AW10" i="19" a="1"/>
  <c r="AW10" i="19" s="1"/>
  <c r="AV10" i="19" s="1"/>
  <c r="W18" i="16"/>
  <c r="U18" i="16"/>
  <c r="U11" i="16"/>
  <c r="W11" i="16"/>
  <c r="AG21" i="19"/>
  <c r="F31" i="16"/>
  <c r="H31" i="16"/>
  <c r="M17" i="16"/>
  <c r="K17" i="16"/>
  <c r="H33" i="16"/>
  <c r="F33" i="16"/>
  <c r="B18" i="16"/>
  <c r="H28" i="16"/>
  <c r="F28" i="16"/>
  <c r="G18" i="16"/>
  <c r="H32" i="16"/>
  <c r="F32" i="16"/>
  <c r="AL25" i="19"/>
  <c r="AP25" i="19"/>
  <c r="AN25" i="19"/>
  <c r="AL19" i="19"/>
  <c r="AN19" i="19"/>
  <c r="AP19" i="19"/>
  <c r="P24" i="16"/>
  <c r="R24" i="16"/>
  <c r="P19" i="16"/>
  <c r="R19" i="16"/>
  <c r="R38" i="16"/>
  <c r="P38" i="16"/>
  <c r="G9" i="17"/>
  <c r="U16" i="16"/>
  <c r="W16" i="16"/>
  <c r="W33" i="16"/>
  <c r="U33" i="16"/>
  <c r="AG26" i="19"/>
  <c r="B15" i="16"/>
  <c r="B11" i="16"/>
  <c r="C32" i="16"/>
  <c r="A32" i="16"/>
  <c r="M21" i="16"/>
  <c r="K21" i="16"/>
  <c r="A37" i="16"/>
  <c r="C37" i="16"/>
  <c r="K10" i="16"/>
  <c r="M10" i="16"/>
  <c r="G11" i="16"/>
  <c r="AL24" i="19"/>
  <c r="AP24" i="19"/>
  <c r="AN24" i="19"/>
  <c r="AP34" i="19"/>
  <c r="AL34" i="19"/>
  <c r="AN34" i="19"/>
  <c r="AJ9" i="19" l="1"/>
  <c r="AH9" i="19"/>
  <c r="AF9" i="19"/>
  <c r="AJ20" i="19"/>
  <c r="AH20" i="19"/>
  <c r="AF20" i="19"/>
  <c r="H10" i="16"/>
  <c r="F10" i="16"/>
  <c r="A23" i="16"/>
  <c r="C23" i="16"/>
  <c r="H9" i="16"/>
  <c r="F9" i="16"/>
  <c r="H12" i="16"/>
  <c r="F12" i="16"/>
  <c r="D5" i="24"/>
  <c r="C5" i="24"/>
  <c r="U11" i="19"/>
  <c r="X11" i="19" s="1"/>
  <c r="AF16" i="19"/>
  <c r="AH16" i="19"/>
  <c r="AJ16" i="19"/>
  <c r="F16" i="16"/>
  <c r="H16" i="16"/>
  <c r="AJ18" i="19"/>
  <c r="AF18" i="19"/>
  <c r="AH18" i="19"/>
  <c r="AJ11" i="19"/>
  <c r="AH11" i="19"/>
  <c r="AF11" i="19"/>
  <c r="B33" i="19"/>
  <c r="N9" i="19"/>
  <c r="N46" i="19"/>
  <c r="N27" i="19"/>
  <c r="AA26" i="19"/>
  <c r="AA41" i="19"/>
  <c r="U9" i="19"/>
  <c r="U31" i="19"/>
  <c r="H22" i="19"/>
  <c r="C62" i="16"/>
  <c r="C61" i="16"/>
  <c r="F19" i="16"/>
  <c r="H19" i="16"/>
  <c r="F14" i="16"/>
  <c r="H14" i="16"/>
  <c r="F20" i="16"/>
  <c r="H20" i="16"/>
  <c r="AJ19" i="19"/>
  <c r="AF19" i="19"/>
  <c r="AH19" i="19"/>
  <c r="AH15" i="19"/>
  <c r="AJ15" i="19"/>
  <c r="AF15" i="19"/>
  <c r="AJ24" i="19"/>
  <c r="AF24" i="19"/>
  <c r="AH24" i="19"/>
  <c r="P9" i="16"/>
  <c r="R9" i="16"/>
  <c r="P12" i="16"/>
  <c r="R12" i="16"/>
  <c r="C50" i="16"/>
  <c r="H53" i="19"/>
  <c r="AJ25" i="19"/>
  <c r="AF25" i="19"/>
  <c r="AH25" i="19"/>
  <c r="U26" i="19"/>
  <c r="U21" i="19"/>
  <c r="T62" i="19"/>
  <c r="V62" i="19"/>
  <c r="X62" i="19"/>
  <c r="U42" i="19"/>
  <c r="C12" i="16"/>
  <c r="A12" i="16"/>
  <c r="AA46" i="19"/>
  <c r="AA27" i="19"/>
  <c r="Z48" i="19"/>
  <c r="AB48" i="19"/>
  <c r="AD48" i="19"/>
  <c r="R53" i="19"/>
  <c r="M53" i="19"/>
  <c r="O53" i="19"/>
  <c r="Q53" i="19"/>
  <c r="N25" i="19"/>
  <c r="N33" i="19"/>
  <c r="M57" i="19"/>
  <c r="Q57" i="19"/>
  <c r="O57" i="19"/>
  <c r="R57" i="19"/>
  <c r="B9" i="19"/>
  <c r="E9" i="19"/>
  <c r="B29" i="19"/>
  <c r="E29" i="19" s="1"/>
  <c r="B15" i="19"/>
  <c r="B56" i="19"/>
  <c r="B14" i="19"/>
  <c r="C44" i="16"/>
  <c r="C73" i="16"/>
  <c r="AF13" i="19"/>
  <c r="AJ13" i="19"/>
  <c r="AH13" i="19"/>
  <c r="H41" i="19"/>
  <c r="H45" i="19"/>
  <c r="H38" i="19"/>
  <c r="H25" i="19"/>
  <c r="H48" i="19"/>
  <c r="V55" i="19"/>
  <c r="X55" i="19"/>
  <c r="T55" i="19"/>
  <c r="U40" i="19"/>
  <c r="V59" i="19"/>
  <c r="X59" i="19"/>
  <c r="T59" i="19"/>
  <c r="AB53" i="19"/>
  <c r="Z53" i="19"/>
  <c r="AD53" i="19"/>
  <c r="AA14" i="19"/>
  <c r="AA16" i="19"/>
  <c r="N14" i="19"/>
  <c r="O52" i="19"/>
  <c r="Q52" i="19"/>
  <c r="M52" i="19"/>
  <c r="R52" i="19"/>
  <c r="N12" i="19"/>
  <c r="B25" i="19"/>
  <c r="A75" i="19"/>
  <c r="C75" i="19"/>
  <c r="A74" i="19"/>
  <c r="C74" i="19"/>
  <c r="B38" i="19"/>
  <c r="B36" i="19"/>
  <c r="A21" i="16"/>
  <c r="C21" i="16"/>
  <c r="C72" i="16"/>
  <c r="C69" i="16"/>
  <c r="H34" i="19"/>
  <c r="M60" i="19"/>
  <c r="O60" i="19"/>
  <c r="Q60" i="19"/>
  <c r="R60" i="19"/>
  <c r="B10" i="19"/>
  <c r="H18" i="19"/>
  <c r="AJ28" i="19"/>
  <c r="AH28" i="19"/>
  <c r="AF28" i="19"/>
  <c r="C18" i="16"/>
  <c r="A18" i="16"/>
  <c r="H8" i="19"/>
  <c r="K8" i="19"/>
  <c r="H44" i="19"/>
  <c r="G60" i="19"/>
  <c r="I60" i="19"/>
  <c r="G59" i="19"/>
  <c r="I59" i="19"/>
  <c r="I74" i="19"/>
  <c r="G74" i="19"/>
  <c r="U34" i="19"/>
  <c r="T45" i="19"/>
  <c r="X45" i="19"/>
  <c r="V45" i="19"/>
  <c r="T58" i="19"/>
  <c r="X58" i="19"/>
  <c r="V58" i="19"/>
  <c r="AA40" i="19"/>
  <c r="AB63" i="19"/>
  <c r="AD63" i="19"/>
  <c r="Z63" i="19"/>
  <c r="AA20" i="19"/>
  <c r="N16" i="19"/>
  <c r="N39" i="19"/>
  <c r="R59" i="19"/>
  <c r="M59" i="19"/>
  <c r="O59" i="19"/>
  <c r="Q59" i="19"/>
  <c r="B49" i="19"/>
  <c r="B20" i="19"/>
  <c r="C65" i="19"/>
  <c r="A65" i="19"/>
  <c r="A66" i="19"/>
  <c r="C66" i="19"/>
  <c r="B51" i="19"/>
  <c r="C70" i="16"/>
  <c r="C49" i="16"/>
  <c r="I77" i="19"/>
  <c r="G77" i="19"/>
  <c r="Z9" i="19"/>
  <c r="AB9" i="19"/>
  <c r="AD9" i="19"/>
  <c r="B26" i="19"/>
  <c r="E26" i="19" s="1"/>
  <c r="H37" i="19"/>
  <c r="G72" i="19"/>
  <c r="I72" i="19"/>
  <c r="G63" i="19"/>
  <c r="I63" i="19"/>
  <c r="G66" i="19"/>
  <c r="I66" i="19"/>
  <c r="H35" i="19"/>
  <c r="H46" i="19"/>
  <c r="H40" i="19"/>
  <c r="H32" i="19"/>
  <c r="U15" i="19"/>
  <c r="U30" i="19"/>
  <c r="V51" i="19"/>
  <c r="T51" i="19"/>
  <c r="X51" i="19"/>
  <c r="AD52" i="19"/>
  <c r="AB52" i="19"/>
  <c r="Z52" i="19"/>
  <c r="AA11" i="19"/>
  <c r="AA30" i="19"/>
  <c r="N30" i="19"/>
  <c r="N13" i="19"/>
  <c r="Q55" i="19"/>
  <c r="R55" i="19"/>
  <c r="O55" i="19"/>
  <c r="M55" i="19"/>
  <c r="B27" i="19"/>
  <c r="B16" i="19"/>
  <c r="B34" i="19"/>
  <c r="A63" i="19"/>
  <c r="C63" i="19"/>
  <c r="B11" i="19"/>
  <c r="C46" i="16"/>
  <c r="I75" i="19"/>
  <c r="G75" i="19"/>
  <c r="V53" i="19"/>
  <c r="X53" i="19"/>
  <c r="T53" i="19"/>
  <c r="C19" i="16"/>
  <c r="A19" i="16"/>
  <c r="C53" i="16"/>
  <c r="A10" i="16"/>
  <c r="C10" i="16"/>
  <c r="I68" i="19"/>
  <c r="G68" i="19"/>
  <c r="H39" i="19"/>
  <c r="H55" i="19"/>
  <c r="I65" i="19"/>
  <c r="G65" i="19"/>
  <c r="H23" i="19"/>
  <c r="AJ29" i="19"/>
  <c r="AH29" i="19"/>
  <c r="AF29" i="19"/>
  <c r="U19" i="19"/>
  <c r="U13" i="19"/>
  <c r="U33" i="19"/>
  <c r="AB60" i="19"/>
  <c r="AD60" i="19"/>
  <c r="Z60" i="19"/>
  <c r="AA17" i="19"/>
  <c r="AB56" i="19"/>
  <c r="AD56" i="19"/>
  <c r="Z56" i="19"/>
  <c r="AA15" i="19"/>
  <c r="Q54" i="19"/>
  <c r="O54" i="19"/>
  <c r="M54" i="19"/>
  <c r="R54" i="19"/>
  <c r="R49" i="19"/>
  <c r="M49" i="19"/>
  <c r="Q49" i="19"/>
  <c r="O49" i="19"/>
  <c r="N28" i="19"/>
  <c r="C61" i="19"/>
  <c r="A61" i="19"/>
  <c r="C68" i="19"/>
  <c r="A68" i="19"/>
  <c r="B19" i="19"/>
  <c r="B39" i="19"/>
  <c r="C45" i="16"/>
  <c r="C60" i="16"/>
  <c r="H18" i="16"/>
  <c r="F18" i="16"/>
  <c r="AJ27" i="19"/>
  <c r="AF27" i="19"/>
  <c r="AH27" i="19"/>
  <c r="AF14" i="19"/>
  <c r="AH14" i="19"/>
  <c r="AJ14" i="19"/>
  <c r="H31" i="19"/>
  <c r="H43" i="19"/>
  <c r="K43" i="19" s="1"/>
  <c r="H11" i="19"/>
  <c r="G64" i="19"/>
  <c r="I64" i="19"/>
  <c r="H19" i="19"/>
  <c r="U41" i="19"/>
  <c r="U12" i="19"/>
  <c r="X44" i="19"/>
  <c r="T44" i="19"/>
  <c r="V44" i="19"/>
  <c r="AA43" i="19"/>
  <c r="AB50" i="19"/>
  <c r="Z50" i="19"/>
  <c r="AD50" i="19"/>
  <c r="AA21" i="19"/>
  <c r="Z58" i="19"/>
  <c r="AD58" i="19"/>
  <c r="AB58" i="19"/>
  <c r="M48" i="19"/>
  <c r="R48" i="19"/>
  <c r="O48" i="19"/>
  <c r="Q48" i="19"/>
  <c r="O47" i="19"/>
  <c r="R47" i="19"/>
  <c r="M47" i="19"/>
  <c r="Q47" i="19"/>
  <c r="N38" i="19"/>
  <c r="B45" i="19"/>
  <c r="A59" i="19"/>
  <c r="C59" i="19"/>
  <c r="A62" i="19"/>
  <c r="C62" i="19"/>
  <c r="B53" i="19"/>
  <c r="B50" i="19"/>
  <c r="F23" i="16"/>
  <c r="H23" i="16"/>
  <c r="C75" i="16"/>
  <c r="C55" i="16"/>
  <c r="H30" i="19"/>
  <c r="A70" i="19"/>
  <c r="C70" i="19"/>
  <c r="A11" i="16"/>
  <c r="C11" i="16"/>
  <c r="H13" i="19"/>
  <c r="K13" i="19" s="1"/>
  <c r="H9" i="19"/>
  <c r="K9" i="19" s="1"/>
  <c r="G67" i="19"/>
  <c r="I67" i="19"/>
  <c r="H10" i="19"/>
  <c r="K10" i="19" s="1"/>
  <c r="T54" i="19"/>
  <c r="V54" i="19"/>
  <c r="X54" i="19"/>
  <c r="U36" i="19"/>
  <c r="V63" i="19"/>
  <c r="X63" i="19"/>
  <c r="T63" i="19"/>
  <c r="AA45" i="19"/>
  <c r="AA35" i="19"/>
  <c r="AA38" i="19"/>
  <c r="AA39" i="19"/>
  <c r="N21" i="19"/>
  <c r="N24" i="19"/>
  <c r="N20" i="19"/>
  <c r="B17" i="19"/>
  <c r="C73" i="19"/>
  <c r="A73" i="19"/>
  <c r="B35" i="19"/>
  <c r="B18" i="19"/>
  <c r="C68" i="16"/>
  <c r="C66" i="16"/>
  <c r="C15" i="16"/>
  <c r="A15" i="16"/>
  <c r="F17" i="16"/>
  <c r="H17" i="16"/>
  <c r="A20" i="16"/>
  <c r="C20" i="16"/>
  <c r="H51" i="19"/>
  <c r="H17" i="19"/>
  <c r="H56" i="19"/>
  <c r="H52" i="19"/>
  <c r="X43" i="19"/>
  <c r="V43" i="19"/>
  <c r="T43" i="19"/>
  <c r="U14" i="19"/>
  <c r="X60" i="19"/>
  <c r="T60" i="19"/>
  <c r="V60" i="19"/>
  <c r="AB49" i="19"/>
  <c r="Z49" i="19"/>
  <c r="AD49" i="19"/>
  <c r="AA28" i="19"/>
  <c r="AA31" i="19"/>
  <c r="AA42" i="19"/>
  <c r="F22" i="16"/>
  <c r="H22" i="16"/>
  <c r="M63" i="19"/>
  <c r="O63" i="19"/>
  <c r="R63" i="19"/>
  <c r="Q63" i="19"/>
  <c r="R56" i="19"/>
  <c r="Q56" i="19"/>
  <c r="M56" i="19"/>
  <c r="O56" i="19"/>
  <c r="N36" i="19"/>
  <c r="B57" i="19"/>
  <c r="B28" i="19"/>
  <c r="A76" i="19"/>
  <c r="C76" i="19"/>
  <c r="B42" i="19"/>
  <c r="E42" i="19" s="1"/>
  <c r="B41" i="19"/>
  <c r="C65" i="16"/>
  <c r="H42" i="19"/>
  <c r="H12" i="19"/>
  <c r="H50" i="19"/>
  <c r="H36" i="19"/>
  <c r="K36" i="19" s="1"/>
  <c r="U37" i="19"/>
  <c r="U17" i="19"/>
  <c r="U22" i="19"/>
  <c r="AA32" i="19"/>
  <c r="AA12" i="19"/>
  <c r="Z47" i="19"/>
  <c r="AB47" i="19"/>
  <c r="AD47" i="19"/>
  <c r="AD61" i="19"/>
  <c r="AB61" i="19"/>
  <c r="Z61" i="19"/>
  <c r="N41" i="19"/>
  <c r="N23" i="19"/>
  <c r="N34" i="19"/>
  <c r="A58" i="19"/>
  <c r="C58" i="19"/>
  <c r="C67" i="19"/>
  <c r="A67" i="19"/>
  <c r="B40" i="19"/>
  <c r="B43" i="19"/>
  <c r="E43" i="19"/>
  <c r="P11" i="16"/>
  <c r="R11" i="16"/>
  <c r="C56" i="16"/>
  <c r="H27" i="19"/>
  <c r="AJ26" i="19"/>
  <c r="AH26" i="19"/>
  <c r="AF26" i="19"/>
  <c r="I76" i="19"/>
  <c r="G76" i="19"/>
  <c r="H24" i="19"/>
  <c r="H33" i="19"/>
  <c r="K33" i="19" s="1"/>
  <c r="H14" i="19"/>
  <c r="V46" i="19"/>
  <c r="T46" i="19"/>
  <c r="X46" i="19"/>
  <c r="U39" i="19"/>
  <c r="V61" i="19"/>
  <c r="T61" i="19"/>
  <c r="X61" i="19"/>
  <c r="U18" i="19"/>
  <c r="AA34" i="19"/>
  <c r="AD55" i="19"/>
  <c r="Z55" i="19"/>
  <c r="AB55" i="19"/>
  <c r="AA37" i="19"/>
  <c r="AA23" i="19"/>
  <c r="N42" i="19"/>
  <c r="N26" i="19"/>
  <c r="N31" i="19"/>
  <c r="N44" i="19"/>
  <c r="C71" i="19"/>
  <c r="A71" i="19"/>
  <c r="B24" i="19"/>
  <c r="C69" i="19"/>
  <c r="A69" i="19"/>
  <c r="B13" i="19"/>
  <c r="C48" i="16"/>
  <c r="H49" i="19"/>
  <c r="I70" i="19"/>
  <c r="G70" i="19"/>
  <c r="U29" i="19"/>
  <c r="X50" i="19"/>
  <c r="T50" i="19"/>
  <c r="V50" i="19"/>
  <c r="U27" i="19"/>
  <c r="U20" i="19"/>
  <c r="AA10" i="19"/>
  <c r="Z54" i="19"/>
  <c r="AD54" i="19"/>
  <c r="AB54" i="19"/>
  <c r="AA19" i="19"/>
  <c r="AA33" i="19"/>
  <c r="C16" i="16"/>
  <c r="A16" i="16"/>
  <c r="N19" i="19"/>
  <c r="N11" i="19"/>
  <c r="N43" i="19"/>
  <c r="N45" i="19"/>
  <c r="B8" i="19"/>
  <c r="E8" i="19"/>
  <c r="B52" i="19"/>
  <c r="B31" i="19"/>
  <c r="B37" i="19"/>
  <c r="C63" i="16"/>
  <c r="C74" i="16"/>
  <c r="AH23" i="19"/>
  <c r="AF23" i="19"/>
  <c r="AJ23" i="19"/>
  <c r="H54" i="19"/>
  <c r="I62" i="19"/>
  <c r="G62" i="19"/>
  <c r="U32" i="19"/>
  <c r="U25" i="19"/>
  <c r="U24" i="19"/>
  <c r="T52" i="19"/>
  <c r="V52" i="19"/>
  <c r="X52" i="19"/>
  <c r="AA29" i="19"/>
  <c r="Z59" i="19"/>
  <c r="AD59" i="19"/>
  <c r="AB59" i="19"/>
  <c r="AA22" i="19"/>
  <c r="AA24" i="19"/>
  <c r="N15" i="19"/>
  <c r="N10" i="19"/>
  <c r="Q50" i="19"/>
  <c r="M50" i="19"/>
  <c r="R50" i="19"/>
  <c r="O50" i="19"/>
  <c r="N29" i="19"/>
  <c r="A22" i="16"/>
  <c r="C22" i="16"/>
  <c r="B21" i="19"/>
  <c r="B30" i="19"/>
  <c r="C64" i="19"/>
  <c r="A64" i="19"/>
  <c r="B55" i="19"/>
  <c r="R10" i="16"/>
  <c r="P10" i="16"/>
  <c r="C71" i="16"/>
  <c r="C67" i="16"/>
  <c r="H13" i="16"/>
  <c r="F13" i="16"/>
  <c r="AJ21" i="19"/>
  <c r="AF21" i="19"/>
  <c r="AH21" i="19"/>
  <c r="AJ17" i="19"/>
  <c r="AH17" i="19"/>
  <c r="AF17" i="19"/>
  <c r="H57" i="19"/>
  <c r="H28" i="19"/>
  <c r="K28" i="19"/>
  <c r="U28" i="19"/>
  <c r="U16" i="19"/>
  <c r="AF30" i="19"/>
  <c r="AH30" i="19"/>
  <c r="AJ30" i="19"/>
  <c r="AA36" i="19"/>
  <c r="AA25" i="19"/>
  <c r="AB57" i="19"/>
  <c r="Z57" i="19"/>
  <c r="AD57" i="19"/>
  <c r="N35" i="19"/>
  <c r="O51" i="19"/>
  <c r="Q51" i="19"/>
  <c r="M51" i="19"/>
  <c r="R51" i="19"/>
  <c r="N32" i="19"/>
  <c r="R8" i="19"/>
  <c r="M8" i="19"/>
  <c r="O8" i="19"/>
  <c r="Q8" i="19"/>
  <c r="B46" i="19"/>
  <c r="B54" i="19"/>
  <c r="B22" i="19"/>
  <c r="B32" i="19"/>
  <c r="C51" i="16"/>
  <c r="C57" i="16"/>
  <c r="AJ22" i="19"/>
  <c r="AF22" i="19"/>
  <c r="AH22" i="19"/>
  <c r="C14" i="16"/>
  <c r="A14" i="16"/>
  <c r="G69" i="19"/>
  <c r="I69" i="19"/>
  <c r="H15" i="16"/>
  <c r="F15" i="16"/>
  <c r="C54" i="16"/>
  <c r="C13" i="16"/>
  <c r="A13" i="16"/>
  <c r="H20" i="19"/>
  <c r="U23" i="19"/>
  <c r="T49" i="19"/>
  <c r="X49" i="19"/>
  <c r="V49" i="19"/>
  <c r="H11" i="16"/>
  <c r="F11" i="16"/>
  <c r="G58" i="19"/>
  <c r="I58" i="19"/>
  <c r="I73" i="19"/>
  <c r="G73" i="19"/>
  <c r="H16" i="19"/>
  <c r="G61" i="19"/>
  <c r="I61" i="19"/>
  <c r="V47" i="19"/>
  <c r="X47" i="19"/>
  <c r="T47" i="19"/>
  <c r="X56" i="19"/>
  <c r="T56" i="19"/>
  <c r="V56" i="19"/>
  <c r="U38" i="19"/>
  <c r="T8" i="19"/>
  <c r="V8" i="19"/>
  <c r="X8" i="19"/>
  <c r="AB62" i="19"/>
  <c r="Z62" i="19"/>
  <c r="AD62" i="19"/>
  <c r="AA44" i="19"/>
  <c r="AD51" i="19"/>
  <c r="Z51" i="19"/>
  <c r="AB51" i="19"/>
  <c r="N37" i="19"/>
  <c r="N18" i="19"/>
  <c r="M58" i="19"/>
  <c r="Q58" i="19"/>
  <c r="O58" i="19"/>
  <c r="R58" i="19"/>
  <c r="N40" i="19"/>
  <c r="A72" i="19"/>
  <c r="C72" i="19"/>
  <c r="B44" i="19"/>
  <c r="B47" i="19"/>
  <c r="C64" i="16"/>
  <c r="C47" i="16"/>
  <c r="A17" i="16"/>
  <c r="C17" i="16"/>
  <c r="H29" i="19"/>
  <c r="H21" i="16"/>
  <c r="F21" i="16"/>
  <c r="H26" i="19"/>
  <c r="F14" i="24"/>
  <c r="F25" i="24" s="1"/>
  <c r="F9" i="24"/>
  <c r="F13" i="24"/>
  <c r="F24" i="24" s="1"/>
  <c r="C12" i="24"/>
  <c r="F12" i="24"/>
  <c r="D8" i="24"/>
  <c r="C9" i="24"/>
  <c r="F15" i="24"/>
  <c r="F23" i="24" s="1"/>
  <c r="F11" i="24"/>
  <c r="F26" i="24" s="1"/>
  <c r="C15" i="24"/>
  <c r="C10" i="24"/>
  <c r="C14" i="24"/>
  <c r="F10" i="24"/>
  <c r="F27" i="24" s="1"/>
  <c r="C11" i="24"/>
  <c r="C13" i="24"/>
  <c r="H47" i="19"/>
  <c r="G71" i="19"/>
  <c r="I71" i="19"/>
  <c r="H21" i="19"/>
  <c r="H15" i="19"/>
  <c r="X48" i="19"/>
  <c r="T48" i="19"/>
  <c r="V48" i="19"/>
  <c r="V57" i="19"/>
  <c r="T57" i="19"/>
  <c r="X57" i="19"/>
  <c r="U35" i="19"/>
  <c r="U10" i="19"/>
  <c r="AA13" i="19"/>
  <c r="Z8" i="19"/>
  <c r="AB8" i="19"/>
  <c r="AD8" i="19"/>
  <c r="AA18" i="19"/>
  <c r="N22" i="19"/>
  <c r="M62" i="19"/>
  <c r="Q62" i="19"/>
  <c r="R62" i="19"/>
  <c r="O62" i="19"/>
  <c r="Q61" i="19"/>
  <c r="R61" i="19"/>
  <c r="M61" i="19"/>
  <c r="O61" i="19"/>
  <c r="N17" i="19"/>
  <c r="B12" i="19"/>
  <c r="B48" i="19"/>
  <c r="B23" i="19"/>
  <c r="A60" i="19"/>
  <c r="C60" i="19"/>
  <c r="AJ12" i="19"/>
  <c r="AH12" i="19"/>
  <c r="AF12" i="19"/>
  <c r="C58" i="16"/>
  <c r="C59" i="16"/>
  <c r="K44" i="19" l="1"/>
  <c r="E27" i="19"/>
  <c r="K20" i="19"/>
  <c r="E38" i="19"/>
  <c r="G22" i="19"/>
  <c r="I22" i="19"/>
  <c r="C33" i="19"/>
  <c r="E33" i="19"/>
  <c r="A33" i="19"/>
  <c r="E12" i="19"/>
  <c r="E11" i="19"/>
  <c r="K14" i="19"/>
  <c r="K16" i="19"/>
  <c r="AB41" i="19"/>
  <c r="Z41" i="19"/>
  <c r="AD41" i="19"/>
  <c r="K31" i="19"/>
  <c r="T11" i="19"/>
  <c r="V11" i="19"/>
  <c r="X9" i="19"/>
  <c r="T9" i="19"/>
  <c r="V9" i="19"/>
  <c r="E21" i="19"/>
  <c r="E20" i="19"/>
  <c r="Q9" i="19"/>
  <c r="O9" i="19"/>
  <c r="K12" i="19"/>
  <c r="R9" i="19"/>
  <c r="M9" i="19"/>
  <c r="E10" i="19"/>
  <c r="K45" i="19"/>
  <c r="E47" i="19"/>
  <c r="E46" i="19"/>
  <c r="K47" i="19"/>
  <c r="E32" i="19"/>
  <c r="AD26" i="19"/>
  <c r="AB26" i="19"/>
  <c r="Z26" i="19"/>
  <c r="V31" i="19"/>
  <c r="X31" i="19"/>
  <c r="T31" i="19"/>
  <c r="E35" i="19"/>
  <c r="E34" i="19"/>
  <c r="K30" i="19"/>
  <c r="E28" i="19"/>
  <c r="K21" i="19"/>
  <c r="K48" i="19"/>
  <c r="O46" i="19"/>
  <c r="M46" i="19"/>
  <c r="R46" i="19"/>
  <c r="Q46" i="19"/>
  <c r="R27" i="19"/>
  <c r="O27" i="19"/>
  <c r="Q27" i="19"/>
  <c r="M27" i="19"/>
  <c r="AD22" i="19"/>
  <c r="AB22" i="19"/>
  <c r="Z22" i="19"/>
  <c r="Z39" i="19"/>
  <c r="AB39" i="19"/>
  <c r="AD39" i="19"/>
  <c r="E19" i="19"/>
  <c r="C16" i="19"/>
  <c r="A16" i="19"/>
  <c r="K18" i="19"/>
  <c r="G18" i="19"/>
  <c r="I18" i="19"/>
  <c r="R32" i="19"/>
  <c r="Q32" i="19"/>
  <c r="M32" i="19"/>
  <c r="O32" i="19"/>
  <c r="AD13" i="19"/>
  <c r="Z13" i="19"/>
  <c r="AB13" i="19"/>
  <c r="Z29" i="19"/>
  <c r="AB29" i="19"/>
  <c r="AD29" i="19"/>
  <c r="E40" i="19"/>
  <c r="A37" i="19"/>
  <c r="C37" i="19"/>
  <c r="X10" i="19"/>
  <c r="T10" i="19"/>
  <c r="V10" i="19"/>
  <c r="O17" i="19"/>
  <c r="R17" i="19"/>
  <c r="M17" i="19"/>
  <c r="Q17" i="19"/>
  <c r="X35" i="19"/>
  <c r="T35" i="19"/>
  <c r="V35" i="19"/>
  <c r="G29" i="19"/>
  <c r="I29" i="19"/>
  <c r="R18" i="19"/>
  <c r="M18" i="19"/>
  <c r="O18" i="19"/>
  <c r="Q18" i="19"/>
  <c r="T23" i="19"/>
  <c r="X23" i="19"/>
  <c r="V23" i="19"/>
  <c r="O35" i="19"/>
  <c r="M35" i="19"/>
  <c r="R35" i="19"/>
  <c r="Q35" i="19"/>
  <c r="A52" i="19"/>
  <c r="C52" i="19"/>
  <c r="V27" i="19"/>
  <c r="T27" i="19"/>
  <c r="X27" i="19"/>
  <c r="X39" i="19"/>
  <c r="T39" i="19"/>
  <c r="V39" i="19"/>
  <c r="C42" i="19"/>
  <c r="A42" i="19"/>
  <c r="I56" i="19"/>
  <c r="G56" i="19"/>
  <c r="A18" i="19"/>
  <c r="C18" i="19"/>
  <c r="E45" i="19"/>
  <c r="C45" i="19"/>
  <c r="A45" i="19"/>
  <c r="A19" i="19"/>
  <c r="C19" i="19"/>
  <c r="G55" i="19"/>
  <c r="I55" i="19"/>
  <c r="K35" i="19"/>
  <c r="G35" i="19"/>
  <c r="I35" i="19"/>
  <c r="E25" i="19"/>
  <c r="A25" i="19"/>
  <c r="C25" i="19"/>
  <c r="AB18" i="19"/>
  <c r="Z18" i="19"/>
  <c r="AD18" i="19"/>
  <c r="Q38" i="19"/>
  <c r="R38" i="19"/>
  <c r="O38" i="19"/>
  <c r="M38" i="19"/>
  <c r="Q13" i="19"/>
  <c r="O13" i="19"/>
  <c r="R13" i="19"/>
  <c r="M13" i="19"/>
  <c r="A51" i="19"/>
  <c r="C51" i="19"/>
  <c r="R12" i="19"/>
  <c r="O12" i="19"/>
  <c r="Q12" i="19"/>
  <c r="M12" i="19"/>
  <c r="K17" i="19"/>
  <c r="V36" i="19"/>
  <c r="X36" i="19"/>
  <c r="T36" i="19"/>
  <c r="AD43" i="19"/>
  <c r="AB43" i="19"/>
  <c r="Z43" i="19"/>
  <c r="K39" i="19"/>
  <c r="G39" i="19"/>
  <c r="I39" i="19"/>
  <c r="I20" i="19"/>
  <c r="G20" i="19"/>
  <c r="C32" i="19"/>
  <c r="A32" i="19"/>
  <c r="Q29" i="19"/>
  <c r="O29" i="19"/>
  <c r="R29" i="19"/>
  <c r="M29" i="19"/>
  <c r="T24" i="19"/>
  <c r="V24" i="19"/>
  <c r="X24" i="19"/>
  <c r="C8" i="19"/>
  <c r="A8" i="19"/>
  <c r="M44" i="19"/>
  <c r="R44" i="19"/>
  <c r="O44" i="19"/>
  <c r="Q44" i="19"/>
  <c r="AD42" i="19"/>
  <c r="Z42" i="19"/>
  <c r="AB42" i="19"/>
  <c r="G17" i="19"/>
  <c r="I17" i="19"/>
  <c r="C35" i="19"/>
  <c r="A35" i="19"/>
  <c r="AB17" i="19"/>
  <c r="Z17" i="19"/>
  <c r="AD17" i="19"/>
  <c r="Q30" i="19"/>
  <c r="O30" i="19"/>
  <c r="M30" i="19"/>
  <c r="R30" i="19"/>
  <c r="K46" i="19"/>
  <c r="I44" i="19"/>
  <c r="G44" i="19"/>
  <c r="R33" i="19"/>
  <c r="O33" i="19"/>
  <c r="Q33" i="19"/>
  <c r="M33" i="19"/>
  <c r="O37" i="19"/>
  <c r="M37" i="19"/>
  <c r="Q37" i="19"/>
  <c r="R37" i="19"/>
  <c r="V25" i="19"/>
  <c r="X25" i="19"/>
  <c r="T25" i="19"/>
  <c r="O45" i="19"/>
  <c r="Q45" i="19"/>
  <c r="R45" i="19"/>
  <c r="M45" i="19"/>
  <c r="R31" i="19"/>
  <c r="M31" i="19"/>
  <c r="Q31" i="19"/>
  <c r="O31" i="19"/>
  <c r="Z31" i="19"/>
  <c r="AD31" i="19"/>
  <c r="AB31" i="19"/>
  <c r="Z30" i="19"/>
  <c r="AD30" i="19"/>
  <c r="AB30" i="19"/>
  <c r="AB40" i="19"/>
  <c r="Z40" i="19"/>
  <c r="AD40" i="19"/>
  <c r="R25" i="19"/>
  <c r="M25" i="19"/>
  <c r="Q25" i="19"/>
  <c r="O25" i="19"/>
  <c r="X21" i="19"/>
  <c r="V21" i="19"/>
  <c r="T21" i="19"/>
  <c r="AD12" i="19"/>
  <c r="AB12" i="19"/>
  <c r="Z12" i="19"/>
  <c r="I51" i="19"/>
  <c r="G51" i="19"/>
  <c r="A54" i="19"/>
  <c r="C54" i="19"/>
  <c r="AB25" i="19"/>
  <c r="AD25" i="19"/>
  <c r="Z25" i="19"/>
  <c r="T32" i="19"/>
  <c r="V32" i="19"/>
  <c r="X32" i="19"/>
  <c r="M43" i="19"/>
  <c r="O43" i="19"/>
  <c r="Q43" i="19"/>
  <c r="R43" i="19"/>
  <c r="T29" i="19"/>
  <c r="X29" i="19"/>
  <c r="V29" i="19"/>
  <c r="M26" i="19"/>
  <c r="O26" i="19"/>
  <c r="Q26" i="19"/>
  <c r="R26" i="19"/>
  <c r="A43" i="19"/>
  <c r="C43" i="19"/>
  <c r="AB32" i="19"/>
  <c r="AD32" i="19"/>
  <c r="Z32" i="19"/>
  <c r="AD28" i="19"/>
  <c r="Z28" i="19"/>
  <c r="AB28" i="19"/>
  <c r="C11" i="19"/>
  <c r="A11" i="19"/>
  <c r="AD11" i="19"/>
  <c r="AB11" i="19"/>
  <c r="Z11" i="19"/>
  <c r="I8" i="19"/>
  <c r="G8" i="19"/>
  <c r="K34" i="19"/>
  <c r="I34" i="19"/>
  <c r="G34" i="19"/>
  <c r="G48" i="19"/>
  <c r="I48" i="19"/>
  <c r="X26" i="19"/>
  <c r="T26" i="19"/>
  <c r="V26" i="19"/>
  <c r="A40" i="19"/>
  <c r="C40" i="19"/>
  <c r="E17" i="19"/>
  <c r="I30" i="19"/>
  <c r="G30" i="19"/>
  <c r="X12" i="19"/>
  <c r="V12" i="19"/>
  <c r="T12" i="19"/>
  <c r="O28" i="19"/>
  <c r="R28" i="19"/>
  <c r="Q28" i="19"/>
  <c r="M28" i="19"/>
  <c r="K25" i="19"/>
  <c r="AD19" i="19"/>
  <c r="Z19" i="19"/>
  <c r="AB19" i="19"/>
  <c r="A22" i="19"/>
  <c r="C22" i="19"/>
  <c r="Z44" i="19"/>
  <c r="AB44" i="19"/>
  <c r="AD44" i="19"/>
  <c r="R42" i="19"/>
  <c r="Q42" i="19"/>
  <c r="O42" i="19"/>
  <c r="M42" i="19"/>
  <c r="V22" i="19"/>
  <c r="T22" i="19"/>
  <c r="X22" i="19"/>
  <c r="C28" i="19"/>
  <c r="A28" i="19"/>
  <c r="C47" i="19"/>
  <c r="A47" i="19"/>
  <c r="I16" i="19"/>
  <c r="G16" i="19"/>
  <c r="C46" i="19"/>
  <c r="A46" i="19"/>
  <c r="R19" i="19"/>
  <c r="O19" i="19"/>
  <c r="Q19" i="19"/>
  <c r="M19" i="19"/>
  <c r="AB23" i="19"/>
  <c r="Z23" i="19"/>
  <c r="AD23" i="19"/>
  <c r="T17" i="19"/>
  <c r="X17" i="19"/>
  <c r="V17" i="19"/>
  <c r="C57" i="19"/>
  <c r="A57" i="19"/>
  <c r="C17" i="19"/>
  <c r="A17" i="19"/>
  <c r="K11" i="19"/>
  <c r="I10" i="19"/>
  <c r="G10" i="19"/>
  <c r="T41" i="19"/>
  <c r="X41" i="19"/>
  <c r="V41" i="19"/>
  <c r="X33" i="19"/>
  <c r="V33" i="19"/>
  <c r="T33" i="19"/>
  <c r="R14" i="19"/>
  <c r="Q14" i="19"/>
  <c r="O14" i="19"/>
  <c r="M14" i="19"/>
  <c r="I25" i="19"/>
  <c r="G25" i="19"/>
  <c r="Q11" i="19"/>
  <c r="M11" i="19"/>
  <c r="O11" i="19"/>
  <c r="R11" i="19"/>
  <c r="K15" i="19"/>
  <c r="G15" i="19"/>
  <c r="I15" i="19"/>
  <c r="C8" i="24"/>
  <c r="B13" i="42"/>
  <c r="F8" i="24"/>
  <c r="M10" i="19"/>
  <c r="O10" i="19"/>
  <c r="Q10" i="19"/>
  <c r="R10" i="19"/>
  <c r="I54" i="19"/>
  <c r="G54" i="19"/>
  <c r="G33" i="19"/>
  <c r="I33" i="19"/>
  <c r="V37" i="19"/>
  <c r="T37" i="19"/>
  <c r="X37" i="19"/>
  <c r="M36" i="19"/>
  <c r="Q36" i="19"/>
  <c r="R36" i="19"/>
  <c r="O36" i="19"/>
  <c r="M20" i="19"/>
  <c r="O20" i="19"/>
  <c r="R20" i="19"/>
  <c r="Q20" i="19"/>
  <c r="K19" i="19"/>
  <c r="T13" i="19"/>
  <c r="X13" i="19"/>
  <c r="V13" i="19"/>
  <c r="K37" i="19"/>
  <c r="G37" i="19"/>
  <c r="I37" i="19"/>
  <c r="E22" i="19"/>
  <c r="C20" i="19"/>
  <c r="A20" i="19"/>
  <c r="Z16" i="19"/>
  <c r="AB16" i="19"/>
  <c r="AD16" i="19"/>
  <c r="K38" i="19"/>
  <c r="I38" i="19"/>
  <c r="G38" i="19"/>
  <c r="A14" i="19"/>
  <c r="C14" i="19"/>
  <c r="Z36" i="19"/>
  <c r="AB36" i="19"/>
  <c r="AD36" i="19"/>
  <c r="I14" i="19"/>
  <c r="G14" i="19"/>
  <c r="A44" i="19"/>
  <c r="C44" i="19"/>
  <c r="AD37" i="19"/>
  <c r="Z37" i="19"/>
  <c r="AB37" i="19"/>
  <c r="H12" i="24"/>
  <c r="H14" i="24"/>
  <c r="H15" i="24"/>
  <c r="H13" i="24"/>
  <c r="F28" i="24"/>
  <c r="E44" i="19"/>
  <c r="Q15" i="19"/>
  <c r="M15" i="19"/>
  <c r="O15" i="19"/>
  <c r="R15" i="19"/>
  <c r="K24" i="19"/>
  <c r="G24" i="19"/>
  <c r="I24" i="19"/>
  <c r="O24" i="19"/>
  <c r="Q24" i="19"/>
  <c r="M24" i="19"/>
  <c r="R24" i="19"/>
  <c r="I19" i="19"/>
  <c r="G19" i="19"/>
  <c r="T19" i="19"/>
  <c r="V19" i="19"/>
  <c r="X19" i="19"/>
  <c r="A34" i="19"/>
  <c r="C34" i="19"/>
  <c r="C49" i="19"/>
  <c r="A49" i="19"/>
  <c r="Z14" i="19"/>
  <c r="AB14" i="19"/>
  <c r="AD14" i="19"/>
  <c r="I45" i="19"/>
  <c r="G45" i="19"/>
  <c r="C56" i="19"/>
  <c r="A56" i="19"/>
  <c r="I53" i="19"/>
  <c r="G53" i="19"/>
  <c r="Q22" i="19"/>
  <c r="R22" i="19"/>
  <c r="M22" i="19"/>
  <c r="O22" i="19"/>
  <c r="I21" i="19"/>
  <c r="G21" i="19"/>
  <c r="T16" i="19"/>
  <c r="X16" i="19"/>
  <c r="V16" i="19"/>
  <c r="Z24" i="19"/>
  <c r="AB24" i="19"/>
  <c r="AD24" i="19"/>
  <c r="AD33" i="19"/>
  <c r="AB33" i="19"/>
  <c r="Z33" i="19"/>
  <c r="K22" i="19"/>
  <c r="G36" i="19"/>
  <c r="I36" i="19"/>
  <c r="M21" i="19"/>
  <c r="R21" i="19"/>
  <c r="Q21" i="19"/>
  <c r="O21" i="19"/>
  <c r="E16" i="19"/>
  <c r="C26" i="19"/>
  <c r="A26" i="19"/>
  <c r="E36" i="19"/>
  <c r="C36" i="19"/>
  <c r="A36" i="19"/>
  <c r="E15" i="19"/>
  <c r="C15" i="19"/>
  <c r="A15" i="19"/>
  <c r="A55" i="19"/>
  <c r="C55" i="19"/>
  <c r="G50" i="19"/>
  <c r="I50" i="19"/>
  <c r="AB34" i="19"/>
  <c r="AD34" i="19"/>
  <c r="Z34" i="19"/>
  <c r="M23" i="19"/>
  <c r="O23" i="19"/>
  <c r="R23" i="19"/>
  <c r="Q23" i="19"/>
  <c r="I12" i="19"/>
  <c r="G12" i="19"/>
  <c r="V14" i="19"/>
  <c r="X14" i="19"/>
  <c r="T14" i="19"/>
  <c r="AD38" i="19"/>
  <c r="AB38" i="19"/>
  <c r="Z38" i="19"/>
  <c r="A53" i="19"/>
  <c r="C53" i="19"/>
  <c r="G11" i="19"/>
  <c r="I11" i="19"/>
  <c r="V30" i="19"/>
  <c r="T30" i="19"/>
  <c r="X30" i="19"/>
  <c r="A38" i="19"/>
  <c r="C38" i="19"/>
  <c r="C29" i="19"/>
  <c r="A29" i="19"/>
  <c r="AB27" i="19"/>
  <c r="Z27" i="19"/>
  <c r="AD27" i="19"/>
  <c r="O34" i="19"/>
  <c r="R34" i="19"/>
  <c r="Q34" i="19"/>
  <c r="M34" i="19"/>
  <c r="I9" i="19"/>
  <c r="G9" i="19"/>
  <c r="X34" i="19"/>
  <c r="V34" i="19"/>
  <c r="T34" i="19"/>
  <c r="K41" i="19"/>
  <c r="G41" i="19"/>
  <c r="I41" i="19"/>
  <c r="G14" i="24"/>
  <c r="G12" i="24"/>
  <c r="G9" i="24"/>
  <c r="G15" i="24"/>
  <c r="G11" i="24"/>
  <c r="G13" i="24"/>
  <c r="G10" i="24"/>
  <c r="F22" i="24"/>
  <c r="E23" i="19"/>
  <c r="C23" i="19"/>
  <c r="A23" i="19"/>
  <c r="E13" i="19"/>
  <c r="C13" i="19"/>
  <c r="A13" i="19"/>
  <c r="Z46" i="19"/>
  <c r="AD46" i="19"/>
  <c r="AB46" i="19"/>
  <c r="O40" i="19"/>
  <c r="M40" i="19"/>
  <c r="R40" i="19"/>
  <c r="Q40" i="19"/>
  <c r="V38" i="19"/>
  <c r="T38" i="19"/>
  <c r="X38" i="19"/>
  <c r="M41" i="19"/>
  <c r="Q41" i="19"/>
  <c r="O41" i="19"/>
  <c r="R41" i="19"/>
  <c r="K23" i="19"/>
  <c r="A27" i="19"/>
  <c r="C27" i="19"/>
  <c r="V15" i="19"/>
  <c r="X15" i="19"/>
  <c r="T15" i="19"/>
  <c r="E14" i="19"/>
  <c r="A10" i="19"/>
  <c r="C10" i="19"/>
  <c r="E48" i="19"/>
  <c r="C48" i="19"/>
  <c r="A48" i="19"/>
  <c r="G47" i="19"/>
  <c r="I47" i="19"/>
  <c r="K26" i="19"/>
  <c r="G26" i="19"/>
  <c r="I26" i="19"/>
  <c r="I57" i="19"/>
  <c r="G57" i="19"/>
  <c r="E30" i="19"/>
  <c r="A30" i="19"/>
  <c r="C30" i="19"/>
  <c r="E37" i="19"/>
  <c r="K42" i="19"/>
  <c r="G42" i="19"/>
  <c r="I42" i="19"/>
  <c r="Z45" i="19"/>
  <c r="AD45" i="19"/>
  <c r="AB45" i="19"/>
  <c r="AB21" i="19"/>
  <c r="AD21" i="19"/>
  <c r="Z21" i="19"/>
  <c r="G43" i="19"/>
  <c r="I43" i="19"/>
  <c r="I23" i="19"/>
  <c r="G23" i="19"/>
  <c r="K32" i="19"/>
  <c r="I32" i="19"/>
  <c r="G32" i="19"/>
  <c r="M39" i="19"/>
  <c r="R39" i="19"/>
  <c r="O39" i="19"/>
  <c r="Q39" i="19"/>
  <c r="A9" i="19"/>
  <c r="C9" i="19"/>
  <c r="X28" i="19"/>
  <c r="T28" i="19"/>
  <c r="V28" i="19"/>
  <c r="I49" i="19"/>
  <c r="G49" i="19"/>
  <c r="A50" i="19"/>
  <c r="C50" i="19"/>
  <c r="Z35" i="19"/>
  <c r="AD35" i="19"/>
  <c r="AB35" i="19"/>
  <c r="G13" i="19"/>
  <c r="I13" i="19"/>
  <c r="K27" i="19"/>
  <c r="E39" i="19"/>
  <c r="AB15" i="19"/>
  <c r="AD15" i="19"/>
  <c r="Z15" i="19"/>
  <c r="K40" i="19"/>
  <c r="I40" i="19"/>
  <c r="G40" i="19"/>
  <c r="O16" i="19"/>
  <c r="M16" i="19"/>
  <c r="Q16" i="19"/>
  <c r="R16" i="19"/>
  <c r="K29" i="19"/>
  <c r="I28" i="19"/>
  <c r="G28" i="19"/>
  <c r="X18" i="19"/>
  <c r="V18" i="19"/>
  <c r="T18" i="19"/>
  <c r="Z10" i="19"/>
  <c r="AD10" i="19"/>
  <c r="AB10" i="19"/>
  <c r="A12" i="19"/>
  <c r="C12" i="19"/>
  <c r="C21" i="19"/>
  <c r="A21" i="19"/>
  <c r="E31" i="19"/>
  <c r="C31" i="19"/>
  <c r="A31" i="19"/>
  <c r="V20" i="19"/>
  <c r="X20" i="19"/>
  <c r="T20" i="19"/>
  <c r="E24" i="19"/>
  <c r="C24" i="19"/>
  <c r="A24" i="19"/>
  <c r="I27" i="19"/>
  <c r="G27" i="19"/>
  <c r="E41" i="19"/>
  <c r="C41" i="19"/>
  <c r="A41" i="19"/>
  <c r="I52" i="19"/>
  <c r="G52" i="19"/>
  <c r="E18" i="19"/>
  <c r="I31" i="19"/>
  <c r="G31" i="19"/>
  <c r="A39" i="19"/>
  <c r="C39" i="19"/>
  <c r="G46" i="19"/>
  <c r="I46" i="19"/>
  <c r="AD20" i="19"/>
  <c r="AB20" i="19"/>
  <c r="Z20" i="19"/>
  <c r="T40" i="19"/>
  <c r="V40" i="19"/>
  <c r="X40" i="19"/>
  <c r="V42" i="19"/>
  <c r="X42" i="19"/>
  <c r="T42" i="19"/>
  <c r="K13" i="42" l="1" a="1"/>
  <c r="K13" i="42" s="1"/>
  <c r="G13" i="42" a="1"/>
  <c r="G13" i="42" s="1"/>
  <c r="C13" i="42" s="1"/>
  <c r="J13" i="42" a="1"/>
  <c r="J13" i="42" s="1"/>
  <c r="M13" i="42" s="1" a="1"/>
  <c r="M13" i="42" s="1"/>
  <c r="F13" i="42" a="1"/>
  <c r="F13" i="42" s="1"/>
  <c r="I13" i="42" s="1" a="1"/>
  <c r="I13" i="42" s="1"/>
  <c r="E13" i="42" s="1"/>
  <c r="L13" i="42" a="1"/>
  <c r="L13" i="42" s="1"/>
  <c r="H13" i="42" a="1"/>
  <c r="H13" i="42" s="1"/>
  <c r="D13" i="4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Mike Avery</author>
  </authors>
  <commentList>
    <comment ref="A15" authorId="0" shapeId="0" xr:uid="{4E405547-4650-44A5-B411-C20B6D783112}">
      <text>
        <r>
          <rPr>
            <b/>
            <sz val="9"/>
            <color indexed="81"/>
            <rFont val="Tahoma"/>
            <family val="2"/>
          </rPr>
          <t>Mike Avery:</t>
        </r>
        <r>
          <rPr>
            <sz val="9"/>
            <color indexed="81"/>
            <rFont val="Tahoma"/>
            <family val="2"/>
          </rPr>
          <t xml:space="preserve">
Moved up to green tees; first round in Week 6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A78D30-23CB-4BFA-9DF7-2D62623F1B48}" keepAlive="1" name="Query - fxGetSeasonSetting" description="Connection to the 'fxGetSeasonSetting' query in the workbook." type="5" refreshedVersion="0" background="1">
    <dbPr connection="Provider=Microsoft.Mashup.OleDb.1;Data Source=$Workbook$;Location=fxGetSeasonSetting;Extended Properties=&quot;&quot;" command="SELECT * FROM [fxGetSeasonSetting]"/>
  </connection>
  <connection id="2" xr16:uid="{F5DE489E-D34D-45E2-B25F-7B9B4243B927}" keepAlive="1" name="Query - fxGetSetting" description="Connection to the 'fxGetSetting' query in the workbook." type="5" refreshedVersion="0" background="1">
    <dbPr connection="Provider=Microsoft.Mashup.OleDb.1;Data Source=$Workbook$;Location=fxGetSetting;Extended Properties=&quot;&quot;" command="SELECT * FROM [fxGetSetting]"/>
  </connection>
  <connection id="3" xr16:uid="{83EBEAB6-4D68-4A3A-800E-A04BE89B5DBC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4" xr16:uid="{170BA0B7-F8F3-49E0-B346-821599EEDD25}" keepAlive="1" name="Query - Indiv_Results_Holes" description="Connection to the 'Indiv_Results_Holes' query in the workbook." type="5" refreshedVersion="8" background="1" saveData="1">
    <dbPr connection="Provider=Microsoft.Mashup.OleDb.1;Data Source=$Workbook$;Location=Indiv_Results_Holes;Extended Properties=&quot;&quot;" command="SELECT * FROM [Indiv_Results_Holes]"/>
  </connection>
  <connection id="5" xr16:uid="{A5656872-2F89-4018-910E-DDC0DEA0B07C}" keepAlive="1" name="Query - Indiv_Results_Staging" description="Connection to the 'Indiv_Results_Staging' query in the workbook." type="5" refreshedVersion="8" background="1" saveData="1">
    <dbPr connection="Provider=Microsoft.Mashup.OleDb.1;Data Source=$Workbook$;Location=Indiv_Results_Staging;Extended Properties=&quot;&quot;" command="SELECT * FROM [Indiv_Results_Staging]"/>
  </connection>
  <connection id="6" xr16:uid="{7C21538C-08AF-4CE2-BFD2-4A1056A37A54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E4311FDA-AF85-4D0D-9DBA-A18621734B54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8" xr16:uid="{1C812A92-2DC7-45D7-952C-4F7A5D1B3322}" keepAlive="1" name="Query - qry_Settings_System" description="Connection to the 'qry_Settings_System' query in the workbook." type="5" refreshedVersion="8" background="1" saveData="1">
    <dbPr connection="Provider=Microsoft.Mashup.OleDb.1;Data Source=$Workbook$;Location=qry_Settings_System;Extended Properties=&quot;&quot;" command="SELECT * FROM [qry_Settings_System]"/>
  </connection>
  <connection id="9" xr16:uid="{5147D5E4-970C-4A4F-9347-45284890FC19}" keepAlive="1" name="Query - qry_Static_Season_Config" description="Connection to the 'qry_Static_Season_Config' query in the workbook." type="5" refreshedVersion="8" background="1" saveData="1">
    <dbPr connection="Provider=Microsoft.Mashup.OleDb.1;Data Source=$Workbook$;Location=qry_Static_Season_Config;Extended Properties=&quot;&quot;" command="SELECT * FROM [qry_Static_Season_Config]"/>
  </connection>
  <connection id="10" xr16:uid="{BDE84BEB-54B5-429E-910A-127E3F51864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1" xr16:uid="{510AF607-D0E2-43A9-A666-97207C62EA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2" xr16:uid="{00CF1962-5824-4B18-A4ED-3DA12F8B8940}" keepAlive="1" name="Query - Settings_System" description="Connection to the 'Settings_System' query in the workbook." type="5" refreshedVersion="8" background="1" saveData="1">
    <dbPr connection="Provider=Microsoft.Mashup.OleDb.1;Data Source=$Workbook$;Location=Settings_System;Extended Properties=&quot;&quot;" command="SELECT * FROM [Settings_System]"/>
  </connection>
  <connection id="13" xr16:uid="{EAB8D836-3962-45FD-BCEB-5CEB0FE3DE98}" keepAlive="1" name="Query - Summary_New__Handicaps" description="Connection to the 'Summary_New__Handicaps' query in the workbook." type="5" refreshedVersion="8" background="1" saveData="1">
    <dbPr connection="Provider=Microsoft.Mashup.OleDb.1;Data Source=$Workbook$;Location=Summary_New__Handicaps;Extended Properties=&quot;&quot;" command="SELECT * FROM [Summary_New__Handicaps]"/>
  </connection>
  <connection id="14" xr16:uid="{53181CC2-9171-4E12-B1DB-6E250E8E3AA1}" keepAlive="1" name="Query - Summary_New__Matches" description="Connection to the 'Summary_New__Matches' query in the workbook." type="5" refreshedVersion="8" background="1" saveData="1">
    <dbPr connection="Provider=Microsoft.Mashup.OleDb.1;Data Source=$Workbook$;Location=Summary_New__Matches;Extended Properties=&quot;&quot;" command="SELECT * FROM [Summary_New__Matches]"/>
  </connection>
  <connection id="15" xr16:uid="{E8B4EA4C-8281-43D0-8974-6C1B6B236364}" keepAlive="1" name="Query - Summary_New__Player_Stats" description="Connection to the 'Summary_New__Player_Stats' query in the workbook." type="5" refreshedVersion="8" background="1" saveData="1">
    <dbPr connection="Provider=Microsoft.Mashup.OleDb.1;Data Source=$Workbook$;Location=Summary_New__Player_Stats;Extended Properties=&quot;&quot;" command="SELECT * FROM [Summary_New__Player_Stats]"/>
  </connection>
  <connection id="16" xr16:uid="{B5395EFD-A7CA-4A17-A6A0-042D3FF346E5}" keepAlive="1" name="Query - Summary_New__Players" description="Connection to the 'Summary_New__Players' query in the workbook." type="5" refreshedVersion="8" background="1" saveData="1">
    <dbPr connection="Provider=Microsoft.Mashup.OleDb.1;Data Source=$Workbook$;Location=Summary_New__Players;Extended Properties=&quot;&quot;" command="SELECT * FROM [Summary_New__Players]"/>
  </connection>
  <connection id="17" xr16:uid="{1C1416E7-9E60-48B5-B9FF-EB5422036D60}" keepAlive="1" name="Query - Summary_New__Season" description="Connection to the 'Summary_New__Season' query in the workbook." type="5" refreshedVersion="8" background="1" saveData="1">
    <dbPr connection="Provider=Microsoft.Mashup.OleDb.1;Data Source=$Workbook$;Location=Summary_New__Season;Extended Properties=&quot;&quot;" command="SELECT * FROM [Summary_New__Season]"/>
  </connection>
  <connection id="18" xr16:uid="{36F5F7E9-3ADE-43BC-8A5F-3FBA69CEF9F5}" keepAlive="1" name="Query - Summary_New__Team_Stats" description="Connection to the 'Summary_New__Team_Stats' query in the workbook." type="5" refreshedVersion="8" background="1" saveData="1">
    <dbPr connection="Provider=Microsoft.Mashup.OleDb.1;Data Source=$Workbook$;Location=Summary_New__Team_Stats;Extended Properties=&quot;&quot;" command="SELECT * FROM [Summary_New__Team_Stats]"/>
  </connection>
  <connection id="19" xr16:uid="{F2508F90-401A-425A-A196-96A2D3A28793}" keepAlive="1" name="Query - Summary_New__Teams" description="Connection to the 'Summary_New__Teams' query in the workbook." type="5" refreshedVersion="8" background="1" saveData="1">
    <dbPr connection="Provider=Microsoft.Mashup.OleDb.1;Data Source=$Workbook$;Location=Summary_New__Teams;Extended Properties=&quot;&quot;" command="SELECT * FROM [Summary_New__Teams]"/>
  </connection>
  <connection id="20" xr16:uid="{9E9F75D3-5E63-4E20-A0DE-A94A453E65D0}" keepAlive="1" name="Query - Summary_New__Weekly_Stats" description="Connection to the 'Summary_New__Weekly_Stats' query in the workbook." type="5" refreshedVersion="8" background="1" saveData="1">
    <dbPr connection="Provider=Microsoft.Mashup.OleDb.1;Data Source=$Workbook$;Location=Summary_New__Weekly_Stats;Extended Properties=&quot;&quot;" command="SELECT * FROM [Summary_New__Weekly_Stats]"/>
  </connection>
  <connection id="21" xr16:uid="{006A0630-B9E3-4823-8803-149AB5303BDF}" keepAlive="1" name="Query - Team_Results_Staging" description="Connection to the 'Team_Results_Staging' query in the workbook." type="5" refreshedVersion="8" background="1" saveData="1">
    <dbPr connection="Provider=Microsoft.Mashup.OleDb.1;Data Source=$Workbook$;Location=Team_Results_Staging;Extended Properties=&quot;&quot;" command="SELECT * FROM [Team_Results_Staging]"/>
  </connection>
  <connection id="22" xr16:uid="{CC199B76-0EA6-48AC-9D6D-F5BB182118C7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3" xr16:uid="{D4C4CB40-377F-46FD-B8AD-31DC99CF6DC3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4" xr16:uid="{CAB4E720-7AC0-4742-B8AB-FABF44A2242F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5" xr16:uid="{D69219DE-1EE7-4590-A0AC-83C39E07584F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6" xr16:uid="{B5D221CC-023E-4E59-8991-121A59A1CB68}" keepAlive="1" name="Query - Upload_Indiv_Raw" description="Connection to the 'Upload_Indiv_Raw' query in the workbook." type="5" refreshedVersion="8" background="1" saveData="1">
    <dbPr connection="Provider=Microsoft.Mashup.OleDb.1;Data Source=$Workbook$;Location=Upload_Indiv_Raw;Extended Properties=&quot;&quot;" command="SELECT * FROM [Upload_Indiv_Raw]"/>
  </connection>
  <connection id="27" xr16:uid="{E9B8ACE3-DD62-443D-81B3-BE8E2FB49539}" keepAlive="1" name="Query - Upload_Team_Raw" description="Connection to the 'Upload_Team_Raw' query in the workbook." type="5" refreshedVersion="8" background="1" saveData="1">
    <dbPr connection="Provider=Microsoft.Mashup.OleDb.1;Data Source=$Workbook$;Location=Upload_Team_Raw;Extended Properties=&quot;&quot;" command="SELECT * FROM [Upload_Team_Ra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<sst xmlns="http://schemas.openxmlformats.org/spreadsheetml/2006/main" count="17559" uniqueCount="2970">
  <si>
    <t>The Timken/Metallus Monday Night Golf League</t>
  </si>
  <si>
    <t>Raintree</t>
  </si>
  <si>
    <t>Work Area</t>
  </si>
  <si>
    <t>PREVIOUS STANDINGS:</t>
  </si>
  <si>
    <t>Calculations - Do Not Edit</t>
  </si>
  <si>
    <t>Points Out Of</t>
  </si>
  <si>
    <t>Total Points</t>
  </si>
  <si>
    <t>Week</t>
  </si>
  <si>
    <t>Team</t>
  </si>
  <si>
    <t>Total</t>
  </si>
  <si>
    <t>First</t>
  </si>
  <si>
    <t>Playoffs</t>
  </si>
  <si>
    <t>Name</t>
  </si>
  <si>
    <t>1st Week</t>
  </si>
  <si>
    <t>YTD</t>
  </si>
  <si>
    <t>Prev Wk</t>
  </si>
  <si>
    <t>Mickey Mouse Club</t>
  </si>
  <si>
    <t>team1</t>
  </si>
  <si>
    <t>Stymies</t>
  </si>
  <si>
    <t>team2</t>
  </si>
  <si>
    <t>Metheads</t>
  </si>
  <si>
    <t>team3</t>
  </si>
  <si>
    <t>The Four Puttz</t>
  </si>
  <si>
    <t>team4</t>
  </si>
  <si>
    <t>Who's Your Caddy?</t>
  </si>
  <si>
    <t>team5</t>
  </si>
  <si>
    <t>Aceholes</t>
  </si>
  <si>
    <t>team6</t>
  </si>
  <si>
    <t>Hack Squad</t>
  </si>
  <si>
    <t>team7</t>
  </si>
  <si>
    <t>Blind Draw</t>
  </si>
  <si>
    <t>team8</t>
  </si>
  <si>
    <t>PLAYOFF TEAMS</t>
  </si>
  <si>
    <r>
      <t xml:space="preserve">^ stats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</si>
  <si>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scores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</si>
  <si>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exclusions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</si>
  <si>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net scores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</si>
  <si>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points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</si>
  <si>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birdies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</si>
  <si>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eagles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</si>
  <si>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results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</si>
  <si>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team net ^   </t>
    </r>
    <r>
      <rPr>
        <b/>
        <sz val="2"/>
        <color theme="0"/>
        <rFont val="Calibri"/>
        <family val="2"/>
        <scheme val="minor"/>
      </rPr>
      <t>.</t>
    </r>
  </si>
  <si>
    <r>
      <t xml:space="preserve">^ team points ^   </t>
    </r>
    <r>
      <rPr>
        <b/>
        <sz val="2"/>
        <color theme="0"/>
        <rFont val="Calibri"/>
        <family val="2"/>
        <scheme val="minor"/>
      </rPr>
      <t>.</t>
    </r>
  </si>
  <si>
    <t>HDCP Basis =</t>
  </si>
  <si>
    <t>Max HDCP = 20</t>
  </si>
  <si>
    <t>"*" = Player has not played enough rounds for parts of the Season Leaderboard</t>
  </si>
  <si>
    <t>Rounds</t>
  </si>
  <si>
    <t>Excluded Scores</t>
  </si>
  <si>
    <t>net scores</t>
  </si>
  <si>
    <t>points</t>
  </si>
  <si>
    <t>birdies</t>
  </si>
  <si>
    <t>eagles</t>
  </si>
  <si>
    <t>result</t>
  </si>
  <si>
    <t>team net</t>
  </si>
  <si>
    <t>team points</t>
  </si>
  <si>
    <t>range</t>
  </si>
  <si>
    <t>ref</t>
  </si>
  <si>
    <t>id</t>
  </si>
  <si>
    <t>Team / Player</t>
  </si>
  <si>
    <t>HDCP</t>
  </si>
  <si>
    <t>Season Avg</t>
  </si>
  <si>
    <t>hdcp avg</t>
  </si>
  <si>
    <t>Avg Gross</t>
  </si>
  <si>
    <t>Avg Net</t>
  </si>
  <si>
    <t>Low Gross</t>
  </si>
  <si>
    <t>Low Net</t>
  </si>
  <si>
    <t>Total Pts</t>
  </si>
  <si>
    <t>Avg Pts</t>
  </si>
  <si>
    <t>Total Birdies</t>
  </si>
  <si>
    <t>Total Eagles</t>
  </si>
  <si>
    <t>phone</t>
  </si>
  <si>
    <t>email</t>
  </si>
  <si>
    <t>Low</t>
  </si>
  <si>
    <t>avg</t>
  </si>
  <si>
    <t>Hi</t>
  </si>
  <si>
    <t>T</t>
  </si>
  <si>
    <t>subs</t>
  </si>
  <si>
    <t>Subs</t>
  </si>
  <si>
    <t>The Timken_Metallus Monday Night Golf League</t>
  </si>
  <si>
    <t>Weekly Leaderboard</t>
  </si>
  <si>
    <t>week</t>
  </si>
  <si>
    <t>golfers</t>
  </si>
  <si>
    <t>Rank</t>
  </si>
  <si>
    <t>Player</t>
  </si>
  <si>
    <t>Gross Score</t>
  </si>
  <si>
    <t>Net Score</t>
  </si>
  <si>
    <t>Points</t>
  </si>
  <si>
    <t>Birdies</t>
  </si>
  <si>
    <t>Eagles</t>
  </si>
  <si>
    <t>Season Leaderboard</t>
  </si>
  <si>
    <t>Full Season</t>
  </si>
  <si>
    <t>Avg Low Gross</t>
  </si>
  <si>
    <t>Avg Low Net</t>
  </si>
  <si>
    <t>Hi Points</t>
  </si>
  <si>
    <t>Hdcp:</t>
  </si>
  <si>
    <t>Par:</t>
  </si>
  <si>
    <t>Hole:</t>
  </si>
  <si>
    <t>Row Labels</t>
  </si>
  <si>
    <t>Sum of Tot_Birds</t>
  </si>
  <si>
    <t>Total YTD</t>
  </si>
  <si>
    <t>Parrish, Charlie</t>
  </si>
  <si>
    <t>Newsome, Gregg - gold tees</t>
  </si>
  <si>
    <t>Hajba, Michael</t>
  </si>
  <si>
    <t>Grand Total</t>
  </si>
  <si>
    <t>Sum of Tot_Eagles</t>
  </si>
  <si>
    <t>Miller, Russ - gold tees</t>
  </si>
  <si>
    <t>Kushner, John</t>
  </si>
  <si>
    <t>Birdies:</t>
  </si>
  <si>
    <t>Eagles:</t>
  </si>
  <si>
    <t>Under Par:</t>
  </si>
  <si>
    <t>League Schedule</t>
  </si>
  <si>
    <t>Balance Check (Reg Season - 14 weeks)</t>
  </si>
  <si>
    <t>Tee 1</t>
  </si>
  <si>
    <t>Tee 10</t>
  </si>
  <si>
    <t>Date</t>
  </si>
  <si>
    <t>Tee Time</t>
  </si>
  <si>
    <t>1st Tee</t>
  </si>
  <si>
    <t>10th Tee</t>
  </si>
  <si>
    <t>Open Golf</t>
  </si>
  <si>
    <t>Call Course for Tee Times</t>
  </si>
  <si>
    <t>Practice</t>
  </si>
  <si>
    <t xml:space="preserve">   #1 &amp; #3 /  #2 &amp; #4 golfers</t>
  </si>
  <si>
    <t xml:space="preserve">   #1 &amp; #4 /  #2 &amp; #3 golfers</t>
  </si>
  <si>
    <t>Holiday - Open Golf</t>
  </si>
  <si>
    <t>No Matches - Call Course for Tee Times</t>
  </si>
  <si>
    <t>Knockdown Round</t>
  </si>
  <si>
    <t>5th</t>
  </si>
  <si>
    <t>6th</t>
  </si>
  <si>
    <t>7th</t>
  </si>
  <si>
    <t>8th</t>
  </si>
  <si>
    <t>Playoffs &amp; Celebration</t>
  </si>
  <si>
    <t>#1s</t>
  </si>
  <si>
    <t>#3s</t>
  </si>
  <si>
    <t>#2s</t>
  </si>
  <si>
    <t>#4s</t>
  </si>
  <si>
    <t>thru</t>
  </si>
  <si>
    <t>#</t>
  </si>
  <si>
    <t>Team Name</t>
  </si>
  <si>
    <t>Captain</t>
  </si>
  <si>
    <t>Chris LaPole</t>
  </si>
  <si>
    <t>Jim Sanders</t>
  </si>
  <si>
    <t>Tim Shreeve</t>
  </si>
  <si>
    <t>Jeff Kish</t>
  </si>
  <si>
    <t>Jerry Williams</t>
  </si>
  <si>
    <t>Net</t>
  </si>
  <si>
    <t>Gross</t>
  </si>
  <si>
    <t>Kish, Jeff - C</t>
  </si>
  <si>
    <t>ACE</t>
  </si>
  <si>
    <t>Rundquist, Chuck</t>
  </si>
  <si>
    <t>4P</t>
  </si>
  <si>
    <t>Radel, Pat - green tees</t>
  </si>
  <si>
    <t>WYC</t>
  </si>
  <si>
    <t>Devine, Dean - C - gold tees</t>
  </si>
  <si>
    <t>Culver, Chuck</t>
  </si>
  <si>
    <t>MET</t>
  </si>
  <si>
    <t>Reed, Rich</t>
  </si>
  <si>
    <t>Shreeve, Tim - C</t>
  </si>
  <si>
    <t>MMC</t>
  </si>
  <si>
    <t>Holzer, John</t>
  </si>
  <si>
    <t>Okonak, Tom - C - gold tees</t>
  </si>
  <si>
    <t/>
  </si>
  <si>
    <t>Sopczak, Mike</t>
  </si>
  <si>
    <t>SOL</t>
  </si>
  <si>
    <t>Boyd, Steve</t>
  </si>
  <si>
    <t>Buckley, Chris - C - gold tees</t>
  </si>
  <si>
    <t>Fitch, Dennis - gold tees</t>
  </si>
  <si>
    <t>Nimon, Ed - gold tees</t>
  </si>
  <si>
    <t>date</t>
  </si>
  <si>
    <t xml:space="preserve">SUBS </t>
  </si>
  <si>
    <t>Braun, Zev</t>
  </si>
  <si>
    <t>score</t>
  </si>
  <si>
    <t>net</t>
  </si>
  <si>
    <t>zevbraun10@gmail.com</t>
  </si>
  <si>
    <t>pts</t>
  </si>
  <si>
    <t>bird</t>
  </si>
  <si>
    <t>eagle</t>
  </si>
  <si>
    <t>excl</t>
  </si>
  <si>
    <t>for</t>
  </si>
  <si>
    <t>w/l/t</t>
  </si>
  <si>
    <t>Burdett, Cory</t>
  </si>
  <si>
    <t>cory.burdett@metallus.com</t>
  </si>
  <si>
    <t>Byers, John</t>
  </si>
  <si>
    <t>john.byers@timken.com</t>
  </si>
  <si>
    <t>Calhoun, Doug</t>
  </si>
  <si>
    <t>darwin.calhoun@metallus.com</t>
  </si>
  <si>
    <t>Clendenin, AC</t>
  </si>
  <si>
    <t>Alexander.clendenin@aultman.com</t>
  </si>
  <si>
    <t>Cole, Becky - green tees</t>
  </si>
  <si>
    <t>jcbc91@sssnet.com</t>
  </si>
  <si>
    <t>Cole, Jim - C - gold tees</t>
  </si>
  <si>
    <t>jcnavy75@sssnet.com</t>
  </si>
  <si>
    <t>Conneely, Mark</t>
  </si>
  <si>
    <t>mdconneely@gmail.com</t>
  </si>
  <si>
    <t>Dickerhoof, Ean</t>
  </si>
  <si>
    <t>ean.dickerhoof@timken.com</t>
  </si>
  <si>
    <t>Dressler, Gary - gold tees</t>
  </si>
  <si>
    <t>garyd@sssnet.com</t>
  </si>
  <si>
    <t>Evans, Chris</t>
  </si>
  <si>
    <t>Evans, Dick - green tees</t>
  </si>
  <si>
    <t>rcekme1@gmail.com</t>
  </si>
  <si>
    <t>jcfair54@gmail.com</t>
  </si>
  <si>
    <t>Fowkes, Jerrod</t>
  </si>
  <si>
    <t>jerrod.fowkes@metallus.com</t>
  </si>
  <si>
    <t>Fryan, Ray - gold tees</t>
  </si>
  <si>
    <t>raymond.fryan@metallus.com</t>
  </si>
  <si>
    <t>Hardwick, Mike - gold tees</t>
  </si>
  <si>
    <t>(330) 904-2119</t>
  </si>
  <si>
    <t>Haslar, Dave - gold tees</t>
  </si>
  <si>
    <t>davehaslar@gmail.com</t>
  </si>
  <si>
    <t>Heron, Roger</t>
  </si>
  <si>
    <t>Hill, Jerry - C - green tees</t>
  </si>
  <si>
    <t>gleesue@earthlink.net</t>
  </si>
  <si>
    <t>Hunter, Harry - gold tees</t>
  </si>
  <si>
    <t>Harry.hunter@metallus.com</t>
  </si>
  <si>
    <t>Jarocewicz, Pete - gold tees</t>
  </si>
  <si>
    <t>jarocewicz@att.net</t>
  </si>
  <si>
    <t>Jones, Ron</t>
  </si>
  <si>
    <t>Rojo4him@gmail.com</t>
  </si>
  <si>
    <t>Kean, Pat</t>
  </si>
  <si>
    <t>40ronin@gmail.com</t>
  </si>
  <si>
    <t>Kolosionek, Roman - gold tees</t>
  </si>
  <si>
    <t>romanck@aol.com</t>
  </si>
  <si>
    <t>Kutscher, Jim - green tees</t>
  </si>
  <si>
    <t>kutch70@aol.com</t>
  </si>
  <si>
    <t>Lemus, Alex</t>
  </si>
  <si>
    <t>Lenarz, Beaux</t>
  </si>
  <si>
    <t>blenarz@gmail.com</t>
  </si>
  <si>
    <t>Marks, Larry</t>
  </si>
  <si>
    <t>lm1017492@gmail.com</t>
  </si>
  <si>
    <t>Mertes, Dick - green tees</t>
  </si>
  <si>
    <t>dmertes@earthlink.net</t>
  </si>
  <si>
    <t>Miller, Ken - gold tees</t>
  </si>
  <si>
    <t>engineergcc@yahoo.com</t>
  </si>
  <si>
    <t>Parrish, Mack</t>
  </si>
  <si>
    <t>Piccari, Steve</t>
  </si>
  <si>
    <t>Stephen.piccari@yahoo.com</t>
  </si>
  <si>
    <t>Pyles, Terry</t>
  </si>
  <si>
    <t>terry.pyles@metallus.com</t>
  </si>
  <si>
    <t>Rock, Ron - gold tees</t>
  </si>
  <si>
    <t>rockrlr@sssnet.com</t>
  </si>
  <si>
    <t>Sanchez, Dave - Gold Tees</t>
  </si>
  <si>
    <t>dave.sanchez@metallus.com</t>
  </si>
  <si>
    <t>Selby, Joe</t>
  </si>
  <si>
    <t>joseph.k.selby@metallus.com</t>
  </si>
  <si>
    <t>Shalosky, Connor</t>
  </si>
  <si>
    <t>connor.shalosky@metallus.com</t>
  </si>
  <si>
    <t>Shrestha, Bishnu</t>
  </si>
  <si>
    <t>bishnu.shrestha@metallus.com</t>
  </si>
  <si>
    <t>Spears, Stacey - green tees</t>
  </si>
  <si>
    <t>stacey.spears@metallus.com</t>
  </si>
  <si>
    <t>Tavares, Carlos</t>
  </si>
  <si>
    <t>ct0910197r@gmail.com</t>
  </si>
  <si>
    <t>Thoma, Dan - gold tees</t>
  </si>
  <si>
    <t>dethoma3@aol.com</t>
  </si>
  <si>
    <t>Tidenburg, Walt</t>
  </si>
  <si>
    <t>-walter.tidenberg@metallus.com</t>
  </si>
  <si>
    <t>Wrecsics, Ernie</t>
  </si>
  <si>
    <t>ernie.wrecsics@metallus.com</t>
  </si>
  <si>
    <t>Yackley, Jeff</t>
  </si>
  <si>
    <t>yackley@ameritech.net</t>
  </si>
  <si>
    <t>Team Pts</t>
  </si>
  <si>
    <t>Team Net</t>
  </si>
  <si>
    <t>Okonak, Tom - green tees</t>
  </si>
  <si>
    <t>tom@okonak.net</t>
  </si>
  <si>
    <t>hajba508@gmail.com</t>
  </si>
  <si>
    <t>Hawkins, Rick - C</t>
  </si>
  <si>
    <t>rick.hawkins@metallus.com</t>
  </si>
  <si>
    <t>Spoonemore, Joe</t>
  </si>
  <si>
    <t>joseph.spoonemore@metallus.com</t>
  </si>
  <si>
    <t>Quinn, Pat - gold tees</t>
  </si>
  <si>
    <t>paperboy@neo.rr.com</t>
  </si>
  <si>
    <t>Blind Draw Mickey Mouse Club</t>
  </si>
  <si>
    <t>Hegnauer, Clark - green tees</t>
  </si>
  <si>
    <t>hegnauer@sssnet.com</t>
  </si>
  <si>
    <t>Evans, Ryan</t>
  </si>
  <si>
    <t>ryan.evans@timken.com</t>
  </si>
  <si>
    <t>Kirkpatrick, Tom - gold tees</t>
  </si>
  <si>
    <t>thomas.kirkpatrick@timken.com</t>
  </si>
  <si>
    <t>Lapole, Chris - C - gold tees</t>
  </si>
  <si>
    <t>cjlapole@yahoo.com</t>
  </si>
  <si>
    <t xml:space="preserve"> </t>
  </si>
  <si>
    <t>Blind Draw Stymies</t>
  </si>
  <si>
    <t>chuck.culver@timken.com</t>
  </si>
  <si>
    <t>Hyde, Scott</t>
  </si>
  <si>
    <t>scott.hyde@timken.com</t>
  </si>
  <si>
    <t>steve.boyd@timken.com</t>
  </si>
  <si>
    <t>Sanders, Jim - C</t>
  </si>
  <si>
    <t>jimsanders2@gmail.com</t>
  </si>
  <si>
    <t>russell.miller@metallus.com</t>
  </si>
  <si>
    <t>Blind Draw Metheads</t>
  </si>
  <si>
    <t>tpshreeve@gmail.com</t>
  </si>
  <si>
    <t>Charles.rundquist@metallus.com</t>
  </si>
  <si>
    <t>john.a.holzer@metallus.com</t>
  </si>
  <si>
    <t>richard.l.reed@metallus.com</t>
  </si>
  <si>
    <t>Zbuka, Pat</t>
  </si>
  <si>
    <t>jzbuka@roadrunner.com</t>
  </si>
  <si>
    <t>Blind Draw The Four Puttz</t>
  </si>
  <si>
    <t>john.kushner@metallus.com</t>
  </si>
  <si>
    <t>Bond, Gregg</t>
  </si>
  <si>
    <t>Gregg.Bond007@outlook.com</t>
  </si>
  <si>
    <t>Radel, Pat - C - green tees</t>
  </si>
  <si>
    <t>radel325@sssnet.com</t>
  </si>
  <si>
    <t>Black, Andy - gold tees</t>
  </si>
  <si>
    <t>candrewblack@gmail.com</t>
  </si>
  <si>
    <t>Devine, Dean - gold tees</t>
  </si>
  <si>
    <t>dean.devine59@gmail.com</t>
  </si>
  <si>
    <t>Blind Draw Who's Your Caddy?</t>
  </si>
  <si>
    <t>jeffrey.kish@metallus.com</t>
  </si>
  <si>
    <t>charles.parrish@metallus.com</t>
  </si>
  <si>
    <t>Avery, Mike - gold tees</t>
  </si>
  <si>
    <t>mavery1763@gmail.com</t>
  </si>
  <si>
    <t>Bates, Jim</t>
  </si>
  <si>
    <t>jim.bates@metallus.com</t>
  </si>
  <si>
    <t>fitchdcbj@gmail.com</t>
  </si>
  <si>
    <t>Blind Draw Aceholes</t>
  </si>
  <si>
    <t>Williams, Jerry - C</t>
  </si>
  <si>
    <t>willjerr1215@gmail.com</t>
  </si>
  <si>
    <t>Cox, Marcus</t>
  </si>
  <si>
    <t>damarcus.cox@gmail.com</t>
  </si>
  <si>
    <t>gnewsome@ohiogratings.com</t>
  </si>
  <si>
    <t>Buckley, Chris - gold tees</t>
  </si>
  <si>
    <t>bucklc100455@yahoo.com</t>
  </si>
  <si>
    <t>Blind Draw Hack Squad</t>
  </si>
  <si>
    <t>Blind Draw #1</t>
  </si>
  <si>
    <t>Blind Draw #2</t>
  </si>
  <si>
    <t>Blind Draw #3</t>
  </si>
  <si>
    <t>Blind Draw #4</t>
  </si>
  <si>
    <t>player</t>
  </si>
  <si>
    <t>team</t>
  </si>
  <si>
    <t>Check1</t>
  </si>
  <si>
    <t>Check2</t>
  </si>
  <si>
    <t>Bagnola, Denny - gold tees</t>
  </si>
  <si>
    <t>denny.bagnola@gmail.com</t>
  </si>
  <si>
    <t>Bagnola, Tony - gold tees</t>
  </si>
  <si>
    <t>tbaggs55@sbcglobal.net</t>
  </si>
  <si>
    <t>SUBS</t>
  </si>
  <si>
    <t>BD</t>
  </si>
  <si>
    <t>HS</t>
  </si>
  <si>
    <t>STY</t>
  </si>
  <si>
    <t>cheeese39@yahoo.com</t>
  </si>
  <si>
    <t>Hawkins, Rick</t>
  </si>
  <si>
    <t>Hegnauer, Clark - gold tees</t>
  </si>
  <si>
    <t>pat.kean@metallus.com</t>
  </si>
  <si>
    <t>ebn44720@gmail.com</t>
  </si>
  <si>
    <t>Sanchez, Dave - gold Tees</t>
  </si>
  <si>
    <t>jim.sanders@metallus.com</t>
  </si>
  <si>
    <t>timothy.shreeve@metallus.com</t>
  </si>
  <si>
    <t xml:space="preserve">(234) 262-7184 </t>
  </si>
  <si>
    <t>mike.sopczak@timken.com</t>
  </si>
  <si>
    <t>joseph.spoonemore@timken.com</t>
  </si>
  <si>
    <t>Source.Name</t>
  </si>
  <si>
    <t>Opponent</t>
  </si>
  <si>
    <t>Side</t>
  </si>
  <si>
    <t>Position</t>
  </si>
  <si>
    <t>Excl Score</t>
  </si>
  <si>
    <t>Score1</t>
  </si>
  <si>
    <t>Score2</t>
  </si>
  <si>
    <t>Score3</t>
  </si>
  <si>
    <t>Score4</t>
  </si>
  <si>
    <t>Score5</t>
  </si>
  <si>
    <t>Score6</t>
  </si>
  <si>
    <t>Score7</t>
  </si>
  <si>
    <t>Score8</t>
  </si>
  <si>
    <t>Score9</t>
  </si>
  <si>
    <t>Hdcp</t>
  </si>
  <si>
    <t>Strokes1</t>
  </si>
  <si>
    <t>Strokes2</t>
  </si>
  <si>
    <t>Strokes3</t>
  </si>
  <si>
    <t>Strokes4</t>
  </si>
  <si>
    <t>Strokes5</t>
  </si>
  <si>
    <t>Strokes6</t>
  </si>
  <si>
    <t>Strokes7</t>
  </si>
  <si>
    <t>Strokes8</t>
  </si>
  <si>
    <t>Strokes9</t>
  </si>
  <si>
    <t>Points1</t>
  </si>
  <si>
    <t>Points2</t>
  </si>
  <si>
    <t>Points3</t>
  </si>
  <si>
    <t>Points4</t>
  </si>
  <si>
    <t>Points5</t>
  </si>
  <si>
    <t>Points6</t>
  </si>
  <si>
    <t>Points7</t>
  </si>
  <si>
    <t>Points8</t>
  </si>
  <si>
    <t>Points9</t>
  </si>
  <si>
    <t>PointsNet</t>
  </si>
  <si>
    <t>PointsTot</t>
  </si>
  <si>
    <t>Bird1</t>
  </si>
  <si>
    <t>Bird2</t>
  </si>
  <si>
    <t>Bird3</t>
  </si>
  <si>
    <t>Bird4</t>
  </si>
  <si>
    <t>Bird5</t>
  </si>
  <si>
    <t>Bird6</t>
  </si>
  <si>
    <t>Bird7</t>
  </si>
  <si>
    <t>Bird8</t>
  </si>
  <si>
    <t>Bird9</t>
  </si>
  <si>
    <t>Tot_Birds</t>
  </si>
  <si>
    <t>Eagle1</t>
  </si>
  <si>
    <t>Eagle2</t>
  </si>
  <si>
    <t>Eagle3</t>
  </si>
  <si>
    <t>Eagle4</t>
  </si>
  <si>
    <t>Eagle5</t>
  </si>
  <si>
    <t>Eagle6</t>
  </si>
  <si>
    <t>Eagle7</t>
  </si>
  <si>
    <t>Eagle8</t>
  </si>
  <si>
    <t>Eagle9</t>
  </si>
  <si>
    <t>Tot_Eagles</t>
  </si>
  <si>
    <t>1</t>
  </si>
  <si>
    <t>Raintree Back</t>
  </si>
  <si>
    <t>0</t>
  </si>
  <si>
    <t>Raintree Front</t>
  </si>
  <si>
    <t>Tm Net</t>
  </si>
  <si>
    <t>Tm Net Points</t>
  </si>
  <si>
    <t>Tm Tot Points</t>
  </si>
  <si>
    <t>Current</t>
  </si>
  <si>
    <t>Standing</t>
  </si>
  <si>
    <t>Opp Net</t>
  </si>
  <si>
    <t>HOLIDAY - NO GOLF</t>
  </si>
  <si>
    <t>SCRAMBLE NIGHT</t>
  </si>
  <si>
    <t>PLAYOFFS</t>
  </si>
  <si>
    <t>Out</t>
  </si>
  <si>
    <t>In</t>
  </si>
  <si>
    <t>Avg Hdcp</t>
  </si>
  <si>
    <t>League Average</t>
  </si>
  <si>
    <t>Avg</t>
  </si>
  <si>
    <t>Rel to Par</t>
  </si>
  <si>
    <t>League Average:</t>
  </si>
  <si>
    <t>Dombrowski, Jerry - gold tees</t>
  </si>
  <si>
    <t>Matheson, Jamie</t>
  </si>
  <si>
    <t>Jerybud@gmail.com</t>
  </si>
  <si>
    <t>Fair, John - gold tees</t>
  </si>
  <si>
    <t>Vassas, Jim</t>
  </si>
  <si>
    <t>vassasj@gmail.com</t>
  </si>
  <si>
    <t>Preising, Danny</t>
  </si>
  <si>
    <t>dpreising@wayne-dalton.com</t>
  </si>
  <si>
    <t>Cline, Chad</t>
  </si>
  <si>
    <t>low5</t>
  </si>
  <si>
    <t>2024 Last 10 Scores</t>
  </si>
  <si>
    <t>2025 Starting</t>
  </si>
  <si>
    <t>Handicap</t>
  </si>
  <si>
    <t>Hdcp Rds</t>
  </si>
  <si>
    <r>
      <t xml:space="preserve">Last 10 Rounds - Most Recent to Least Recent - </t>
    </r>
    <r>
      <rPr>
        <b/>
        <sz val="8"/>
        <color rgb="FFFF0000"/>
        <rFont val="Calibri"/>
        <family val="2"/>
        <scheme val="minor"/>
      </rPr>
      <t>Low 5 and Ties</t>
    </r>
  </si>
  <si>
    <t>2025 - 7 Teams</t>
  </si>
  <si>
    <t>Team Net Tournament</t>
  </si>
  <si>
    <t>27-Oct</t>
  </si>
  <si>
    <t>Optional - $20/team Entry</t>
  </si>
  <si>
    <t>RO Makeup/Ext Season</t>
  </si>
  <si>
    <t>DST ends 11/2/2025</t>
  </si>
  <si>
    <t>DST begins 3/9/2025</t>
  </si>
  <si>
    <t>Scores</t>
  </si>
  <si>
    <t>Current Season</t>
  </si>
  <si>
    <t>Prior Season Most Recent</t>
  </si>
  <si>
    <t>Handicap Rounds (Col F)</t>
  </si>
  <si>
    <t>-</t>
  </si>
  <si>
    <t>49.50*</t>
  </si>
  <si>
    <t>49.00*</t>
  </si>
  <si>
    <t>46.00*</t>
  </si>
  <si>
    <t>48.00*</t>
  </si>
  <si>
    <t>50.00*</t>
  </si>
  <si>
    <t>55.50*</t>
  </si>
  <si>
    <t>49.67*</t>
  </si>
  <si>
    <t>45.00*</t>
  </si>
  <si>
    <t>W-L-D</t>
  </si>
  <si>
    <t>randycizek@yahoo.com</t>
  </si>
  <si>
    <t>ssmith@usilluminations.com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</si>
  <si>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</si>
  <si>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</si>
  <si>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</si>
  <si>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</si>
  <si>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</si>
  <si>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</si>
  <si>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</si>
  <si>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</si>
  <si>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</si>
  <si>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Four Puttz</t>
  </si>
  <si>
    <t>Pat Radel</t>
  </si>
  <si>
    <t>Rick Hawkins</t>
  </si>
  <si>
    <t>kb8mmf@gmail.com</t>
  </si>
  <si>
    <t>Week 1 25 ACE vs BD.xlsx</t>
  </si>
  <si>
    <t>Week 1 25 WYC vs HS_MCA.xlsx</t>
  </si>
  <si>
    <t>`</t>
  </si>
  <si>
    <t>Howe, Fred - gold tees</t>
  </si>
  <si>
    <t>2024 Week 1</t>
  </si>
  <si>
    <t>Week 18</t>
  </si>
  <si>
    <t>Week 1 25 MET vs STY_MCA.xlsx</t>
  </si>
  <si>
    <t>Week 1 25 MMC vs 4P_MCA.xlsx</t>
  </si>
  <si>
    <t>Smith, Steve - gold tees</t>
  </si>
  <si>
    <t>Cizek, Randy - gold tees</t>
  </si>
  <si>
    <t>ADJUSTED STANDINGS AFTER WEEK:</t>
  </si>
  <si>
    <t>Week 2 25 ACE vs 4P.xlsx</t>
  </si>
  <si>
    <t>Week 2 25 MET vs HS_MCA.xlsx</t>
  </si>
  <si>
    <t>Week 2 25 MMC vs STY_MCA.xlsx</t>
  </si>
  <si>
    <t>Week 2 25 WYC vs BD_MCA.xlsx</t>
  </si>
  <si>
    <t>Schloss, Rich</t>
  </si>
  <si>
    <t>Week 3 25 4P vs MET.xlsx</t>
  </si>
  <si>
    <t>Week 3 25 ACE vs MMC.xlsx</t>
  </si>
  <si>
    <t>Week 3 25 HS vs BD.xlsx</t>
  </si>
  <si>
    <t>Reese, Felix</t>
  </si>
  <si>
    <t>^ Hdcps ^</t>
  </si>
  <si>
    <t>OFFSET(Summary!$EB$7,0,0,COUNTA(Summary!$A:$A)+3,19)</t>
  </si>
  <si>
    <t>Week 3 25 STY vs WYC.xlsx</t>
  </si>
  <si>
    <t>Season
Rounds</t>
  </si>
  <si>
    <t>Hdcp
Rounds</t>
  </si>
  <si>
    <t>Season
Rds</t>
  </si>
  <si>
    <t>YTD Matches</t>
  </si>
  <si>
    <t>YTD Average</t>
  </si>
  <si>
    <t>Week 4 25 4P vs BD.xlsx</t>
  </si>
  <si>
    <t>Week 4 25 ACE vs STY.xlsx</t>
  </si>
  <si>
    <t>Week 4 25 MET vs WYC.xlsx</t>
  </si>
  <si>
    <t>Week 4 25 WYC vs HS_MCA.xlsx</t>
  </si>
  <si>
    <t>Week 5 25 4P vs WYC_MCA.xlsx</t>
  </si>
  <si>
    <t>Week 5 25 ACE vs MET.xlsx</t>
  </si>
  <si>
    <t>Week 5 25 MMC vs BD.xlsx</t>
  </si>
  <si>
    <t>Week 5 25 STY vs HS.xlsx</t>
  </si>
  <si>
    <t>Week 6 25 ACE vs HS.xlsx</t>
  </si>
  <si>
    <t>Miller, Russ - green tees</t>
  </si>
  <si>
    <t>Week 6 25 4P vs STY_MCA.xlsx</t>
  </si>
  <si>
    <t>Week 6 25 MET vs BD_MCA.xlsx</t>
  </si>
  <si>
    <t>Week 6 25 MMC vs WYC_MCA.xlsx</t>
  </si>
  <si>
    <t>Week 7 25 4P vs HS.xlsx</t>
  </si>
  <si>
    <t>Week 7 25 ACE vs WYC.xlsx</t>
  </si>
  <si>
    <t>Week 7 25 MMC vs MET.xlsx</t>
  </si>
  <si>
    <t>Week 7 25 STY vs BD.xlsx</t>
  </si>
  <si>
    <t>jpkish62@gmail.com</t>
  </si>
  <si>
    <t>Rained Out - Makeup 7/28</t>
  </si>
  <si>
    <t>RO Makeup - Week 8</t>
  </si>
  <si>
    <t>Week 9 25 ACE vs 4P.xlsx</t>
  </si>
  <si>
    <t>Week 9 25 MET vs HS_MCA.xlsx</t>
  </si>
  <si>
    <t>Week 9 25 STY vs MMC_MCA.xlsx</t>
  </si>
  <si>
    <t>Week 9 25 WYC vs BD_MCA.xlsx</t>
  </si>
  <si>
    <t>Albaugh, Dick - green tees</t>
  </si>
  <si>
    <t>Week 10 25 ACE vs MMC.xlsx</t>
  </si>
  <si>
    <t>Week 10 25 MET vs 4P_MCA.xlsx</t>
  </si>
  <si>
    <t>Week 10 25 STY vs WYC_MCA.xlsx</t>
  </si>
  <si>
    <t>Week 10 25 HS vs BD_MCA.xlsx</t>
  </si>
  <si>
    <t>11</t>
  </si>
  <si>
    <t>Week 11 25 ACE vs STY.xlsx</t>
  </si>
  <si>
    <t>Week 11 25 HS vs MMC.xlsx</t>
  </si>
  <si>
    <t>Week 11 25 MET vs WYC.xlsx</t>
  </si>
  <si>
    <t>Week 11 25 4P vs BD_MCA.xlsx</t>
  </si>
  <si>
    <t>Rained Out - Makeup 8/4</t>
  </si>
  <si>
    <t>Week 13 25 ACE vs HS.xlsx</t>
  </si>
  <si>
    <t>13</t>
  </si>
  <si>
    <t>Week 13 25 MET vs BD.xlsx</t>
  </si>
  <si>
    <t>Week 13 25 WYC vs MMC_MCA.xlsx</t>
  </si>
  <si>
    <t>Week 13 25 STY vs 4P.xlsx</t>
  </si>
  <si>
    <t>Week 14 25 MET vs MMC.xlsx</t>
  </si>
  <si>
    <t>14</t>
  </si>
  <si>
    <t>Week 14 25 WYC vs ACE.xlsx</t>
  </si>
  <si>
    <t>Week 14 25 4P vs HS.xlsx</t>
  </si>
  <si>
    <t>Week 14 25 STY vs BD.xlsx</t>
  </si>
  <si>
    <t>Week 15 25 ACE vs BD_MCA.xlsx</t>
  </si>
  <si>
    <t>15</t>
  </si>
  <si>
    <t>Week 15 25 MET vs STY_noBD_MCA.xlsx</t>
  </si>
  <si>
    <t>Week 15 25 MMC vs 4P_MCA.xlsx</t>
  </si>
  <si>
    <t>Week 15 25 WYC vs HS_MCA.xlsx</t>
  </si>
  <si>
    <t>=COUNTIF(INDEX(scores,,$A$5),"&gt;0")</t>
  </si>
  <si>
    <t>Avery, Chris</t>
  </si>
  <si>
    <t>cmavery92@gmail.com</t>
  </si>
  <si>
    <t>Week 16 25 HS vs STY.xlsx</t>
  </si>
  <si>
    <t>16</t>
  </si>
  <si>
    <t>Week 16 25 MET vs ACE.xlsx</t>
  </si>
  <si>
    <t>Week 16 25 4P vs WYC.xlsx</t>
  </si>
  <si>
    <t>Week 16 25 MMC vs BD.xlsx</t>
  </si>
  <si>
    <t>Week 17 25 STY vs ACE.xlsx</t>
  </si>
  <si>
    <t>17</t>
  </si>
  <si>
    <t>Week 17 25 WYC vs BD_MCA.xlsx</t>
  </si>
  <si>
    <t>Week 17 25 MET vs MMC.xlsx</t>
  </si>
  <si>
    <t>Week 17 25 4P vs HS.xlsx</t>
  </si>
  <si>
    <t>FINAL 2025 REGULAR SEASON STANDINGS</t>
  </si>
  <si>
    <t>then</t>
  </si>
  <si>
    <t>Week 18 25 ACE Low Net.xlsx</t>
  </si>
  <si>
    <t>18</t>
  </si>
  <si>
    <t>Week 18 25 MET Low Net.xlsx</t>
  </si>
  <si>
    <t>Week 18 25 4P Low Net.xlsx</t>
  </si>
  <si>
    <t>Week 18 25 WYC Low Net.xlsx</t>
  </si>
  <si>
    <t>Week 18 25 HS Low Net.xlsx</t>
  </si>
  <si>
    <t>Week 18 25 STY Low Net.xlsx</t>
  </si>
  <si>
    <t>League Info</t>
  </si>
  <si>
    <t>Value</t>
  </si>
  <si>
    <t>League Name</t>
  </si>
  <si>
    <t>Timken Metallus Monday Night Golf League</t>
  </si>
  <si>
    <t>matchReportsFolderPath</t>
  </si>
  <si>
    <t>Season Year</t>
  </si>
  <si>
    <t>stagingFolderPath</t>
  </si>
  <si>
    <t>Number of Teams</t>
  </si>
  <si>
    <t>matchReportFilenamePattern</t>
  </si>
  <si>
    <t>Use Blind Draw</t>
  </si>
  <si>
    <t>useLocalStagingFolder</t>
  </si>
  <si>
    <t>Blind Draw Team Number</t>
  </si>
  <si>
    <t>Rounds Per Season</t>
  </si>
  <si>
    <t>Scoring Settings</t>
  </si>
  <si>
    <t>Points Per Hole Win</t>
  </si>
  <si>
    <t>Points Per Hole Tie</t>
  </si>
  <si>
    <t>Points for Individual Net Win</t>
  </si>
  <si>
    <t>Points for Individual Net Tie</t>
  </si>
  <si>
    <t>Points for Team Net Win</t>
  </si>
  <si>
    <t>Points for Team Net Tie</t>
  </si>
  <si>
    <t>Max Hole Score Over Par</t>
  </si>
  <si>
    <t>Enable Max Hole Score Cap</t>
  </si>
  <si>
    <t>Handicap Settings</t>
  </si>
  <si>
    <t>Handicap Percent</t>
  </si>
  <si>
    <t>Max Player Handicap</t>
  </si>
  <si>
    <t>Stroke Allocation Method</t>
  </si>
  <si>
    <t>HoleHandicapBased</t>
  </si>
  <si>
    <t>Schedule Settings</t>
  </si>
  <si>
    <t>Make-up Week Mode</t>
  </si>
  <si>
    <t>NewWeekNumber</t>
  </si>
  <si>
    <t>Allow Week Reuse</t>
  </si>
  <si>
    <t>First Week Date</t>
  </si>
  <si>
    <t>(optional date)</t>
  </si>
  <si>
    <t>Use Auto Schedule</t>
  </si>
  <si>
    <t>Power Query &amp; File Paths</t>
  </si>
  <si>
    <t>Match Reports Folder Path</t>
  </si>
  <si>
    <t>OneDrive Reports Folder</t>
  </si>
  <si>
    <t>(your OneDrive path)</t>
  </si>
  <si>
    <t>Match Report Filename Pattern</t>
  </si>
  <si>
    <t>Week*.xlsx</t>
  </si>
  <si>
    <t>Use Local Staging Folder</t>
  </si>
  <si>
    <t>Staging Folder Path</t>
  </si>
  <si>
    <t>C:\TMMNGL\Staging\</t>
  </si>
  <si>
    <t>System Flags</t>
  </si>
  <si>
    <t>Enable Import Checks</t>
  </si>
  <si>
    <t>Enable Verbose Error Logging</t>
  </si>
  <si>
    <t>Refresh All Mode</t>
  </si>
  <si>
    <t>Full</t>
  </si>
  <si>
    <t>Parameter (Label)</t>
  </si>
  <si>
    <t>Named Range</t>
  </si>
  <si>
    <t>Section</t>
  </si>
  <si>
    <t>Rule Reference</t>
  </si>
  <si>
    <t>Applies To</t>
  </si>
  <si>
    <t>Used In</t>
  </si>
  <si>
    <t>Notes / Behavior</t>
  </si>
  <si>
    <t>Default Value</t>
  </si>
  <si>
    <t>Last Changed</t>
  </si>
  <si>
    <t>leagueName</t>
  </si>
  <si>
    <t>Both (Master + Weekly Report)</t>
  </si>
  <si>
    <t>Headers, printed reports</t>
  </si>
  <si>
    <t>Pure display field</t>
  </si>
  <si>
    <t>seasonYear</t>
  </si>
  <si>
    <t>Both</t>
  </si>
  <si>
    <t>Used for auto-labeling</t>
  </si>
  <si>
    <t>numberOfTeams</t>
  </si>
  <si>
    <t>Master Only</t>
  </si>
  <si>
    <t>Schedule logic, standings</t>
  </si>
  <si>
    <t>Actual team count</t>
  </si>
  <si>
    <t>useBlindDraw</t>
  </si>
  <si>
    <t>Scoring logic (weekly pairing)</t>
  </si>
  <si>
    <t>TRUE if team count is odd</t>
  </si>
  <si>
    <t>blindDrawTeamNumber</t>
  </si>
  <si>
    <t>Match results, standings</t>
  </si>
  <si>
    <t>0 when unused</t>
  </si>
  <si>
    <t>roundsPerSeason</t>
  </si>
  <si>
    <t>Schedule, standings</t>
  </si>
  <si>
    <t>Manual or formula</t>
  </si>
  <si>
    <t>pointsPerHoleWin</t>
  </si>
  <si>
    <t>Scoring</t>
  </si>
  <si>
    <t>Hole scoring in match reports + master file</t>
  </si>
  <si>
    <t>Win = higher net</t>
  </si>
  <si>
    <t>pointsPerHoleTie</t>
  </si>
  <si>
    <t>Hole scoring</t>
  </si>
  <si>
    <t>Tie = equal net</t>
  </si>
  <si>
    <t>pointsIndivNetWin</t>
  </si>
  <si>
    <t>Weekly individual summary</t>
  </si>
  <si>
    <t>Based on league rules</t>
  </si>
  <si>
    <t>pointsIndivNetTie</t>
  </si>
  <si>
    <t>New tie rule</t>
  </si>
  <si>
    <t>pointsTeamNetWin</t>
  </si>
  <si>
    <t>Weekly team match results</t>
  </si>
  <si>
    <t>pointsTeamNetTie</t>
  </si>
  <si>
    <t>maxHoleScoreOverPar</t>
  </si>
  <si>
    <t>Score preprocessing</t>
  </si>
  <si>
    <t>Max gross = Par + this</t>
  </si>
  <si>
    <t>enableMaxHoleScoreCap</t>
  </si>
  <si>
    <t>TRUE applies cap</t>
  </si>
  <si>
    <t>handicapPercent</t>
  </si>
  <si>
    <t>Handicap calculation (master + reports)</t>
  </si>
  <si>
    <t>League uses 96%</t>
  </si>
  <si>
    <t>maxPlayerHandicap</t>
  </si>
  <si>
    <t>Handicap capping logic</t>
  </si>
  <si>
    <t>Only cap HC, not stroke diff</t>
  </si>
  <si>
    <t>strokeAllocationMethod</t>
  </si>
  <si>
    <t>Scorecard stroke allocation</t>
  </si>
  <si>
    <t>Hole-handicap-based</t>
  </si>
  <si>
    <t>makeUpWeekMode</t>
  </si>
  <si>
    <t>Schedule</t>
  </si>
  <si>
    <t>Weekly summaries, schedule logic</t>
  </si>
  <si>
    <t>NewWeekNumber = current</t>
  </si>
  <si>
    <t>allowWeekReuse</t>
  </si>
  <si>
    <t>Future Automation Only</t>
  </si>
  <si>
    <t>Scheduling logic</t>
  </si>
  <si>
    <t>Currently unused</t>
  </si>
  <si>
    <t>firstWeekDate</t>
  </si>
  <si>
    <t>Optional generated dates</t>
  </si>
  <si>
    <t>Optional</t>
  </si>
  <si>
    <t>(blank)</t>
  </si>
  <si>
    <t>useAutoSchedule</t>
  </si>
  <si>
    <t>For future automatic schedule generation</t>
  </si>
  <si>
    <t>Off until implemented</t>
  </si>
  <si>
    <t>Power Query</t>
  </si>
  <si>
    <t>PQ Folder.Files()</t>
  </si>
  <si>
    <t>Local path</t>
  </si>
  <si>
    <t>(path)</t>
  </si>
  <si>
    <t>oneDriveReportsFolder</t>
  </si>
  <si>
    <t>VBA staging</t>
  </si>
  <si>
    <t>Used if cloud syncing</t>
  </si>
  <si>
    <t>PQ filtering</t>
  </si>
  <si>
    <t>e.g., Week*.xlsx</t>
  </si>
  <si>
    <t>VBA staging process</t>
  </si>
  <si>
    <t>TRUE = copy locally</t>
  </si>
  <si>
    <t>PQ + macros</t>
  </si>
  <si>
    <t>Local temp folder for PQ refresh</t>
  </si>
  <si>
    <t>enableImportChecks</t>
  </si>
  <si>
    <t>Import Check sheet</t>
  </si>
  <si>
    <t>Highlight missing weeks</t>
  </si>
  <si>
    <t>enableVerboseErrorLogging</t>
  </si>
  <si>
    <t>PQ + VBA diagnostics</t>
  </si>
  <si>
    <t>Future-optional</t>
  </si>
  <si>
    <t>refreshAllMode</t>
  </si>
  <si>
    <t>Macro-controlled refresh</t>
  </si>
  <si>
    <t>“Full” = refresh + recalc</t>
  </si>
  <si>
    <t>Table</t>
  </si>
  <si>
    <t>Column</t>
  </si>
  <si>
    <t>Sheet</t>
  </si>
  <si>
    <t>Cell</t>
  </si>
  <si>
    <t>Formula</t>
  </si>
  <si>
    <t>Upload_Indiv</t>
  </si>
  <si>
    <t>Net Rel to Par</t>
  </si>
  <si>
    <t>$C$6</t>
  </si>
  <si>
    <t>$M$6</t>
  </si>
  <si>
    <t>$C$8</t>
  </si>
  <si>
    <t>$M$8</t>
  </si>
  <si>
    <t>$C$9</t>
  </si>
  <si>
    <t>$M$9</t>
  </si>
  <si>
    <t>$C$10</t>
  </si>
  <si>
    <t>$M$10</t>
  </si>
  <si>
    <t>$C$11</t>
  </si>
  <si>
    <t>$M$11</t>
  </si>
  <si>
    <t>$C$12</t>
  </si>
  <si>
    <t>$M$12</t>
  </si>
  <si>
    <t>$C$13</t>
  </si>
  <si>
    <t>$M$13</t>
  </si>
  <si>
    <t>$C$14</t>
  </si>
  <si>
    <t>$M$14</t>
  </si>
  <si>
    <t>$C$15</t>
  </si>
  <si>
    <t>$M$15</t>
  </si>
  <si>
    <t>$C$16</t>
  </si>
  <si>
    <t>$M$16</t>
  </si>
  <si>
    <t>$C$17</t>
  </si>
  <si>
    <t>$M$17</t>
  </si>
  <si>
    <t>$C$18</t>
  </si>
  <si>
    <t>$M$18</t>
  </si>
  <si>
    <t>$C$19</t>
  </si>
  <si>
    <t>$M$19</t>
  </si>
  <si>
    <t>$C$20</t>
  </si>
  <si>
    <t>$M$20</t>
  </si>
  <si>
    <t>$C$21</t>
  </si>
  <si>
    <t>$M$21</t>
  </si>
  <si>
    <t>$C$22</t>
  </si>
  <si>
    <t>$M$22</t>
  </si>
  <si>
    <t>$C$23</t>
  </si>
  <si>
    <t>$M$23</t>
  </si>
  <si>
    <t>$C$24</t>
  </si>
  <si>
    <t>$M$24</t>
  </si>
  <si>
    <t>$C$25</t>
  </si>
  <si>
    <t>$M$25</t>
  </si>
  <si>
    <t>$C$26</t>
  </si>
  <si>
    <t>$M$26</t>
  </si>
  <si>
    <t>$C$27</t>
  </si>
  <si>
    <t>$M$27</t>
  </si>
  <si>
    <t>$C$28</t>
  </si>
  <si>
    <t>$M$28</t>
  </si>
  <si>
    <t>$C$29</t>
  </si>
  <si>
    <t>$M$29</t>
  </si>
  <si>
    <t>$C$30</t>
  </si>
  <si>
    <t>$M$30</t>
  </si>
  <si>
    <t>$C$31</t>
  </si>
  <si>
    <t>$M$31</t>
  </si>
  <si>
    <t>$C$32</t>
  </si>
  <si>
    <t>$M$32</t>
  </si>
  <si>
    <t>$C$33</t>
  </si>
  <si>
    <t>$M$33</t>
  </si>
  <si>
    <t>$C$34</t>
  </si>
  <si>
    <t>$M$34</t>
  </si>
  <si>
    <t>$C$35</t>
  </si>
  <si>
    <t>$M$35</t>
  </si>
  <si>
    <t>$C$36</t>
  </si>
  <si>
    <t>$M$36</t>
  </si>
  <si>
    <t>$C$37</t>
  </si>
  <si>
    <t>$M$37</t>
  </si>
  <si>
    <t>$C$38</t>
  </si>
  <si>
    <t>$M$38</t>
  </si>
  <si>
    <t>$C$39</t>
  </si>
  <si>
    <t>$M$39</t>
  </si>
  <si>
    <t>$C$40</t>
  </si>
  <si>
    <t>$M$40</t>
  </si>
  <si>
    <t>$C$41</t>
  </si>
  <si>
    <t>$M$41</t>
  </si>
  <si>
    <t>$C$42</t>
  </si>
  <si>
    <t>$M$42</t>
  </si>
  <si>
    <t>$C$43</t>
  </si>
  <si>
    <t>$M$43</t>
  </si>
  <si>
    <t>$C$44</t>
  </si>
  <si>
    <t>$M$44</t>
  </si>
  <si>
    <t>$C$45</t>
  </si>
  <si>
    <t>$M$45</t>
  </si>
  <si>
    <t>$C$46</t>
  </si>
  <si>
    <t>$M$46</t>
  </si>
  <si>
    <t>$C$47</t>
  </si>
  <si>
    <t>$M$47</t>
  </si>
  <si>
    <t>$C$48</t>
  </si>
  <si>
    <t>$M$48</t>
  </si>
  <si>
    <t>$C$49</t>
  </si>
  <si>
    <t>$M$49</t>
  </si>
  <si>
    <t>$C$50</t>
  </si>
  <si>
    <t>$M$50</t>
  </si>
  <si>
    <t>$C$51</t>
  </si>
  <si>
    <t>$M$51</t>
  </si>
  <si>
    <t>$C$52</t>
  </si>
  <si>
    <t>$M$52</t>
  </si>
  <si>
    <t>$C$53</t>
  </si>
  <si>
    <t>$M$53</t>
  </si>
  <si>
    <t>$C$54</t>
  </si>
  <si>
    <t>$M$54</t>
  </si>
  <si>
    <t>$C$55</t>
  </si>
  <si>
    <t>$M$55</t>
  </si>
  <si>
    <t>$C$56</t>
  </si>
  <si>
    <t>$M$56</t>
  </si>
  <si>
    <t>$C$57</t>
  </si>
  <si>
    <t>$M$57</t>
  </si>
  <si>
    <t>$C$58</t>
  </si>
  <si>
    <t>$M$58</t>
  </si>
  <si>
    <t>$C$59</t>
  </si>
  <si>
    <t>$M$59</t>
  </si>
  <si>
    <t>$C$60</t>
  </si>
  <si>
    <t>$M$60</t>
  </si>
  <si>
    <t>Indiv Stroke Detail</t>
  </si>
  <si>
    <t>$D$7</t>
  </si>
  <si>
    <t>$AH$7</t>
  </si>
  <si>
    <t>$D$9</t>
  </si>
  <si>
    <t>$AH$9</t>
  </si>
  <si>
    <t>$D$10</t>
  </si>
  <si>
    <t>$AH$10</t>
  </si>
  <si>
    <t>$D$11</t>
  </si>
  <si>
    <t>$AH$11</t>
  </si>
  <si>
    <t>$D$12</t>
  </si>
  <si>
    <t>$AH$12</t>
  </si>
  <si>
    <t>$D$13</t>
  </si>
  <si>
    <t>$AH$13</t>
  </si>
  <si>
    <t>$D$14</t>
  </si>
  <si>
    <t>$AH$14</t>
  </si>
  <si>
    <t>$D$15</t>
  </si>
  <si>
    <t>$AH$15</t>
  </si>
  <si>
    <t>$D$16</t>
  </si>
  <si>
    <t>$AH$16</t>
  </si>
  <si>
    <t>$D$17</t>
  </si>
  <si>
    <t>$AH$17</t>
  </si>
  <si>
    <t>$D$18</t>
  </si>
  <si>
    <t>$AH$18</t>
  </si>
  <si>
    <t>$D$19</t>
  </si>
  <si>
    <t>$AH$19</t>
  </si>
  <si>
    <t>$D$20</t>
  </si>
  <si>
    <t>$AH$20</t>
  </si>
  <si>
    <t>$D$21</t>
  </si>
  <si>
    <t>$AH$21</t>
  </si>
  <si>
    <t>$D$22</t>
  </si>
  <si>
    <t>$AH$22</t>
  </si>
  <si>
    <t>$D$23</t>
  </si>
  <si>
    <t>$AH$23</t>
  </si>
  <si>
    <t>$D$24</t>
  </si>
  <si>
    <t>$AH$24</t>
  </si>
  <si>
    <t>$D$25</t>
  </si>
  <si>
    <t>$AH$25</t>
  </si>
  <si>
    <t>$D$26</t>
  </si>
  <si>
    <t>$AH$26</t>
  </si>
  <si>
    <t>$D$27</t>
  </si>
  <si>
    <t>$AH$27</t>
  </si>
  <si>
    <t>$D$28</t>
  </si>
  <si>
    <t>$AH$28</t>
  </si>
  <si>
    <t>$D$29</t>
  </si>
  <si>
    <t>$AH$29</t>
  </si>
  <si>
    <t>$D$30</t>
  </si>
  <si>
    <t>$AH$30</t>
  </si>
  <si>
    <t>$D$31</t>
  </si>
  <si>
    <t>$AH$31</t>
  </si>
  <si>
    <t>$D$32</t>
  </si>
  <si>
    <t>$AH$32</t>
  </si>
  <si>
    <t>$D$33</t>
  </si>
  <si>
    <t>$AH$33</t>
  </si>
  <si>
    <t>$D$34</t>
  </si>
  <si>
    <t>$AH$34</t>
  </si>
  <si>
    <t>$D$35</t>
  </si>
  <si>
    <t>$AH$35</t>
  </si>
  <si>
    <t>$D$36</t>
  </si>
  <si>
    <t>$AH$36</t>
  </si>
  <si>
    <t>$D$37</t>
  </si>
  <si>
    <t>$AH$37</t>
  </si>
  <si>
    <t>$D$38</t>
  </si>
  <si>
    <t>$AH$38</t>
  </si>
  <si>
    <t>$D$39</t>
  </si>
  <si>
    <t>$AH$39</t>
  </si>
  <si>
    <t>$D$40</t>
  </si>
  <si>
    <t>$AH$40</t>
  </si>
  <si>
    <t>$D$41</t>
  </si>
  <si>
    <t>$AH$41</t>
  </si>
  <si>
    <t>$D$42</t>
  </si>
  <si>
    <t>$AH$42</t>
  </si>
  <si>
    <t>$D$43</t>
  </si>
  <si>
    <t>$AH$43</t>
  </si>
  <si>
    <t>$D$44</t>
  </si>
  <si>
    <t>$AH$44</t>
  </si>
  <si>
    <t>$D$45</t>
  </si>
  <si>
    <t>$AH$45</t>
  </si>
  <si>
    <t>$D$46</t>
  </si>
  <si>
    <t>$AH$46</t>
  </si>
  <si>
    <t>$D$47</t>
  </si>
  <si>
    <t>$AH$47</t>
  </si>
  <si>
    <t>$D$48</t>
  </si>
  <si>
    <t>$AH$48</t>
  </si>
  <si>
    <t>$D$49</t>
  </si>
  <si>
    <t>$AH$49</t>
  </si>
  <si>
    <t>$D$50</t>
  </si>
  <si>
    <t>$AH$50</t>
  </si>
  <si>
    <t>$D$51</t>
  </si>
  <si>
    <t>$AH$51</t>
  </si>
  <si>
    <t>$D$52</t>
  </si>
  <si>
    <t>$AH$52</t>
  </si>
  <si>
    <t>$D$53</t>
  </si>
  <si>
    <t>$AH$53</t>
  </si>
  <si>
    <t>$D$54</t>
  </si>
  <si>
    <t>$AH$54</t>
  </si>
  <si>
    <t>$D$6</t>
  </si>
  <si>
    <t>$N$6</t>
  </si>
  <si>
    <t>$D$8</t>
  </si>
  <si>
    <t>$N$8</t>
  </si>
  <si>
    <t>$N$9</t>
  </si>
  <si>
    <t>$N$10</t>
  </si>
  <si>
    <t>$N$11</t>
  </si>
  <si>
    <t>$N$12</t>
  </si>
  <si>
    <t>$N$13</t>
  </si>
  <si>
    <t>$N$14</t>
  </si>
  <si>
    <t>$N$15</t>
  </si>
  <si>
    <t>$N$16</t>
  </si>
  <si>
    <t>$N$17</t>
  </si>
  <si>
    <t>$N$18</t>
  </si>
  <si>
    <t>$N$19</t>
  </si>
  <si>
    <t>$N$20</t>
  </si>
  <si>
    <t>$N$21</t>
  </si>
  <si>
    <t>$N$22</t>
  </si>
  <si>
    <t>$N$23</t>
  </si>
  <si>
    <t>$N$24</t>
  </si>
  <si>
    <t>$N$25</t>
  </si>
  <si>
    <t>$N$26</t>
  </si>
  <si>
    <t>$N$27</t>
  </si>
  <si>
    <t>$N$28</t>
  </si>
  <si>
    <t>$N$29</t>
  </si>
  <si>
    <t>$N$30</t>
  </si>
  <si>
    <t>$N$31</t>
  </si>
  <si>
    <t>$N$32</t>
  </si>
  <si>
    <t>$N$33</t>
  </si>
  <si>
    <t>$N$34</t>
  </si>
  <si>
    <t>$N$35</t>
  </si>
  <si>
    <t>$N$36</t>
  </si>
  <si>
    <t>$N$37</t>
  </si>
  <si>
    <t>$N$38</t>
  </si>
  <si>
    <t>$N$39</t>
  </si>
  <si>
    <t>$N$40</t>
  </si>
  <si>
    <t>$N$41</t>
  </si>
  <si>
    <t>$N$42</t>
  </si>
  <si>
    <t>$N$43</t>
  </si>
  <si>
    <t>$N$44</t>
  </si>
  <si>
    <t>$N$45</t>
  </si>
  <si>
    <t>$N$46</t>
  </si>
  <si>
    <t>$N$47</t>
  </si>
  <si>
    <t>$N$48</t>
  </si>
  <si>
    <t>$N$49</t>
  </si>
  <si>
    <t>$N$50</t>
  </si>
  <si>
    <t>$N$51</t>
  </si>
  <si>
    <t>$N$52</t>
  </si>
  <si>
    <t>$N$53</t>
  </si>
  <si>
    <t>$N$54</t>
  </si>
  <si>
    <t>$D$55</t>
  </si>
  <si>
    <t>$N$55</t>
  </si>
  <si>
    <t>$D$56</t>
  </si>
  <si>
    <t>$N$56</t>
  </si>
  <si>
    <t>$D$57</t>
  </si>
  <si>
    <t>$N$57</t>
  </si>
  <si>
    <t>$D$58</t>
  </si>
  <si>
    <t>$N$58</t>
  </si>
  <si>
    <t>$D$59</t>
  </si>
  <si>
    <t>$N$59</t>
  </si>
  <si>
    <t>$D$60</t>
  </si>
  <si>
    <t>$N$60</t>
  </si>
  <si>
    <t>$G$7</t>
  </si>
  <si>
    <t>$AK$7</t>
  </si>
  <si>
    <t>$G$9</t>
  </si>
  <si>
    <t>$AK$9</t>
  </si>
  <si>
    <t>$G$10</t>
  </si>
  <si>
    <t>$AK$10</t>
  </si>
  <si>
    <t>$G$11</t>
  </si>
  <si>
    <t>$AK$11</t>
  </si>
  <si>
    <t>$G$12</t>
  </si>
  <si>
    <t>$AK$12</t>
  </si>
  <si>
    <t>$G$13</t>
  </si>
  <si>
    <t>$AK$13</t>
  </si>
  <si>
    <t>$G$14</t>
  </si>
  <si>
    <t>$AK$14</t>
  </si>
  <si>
    <t>$G$15</t>
  </si>
  <si>
    <t>$AK$15</t>
  </si>
  <si>
    <t>$G$16</t>
  </si>
  <si>
    <t>$AK$16</t>
  </si>
  <si>
    <t>$G$17</t>
  </si>
  <si>
    <t>$AK$17</t>
  </si>
  <si>
    <t>$G$18</t>
  </si>
  <si>
    <t>$AK$18</t>
  </si>
  <si>
    <t>$G$19</t>
  </si>
  <si>
    <t>$AK$19</t>
  </si>
  <si>
    <t>$G$20</t>
  </si>
  <si>
    <t>$AK$20</t>
  </si>
  <si>
    <t>$G$21</t>
  </si>
  <si>
    <t>$AK$21</t>
  </si>
  <si>
    <t>$G$22</t>
  </si>
  <si>
    <t>$AK$22</t>
  </si>
  <si>
    <t>$G$23</t>
  </si>
  <si>
    <t>$AK$23</t>
  </si>
  <si>
    <t>$G$24</t>
  </si>
  <si>
    <t>$AK$24</t>
  </si>
  <si>
    <t>$G$25</t>
  </si>
  <si>
    <t>$AK$25</t>
  </si>
  <si>
    <t>$G$26</t>
  </si>
  <si>
    <t>$AK$26</t>
  </si>
  <si>
    <t>$G$27</t>
  </si>
  <si>
    <t>$AK$27</t>
  </si>
  <si>
    <t>$G$28</t>
  </si>
  <si>
    <t>$AK$28</t>
  </si>
  <si>
    <t>$G$29</t>
  </si>
  <si>
    <t>$AK$29</t>
  </si>
  <si>
    <t>$G$30</t>
  </si>
  <si>
    <t>$AK$30</t>
  </si>
  <si>
    <t>$G$31</t>
  </si>
  <si>
    <t>$AK$31</t>
  </si>
  <si>
    <t>$G$32</t>
  </si>
  <si>
    <t>$AK$32</t>
  </si>
  <si>
    <t>$G$33</t>
  </si>
  <si>
    <t>$AK$33</t>
  </si>
  <si>
    <t>$G$34</t>
  </si>
  <si>
    <t>$AK$34</t>
  </si>
  <si>
    <t>$G$35</t>
  </si>
  <si>
    <t>$AK$35</t>
  </si>
  <si>
    <t>$G$36</t>
  </si>
  <si>
    <t>$AK$36</t>
  </si>
  <si>
    <t>$G$37</t>
  </si>
  <si>
    <t>$AK$37</t>
  </si>
  <si>
    <t>$G$38</t>
  </si>
  <si>
    <t>$AK$38</t>
  </si>
  <si>
    <t>$G$39</t>
  </si>
  <si>
    <t>$AK$39</t>
  </si>
  <si>
    <t>$G$40</t>
  </si>
  <si>
    <t>$AK$40</t>
  </si>
  <si>
    <t>$G$41</t>
  </si>
  <si>
    <t>$AK$41</t>
  </si>
  <si>
    <t>$G$42</t>
  </si>
  <si>
    <t>$AK$42</t>
  </si>
  <si>
    <t>$G$43</t>
  </si>
  <si>
    <t>$AK$43</t>
  </si>
  <si>
    <t>$G$44</t>
  </si>
  <si>
    <t>$AK$44</t>
  </si>
  <si>
    <t>$G$45</t>
  </si>
  <si>
    <t>$AK$45</t>
  </si>
  <si>
    <t>$G$46</t>
  </si>
  <si>
    <t>$AK$46</t>
  </si>
  <si>
    <t>$G$47</t>
  </si>
  <si>
    <t>$AK$47</t>
  </si>
  <si>
    <t>$G$48</t>
  </si>
  <si>
    <t>$AK$48</t>
  </si>
  <si>
    <t>$G$49</t>
  </si>
  <si>
    <t>$AK$49</t>
  </si>
  <si>
    <t>$G$50</t>
  </si>
  <si>
    <t>$AK$50</t>
  </si>
  <si>
    <t>$G$51</t>
  </si>
  <si>
    <t>$AK$51</t>
  </si>
  <si>
    <t>$G$52</t>
  </si>
  <si>
    <t>$AK$52</t>
  </si>
  <si>
    <t>$G$53</t>
  </si>
  <si>
    <t>$AK$53</t>
  </si>
  <si>
    <t>$G$54</t>
  </si>
  <si>
    <t>$AK$54</t>
  </si>
  <si>
    <t>$E$6</t>
  </si>
  <si>
    <t>$O$6</t>
  </si>
  <si>
    <t>$E$8</t>
  </si>
  <si>
    <t>$O$8</t>
  </si>
  <si>
    <t>$E$9</t>
  </si>
  <si>
    <t>$O$9</t>
  </si>
  <si>
    <t>$E$10</t>
  </si>
  <si>
    <t>$O$10</t>
  </si>
  <si>
    <t>$E$11</t>
  </si>
  <si>
    <t>$O$11</t>
  </si>
  <si>
    <t>$E$12</t>
  </si>
  <si>
    <t>$O$12</t>
  </si>
  <si>
    <t>$E$13</t>
  </si>
  <si>
    <t>$O$13</t>
  </si>
  <si>
    <t>$E$14</t>
  </si>
  <si>
    <t>$O$14</t>
  </si>
  <si>
    <t>$E$15</t>
  </si>
  <si>
    <t>$O$15</t>
  </si>
  <si>
    <t>$E$16</t>
  </si>
  <si>
    <t>$O$16</t>
  </si>
  <si>
    <t>$E$17</t>
  </si>
  <si>
    <t>$O$17</t>
  </si>
  <si>
    <t>$E$18</t>
  </si>
  <si>
    <t>$O$18</t>
  </si>
  <si>
    <t>$E$19</t>
  </si>
  <si>
    <t>$O$19</t>
  </si>
  <si>
    <t>$E$20</t>
  </si>
  <si>
    <t>$O$20</t>
  </si>
  <si>
    <t>$E$21</t>
  </si>
  <si>
    <t>$O$21</t>
  </si>
  <si>
    <t>$E$22</t>
  </si>
  <si>
    <t>$O$22</t>
  </si>
  <si>
    <t>$E$23</t>
  </si>
  <si>
    <t>$O$23</t>
  </si>
  <si>
    <t>$E$24</t>
  </si>
  <si>
    <t>$O$24</t>
  </si>
  <si>
    <t>$E$25</t>
  </si>
  <si>
    <t>$O$25</t>
  </si>
  <si>
    <t>$E$26</t>
  </si>
  <si>
    <t>$O$26</t>
  </si>
  <si>
    <t>$E$27</t>
  </si>
  <si>
    <t>$O$27</t>
  </si>
  <si>
    <t>$E$28</t>
  </si>
  <si>
    <t>$O$28</t>
  </si>
  <si>
    <t>$E$29</t>
  </si>
  <si>
    <t>$O$29</t>
  </si>
  <si>
    <t>$E$30</t>
  </si>
  <si>
    <t>$O$30</t>
  </si>
  <si>
    <t>$E$31</t>
  </si>
  <si>
    <t>$O$31</t>
  </si>
  <si>
    <t>$E$32</t>
  </si>
  <si>
    <t>$O$32</t>
  </si>
  <si>
    <t>$E$33</t>
  </si>
  <si>
    <t>$O$33</t>
  </si>
  <si>
    <t>$E$34</t>
  </si>
  <si>
    <t>$O$34</t>
  </si>
  <si>
    <t>$E$35</t>
  </si>
  <si>
    <t>$O$35</t>
  </si>
  <si>
    <t>$E$36</t>
  </si>
  <si>
    <t>$O$36</t>
  </si>
  <si>
    <t>$E$37</t>
  </si>
  <si>
    <t>$O$37</t>
  </si>
  <si>
    <t>$E$38</t>
  </si>
  <si>
    <t>$O$38</t>
  </si>
  <si>
    <t>$E$39</t>
  </si>
  <si>
    <t>$O$39</t>
  </si>
  <si>
    <t>$E$40</t>
  </si>
  <si>
    <t>$O$40</t>
  </si>
  <si>
    <t>$E$41</t>
  </si>
  <si>
    <t>$O$41</t>
  </si>
  <si>
    <t>$E$42</t>
  </si>
  <si>
    <t>$O$42</t>
  </si>
  <si>
    <t>$E$43</t>
  </si>
  <si>
    <t>$O$43</t>
  </si>
  <si>
    <t>$E$44</t>
  </si>
  <si>
    <t>$O$44</t>
  </si>
  <si>
    <t>$E$45</t>
  </si>
  <si>
    <t>$O$45</t>
  </si>
  <si>
    <t>$E$46</t>
  </si>
  <si>
    <t>$O$46</t>
  </si>
  <si>
    <t>$E$47</t>
  </si>
  <si>
    <t>$O$47</t>
  </si>
  <si>
    <t>$E$48</t>
  </si>
  <si>
    <t>$O$48</t>
  </si>
  <si>
    <t>$E$49</t>
  </si>
  <si>
    <t>$O$49</t>
  </si>
  <si>
    <t>$E$50</t>
  </si>
  <si>
    <t>$O$50</t>
  </si>
  <si>
    <t>$E$51</t>
  </si>
  <si>
    <t>$O$51</t>
  </si>
  <si>
    <t>$E$52</t>
  </si>
  <si>
    <t>$O$52</t>
  </si>
  <si>
    <t>$E$53</t>
  </si>
  <si>
    <t>$O$53</t>
  </si>
  <si>
    <t>$E$54</t>
  </si>
  <si>
    <t>$O$54</t>
  </si>
  <si>
    <t>$E$55</t>
  </si>
  <si>
    <t>$O$55</t>
  </si>
  <si>
    <t>$E$56</t>
  </si>
  <si>
    <t>$O$56</t>
  </si>
  <si>
    <t>$E$57</t>
  </si>
  <si>
    <t>$O$57</t>
  </si>
  <si>
    <t>$E$58</t>
  </si>
  <si>
    <t>$O$58</t>
  </si>
  <si>
    <t>$E$59</t>
  </si>
  <si>
    <t>$O$59</t>
  </si>
  <si>
    <t>$E$60</t>
  </si>
  <si>
    <t>$O$60</t>
  </si>
  <si>
    <t>$J$7</t>
  </si>
  <si>
    <t>$AN$7</t>
  </si>
  <si>
    <t>$J$9</t>
  </si>
  <si>
    <t>$AN$9</t>
  </si>
  <si>
    <t>$J$10</t>
  </si>
  <si>
    <t>$AN$10</t>
  </si>
  <si>
    <t>$J$11</t>
  </si>
  <si>
    <t>$AN$11</t>
  </si>
  <si>
    <t>$J$12</t>
  </si>
  <si>
    <t>$AN$12</t>
  </si>
  <si>
    <t>$J$13</t>
  </si>
  <si>
    <t>$AN$13</t>
  </si>
  <si>
    <t>$J$14</t>
  </si>
  <si>
    <t>$AN$14</t>
  </si>
  <si>
    <t>$J$15</t>
  </si>
  <si>
    <t>$AN$15</t>
  </si>
  <si>
    <t>$J$16</t>
  </si>
  <si>
    <t>$AN$16</t>
  </si>
  <si>
    <t>$J$17</t>
  </si>
  <si>
    <t>$AN$17</t>
  </si>
  <si>
    <t>$J$18</t>
  </si>
  <si>
    <t>$AN$18</t>
  </si>
  <si>
    <t>$J$19</t>
  </si>
  <si>
    <t>$AN$19</t>
  </si>
  <si>
    <t>$J$20</t>
  </si>
  <si>
    <t>$AN$20</t>
  </si>
  <si>
    <t>$J$21</t>
  </si>
  <si>
    <t>$AN$21</t>
  </si>
  <si>
    <t>$J$22</t>
  </si>
  <si>
    <t>$AN$22</t>
  </si>
  <si>
    <t>$J$23</t>
  </si>
  <si>
    <t>$AN$23</t>
  </si>
  <si>
    <t>$J$24</t>
  </si>
  <si>
    <t>$AN$24</t>
  </si>
  <si>
    <t>$J$25</t>
  </si>
  <si>
    <t>$AN$25</t>
  </si>
  <si>
    <t>$J$26</t>
  </si>
  <si>
    <t>$AN$26</t>
  </si>
  <si>
    <t>$J$27</t>
  </si>
  <si>
    <t>$AN$27</t>
  </si>
  <si>
    <t>$J$28</t>
  </si>
  <si>
    <t>$AN$28</t>
  </si>
  <si>
    <t>$J$29</t>
  </si>
  <si>
    <t>$AN$29</t>
  </si>
  <si>
    <t>$J$30</t>
  </si>
  <si>
    <t>$AN$30</t>
  </si>
  <si>
    <t>$J$31</t>
  </si>
  <si>
    <t>$AN$31</t>
  </si>
  <si>
    <t>$J$32</t>
  </si>
  <si>
    <t>$AN$32</t>
  </si>
  <si>
    <t>$J$33</t>
  </si>
  <si>
    <t>$AN$33</t>
  </si>
  <si>
    <t>$J$34</t>
  </si>
  <si>
    <t>$AN$34</t>
  </si>
  <si>
    <t>$J$35</t>
  </si>
  <si>
    <t>$AN$35</t>
  </si>
  <si>
    <t>$J$36</t>
  </si>
  <si>
    <t>$AN$36</t>
  </si>
  <si>
    <t>$J$37</t>
  </si>
  <si>
    <t>$AN$37</t>
  </si>
  <si>
    <t>$J$38</t>
  </si>
  <si>
    <t>$AN$38</t>
  </si>
  <si>
    <t>$J$39</t>
  </si>
  <si>
    <t>$AN$39</t>
  </si>
  <si>
    <t>$J$40</t>
  </si>
  <si>
    <t>$AN$40</t>
  </si>
  <si>
    <t>$J$41</t>
  </si>
  <si>
    <t>$AN$41</t>
  </si>
  <si>
    <t>$J$42</t>
  </si>
  <si>
    <t>$AN$42</t>
  </si>
  <si>
    <t>$J$43</t>
  </si>
  <si>
    <t>$AN$43</t>
  </si>
  <si>
    <t>$J$44</t>
  </si>
  <si>
    <t>$AN$44</t>
  </si>
  <si>
    <t>$J$45</t>
  </si>
  <si>
    <t>$AN$45</t>
  </si>
  <si>
    <t>$J$46</t>
  </si>
  <si>
    <t>$AN$46</t>
  </si>
  <si>
    <t>$J$47</t>
  </si>
  <si>
    <t>$AN$47</t>
  </si>
  <si>
    <t>$J$48</t>
  </si>
  <si>
    <t>$AN$48</t>
  </si>
  <si>
    <t>$J$49</t>
  </si>
  <si>
    <t>$AN$49</t>
  </si>
  <si>
    <t>$J$50</t>
  </si>
  <si>
    <t>$AN$50</t>
  </si>
  <si>
    <t>$J$51</t>
  </si>
  <si>
    <t>$AN$51</t>
  </si>
  <si>
    <t>$J$52</t>
  </si>
  <si>
    <t>$AN$52</t>
  </si>
  <si>
    <t>$J$53</t>
  </si>
  <si>
    <t>$AN$53</t>
  </si>
  <si>
    <t>$J$54</t>
  </si>
  <si>
    <t>$AN$54</t>
  </si>
  <si>
    <t>$F$6</t>
  </si>
  <si>
    <t>$P$6</t>
  </si>
  <si>
    <t>$F$8</t>
  </si>
  <si>
    <t>$P$8</t>
  </si>
  <si>
    <t>$F$9</t>
  </si>
  <si>
    <t>$P$9</t>
  </si>
  <si>
    <t>$F$10</t>
  </si>
  <si>
    <t>$P$10</t>
  </si>
  <si>
    <t>$F$11</t>
  </si>
  <si>
    <t>$P$11</t>
  </si>
  <si>
    <t>$F$12</t>
  </si>
  <si>
    <t>$P$12</t>
  </si>
  <si>
    <t>$F$13</t>
  </si>
  <si>
    <t>$P$13</t>
  </si>
  <si>
    <t>$F$14</t>
  </si>
  <si>
    <t>$P$14</t>
  </si>
  <si>
    <t>$F$15</t>
  </si>
  <si>
    <t>$P$15</t>
  </si>
  <si>
    <t>$F$16</t>
  </si>
  <si>
    <t>$P$16</t>
  </si>
  <si>
    <t>$F$17</t>
  </si>
  <si>
    <t>$P$17</t>
  </si>
  <si>
    <t>$F$18</t>
  </si>
  <si>
    <t>$P$18</t>
  </si>
  <si>
    <t>$F$19</t>
  </si>
  <si>
    <t>$P$19</t>
  </si>
  <si>
    <t>$F$20</t>
  </si>
  <si>
    <t>$P$20</t>
  </si>
  <si>
    <t>$F$21</t>
  </si>
  <si>
    <t>$P$21</t>
  </si>
  <si>
    <t>$F$22</t>
  </si>
  <si>
    <t>$P$22</t>
  </si>
  <si>
    <t>$F$23</t>
  </si>
  <si>
    <t>$P$23</t>
  </si>
  <si>
    <t>$F$24</t>
  </si>
  <si>
    <t>$P$24</t>
  </si>
  <si>
    <t>$F$25</t>
  </si>
  <si>
    <t>$P$25</t>
  </si>
  <si>
    <t>$F$26</t>
  </si>
  <si>
    <t>$P$26</t>
  </si>
  <si>
    <t>$F$27</t>
  </si>
  <si>
    <t>$P$27</t>
  </si>
  <si>
    <t>$F$28</t>
  </si>
  <si>
    <t>$P$28</t>
  </si>
  <si>
    <t>$F$29</t>
  </si>
  <si>
    <t>$P$29</t>
  </si>
  <si>
    <t>$F$30</t>
  </si>
  <si>
    <t>$P$30</t>
  </si>
  <si>
    <t>$F$31</t>
  </si>
  <si>
    <t>$P$31</t>
  </si>
  <si>
    <t>$F$32</t>
  </si>
  <si>
    <t>$P$32</t>
  </si>
  <si>
    <t>$F$33</t>
  </si>
  <si>
    <t>$P$33</t>
  </si>
  <si>
    <t>$F$34</t>
  </si>
  <si>
    <t>$P$34</t>
  </si>
  <si>
    <t>$F$35</t>
  </si>
  <si>
    <t>$P$35</t>
  </si>
  <si>
    <t>$F$36</t>
  </si>
  <si>
    <t>$P$36</t>
  </si>
  <si>
    <t>$F$37</t>
  </si>
  <si>
    <t>$P$37</t>
  </si>
  <si>
    <t>$F$38</t>
  </si>
  <si>
    <t>$P$38</t>
  </si>
  <si>
    <t>$F$39</t>
  </si>
  <si>
    <t>$P$39</t>
  </si>
  <si>
    <t>$F$40</t>
  </si>
  <si>
    <t>$P$40</t>
  </si>
  <si>
    <t>$F$41</t>
  </si>
  <si>
    <t>$P$41</t>
  </si>
  <si>
    <t>$F$42</t>
  </si>
  <si>
    <t>$P$42</t>
  </si>
  <si>
    <t>$F$43</t>
  </si>
  <si>
    <t>$P$43</t>
  </si>
  <si>
    <t>$F$44</t>
  </si>
  <si>
    <t>$P$44</t>
  </si>
  <si>
    <t>$F$45</t>
  </si>
  <si>
    <t>$P$45</t>
  </si>
  <si>
    <t>$F$46</t>
  </si>
  <si>
    <t>$P$46</t>
  </si>
  <si>
    <t>$F$47</t>
  </si>
  <si>
    <t>$P$47</t>
  </si>
  <si>
    <t>$F$48</t>
  </si>
  <si>
    <t>$P$48</t>
  </si>
  <si>
    <t>$F$49</t>
  </si>
  <si>
    <t>$P$49</t>
  </si>
  <si>
    <t>$F$50</t>
  </si>
  <si>
    <t>$P$50</t>
  </si>
  <si>
    <t>$F$51</t>
  </si>
  <si>
    <t>$P$51</t>
  </si>
  <si>
    <t>$F$52</t>
  </si>
  <si>
    <t>$P$52</t>
  </si>
  <si>
    <t>$F$53</t>
  </si>
  <si>
    <t>$P$53</t>
  </si>
  <si>
    <t>$F$54</t>
  </si>
  <si>
    <t>$P$54</t>
  </si>
  <si>
    <t>$F$55</t>
  </si>
  <si>
    <t>$P$55</t>
  </si>
  <si>
    <t>$F$56</t>
  </si>
  <si>
    <t>$P$56</t>
  </si>
  <si>
    <t>$F$57</t>
  </si>
  <si>
    <t>$P$57</t>
  </si>
  <si>
    <t>$F$58</t>
  </si>
  <si>
    <t>$P$58</t>
  </si>
  <si>
    <t>$F$59</t>
  </si>
  <si>
    <t>$P$59</t>
  </si>
  <si>
    <t>$F$60</t>
  </si>
  <si>
    <t>$P$60</t>
  </si>
  <si>
    <t>$M$7</t>
  </si>
  <si>
    <t>$AQ$7</t>
  </si>
  <si>
    <t>$AQ$9</t>
  </si>
  <si>
    <t>$AQ$10</t>
  </si>
  <si>
    <t>$AQ$11</t>
  </si>
  <si>
    <t>$AQ$12</t>
  </si>
  <si>
    <t>$AQ$13</t>
  </si>
  <si>
    <t>$AQ$14</t>
  </si>
  <si>
    <t>$AQ$15</t>
  </si>
  <si>
    <t>$AQ$16</t>
  </si>
  <si>
    <t>$AQ$17</t>
  </si>
  <si>
    <t>$AQ$18</t>
  </si>
  <si>
    <t>$AQ$19</t>
  </si>
  <si>
    <t>$AQ$20</t>
  </si>
  <si>
    <t>$AQ$21</t>
  </si>
  <si>
    <t>$AQ$22</t>
  </si>
  <si>
    <t>$AQ$23</t>
  </si>
  <si>
    <t>$AQ$24</t>
  </si>
  <si>
    <t>$AQ$25</t>
  </si>
  <si>
    <t>$AQ$26</t>
  </si>
  <si>
    <t>$AQ$27</t>
  </si>
  <si>
    <t>$AQ$28</t>
  </si>
  <si>
    <t>$AQ$29</t>
  </si>
  <si>
    <t>$AQ$30</t>
  </si>
  <si>
    <t>$AQ$31</t>
  </si>
  <si>
    <t>$AQ$32</t>
  </si>
  <si>
    <t>$AQ$33</t>
  </si>
  <si>
    <t>$AQ$34</t>
  </si>
  <si>
    <t>$AQ$35</t>
  </si>
  <si>
    <t>$AQ$36</t>
  </si>
  <si>
    <t>$AQ$37</t>
  </si>
  <si>
    <t>$AQ$38</t>
  </si>
  <si>
    <t>$AQ$39</t>
  </si>
  <si>
    <t>$AQ$40</t>
  </si>
  <si>
    <t>$AQ$41</t>
  </si>
  <si>
    <t>$AQ$42</t>
  </si>
  <si>
    <t>$AQ$43</t>
  </si>
  <si>
    <t>$AQ$44</t>
  </si>
  <si>
    <t>$AQ$45</t>
  </si>
  <si>
    <t>$AQ$46</t>
  </si>
  <si>
    <t>$AQ$47</t>
  </si>
  <si>
    <t>$AQ$48</t>
  </si>
  <si>
    <t>$AQ$49</t>
  </si>
  <si>
    <t>$AQ$50</t>
  </si>
  <si>
    <t>$AQ$51</t>
  </si>
  <si>
    <t>$AQ$52</t>
  </si>
  <si>
    <t>$AQ$53</t>
  </si>
  <si>
    <t>$AQ$54</t>
  </si>
  <si>
    <t>$G$6</t>
  </si>
  <si>
    <t>$Q$6</t>
  </si>
  <si>
    <t>$G$8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</si>
  <si>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</si>
  <si>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</si>
  <si>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</si>
  <si>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</si>
  <si>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</si>
  <si>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</si>
  <si>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</si>
  <si>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</si>
  <si>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</si>
  <si>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</si>
  <si>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</si>
  <si>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</si>
  <si>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</si>
  <si>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</si>
  <si>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</si>
  <si>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</si>
  <si>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</si>
  <si>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</si>
  <si>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</si>
  <si>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</si>
  <si>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</si>
  <si>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</si>
  <si>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</si>
  <si>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</si>
  <si>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</si>
  <si>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</si>
  <si>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</si>
  <si>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</si>
  <si>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</si>
  <si>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$Q$37</t>
  </si>
  <si>
    <t>$Q$38</t>
  </si>
  <si>
    <t>$Q$39</t>
  </si>
  <si>
    <t>$Q$40</t>
  </si>
  <si>
    <t>$Q$41</t>
  </si>
  <si>
    <t>$Q$42</t>
  </si>
  <si>
    <t>$Q$43</t>
  </si>
  <si>
    <t>$Q$44</t>
  </si>
  <si>
    <t>$Q$45</t>
  </si>
  <si>
    <t>$Q$46</t>
  </si>
  <si>
    <t>$Q$47</t>
  </si>
  <si>
    <t>$Q$48</t>
  </si>
  <si>
    <t>$Q$49</t>
  </si>
  <si>
    <t>$Q$50</t>
  </si>
  <si>
    <t>$Q$51</t>
  </si>
  <si>
    <t>$Q$52</t>
  </si>
  <si>
    <t>$Q$53</t>
  </si>
  <si>
    <t>$Q$54</t>
  </si>
  <si>
    <t>$G$55</t>
  </si>
  <si>
    <t>$Q$55</t>
  </si>
  <si>
    <t>$G$56</t>
  </si>
  <si>
    <t>$Q$56</t>
  </si>
  <si>
    <t>$G$57</t>
  </si>
  <si>
    <t>$Q$57</t>
  </si>
  <si>
    <t>$G$58</t>
  </si>
  <si>
    <t>$Q$58</t>
  </si>
  <si>
    <t>$G$59</t>
  </si>
  <si>
    <t>$Q$59</t>
  </si>
  <si>
    <t>$G$60</t>
  </si>
  <si>
    <t>$Q$60</t>
  </si>
  <si>
    <t>$P$7</t>
  </si>
  <si>
    <t>$AT$7</t>
  </si>
  <si>
    <t>$AT$9</t>
  </si>
  <si>
    <t>$AT$10</t>
  </si>
  <si>
    <t>$AT$11</t>
  </si>
  <si>
    <t>$AT$12</t>
  </si>
  <si>
    <t>$AT$13</t>
  </si>
  <si>
    <t>$AT$14</t>
  </si>
  <si>
    <t>$AT$15</t>
  </si>
  <si>
    <t>$AT$16</t>
  </si>
  <si>
    <t>$AT$17</t>
  </si>
  <si>
    <t>$AT$18</t>
  </si>
  <si>
    <t>$AT$19</t>
  </si>
  <si>
    <t>$AT$20</t>
  </si>
  <si>
    <t>$AT$21</t>
  </si>
  <si>
    <t>$AT$22</t>
  </si>
  <si>
    <t>$AT$23</t>
  </si>
  <si>
    <t>$AT$24</t>
  </si>
  <si>
    <t>$AT$25</t>
  </si>
  <si>
    <t>$AT$26</t>
  </si>
  <si>
    <t>$AT$27</t>
  </si>
  <si>
    <t>$AT$28</t>
  </si>
  <si>
    <t>$AT$29</t>
  </si>
  <si>
    <t>$AT$30</t>
  </si>
  <si>
    <t>$AT$31</t>
  </si>
  <si>
    <t>$AT$32</t>
  </si>
  <si>
    <t>$AT$33</t>
  </si>
  <si>
    <t>$AT$34</t>
  </si>
  <si>
    <t>$AT$35</t>
  </si>
  <si>
    <t>$AT$36</t>
  </si>
  <si>
    <t>$AT$37</t>
  </si>
  <si>
    <t>$AT$38</t>
  </si>
  <si>
    <t>$AT$39</t>
  </si>
  <si>
    <t>$AT$40</t>
  </si>
  <si>
    <t>$AT$41</t>
  </si>
  <si>
    <t>$AT$42</t>
  </si>
  <si>
    <t>$AT$43</t>
  </si>
  <si>
    <t>$AT$44</t>
  </si>
  <si>
    <t>$AT$45</t>
  </si>
  <si>
    <t>$AT$46</t>
  </si>
  <si>
    <t>$AT$47</t>
  </si>
  <si>
    <t>$AT$48</t>
  </si>
  <si>
    <t>$AT$49</t>
  </si>
  <si>
    <t>$AT$50</t>
  </si>
  <si>
    <t>$AT$51</t>
  </si>
  <si>
    <t>$AT$52</t>
  </si>
  <si>
    <t>$AT$53</t>
  </si>
  <si>
    <t>$AT$54</t>
  </si>
  <si>
    <t>$H$6</t>
  </si>
  <si>
    <t>$R$6</t>
  </si>
  <si>
    <t>$H$8</t>
  </si>
  <si>
    <t>$R$8</t>
  </si>
  <si>
    <t>$H$9</t>
  </si>
  <si>
    <t>$R$9</t>
  </si>
  <si>
    <t>$H$10</t>
  </si>
  <si>
    <t>$R$10</t>
  </si>
  <si>
    <t>$H$11</t>
  </si>
  <si>
    <t>$R$11</t>
  </si>
  <si>
    <t>$H$12</t>
  </si>
  <si>
    <t>$R$12</t>
  </si>
  <si>
    <t>$H$13</t>
  </si>
  <si>
    <t>$R$13</t>
  </si>
  <si>
    <t>$H$14</t>
  </si>
  <si>
    <t>$R$14</t>
  </si>
  <si>
    <t>$H$15</t>
  </si>
  <si>
    <t>$R$15</t>
  </si>
  <si>
    <t>$H$16</t>
  </si>
  <si>
    <t>$R$16</t>
  </si>
  <si>
    <t>$H$17</t>
  </si>
  <si>
    <t>$R$17</t>
  </si>
  <si>
    <t>$H$18</t>
  </si>
  <si>
    <t>$R$18</t>
  </si>
  <si>
    <t>$H$19</t>
  </si>
  <si>
    <t>$R$19</t>
  </si>
  <si>
    <t>$H$20</t>
  </si>
  <si>
    <t>$R$20</t>
  </si>
  <si>
    <t>$H$21</t>
  </si>
  <si>
    <t>$R$21</t>
  </si>
  <si>
    <t>$H$22</t>
  </si>
  <si>
    <t>$R$22</t>
  </si>
  <si>
    <t>$H$23</t>
  </si>
  <si>
    <t>$R$23</t>
  </si>
  <si>
    <t>$H$24</t>
  </si>
  <si>
    <t>$R$24</t>
  </si>
  <si>
    <t>$H$25</t>
  </si>
  <si>
    <t>$R$25</t>
  </si>
  <si>
    <t>$H$26</t>
  </si>
  <si>
    <t>$R$26</t>
  </si>
  <si>
    <t>$H$27</t>
  </si>
  <si>
    <t>$R$27</t>
  </si>
  <si>
    <t>$H$28</t>
  </si>
  <si>
    <t>$R$28</t>
  </si>
  <si>
    <t>$H$29</t>
  </si>
  <si>
    <t>$R$29</t>
  </si>
  <si>
    <t>$H$30</t>
  </si>
  <si>
    <t>$R$30</t>
  </si>
  <si>
    <t>$H$31</t>
  </si>
  <si>
    <t>$R$31</t>
  </si>
  <si>
    <t>$H$32</t>
  </si>
  <si>
    <t>$R$32</t>
  </si>
  <si>
    <t>$H$33</t>
  </si>
  <si>
    <t>$R$33</t>
  </si>
  <si>
    <t>$H$34</t>
  </si>
  <si>
    <t>$R$34</t>
  </si>
  <si>
    <t>$H$35</t>
  </si>
  <si>
    <t>$R$35</t>
  </si>
  <si>
    <t>$H$36</t>
  </si>
  <si>
    <t>$R$36</t>
  </si>
  <si>
    <t>$H$37</t>
  </si>
  <si>
    <t>$R$37</t>
  </si>
  <si>
    <t>$H$38</t>
  </si>
  <si>
    <t>$R$38</t>
  </si>
  <si>
    <t>$H$39</t>
  </si>
  <si>
    <t>$R$39</t>
  </si>
  <si>
    <t>$H$40</t>
  </si>
  <si>
    <t>$R$40</t>
  </si>
  <si>
    <t>$H$41</t>
  </si>
  <si>
    <t>$R$41</t>
  </si>
  <si>
    <t>$H$42</t>
  </si>
  <si>
    <t>$R$42</t>
  </si>
  <si>
    <t>$H$43</t>
  </si>
  <si>
    <t>$R$43</t>
  </si>
  <si>
    <t>$H$44</t>
  </si>
  <si>
    <t>$R$44</t>
  </si>
  <si>
    <t>$H$45</t>
  </si>
  <si>
    <t>$R$45</t>
  </si>
  <si>
    <t>$H$46</t>
  </si>
  <si>
    <t>$R$46</t>
  </si>
  <si>
    <t>$H$47</t>
  </si>
  <si>
    <t>$R$47</t>
  </si>
  <si>
    <t>$H$48</t>
  </si>
  <si>
    <t>$R$48</t>
  </si>
  <si>
    <t>$H$49</t>
  </si>
  <si>
    <t>$R$49</t>
  </si>
  <si>
    <t>$H$50</t>
  </si>
  <si>
    <t>$R$50</t>
  </si>
  <si>
    <t>$H$51</t>
  </si>
  <si>
    <t>$R$51</t>
  </si>
  <si>
    <t>$H$52</t>
  </si>
  <si>
    <t>$R$52</t>
  </si>
  <si>
    <t>$H$53</t>
  </si>
  <si>
    <t>$R$53</t>
  </si>
  <si>
    <t>$H$54</t>
  </si>
  <si>
    <t>$R$54</t>
  </si>
  <si>
    <t>$H$55</t>
  </si>
  <si>
    <t>$R$55</t>
  </si>
  <si>
    <t>$H$56</t>
  </si>
  <si>
    <t>$R$56</t>
  </si>
  <si>
    <t>$H$57</t>
  </si>
  <si>
    <t>$R$57</t>
  </si>
  <si>
    <t>$H$58</t>
  </si>
  <si>
    <t>$R$58</t>
  </si>
  <si>
    <t>$H$59</t>
  </si>
  <si>
    <t>$R$59</t>
  </si>
  <si>
    <t>$H$60</t>
  </si>
  <si>
    <t>$R$60</t>
  </si>
  <si>
    <t>$S$7</t>
  </si>
  <si>
    <t>$AW$7</t>
  </si>
  <si>
    <t>$S$9</t>
  </si>
  <si>
    <t>$AW$9</t>
  </si>
  <si>
    <t>$S$10</t>
  </si>
  <si>
    <t>$AW$10</t>
  </si>
  <si>
    <t>$S$11</t>
  </si>
  <si>
    <t>$AW$11</t>
  </si>
  <si>
    <t>$S$12</t>
  </si>
  <si>
    <t>$AW$12</t>
  </si>
  <si>
    <t>$S$13</t>
  </si>
  <si>
    <t>$AW$13</t>
  </si>
  <si>
    <t>$S$14</t>
  </si>
  <si>
    <t>$AW$14</t>
  </si>
  <si>
    <t>$S$15</t>
  </si>
  <si>
    <t>$AW$15</t>
  </si>
  <si>
    <t>$S$16</t>
  </si>
  <si>
    <t>$AW$16</t>
  </si>
  <si>
    <t>$S$17</t>
  </si>
  <si>
    <t>$AW$17</t>
  </si>
  <si>
    <t>$S$18</t>
  </si>
  <si>
    <t>$AW$18</t>
  </si>
  <si>
    <t>$S$19</t>
  </si>
  <si>
    <t>$AW$19</t>
  </si>
  <si>
    <t>$S$20</t>
  </si>
  <si>
    <t>$AW$20</t>
  </si>
  <si>
    <t>$S$21</t>
  </si>
  <si>
    <t>$AW$21</t>
  </si>
  <si>
    <t>$S$22</t>
  </si>
  <si>
    <t>$AW$22</t>
  </si>
  <si>
    <t>$S$23</t>
  </si>
  <si>
    <t>$AW$23</t>
  </si>
  <si>
    <t>$S$24</t>
  </si>
  <si>
    <t>$AW$24</t>
  </si>
  <si>
    <t>$S$25</t>
  </si>
  <si>
    <t>$AW$25</t>
  </si>
  <si>
    <t>$S$26</t>
  </si>
  <si>
    <t>$AW$26</t>
  </si>
  <si>
    <t>$S$27</t>
  </si>
  <si>
    <t>$AW$27</t>
  </si>
  <si>
    <t>$S$28</t>
  </si>
  <si>
    <t>$AW$28</t>
  </si>
  <si>
    <t>$S$29</t>
  </si>
  <si>
    <t>$AW$29</t>
  </si>
  <si>
    <t>$S$30</t>
  </si>
  <si>
    <t>$AW$30</t>
  </si>
  <si>
    <t>$S$31</t>
  </si>
  <si>
    <t>$AW$31</t>
  </si>
  <si>
    <t>$S$32</t>
  </si>
  <si>
    <t>$AW$32</t>
  </si>
  <si>
    <t>$S$33</t>
  </si>
  <si>
    <t>$AW$33</t>
  </si>
  <si>
    <t>$S$34</t>
  </si>
  <si>
    <t>$AW$34</t>
  </si>
  <si>
    <t>$S$35</t>
  </si>
  <si>
    <t>$AW$35</t>
  </si>
  <si>
    <t>$S$36</t>
  </si>
  <si>
    <t>$AW$36</t>
  </si>
  <si>
    <t>$S$37</t>
  </si>
  <si>
    <t>$AW$37</t>
  </si>
  <si>
    <t>$S$38</t>
  </si>
  <si>
    <t>$AW$38</t>
  </si>
  <si>
    <t>$S$39</t>
  </si>
  <si>
    <t>$AW$39</t>
  </si>
  <si>
    <t>$S$40</t>
  </si>
  <si>
    <t>$AW$40</t>
  </si>
  <si>
    <t>$S$41</t>
  </si>
  <si>
    <t>$AW$41</t>
  </si>
  <si>
    <t>$S$42</t>
  </si>
  <si>
    <t>$AW$42</t>
  </si>
  <si>
    <t>$S$43</t>
  </si>
  <si>
    <t>$AW$43</t>
  </si>
  <si>
    <t>$S$44</t>
  </si>
  <si>
    <t>$AW$44</t>
  </si>
  <si>
    <t>$S$45</t>
  </si>
  <si>
    <t>$AW$45</t>
  </si>
  <si>
    <t>$S$46</t>
  </si>
  <si>
    <t>$AW$46</t>
  </si>
  <si>
    <t>$S$47</t>
  </si>
  <si>
    <t>$AW$47</t>
  </si>
  <si>
    <t>$S$48</t>
  </si>
  <si>
    <t>$AW$48</t>
  </si>
  <si>
    <t>$S$49</t>
  </si>
  <si>
    <t>$AW$49</t>
  </si>
  <si>
    <t>$S$50</t>
  </si>
  <si>
    <t>$AW$50</t>
  </si>
  <si>
    <t>$S$51</t>
  </si>
  <si>
    <t>$AW$51</t>
  </si>
  <si>
    <t>$S$52</t>
  </si>
  <si>
    <t>$AW$52</t>
  </si>
  <si>
    <t>$S$53</t>
  </si>
  <si>
    <t>$AW$53</t>
  </si>
  <si>
    <t>$S$54</t>
  </si>
  <si>
    <t>$AW$54</t>
  </si>
  <si>
    <t>$I$6</t>
  </si>
  <si>
    <t>$S$6</t>
  </si>
  <si>
    <t>$I$8</t>
  </si>
  <si>
    <t>$S$8</t>
  </si>
  <si>
    <t>$I$9</t>
  </si>
  <si>
    <t>$I$10</t>
  </si>
  <si>
    <t>$I$11</t>
  </si>
  <si>
    <t>$I$12</t>
  </si>
  <si>
    <t>$I$13</t>
  </si>
  <si>
    <t>$I$14</t>
  </si>
  <si>
    <t>$I$15</t>
  </si>
  <si>
    <t>$I$16</t>
  </si>
  <si>
    <t>$I$17</t>
  </si>
  <si>
    <t>$I$18</t>
  </si>
  <si>
    <t>$I$19</t>
  </si>
  <si>
    <t>$I$20</t>
  </si>
  <si>
    <t>$I$21</t>
  </si>
  <si>
    <t>$I$22</t>
  </si>
  <si>
    <t>$I$23</t>
  </si>
  <si>
    <t>$I$24</t>
  </si>
  <si>
    <t>$I$25</t>
  </si>
  <si>
    <t>$I$26</t>
  </si>
  <si>
    <t>$I$27</t>
  </si>
  <si>
    <t>$I$28</t>
  </si>
  <si>
    <t>$I$29</t>
  </si>
  <si>
    <t>$I$30</t>
  </si>
  <si>
    <t>$I$31</t>
  </si>
  <si>
    <t>$I$32</t>
  </si>
  <si>
    <t>$I$33</t>
  </si>
  <si>
    <t>$I$34</t>
  </si>
  <si>
    <t>$I$35</t>
  </si>
  <si>
    <t>$I$36</t>
  </si>
  <si>
    <t>$I$37</t>
  </si>
  <si>
    <t>$I$38</t>
  </si>
  <si>
    <t>$I$39</t>
  </si>
  <si>
    <t>$I$40</t>
  </si>
  <si>
    <t>$I$41</t>
  </si>
  <si>
    <t>$I$42</t>
  </si>
  <si>
    <t>$I$43</t>
  </si>
  <si>
    <t>$I$44</t>
  </si>
  <si>
    <t>$I$45</t>
  </si>
  <si>
    <t>$I$46</t>
  </si>
  <si>
    <t>$I$47</t>
  </si>
  <si>
    <t>$I$48</t>
  </si>
  <si>
    <t>$I$49</t>
  </si>
  <si>
    <t>$I$50</t>
  </si>
  <si>
    <t>$I$51</t>
  </si>
  <si>
    <t>$I$52</t>
  </si>
  <si>
    <t>$I$53</t>
  </si>
  <si>
    <t>$I$54</t>
  </si>
  <si>
    <t>$I$55</t>
  </si>
  <si>
    <t>$S$55</t>
  </si>
  <si>
    <t>$I$56</t>
  </si>
  <si>
    <t>$S$56</t>
  </si>
  <si>
    <t>$I$57</t>
  </si>
  <si>
    <t>$S$57</t>
  </si>
  <si>
    <t>$I$58</t>
  </si>
  <si>
    <t>$S$58</t>
  </si>
  <si>
    <t>$I$59</t>
  </si>
  <si>
    <t>$S$59</t>
  </si>
  <si>
    <t>$I$60</t>
  </si>
  <si>
    <t>$S$60</t>
  </si>
  <si>
    <t>$V$7</t>
  </si>
  <si>
    <t>$AZ$7</t>
  </si>
  <si>
    <t>$V$9</t>
  </si>
  <si>
    <t>$AZ$9</t>
  </si>
  <si>
    <t>$V$10</t>
  </si>
  <si>
    <t>$AZ$10</t>
  </si>
  <si>
    <t>$V$11</t>
  </si>
  <si>
    <t>$AZ$11</t>
  </si>
  <si>
    <t>$V$12</t>
  </si>
  <si>
    <t>$AZ$12</t>
  </si>
  <si>
    <t>$V$13</t>
  </si>
  <si>
    <t>$AZ$13</t>
  </si>
  <si>
    <t>$V$14</t>
  </si>
  <si>
    <t>$AZ$14</t>
  </si>
  <si>
    <t>$V$15</t>
  </si>
  <si>
    <t>$AZ$15</t>
  </si>
  <si>
    <t>$V$16</t>
  </si>
  <si>
    <t>$AZ$16</t>
  </si>
  <si>
    <t>$V$17</t>
  </si>
  <si>
    <t>$AZ$17</t>
  </si>
  <si>
    <t>$V$18</t>
  </si>
  <si>
    <t>$AZ$18</t>
  </si>
  <si>
    <t>$V$19</t>
  </si>
  <si>
    <t>$AZ$19</t>
  </si>
  <si>
    <t>$V$20</t>
  </si>
  <si>
    <t>$AZ$20</t>
  </si>
  <si>
    <t>$V$21</t>
  </si>
  <si>
    <t>$AZ$21</t>
  </si>
  <si>
    <t>$V$22</t>
  </si>
  <si>
    <t>$AZ$22</t>
  </si>
  <si>
    <t>$V$23</t>
  </si>
  <si>
    <t>$AZ$23</t>
  </si>
  <si>
    <t>$V$24</t>
  </si>
  <si>
    <t>$AZ$24</t>
  </si>
  <si>
    <t>$V$25</t>
  </si>
  <si>
    <t>$AZ$25</t>
  </si>
  <si>
    <t>$V$26</t>
  </si>
  <si>
    <t>$AZ$26</t>
  </si>
  <si>
    <t>$V$27</t>
  </si>
  <si>
    <t>$AZ$27</t>
  </si>
  <si>
    <t>$V$28</t>
  </si>
  <si>
    <t>$AZ$28</t>
  </si>
  <si>
    <t>$V$29</t>
  </si>
  <si>
    <t>$AZ$29</t>
  </si>
  <si>
    <t>$V$30</t>
  </si>
  <si>
    <t>$AZ$30</t>
  </si>
  <si>
    <t>$V$31</t>
  </si>
  <si>
    <t>$AZ$31</t>
  </si>
  <si>
    <t>$V$32</t>
  </si>
  <si>
    <t>$AZ$32</t>
  </si>
  <si>
    <t>$V$33</t>
  </si>
  <si>
    <t>$AZ$33</t>
  </si>
  <si>
    <t>$V$34</t>
  </si>
  <si>
    <t>$AZ$34</t>
  </si>
  <si>
    <t>$V$35</t>
  </si>
  <si>
    <t>$AZ$35</t>
  </si>
  <si>
    <t>$V$36</t>
  </si>
  <si>
    <t>$AZ$36</t>
  </si>
  <si>
    <t>$V$37</t>
  </si>
  <si>
    <t>$AZ$37</t>
  </si>
  <si>
    <t>$V$38</t>
  </si>
  <si>
    <t>$AZ$38</t>
  </si>
  <si>
    <t>$V$39</t>
  </si>
  <si>
    <t>$AZ$39</t>
  </si>
  <si>
    <t>$V$40</t>
  </si>
  <si>
    <t>$AZ$40</t>
  </si>
  <si>
    <t>$V$41</t>
  </si>
  <si>
    <t>$AZ$41</t>
  </si>
  <si>
    <t>$V$42</t>
  </si>
  <si>
    <t>$AZ$42</t>
  </si>
  <si>
    <t>$V$43</t>
  </si>
  <si>
    <t>$AZ$43</t>
  </si>
  <si>
    <t>$V$44</t>
  </si>
  <si>
    <t>$AZ$44</t>
  </si>
  <si>
    <t>$V$45</t>
  </si>
  <si>
    <t>$AZ$45</t>
  </si>
  <si>
    <t>$V$46</t>
  </si>
  <si>
    <t>$AZ$46</t>
  </si>
  <si>
    <t>$V$47</t>
  </si>
  <si>
    <t>$AZ$47</t>
  </si>
  <si>
    <t>$V$48</t>
  </si>
  <si>
    <t>$AZ$48</t>
  </si>
  <si>
    <t>$V$49</t>
  </si>
  <si>
    <t>$AZ$49</t>
  </si>
  <si>
    <t>$V$50</t>
  </si>
  <si>
    <t>$AZ$50</t>
  </si>
  <si>
    <t>$V$51</t>
  </si>
  <si>
    <t>$AZ$51</t>
  </si>
  <si>
    <t>$V$52</t>
  </si>
  <si>
    <t>$AZ$52</t>
  </si>
  <si>
    <t>$V$53</t>
  </si>
  <si>
    <t>$AZ$53</t>
  </si>
  <si>
    <t>$V$54</t>
  </si>
  <si>
    <t>$AZ$54</t>
  </si>
  <si>
    <t>$J$6</t>
  </si>
  <si>
    <t>$T$6</t>
  </si>
  <si>
    <t>$J$8</t>
  </si>
  <si>
    <t>$T$8</t>
  </si>
  <si>
    <t>$T$9</t>
  </si>
  <si>
    <t>$T$10</t>
  </si>
  <si>
    <t>$T$11</t>
  </si>
  <si>
    <t>$T$12</t>
  </si>
  <si>
    <t>$T$13</t>
  </si>
  <si>
    <t>$T$14</t>
  </si>
  <si>
    <t>$T$15</t>
  </si>
  <si>
    <t>$T$16</t>
  </si>
  <si>
    <t>$T$17</t>
  </si>
  <si>
    <t>$T$18</t>
  </si>
  <si>
    <t>$T$19</t>
  </si>
  <si>
    <t>$T$20</t>
  </si>
  <si>
    <t>$T$21</t>
  </si>
  <si>
    <t>$T$22</t>
  </si>
  <si>
    <t>$T$23</t>
  </si>
  <si>
    <t>$T$24</t>
  </si>
  <si>
    <t>$T$25</t>
  </si>
  <si>
    <t>$T$26</t>
  </si>
  <si>
    <t>$T$27</t>
  </si>
  <si>
    <t>$T$28</t>
  </si>
  <si>
    <t>$T$29</t>
  </si>
  <si>
    <t>$T$30</t>
  </si>
  <si>
    <t>$T$31</t>
  </si>
  <si>
    <t>$T$32</t>
  </si>
  <si>
    <t>$T$33</t>
  </si>
  <si>
    <t>$T$34</t>
  </si>
  <si>
    <t>$T$35</t>
  </si>
  <si>
    <t>$T$36</t>
  </si>
  <si>
    <t>$T$37</t>
  </si>
  <si>
    <t>$T$38</t>
  </si>
  <si>
    <t>$T$39</t>
  </si>
  <si>
    <t>$T$40</t>
  </si>
  <si>
    <t>$T$41</t>
  </si>
  <si>
    <t>$T$42</t>
  </si>
  <si>
    <t>$T$43</t>
  </si>
  <si>
    <t>$T$44</t>
  </si>
  <si>
    <t>$T$45</t>
  </si>
  <si>
    <t>$T$46</t>
  </si>
  <si>
    <t>$T$47</t>
  </si>
  <si>
    <t>$T$48</t>
  </si>
  <si>
    <t>$T$49</t>
  </si>
  <si>
    <t>$T$50</t>
  </si>
  <si>
    <t>$T$51</t>
  </si>
  <si>
    <t>$T$52</t>
  </si>
  <si>
    <t>$T$53</t>
  </si>
  <si>
    <t>$T$54</t>
  </si>
  <si>
    <t>$J$55</t>
  </si>
  <si>
    <t>$T$55</t>
  </si>
  <si>
    <t>$J$56</t>
  </si>
  <si>
    <t>$T$56</t>
  </si>
  <si>
    <t>$J$57</t>
  </si>
  <si>
    <t>$T$57</t>
  </si>
  <si>
    <t>$J$58</t>
  </si>
  <si>
    <t>$T$58</t>
  </si>
  <si>
    <t>$J$59</t>
  </si>
  <si>
    <t>$T$59</t>
  </si>
  <si>
    <t>$J$60</t>
  </si>
  <si>
    <t>$T$60</t>
  </si>
  <si>
    <t>$Y$7</t>
  </si>
  <si>
    <t>$BC$7</t>
  </si>
  <si>
    <t>$Y$9</t>
  </si>
  <si>
    <t>$BC$9</t>
  </si>
  <si>
    <t>$Y$10</t>
  </si>
  <si>
    <t>$BC$10</t>
  </si>
  <si>
    <t>$Y$11</t>
  </si>
  <si>
    <t>$BC$11</t>
  </si>
  <si>
    <t>$Y$12</t>
  </si>
  <si>
    <t>$BC$12</t>
  </si>
  <si>
    <t>$Y$13</t>
  </si>
  <si>
    <t>$BC$13</t>
  </si>
  <si>
    <t>$Y$14</t>
  </si>
  <si>
    <t>$BC$14</t>
  </si>
  <si>
    <t>$Y$15</t>
  </si>
  <si>
    <t>$BC$15</t>
  </si>
  <si>
    <t>$Y$16</t>
  </si>
  <si>
    <t>$BC$16</t>
  </si>
  <si>
    <t>$Y$17</t>
  </si>
  <si>
    <t>$BC$17</t>
  </si>
  <si>
    <t>$Y$18</t>
  </si>
  <si>
    <t>$BC$18</t>
  </si>
  <si>
    <t>$Y$19</t>
  </si>
  <si>
    <t>$BC$19</t>
  </si>
  <si>
    <t>$Y$20</t>
  </si>
  <si>
    <t>$BC$20</t>
  </si>
  <si>
    <t>$Y$21</t>
  </si>
  <si>
    <t>$BC$21</t>
  </si>
  <si>
    <t>$Y$22</t>
  </si>
  <si>
    <t>$BC$22</t>
  </si>
  <si>
    <t>$Y$23</t>
  </si>
  <si>
    <t>$BC$23</t>
  </si>
  <si>
    <t>$Y$24</t>
  </si>
  <si>
    <t>$BC$24</t>
  </si>
  <si>
    <t>$Y$25</t>
  </si>
  <si>
    <t>$BC$25</t>
  </si>
  <si>
    <t>$Y$26</t>
  </si>
  <si>
    <t>$BC$26</t>
  </si>
  <si>
    <t>$Y$27</t>
  </si>
  <si>
    <t>$BC$27</t>
  </si>
  <si>
    <t>$Y$28</t>
  </si>
  <si>
    <t>$BC$28</t>
  </si>
  <si>
    <t>$Y$29</t>
  </si>
  <si>
    <t>$BC$29</t>
  </si>
  <si>
    <t>$Y$30</t>
  </si>
  <si>
    <t>$BC$30</t>
  </si>
  <si>
    <t>$Y$31</t>
  </si>
  <si>
    <t>$BC$31</t>
  </si>
  <si>
    <t>$Y$32</t>
  </si>
  <si>
    <t>$BC$32</t>
  </si>
  <si>
    <t>$Y$33</t>
  </si>
  <si>
    <t>$BC$33</t>
  </si>
  <si>
    <t>$Y$34</t>
  </si>
  <si>
    <t>$BC$34</t>
  </si>
  <si>
    <t>$Y$35</t>
  </si>
  <si>
    <t>$BC$35</t>
  </si>
  <si>
    <t>$Y$36</t>
  </si>
  <si>
    <t>$BC$36</t>
  </si>
  <si>
    <t>$Y$37</t>
  </si>
  <si>
    <t>$BC$37</t>
  </si>
  <si>
    <t>$Y$38</t>
  </si>
  <si>
    <t>$BC$38</t>
  </si>
  <si>
    <t>$Y$39</t>
  </si>
  <si>
    <t>$BC$39</t>
  </si>
  <si>
    <t>$Y$40</t>
  </si>
  <si>
    <t>$BC$40</t>
  </si>
  <si>
    <t>$Y$41</t>
  </si>
  <si>
    <t>$BC$41</t>
  </si>
  <si>
    <t>$Y$42</t>
  </si>
  <si>
    <t>$BC$42</t>
  </si>
  <si>
    <t>$Y$43</t>
  </si>
  <si>
    <t>$BC$43</t>
  </si>
  <si>
    <t>$Y$44</t>
  </si>
  <si>
    <t>$BC$44</t>
  </si>
  <si>
    <t>$Y$45</t>
  </si>
  <si>
    <t>$BC$45</t>
  </si>
  <si>
    <t>$Y$46</t>
  </si>
  <si>
    <t>$BC$46</t>
  </si>
  <si>
    <t>$Y$47</t>
  </si>
  <si>
    <t>$BC$47</t>
  </si>
  <si>
    <t>$Y$48</t>
  </si>
  <si>
    <t>$BC$48</t>
  </si>
  <si>
    <t>$Y$49</t>
  </si>
  <si>
    <t>$BC$49</t>
  </si>
  <si>
    <t>$Y$50</t>
  </si>
  <si>
    <t>$BC$50</t>
  </si>
  <si>
    <t>$Y$51</t>
  </si>
  <si>
    <t>$BC$51</t>
  </si>
  <si>
    <t>$Y$52</t>
  </si>
  <si>
    <t>$BC$52</t>
  </si>
  <si>
    <t>$Y$53</t>
  </si>
  <si>
    <t>$BC$53</t>
  </si>
  <si>
    <t>$Y$54</t>
  </si>
  <si>
    <t>$BC$54</t>
  </si>
  <si>
    <t>$K$6</t>
  </si>
  <si>
    <t>$U$6</t>
  </si>
  <si>
    <t>$K$8</t>
  </si>
  <si>
    <t>$U$8</t>
  </si>
  <si>
    <t>$K$9</t>
  </si>
  <si>
    <t>$U$9</t>
  </si>
  <si>
    <t>$K$10</t>
  </si>
  <si>
    <t>$U$10</t>
  </si>
  <si>
    <t>$K$11</t>
  </si>
  <si>
    <t>$U$11</t>
  </si>
  <si>
    <t>$K$12</t>
  </si>
  <si>
    <t>$U$12</t>
  </si>
  <si>
    <t>$K$13</t>
  </si>
  <si>
    <t>$U$13</t>
  </si>
  <si>
    <t>$K$14</t>
  </si>
  <si>
    <t>$U$14</t>
  </si>
  <si>
    <t>$K$15</t>
  </si>
  <si>
    <t>$U$15</t>
  </si>
  <si>
    <t>$K$16</t>
  </si>
  <si>
    <t>$U$16</t>
  </si>
  <si>
    <t>$K$17</t>
  </si>
  <si>
    <t>$U$17</t>
  </si>
  <si>
    <t>$K$18</t>
  </si>
  <si>
    <t>$U$18</t>
  </si>
  <si>
    <t>$K$19</t>
  </si>
  <si>
    <t>$U$19</t>
  </si>
  <si>
    <t>$K$20</t>
  </si>
  <si>
    <t>$U$20</t>
  </si>
  <si>
    <t>$K$21</t>
  </si>
  <si>
    <t>$U$21</t>
  </si>
  <si>
    <t>$K$22</t>
  </si>
  <si>
    <t>$U$22</t>
  </si>
  <si>
    <t>$K$23</t>
  </si>
  <si>
    <t>$U$23</t>
  </si>
  <si>
    <t>$K$24</t>
  </si>
  <si>
    <t>$U$24</t>
  </si>
  <si>
    <t>$K$25</t>
  </si>
  <si>
    <t>$U$25</t>
  </si>
  <si>
    <t>$K$26</t>
  </si>
  <si>
    <t>$U$26</t>
  </si>
  <si>
    <t>$K$27</t>
  </si>
  <si>
    <t>$U$27</t>
  </si>
  <si>
    <t>$K$28</t>
  </si>
  <si>
    <t>$U$28</t>
  </si>
  <si>
    <t>$K$29</t>
  </si>
  <si>
    <t>$U$29</t>
  </si>
  <si>
    <t>$K$30</t>
  </si>
  <si>
    <t>$U$30</t>
  </si>
  <si>
    <t>$K$31</t>
  </si>
  <si>
    <t>$U$31</t>
  </si>
  <si>
    <t>$K$32</t>
  </si>
  <si>
    <t>$U$32</t>
  </si>
  <si>
    <t>$K$33</t>
  </si>
  <si>
    <t>$U$33</t>
  </si>
  <si>
    <t>$K$34</t>
  </si>
  <si>
    <t>$U$34</t>
  </si>
  <si>
    <t>$K$35</t>
  </si>
  <si>
    <t>$U$35</t>
  </si>
  <si>
    <t>$K$36</t>
  </si>
  <si>
    <t>$U$36</t>
  </si>
  <si>
    <t>$K$37</t>
  </si>
  <si>
    <t>$U$37</t>
  </si>
  <si>
    <t>$K$38</t>
  </si>
  <si>
    <t>$U$38</t>
  </si>
  <si>
    <t>$K$39</t>
  </si>
  <si>
    <t>$U$39</t>
  </si>
  <si>
    <t>$K$40</t>
  </si>
  <si>
    <t>$U$40</t>
  </si>
  <si>
    <t>$K$41</t>
  </si>
  <si>
    <t>$U$41</t>
  </si>
  <si>
    <t>$K$42</t>
  </si>
  <si>
    <t>$U$42</t>
  </si>
  <si>
    <t>$K$43</t>
  </si>
  <si>
    <t>$U$43</t>
  </si>
  <si>
    <t>$K$44</t>
  </si>
  <si>
    <t>$U$44</t>
  </si>
  <si>
    <t>$K$45</t>
  </si>
  <si>
    <t>$U$45</t>
  </si>
  <si>
    <t>$K$46</t>
  </si>
  <si>
    <t>$U$46</t>
  </si>
  <si>
    <t>$K$47</t>
  </si>
  <si>
    <t>$U$47</t>
  </si>
  <si>
    <t>$K$48</t>
  </si>
  <si>
    <t>$U$48</t>
  </si>
  <si>
    <t>$K$49</t>
  </si>
  <si>
    <t>$U$49</t>
  </si>
  <si>
    <t>$K$50</t>
  </si>
  <si>
    <t>$U$50</t>
  </si>
  <si>
    <t>$K$51</t>
  </si>
  <si>
    <t>$U$51</t>
  </si>
  <si>
    <t>$K$52</t>
  </si>
  <si>
    <t>$U$52</t>
  </si>
  <si>
    <t>$K$53</t>
  </si>
  <si>
    <t>$U$53</t>
  </si>
  <si>
    <t>$K$54</t>
  </si>
  <si>
    <t>$U$54</t>
  </si>
  <si>
    <t>$K$55</t>
  </si>
  <si>
    <t>$U$55</t>
  </si>
  <si>
    <t>$K$56</t>
  </si>
  <si>
    <t>$U$56</t>
  </si>
  <si>
    <t>$K$57</t>
  </si>
  <si>
    <t>$U$57</t>
  </si>
  <si>
    <t>$K$58</t>
  </si>
  <si>
    <t>$U$58</t>
  </si>
  <si>
    <t>$K$59</t>
  </si>
  <si>
    <t>$U$59</t>
  </si>
  <si>
    <t>$K$60</t>
  </si>
  <si>
    <t>$U$60</t>
  </si>
  <si>
    <t>$AB$7</t>
  </si>
  <si>
    <t>$BF$7</t>
  </si>
  <si>
    <t>$AB$9</t>
  </si>
  <si>
    <t>$BF$9</t>
  </si>
  <si>
    <t>$AB$10</t>
  </si>
  <si>
    <t>$BF$10</t>
  </si>
  <si>
    <t>$AB$11</t>
  </si>
  <si>
    <t>$BF$11</t>
  </si>
  <si>
    <t>$AB$12</t>
  </si>
  <si>
    <t>$BF$12</t>
  </si>
  <si>
    <t>$AB$13</t>
  </si>
  <si>
    <t>$BF$13</t>
  </si>
  <si>
    <t>$AB$14</t>
  </si>
  <si>
    <t>$BF$14</t>
  </si>
  <si>
    <t>$AB$15</t>
  </si>
  <si>
    <t>$BF$15</t>
  </si>
  <si>
    <t>$AB$16</t>
  </si>
  <si>
    <t>$BF$16</t>
  </si>
  <si>
    <t>$AB$17</t>
  </si>
  <si>
    <t>$BF$17</t>
  </si>
  <si>
    <t>$AB$18</t>
  </si>
  <si>
    <t>$BF$18</t>
  </si>
  <si>
    <t>$AB$19</t>
  </si>
  <si>
    <t>$BF$19</t>
  </si>
  <si>
    <t>$AB$20</t>
  </si>
  <si>
    <t>$BF$20</t>
  </si>
  <si>
    <t>$AB$21</t>
  </si>
  <si>
    <t>$BF$21</t>
  </si>
  <si>
    <t>$AB$22</t>
  </si>
  <si>
    <t>$BF$22</t>
  </si>
  <si>
    <t>$AB$23</t>
  </si>
  <si>
    <t>$BF$23</t>
  </si>
  <si>
    <t>$AB$24</t>
  </si>
  <si>
    <t>$BF$24</t>
  </si>
  <si>
    <t>$AB$25</t>
  </si>
  <si>
    <t>$BF$25</t>
  </si>
  <si>
    <t>$AB$26</t>
  </si>
  <si>
    <t>$BF$26</t>
  </si>
  <si>
    <t>$AB$27</t>
  </si>
  <si>
    <t>$BF$27</t>
  </si>
  <si>
    <t>$AB$28</t>
  </si>
  <si>
    <t>$BF$28</t>
  </si>
  <si>
    <t>$AB$29</t>
  </si>
  <si>
    <t>$BF$29</t>
  </si>
  <si>
    <t>$AB$30</t>
  </si>
  <si>
    <t>$BF$30</t>
  </si>
  <si>
    <t>$AB$31</t>
  </si>
  <si>
    <t>$BF$31</t>
  </si>
  <si>
    <t>$AB$32</t>
  </si>
  <si>
    <t>$BF$32</t>
  </si>
  <si>
    <t>$AB$33</t>
  </si>
  <si>
    <t>$BF$33</t>
  </si>
  <si>
    <t>$AB$34</t>
  </si>
  <si>
    <t>$BF$34</t>
  </si>
  <si>
    <t>$AB$35</t>
  </si>
  <si>
    <t>$BF$35</t>
  </si>
  <si>
    <t>$AB$36</t>
  </si>
  <si>
    <t>$BF$36</t>
  </si>
  <si>
    <t>$AB$37</t>
  </si>
  <si>
    <t>TeamKey</t>
  </si>
  <si>
    <t>Handicap Rounds Lookback</t>
  </si>
  <si>
    <t>Handicap Rounds Used</t>
  </si>
  <si>
    <t>LowestNofM</t>
  </si>
  <si>
    <t>Handicap Calculation Method</t>
  </si>
  <si>
    <t>RoundNormal</t>
  </si>
  <si>
    <t>handicapRoundsLookback</t>
  </si>
  <si>
    <t>Number of most recent league rounds eligible for handicap calculation (M in "Lowest N of M")</t>
  </si>
  <si>
    <t>handicapRoundsUsed</t>
  </si>
  <si>
    <t>Number of lowest rounds averaged to compute handicap (N in "Lowest N of M")</t>
  </si>
  <si>
    <t>handicapCalcMethod</t>
  </si>
  <si>
    <t>Handicap Rounding Method</t>
  </si>
  <si>
    <t>Match Report Only</t>
  </si>
  <si>
    <t>handicapRoundingMethod</t>
  </si>
  <si>
    <t>Handicap_Calc sheet</t>
  </si>
  <si>
    <t>Algorithm used for handicap calculation (e.g., LowestNofM, RollingAverage, etc.). Currently ""LowestNofM"</t>
  </si>
  <si>
    <t>future match report logic","How handicaps are rounded (e.g., RoundNormal, RoundDown, RoundUp). Currently ""RoundNormal</t>
  </si>
  <si>
    <t>RefersTo</t>
  </si>
  <si>
    <t>Scope</t>
  </si>
  <si>
    <t>Comment</t>
  </si>
  <si>
    <t>Dependency_Report!_FilterDatabase</t>
  </si>
  <si>
    <t>=Dependency_Report!$A$1:$E$1</t>
  </si>
  <si>
    <t>Dependency_Report</t>
  </si>
  <si>
    <t>league roster'!_FilterDatabase</t>
  </si>
  <si>
    <t>='league roster'!$A$2:$E$127</t>
  </si>
  <si>
    <t>league roster</t>
  </si>
  <si>
    <t>Summary!_FilterDatabase</t>
  </si>
  <si>
    <t>=Summary!$A$6:$IL$86</t>
  </si>
  <si>
    <t>Summary</t>
  </si>
  <si>
    <t>Weekly Leaderboard'!_FilterDatabase</t>
  </si>
  <si>
    <t>='Weekly Leaderboard'!$A$7:$BW$40</t>
  </si>
  <si>
    <t>_xlfn._xlws.FILTER</t>
  </si>
  <si>
    <t>=#NAME?</t>
  </si>
  <si>
    <t>TMMNGL Master Tracking File 2025 REFIT.xlsm</t>
  </si>
  <si>
    <t>_xlfn.AVERAGEIF</t>
  </si>
  <si>
    <t>_xlfn.AVERAGEIFS</t>
  </si>
  <si>
    <t>_xlfn.COUNTIFS</t>
  </si>
  <si>
    <t>_xlfn.IFERROR</t>
  </si>
  <si>
    <t>_xlfn.MINIFS</t>
  </si>
  <si>
    <t>_xlfn.RANK.EQ</t>
  </si>
  <si>
    <t>_xlfn.SINGLE</t>
  </si>
  <si>
    <t>_xlfn.SORTBY</t>
  </si>
  <si>
    <t>_xlfn.SUMIFS</t>
  </si>
  <si>
    <t>_xlfn.XLOOKUP</t>
  </si>
  <si>
    <t>=Settings!$B$29</t>
  </si>
  <si>
    <t>=OFFSET(Summary!$EB$7,0,0,COUNTA(Summary[range]),19)</t>
  </si>
  <si>
    <t>=Settings!$B$6</t>
  </si>
  <si>
    <t>=OFFSET(Summary!$EV$7,0,0,COUNTA(Summary[range]),19)</t>
  </si>
  <si>
    <t>=Settings!$B$39</t>
  </si>
  <si>
    <t>=Settings!$B$16</t>
  </si>
  <si>
    <t>Indiv_Results_Staging!ExternalData_1</t>
  </si>
  <si>
    <t>=Indiv_Results_Staging!$A$1:$T$529</t>
  </si>
  <si>
    <t>Indiv_Results_Staging</t>
  </si>
  <si>
    <t>Upload_Indiv_Raw!ExternalData_1</t>
  </si>
  <si>
    <t>=Upload_Indiv_Raw!$A$1:$BG$529</t>
  </si>
  <si>
    <t>Upload_Indiv_Raw</t>
  </si>
  <si>
    <t>Upload_Team_Raw!ExternalData_1</t>
  </si>
  <si>
    <t>=Upload_Team_Raw!$A$1:$I$133</t>
  </si>
  <si>
    <t>Upload_Team_Raw</t>
  </si>
  <si>
    <t>Uploaded_Indiv_Data!ExternalData_1</t>
  </si>
  <si>
    <t>=Uploaded_Indiv_Data!$A$1:$BH$529</t>
  </si>
  <si>
    <t>Uploaded_Indiv_Data</t>
  </si>
  <si>
    <t>Uploaded_Team_Data!ExternalData_1</t>
  </si>
  <si>
    <t>=Uploaded_Team_Data!$A$1:$I$133</t>
  </si>
  <si>
    <t>Uploaded_Team_Data</t>
  </si>
  <si>
    <t>Team_Results_Staging!ExternalData_2</t>
  </si>
  <si>
    <t>=Team_Results_Staging!$A$1:$I$133</t>
  </si>
  <si>
    <t>Team_Results_Staging</t>
  </si>
  <si>
    <t>=Settings!$B$22</t>
  </si>
  <si>
    <t>=Settings!$B$18</t>
  </si>
  <si>
    <t>=Settings!$B$23</t>
  </si>
  <si>
    <t>=Settings!$B$20</t>
  </si>
  <si>
    <t>=Settings!$B$21</t>
  </si>
  <si>
    <t>=Settings!$B$24</t>
  </si>
  <si>
    <t>hdcprds</t>
  </si>
  <si>
    <t>=Summary[Hdcp
Rounds]</t>
  </si>
  <si>
    <t>ids</t>
  </si>
  <si>
    <t>=Summary[id]</t>
  </si>
  <si>
    <t>=Settings!$B$2</t>
  </si>
  <si>
    <t>leagueroster</t>
  </si>
  <si>
    <t>='league roster'!$A$2:$C$130</t>
  </si>
  <si>
    <t>lowgross</t>
  </si>
  <si>
    <t>=Summary[Low Gross]</t>
  </si>
  <si>
    <t>lownet</t>
  </si>
  <si>
    <t>=Summary[Low Net]</t>
  </si>
  <si>
    <t>=Settings!$B$28</t>
  </si>
  <si>
    <t>Settings Documentation'!matchReportFilenamePattern</t>
  </si>
  <si>
    <t>='C:\Users\maver\Documents\Timken Golf League\ChatGPT Analysis\[TMMNGL Master Tracking File_NEW.xlsm]Settings'!$B$38</t>
  </si>
  <si>
    <t>Settings Documentation</t>
  </si>
  <si>
    <t>=Settings!$B$35</t>
  </si>
  <si>
    <t>=Settings!$B$33</t>
  </si>
  <si>
    <t>=Settings!$B$15</t>
  </si>
  <si>
    <t>=Settings!$B$19</t>
  </si>
  <si>
    <t>netscores</t>
  </si>
  <si>
    <t>=OFFSET(Summary!$CN$7,0,0,COUNTA(Summary[range]),19)</t>
  </si>
  <si>
    <t>Settings Documentation'!numberOfTeams</t>
  </si>
  <si>
    <t>='C:\Users\maver\Documents\Timken Golf League\ChatGPT Analysis\[TMMNGL Master Tracking File_NEW.xlsm]Settings'!$B$4</t>
  </si>
  <si>
    <t>=Settings!$B$4</t>
  </si>
  <si>
    <t>=Settings!$B$34</t>
  </si>
  <si>
    <t>=OFFSET(Summary!$DH$7,0,0,COUNTA(Summary[range]),19)</t>
  </si>
  <si>
    <t>=Settings!$B$12</t>
  </si>
  <si>
    <t>=Settings!$B$11</t>
  </si>
  <si>
    <t>=Settings!$B$10</t>
  </si>
  <si>
    <t>=Settings!$B$9</t>
  </si>
  <si>
    <t>=Settings!$B$14</t>
  </si>
  <si>
    <t>=Settings!$B$13</t>
  </si>
  <si>
    <t>2025 Schedule'!Print_Area</t>
  </si>
  <si>
    <t>='2025 Schedule'!$A$1:$K$48</t>
  </si>
  <si>
    <t>2025 Schedule</t>
  </si>
  <si>
    <t>Season Leaderboard'!Print_Area</t>
  </si>
  <si>
    <t>='Season Leaderboard'!$A$1:$AQ$79</t>
  </si>
  <si>
    <t>Standings!Print_Area</t>
  </si>
  <si>
    <t>=Standings!$A$1:$Q$22</t>
  </si>
  <si>
    <t>Standings</t>
  </si>
  <si>
    <t>Summary!Print_Area</t>
  </si>
  <si>
    <t>=Summary!$A$1:$AD$86</t>
  </si>
  <si>
    <t>Weekly Leaderboard'!Print_Area</t>
  </si>
  <si>
    <t>='Weekly Leaderboard'!$A$1:$AG$41</t>
  </si>
  <si>
    <t>Summary!Print_Titles</t>
  </si>
  <si>
    <t>=Summary!$1:$6</t>
  </si>
  <si>
    <t>qualifier</t>
  </si>
  <si>
    <t>='Season Leaderboard'!$A$5</t>
  </si>
  <si>
    <t>=Settings!$B$41</t>
  </si>
  <si>
    <t>=Settings!$B$7</t>
  </si>
  <si>
    <t>scores</t>
  </si>
  <si>
    <t>=OFFSET(Summary!$AP$7,0,0,COUNTA(Summary[range]),19)</t>
  </si>
  <si>
    <t>seasonbirds</t>
  </si>
  <si>
    <t>=Summary[Total Birdies]</t>
  </si>
  <si>
    <t>seasoneagles</t>
  </si>
  <si>
    <t>=Summary[Total Eagles]</t>
  </si>
  <si>
    <t>seasongross</t>
  </si>
  <si>
    <t>=Summary[Avg Gross]</t>
  </si>
  <si>
    <t>seasonnet</t>
  </si>
  <si>
    <t>=Summary[Avg Net]</t>
  </si>
  <si>
    <t>seasonpts</t>
  </si>
  <si>
    <t>=Summary[Total Pts]</t>
  </si>
  <si>
    <t>seasonptsavg</t>
  </si>
  <si>
    <t>=Summary[Avg Pts]</t>
  </si>
  <si>
    <t>seasonrds</t>
  </si>
  <si>
    <t>=Summary[Season
Rounds]</t>
  </si>
  <si>
    <t>=Settings!$B$3</t>
  </si>
  <si>
    <t>Settings Documentation'!stagingFolderPath</t>
  </si>
  <si>
    <t>='C:\Users\maver\Documents\Timken Golf League\ChatGPT Analysis\[TMMNGL Master Tracking File_NEW.xlsm]Settings'!$B$40</t>
  </si>
  <si>
    <t>=Settings!$B$37</t>
  </si>
  <si>
    <t>=Settings!$B$26</t>
  </si>
  <si>
    <t>=Subs!$A$1:$AA$236</t>
  </si>
  <si>
    <t>='1-Aceholes'!$A$1:$AA$46</t>
  </si>
  <si>
    <t>='2-Metheads'!$A$1:$AA$46</t>
  </si>
  <si>
    <t>='3-Mickey Mouse Club'!$A$1:$AA$46</t>
  </si>
  <si>
    <t>='4-Stymies'!$A$1:$AA$46</t>
  </si>
  <si>
    <t>='5-Four Puttz'!$A$1:$AA$46</t>
  </si>
  <si>
    <t>='6-Who''s Your Caddy'!$A$1:$AA$46</t>
  </si>
  <si>
    <t>='7-Hack Squad'!$A$1:$AA$46</t>
  </si>
  <si>
    <t>='8-Blind Draw'!$A$1:$AA$46</t>
  </si>
  <si>
    <t>teamhighpoints</t>
  </si>
  <si>
    <t>=OFFSET(Summary!$HY$7,0,0,COUNTA(Summary[range]),1)</t>
  </si>
  <si>
    <t>teamlownet</t>
  </si>
  <si>
    <t>=OFFSET(Summary!$HC$7,0,0,COUNTA(Summary[range]),1)</t>
  </si>
  <si>
    <t>teamnet</t>
  </si>
  <si>
    <t>=OFFSET(Summary!$GJ$7,0,0,COUNTA(Summary[range]),19)</t>
  </si>
  <si>
    <t>teampts</t>
  </si>
  <si>
    <t>=OFFSET(Summary!$HF$7,0,0,COUNTA(Summary[range]),19)</t>
  </si>
  <si>
    <t>Upload_Data_Indiv</t>
  </si>
  <si>
    <t>=Uploaded_Indiv_Data!$BK$1:$FI$2</t>
  </si>
  <si>
    <t>7-Hack Squad'!Upload_Indiv_Date</t>
  </si>
  <si>
    <t>=Upload_Indiv[Date]</t>
  </si>
  <si>
    <t>7-Hack Squad</t>
  </si>
  <si>
    <t>Eagles by Player'!Upload_Indiv_Date</t>
  </si>
  <si>
    <t>Eagles by Player</t>
  </si>
  <si>
    <t>Indiv Stroke Detail'!Upload_Indiv_Date</t>
  </si>
  <si>
    <t>Upload_Indiv_Date</t>
  </si>
  <si>
    <t>7-Hack Squad'!Upload_Indiv_Excl_Score</t>
  </si>
  <si>
    <t>=Upload_Indiv[Excl Score]</t>
  </si>
  <si>
    <t>Eagles by Player'!Upload_Indiv_Excl_Score</t>
  </si>
  <si>
    <t>Indiv Stroke Detail'!Upload_Indiv_Excl_Score</t>
  </si>
  <si>
    <t>Upload_Indiv_Excl_Score</t>
  </si>
  <si>
    <t>7-Hack Squad'!Upload_Indiv_Gross</t>
  </si>
  <si>
    <t>=Upload_Indiv[Gross]</t>
  </si>
  <si>
    <t>Eagles by Player'!Upload_Indiv_Gross</t>
  </si>
  <si>
    <t>Indiv Stroke Detail'!Upload_Indiv_Gross</t>
  </si>
  <si>
    <t>Upload_Indiv_Gross</t>
  </si>
  <si>
    <t>7-Hack Squad'!Upload_Indiv_Net</t>
  </si>
  <si>
    <t>=Upload_Indiv[Net]</t>
  </si>
  <si>
    <t>Eagles by Player'!Upload_Indiv_Net</t>
  </si>
  <si>
    <t>Indiv Stroke Detail'!Upload_Indiv_Net</t>
  </si>
  <si>
    <t>Upload_Indiv_Net</t>
  </si>
  <si>
    <t>7-Hack Squad'!Upload_Indiv_Player</t>
  </si>
  <si>
    <t>=Upload_Indiv[Player]</t>
  </si>
  <si>
    <t>Eagles by Player'!Upload_Indiv_Player</t>
  </si>
  <si>
    <t>Indiv Stroke Detail'!Upload_Indiv_Player</t>
  </si>
  <si>
    <t>Upload_Indiv_Player</t>
  </si>
  <si>
    <t>7-Hack Squad'!Upload_Indiv_PointsTot</t>
  </si>
  <si>
    <t>=Upload_Indiv[PointsTot]</t>
  </si>
  <si>
    <t>Eagles by Player'!Upload_Indiv_PointsTot</t>
  </si>
  <si>
    <t>Indiv Stroke Detail'!Upload_Indiv_PointsTot</t>
  </si>
  <si>
    <t>Upload_Indiv_PointsTot</t>
  </si>
  <si>
    <t>7-Hack Squad'!Upload_Indiv_Team</t>
  </si>
  <si>
    <t>=Upload_Indiv[Team]</t>
  </si>
  <si>
    <t>Eagles by Player'!Upload_Indiv_Team</t>
  </si>
  <si>
    <t>Indiv Stroke Detail'!Upload_Indiv_Team</t>
  </si>
  <si>
    <t>Upload_Indiv_Team</t>
  </si>
  <si>
    <t>7-Hack Squad'!Upload_Indiv_Tot_Birds</t>
  </si>
  <si>
    <t>=Upload_Indiv[Tot_Birds]</t>
  </si>
  <si>
    <t>Eagles by Player'!Upload_Indiv_Tot_Birds</t>
  </si>
  <si>
    <t>Indiv Stroke Detail'!Upload_Indiv_Tot_Birds</t>
  </si>
  <si>
    <t>Upload_Indiv_Tot_Birds</t>
  </si>
  <si>
    <t>7-Hack Squad'!Upload_Indiv_Tot_Eagles</t>
  </si>
  <si>
    <t>=Upload_Indiv[Tot_Eagles]</t>
  </si>
  <si>
    <t>Eagles by Player'!Upload_Indiv_Tot_Eagles</t>
  </si>
  <si>
    <t>Indiv Stroke Detail'!Upload_Indiv_Tot_Eagles</t>
  </si>
  <si>
    <t>Upload_Indiv_Tot_Eagles</t>
  </si>
  <si>
    <t>7-Hack Squad'!Upload_Team_Date</t>
  </si>
  <si>
    <t>=Upload_Team[Date]</t>
  </si>
  <si>
    <t>Eagles by Player'!Upload_Team_Date</t>
  </si>
  <si>
    <t>Indiv Stroke Detail'!Upload_Team_Date</t>
  </si>
  <si>
    <t>Upload_Team_Date</t>
  </si>
  <si>
    <t>7-Hack Squad'!Upload_Team_Team</t>
  </si>
  <si>
    <t>=Upload_Team[Team]</t>
  </si>
  <si>
    <t>Eagles by Player'!Upload_Team_Team</t>
  </si>
  <si>
    <t>Indiv Stroke Detail'!Upload_Team_Team</t>
  </si>
  <si>
    <t>Upload_Team_Team</t>
  </si>
  <si>
    <t>7-Hack Squad'!Upload_Team_Tm_Net</t>
  </si>
  <si>
    <t>=Upload_Team[Tm Net]</t>
  </si>
  <si>
    <t>Eagles by Player'!Upload_Team_Tm_Net</t>
  </si>
  <si>
    <t>Indiv Stroke Detail'!Upload_Team_Tm_Net</t>
  </si>
  <si>
    <t>Upload_Team_Tm_Net</t>
  </si>
  <si>
    <t>7-Hack Squad'!Upload_Team_Tm_Tot_Points</t>
  </si>
  <si>
    <t>=Upload_Team[Tm Tot Points]</t>
  </si>
  <si>
    <t>Eagles by Player'!Upload_Team_Tm_Tot_Points</t>
  </si>
  <si>
    <t>Indiv Stroke Detail'!Upload_Team_Tm_Tot_Points</t>
  </si>
  <si>
    <t>Upload_Team_Tm_Tot_Points</t>
  </si>
  <si>
    <t>=Settings!$B$31</t>
  </si>
  <si>
    <t>Settings Documentation'!useBlindDraw</t>
  </si>
  <si>
    <t>='C:\Users\maver\Documents\Timken Golf League\ChatGPT Analysis\[TMMNGL Master Tracking File_NEW.xlsm]Settings'!$B$5</t>
  </si>
  <si>
    <t>=Settings!$B$5</t>
  </si>
  <si>
    <t>Settings Documentation'!useLocalStagingFolder</t>
  </si>
  <si>
    <t>='C:\Users\maver\Documents\Timken Golf League\ChatGPT Analysis\[TMMNGL Master Tracking File_NEW.xlsm]Settings'!$B$39</t>
  </si>
  <si>
    <t>weeks</t>
  </si>
  <si>
    <t>=Summary!$AP$6:$BH$6</t>
  </si>
  <si>
    <t>weeks2</t>
  </si>
  <si>
    <t>=Summary!$AU$6:$CR$6</t>
  </si>
  <si>
    <t>Check</t>
  </si>
  <si>
    <t>Blind Draw Settings</t>
  </si>
  <si>
    <t>Blind Draw Handicap</t>
  </si>
  <si>
    <t>Blind Draw Score Mode</t>
  </si>
  <si>
    <t>BogeyForPositive</t>
  </si>
  <si>
    <t>Blind Draw Birdie Mode</t>
  </si>
  <si>
    <t>EasiestHolesFirst</t>
  </si>
  <si>
    <t>Course Settings</t>
  </si>
  <si>
    <t>Par Raintree Front 1-9</t>
  </si>
  <si>
    <t>Enable 18-hole Expansion</t>
  </si>
  <si>
    <t>Par Raintree Back 10-18</t>
  </si>
  <si>
    <t>Hcp Raintree Front 1-9</t>
  </si>
  <si>
    <t>Hcp Raintree Back 10-18</t>
  </si>
  <si>
    <t>4,5,4,3,4,4,5,3,4</t>
  </si>
  <si>
    <t>4,3,4,4,4,5,3,4,5</t>
  </si>
  <si>
    <t>3,13,5,15,17,1,9,11,7</t>
  </si>
  <si>
    <t>14,12,16,4,6,10,18,2,8</t>
  </si>
  <si>
    <t>Auto Expand Scorecard to 18 Holes</t>
  </si>
  <si>
    <t>Use Hybrid 9-to-18 Mapping</t>
  </si>
  <si>
    <t>League Rules §BD-1</t>
  </si>
  <si>
    <t>Master + Match Report</t>
  </si>
  <si>
    <t>Blind Draw automation</t>
  </si>
  <si>
    <t>Gross when Blind Draw plays full match</t>
  </si>
  <si>
    <t>Allow Under Par Blind Draw Gross</t>
  </si>
  <si>
    <t>allowUnderParBlindDrawGross</t>
  </si>
  <si>
    <t>blindDrawHandicap</t>
  </si>
  <si>
    <t>blindDrawScoreMode</t>
  </si>
  <si>
    <t>blindDrawBirdieMode</t>
  </si>
  <si>
    <t>League Rules §BD-2</t>
  </si>
  <si>
    <t>League Rules §BD-3</t>
  </si>
  <si>
    <t>§BD-Algo</t>
  </si>
  <si>
    <t>Future-Proofing</t>
  </si>
  <si>
    <t>Forfeit automation</t>
  </si>
  <si>
    <t>Stroke differential</t>
  </si>
  <si>
    <t>“BogeyForPositive” logic</t>
  </si>
  <si>
    <t>Negative diff logic</t>
  </si>
  <si>
    <t>Allow diff &lt; 0 logic</t>
  </si>
  <si>
    <t>Gross when Blind Draw used in partial match</t>
  </si>
  <si>
    <t>Always 0 today</t>
  </si>
  <si>
    <t>If +X over par needed → bogey X hardest holes</t>
  </si>
  <si>
    <t>If −X under par needed → birdie X easiest holes</t>
  </si>
  <si>
    <t>TRUE enables 34-on-36 type rules</t>
  </si>
  <si>
    <t>enable18HoleExpansion</t>
  </si>
  <si>
    <t>Course Info</t>
  </si>
  <si>
    <t>Course Card</t>
  </si>
  <si>
    <t>Hole-by-hole expansion</t>
  </si>
  <si>
    <t>parRaintreeFront</t>
  </si>
  <si>
    <t>parRaintreeBack</t>
  </si>
  <si>
    <t>hcpRaintreeFront</t>
  </si>
  <si>
    <t>hcpRaintreeBack</t>
  </si>
  <si>
    <t>Internal</t>
  </si>
  <si>
    <t>Stroke allocation</t>
  </si>
  <si>
    <t>Controls long-form scoring</t>
  </si>
  <si>
    <t>Comma-separated list 1–9</t>
  </si>
  <si>
    <t>Comma-separated list 10–18</t>
  </si>
  <si>
    <t>TRUE = expand</t>
  </si>
  <si>
    <t>autoExpandScorecard</t>
  </si>
  <si>
    <t>useHybridMapping</t>
  </si>
  <si>
    <t>Match Report Settings</t>
  </si>
  <si>
    <t>Match Report</t>
  </si>
  <si>
    <t>Uses mapping logic</t>
  </si>
  <si>
    <t>Side + hole-map calculation</t>
  </si>
  <si>
    <t>TRUE = turn on</t>
  </si>
  <si>
    <t>TRUE reflects league rules</t>
  </si>
  <si>
    <t>Allow Under Par Blind Draw Gross (Birdies Required)</t>
  </si>
  <si>
    <t>Blind Draw Full Score</t>
  </si>
  <si>
    <t>blindDrawFullScore</t>
  </si>
  <si>
    <t>Blind Draw Forfeit Score</t>
  </si>
  <si>
    <t>blindDrawForfeitScore</t>
  </si>
  <si>
    <t>=Settings!$B$46</t>
  </si>
  <si>
    <t>=Settings!$B$27</t>
  </si>
  <si>
    <t>=Settings!$B$54</t>
  </si>
  <si>
    <t>=Settings!$B$45</t>
  </si>
  <si>
    <t>=Settings!$B$42</t>
  </si>
  <si>
    <t>=Settings!$B$43</t>
  </si>
  <si>
    <t>=Settings!$B$44</t>
  </si>
  <si>
    <t>=Settings!$B$52</t>
  </si>
  <si>
    <t>=Settings!$B$38</t>
  </si>
  <si>
    <t>=Settings!$B$51</t>
  </si>
  <si>
    <t>=Settings!$B$50</t>
  </si>
  <si>
    <t>=Settings!$B$32</t>
  </si>
  <si>
    <t>=Settings!$B$49</t>
  </si>
  <si>
    <t>=Settings!$B$48</t>
  </si>
  <si>
    <t>=Settings!$B$55</t>
  </si>
  <si>
    <t>LegacyNR?</t>
  </si>
  <si>
    <t>Course Name</t>
  </si>
  <si>
    <t>courseName</t>
  </si>
  <si>
    <t>parFront</t>
  </si>
  <si>
    <t>parBack</t>
  </si>
  <si>
    <t>hcpFront</t>
  </si>
  <si>
    <t>hcpBack</t>
  </si>
  <si>
    <t>SourceFile</t>
  </si>
  <si>
    <t>Score_01</t>
  </si>
  <si>
    <t>Score_02</t>
  </si>
  <si>
    <t>Score_03</t>
  </si>
  <si>
    <t>Score_04</t>
  </si>
  <si>
    <t>Score_05</t>
  </si>
  <si>
    <t>Score_06</t>
  </si>
  <si>
    <t>Score_07</t>
  </si>
  <si>
    <t>Score_08</t>
  </si>
  <si>
    <t>Score_09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</si>
  <si>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</si>
  <si>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</si>
  <si>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</si>
  <si>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</si>
  <si>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</si>
  <si>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</si>
  <si>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</si>
  <si>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</si>
  <si>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</si>
  <si>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Par_01</t>
  </si>
  <si>
    <t>Par_02</t>
  </si>
  <si>
    <t>Par_03</t>
  </si>
  <si>
    <t>Par_04</t>
  </si>
  <si>
    <t>Par_05</t>
  </si>
  <si>
    <t>Par_06</t>
  </si>
  <si>
    <t>Par_07</t>
  </si>
  <si>
    <t>Par_08</t>
  </si>
  <si>
    <t>Par_09</t>
  </si>
  <si>
    <t>Par_10</t>
  </si>
  <si>
    <t>Par_11</t>
  </si>
  <si>
    <t>Par_12</t>
  </si>
  <si>
    <t>Par_13</t>
  </si>
  <si>
    <t>Par_14</t>
  </si>
  <si>
    <t>Par_15</t>
  </si>
  <si>
    <t>Par_16</t>
  </si>
  <si>
    <t>Par_17</t>
  </si>
  <si>
    <t>Par_18</t>
  </si>
  <si>
    <t>Hcp_01</t>
  </si>
  <si>
    <t>Hcp_02</t>
  </si>
  <si>
    <t>Hcp_03</t>
  </si>
  <si>
    <t>Hcp_04</t>
  </si>
  <si>
    <t>Hcp_05</t>
  </si>
  <si>
    <t>Hcp_06</t>
  </si>
  <si>
    <t>Hcp_07</t>
  </si>
  <si>
    <t>Hcp_08</t>
  </si>
  <si>
    <t>Hcp_09</t>
  </si>
  <si>
    <t>Hcp_10</t>
  </si>
  <si>
    <t>Hcp_11</t>
  </si>
  <si>
    <t>Hcp_12</t>
  </si>
  <si>
    <t>Hcp_13</t>
  </si>
  <si>
    <t>Hcp_14</t>
  </si>
  <si>
    <t>Hcp_15</t>
  </si>
  <si>
    <t>Hcp_16</t>
  </si>
  <si>
    <t>Hcp_17</t>
  </si>
  <si>
    <t>Hcp_18</t>
  </si>
  <si>
    <t>Bird_01</t>
  </si>
  <si>
    <t>Bird_02</t>
  </si>
  <si>
    <t>Bird_03</t>
  </si>
  <si>
    <t>Bird_04</t>
  </si>
  <si>
    <t>Bird_05</t>
  </si>
  <si>
    <t>Bird_06</t>
  </si>
  <si>
    <t>Bird_07</t>
  </si>
  <si>
    <t>Bird_08</t>
  </si>
  <si>
    <t>Bird_09</t>
  </si>
  <si>
    <t>Bird_10</t>
  </si>
  <si>
    <t>Bird_11</t>
  </si>
  <si>
    <t>Bird_12</t>
  </si>
  <si>
    <t>Bird_13</t>
  </si>
  <si>
    <t>Bird_14</t>
  </si>
  <si>
    <t>Bird_15</t>
  </si>
  <si>
    <t>Bird_16</t>
  </si>
  <si>
    <t>Bird_17</t>
  </si>
  <si>
    <t>Bird_18</t>
  </si>
  <si>
    <t>Eagle_01</t>
  </si>
  <si>
    <t>Eagle_02</t>
  </si>
  <si>
    <t>Eagle_03</t>
  </si>
  <si>
    <t>Eagle_04</t>
  </si>
  <si>
    <t>Eagle_05</t>
  </si>
  <si>
    <t>Eagle_06</t>
  </si>
  <si>
    <t>Eagle_07</t>
  </si>
  <si>
    <t>Eagle_08</t>
  </si>
  <si>
    <t>Eagle_09</t>
  </si>
  <si>
    <t>Eagle_10</t>
  </si>
  <si>
    <t>Eagle_11</t>
  </si>
  <si>
    <t>Eagle_12</t>
  </si>
  <si>
    <t>Eagle_13</t>
  </si>
  <si>
    <t>Eagle_14</t>
  </si>
  <si>
    <t>Eagle_15</t>
  </si>
  <si>
    <t>Eagle_16</t>
  </si>
  <si>
    <t>Eagle_17</t>
  </si>
  <si>
    <t>Eagle_18</t>
  </si>
  <si>
    <t>DoubleEagle_01</t>
  </si>
  <si>
    <t>DoubleEagle_02</t>
  </si>
  <si>
    <t>DoubleEagle_03</t>
  </si>
  <si>
    <t>DoubleEagle_04</t>
  </si>
  <si>
    <t>DoubleEagle_05</t>
  </si>
  <si>
    <t>DoubleEagle_06</t>
  </si>
  <si>
    <t>DoubleEagle_07</t>
  </si>
  <si>
    <t>DoubleEagle_08</t>
  </si>
  <si>
    <t>DoubleEagle_09</t>
  </si>
  <si>
    <t>DoubleEagle_10</t>
  </si>
  <si>
    <t>DoubleEagle_11</t>
  </si>
  <si>
    <t>DoubleEagle_12</t>
  </si>
  <si>
    <t>DoubleEagle_13</t>
  </si>
  <si>
    <t>DoubleEagle_14</t>
  </si>
  <si>
    <t>DoubleEagle_15</t>
  </si>
  <si>
    <t>DoubleEagle_16</t>
  </si>
  <si>
    <t>DoubleEagle_17</t>
  </si>
  <si>
    <t>DoubleEagle_18</t>
  </si>
  <si>
    <t>NetScore_01</t>
  </si>
  <si>
    <t>NetScore_02</t>
  </si>
  <si>
    <t>NetScore_03</t>
  </si>
  <si>
    <t>NetScore_04</t>
  </si>
  <si>
    <t>NetScore_05</t>
  </si>
  <si>
    <t>NetScore_06</t>
  </si>
  <si>
    <t>NetScore_07</t>
  </si>
  <si>
    <t>NetScore_08</t>
  </si>
  <si>
    <t>NetScore_09</t>
  </si>
  <si>
    <t>NetScore_10</t>
  </si>
  <si>
    <t>NetScore_11</t>
  </si>
  <si>
    <t>NetScore_12</t>
  </si>
  <si>
    <t>NetScore_13</t>
  </si>
  <si>
    <t>NetScore_14</t>
  </si>
  <si>
    <t>NetScore_15</t>
  </si>
  <si>
    <t>NetScore_16</t>
  </si>
  <si>
    <t>NetScore_17</t>
  </si>
  <si>
    <t>NetScore_18</t>
  </si>
  <si>
    <t>Points_01</t>
  </si>
  <si>
    <t>Points_02</t>
  </si>
  <si>
    <t>Points_03</t>
  </si>
  <si>
    <t>Points_04</t>
  </si>
  <si>
    <t>Points_05</t>
  </si>
  <si>
    <t>Points_06</t>
  </si>
  <si>
    <t>Points_07</t>
  </si>
  <si>
    <t>Points_08</t>
  </si>
  <si>
    <t>Points_09</t>
  </si>
  <si>
    <t>Points_10</t>
  </si>
  <si>
    <t>Points_11</t>
  </si>
  <si>
    <t>Points_12</t>
  </si>
  <si>
    <t>Points_13</t>
  </si>
  <si>
    <t>Points_14</t>
  </si>
  <si>
    <t>Points_15</t>
  </si>
  <si>
    <t>Points_16</t>
  </si>
  <si>
    <t>Points_17</t>
  </si>
  <si>
    <t>Points_18</t>
  </si>
  <si>
    <t>Tot_Birdies</t>
  </si>
  <si>
    <t>Tot_DoubleEagles</t>
  </si>
  <si>
    <t>Hole</t>
  </si>
  <si>
    <t>Score</t>
  </si>
  <si>
    <t>NetScore</t>
  </si>
  <si>
    <t>Par</t>
  </si>
  <si>
    <t>Hcp</t>
  </si>
  <si>
    <t>Bird</t>
  </si>
  <si>
    <t>Eagle</t>
  </si>
  <si>
    <t>DoubleEagle</t>
  </si>
  <si>
    <t>ExclScore</t>
  </si>
  <si>
    <t>BirdiesTotal</t>
  </si>
  <si>
    <t>EaglesTotal</t>
  </si>
  <si>
    <t>DoubleEaglesTotal</t>
  </si>
  <si>
    <t>NetPoints</t>
  </si>
  <si>
    <t>PointsTotal</t>
  </si>
  <si>
    <t>C:\Users\maver\OneDrive\Documents\Dad's Documents\Timken Golf League\2025 Season\2025 Scoring\2025 Match Results (TEST)\</t>
  </si>
  <si>
    <t>Year</t>
  </si>
  <si>
    <t>TmNet</t>
  </si>
  <si>
    <t>TmNetPoints</t>
  </si>
  <si>
    <t>TmTotPoints</t>
  </si>
  <si>
    <t>MatchCompleted</t>
  </si>
  <si>
    <t>ForfeitFlag</t>
  </si>
  <si>
    <t>MatchCompletedTeam</t>
  </si>
  <si>
    <t>LeagueName</t>
  </si>
  <si>
    <t>SeasonYear</t>
  </si>
  <si>
    <t>SeasonRoundsPlanned</t>
  </si>
  <si>
    <t>Eligibility_MinPctRounds</t>
  </si>
  <si>
    <t>SeasonStatus</t>
  </si>
  <si>
    <t>ActiveStatus</t>
  </si>
  <si>
    <t>TotalPoints</t>
  </si>
  <si>
    <t>LowTeamNet</t>
  </si>
  <si>
    <t>HighTeamPoints</t>
  </si>
  <si>
    <t>CurrentlyInPlayoffs</t>
  </si>
  <si>
    <t>IsCaptain</t>
  </si>
  <si>
    <t>Tee</t>
  </si>
  <si>
    <t>RosterStartDate</t>
  </si>
  <si>
    <t>RosterEndDate</t>
  </si>
  <si>
    <t>PlayerEmail</t>
  </si>
  <si>
    <t>PlayerPhone</t>
  </si>
  <si>
    <t>EstablishedHcp</t>
  </si>
  <si>
    <t>SeasonRoundsPlayed</t>
  </si>
  <si>
    <t>MatchWeek</t>
  </si>
  <si>
    <t>MatchDate</t>
  </si>
  <si>
    <t>PositionPlayed</t>
  </si>
  <si>
    <t>Course</t>
  </si>
  <si>
    <t>MatchCompletedInd</t>
  </si>
  <si>
    <t>RoundsPlayed</t>
  </si>
  <si>
    <t>AvgGross</t>
  </si>
  <si>
    <t>AvgNet</t>
  </si>
  <si>
    <t>AvgPoints</t>
  </si>
  <si>
    <t>LowGross</t>
  </si>
  <si>
    <t>LowNet</t>
  </si>
  <si>
    <t>TeamPoints</t>
  </si>
  <si>
    <t>TeamWins</t>
  </si>
  <si>
    <t>TeamLosses</t>
  </si>
  <si>
    <t>TeamTies</t>
  </si>
  <si>
    <t>PlayerKey</t>
  </si>
  <si>
    <t>HandicapCalcBasis</t>
  </si>
  <si>
    <t>HandicapRounds</t>
  </si>
  <si>
    <t>BlindDrawType</t>
  </si>
  <si>
    <t>Summary_New__Team_Stats</t>
  </si>
  <si>
    <t>TotBirdies</t>
  </si>
  <si>
    <t>TotEagles</t>
  </si>
  <si>
    <t>TotDoubleEagles</t>
  </si>
  <si>
    <t>ReportingCaptainApproved</t>
  </si>
  <si>
    <t>OpposingCaptainApproved</t>
  </si>
  <si>
    <t>IsCorrection</t>
  </si>
  <si>
    <t>CorrectionReason</t>
  </si>
  <si>
    <t>CorrectionEnteredBy</t>
  </si>
  <si>
    <t>CorrectionDate</t>
  </si>
  <si>
    <t>CaptainReapproved</t>
  </si>
  <si>
    <t>ApprovalStatus</t>
  </si>
  <si>
    <t>Misc Added Settings</t>
  </si>
  <si>
    <t>Min % Rounds for Season Leaderboard</t>
  </si>
  <si>
    <t>Season Status</t>
  </si>
  <si>
    <t>Planned Weeks in Regular Season</t>
  </si>
  <si>
    <t>"Planned"</t>
  </si>
  <si>
    <t>SettingName</t>
  </si>
  <si>
    <t>SettingValue</t>
  </si>
  <si>
    <t>Description</t>
  </si>
  <si>
    <t>S_Season_Config</t>
  </si>
  <si>
    <t>Settings</t>
  </si>
  <si>
    <t>CourseName</t>
  </si>
  <si>
    <t>BlindDrawForfeitScores</t>
  </si>
  <si>
    <t>ValueType</t>
  </si>
  <si>
    <t>AppliesTo</t>
  </si>
  <si>
    <t>EditableBySecretary</t>
  </si>
  <si>
    <t>Notes</t>
  </si>
  <si>
    <t>archiveFolderPath</t>
  </si>
  <si>
    <t>Folder containing incoming Match Reports</t>
  </si>
  <si>
    <t>Optional local staging folder</t>
  </si>
  <si>
    <t>logical</t>
  </si>
  <si>
    <t>Toggle staging vs production</t>
  </si>
  <si>
    <t>Where processed reports may be archived</t>
  </si>
  <si>
    <t>allowEmptyMatchFolder</t>
  </si>
  <si>
    <t>Allow refresh when no reports exist</t>
  </si>
  <si>
    <t>refreshMode</t>
  </si>
  <si>
    <t>enum</t>
  </si>
  <si>
    <t>Manual | SemiAuto | Auto</t>
  </si>
  <si>
    <t>enforceSchemaStrictness</t>
  </si>
  <si>
    <t>Fail refresh on schema mismatch</t>
  </si>
  <si>
    <t>warnOnMissingWeeks</t>
  </si>
  <si>
    <t>Warn if expected weeks missing</t>
  </si>
  <si>
    <t>File &amp; Folder Management</t>
  </si>
  <si>
    <t>Refresh &amp; Automation Behavior</t>
  </si>
  <si>
    <t>Validation &amp; Safety Controls</t>
  </si>
  <si>
    <t>blockOverwriteOnMismatch</t>
  </si>
  <si>
    <t>Prevent silent data overwrite</t>
  </si>
  <si>
    <t>requireCaptainApprovalFlag</t>
  </si>
  <si>
    <t>Whether approval flags are expected</t>
  </si>
  <si>
    <t>allowRetroactiveCorrection</t>
  </si>
  <si>
    <t>Permit historical corrections</t>
  </si>
  <si>
    <t>correctionRequiresNote</t>
  </si>
  <si>
    <t>Enforce audit notes</t>
  </si>
  <si>
    <t>System Metadata</t>
  </si>
  <si>
    <t>refitVersion</t>
  </si>
  <si>
    <t>text</t>
  </si>
  <si>
    <t>REFIT system version</t>
  </si>
  <si>
    <t>refitBuildDate</t>
  </si>
  <si>
    <t>Build timestamp</t>
  </si>
  <si>
    <t>systemOwner</t>
  </si>
  <si>
    <t>Primary maintainer</t>
  </si>
  <si>
    <t>lastSchemaLock</t>
  </si>
  <si>
    <t>Last schema freeze</t>
  </si>
  <si>
    <t>SeasonKey</t>
  </si>
  <si>
    <t>EffectiveFrom</t>
  </si>
  <si>
    <t>EffectiveTo</t>
  </si>
  <si>
    <t>Source</t>
  </si>
  <si>
    <t>number</t>
  </si>
  <si>
    <t>array</t>
  </si>
  <si>
    <t>Manual</t>
  </si>
  <si>
    <t>Rules</t>
  </si>
  <si>
    <t>League</t>
  </si>
  <si>
    <t>SettingKey</t>
  </si>
  <si>
    <t>Front</t>
  </si>
  <si>
    <t>Back</t>
  </si>
  <si>
    <t>CoursePar</t>
  </si>
  <si>
    <t>CourseHoleHcp</t>
  </si>
  <si>
    <t xml:space="preserve">BlindDrawTeamScores </t>
  </si>
  <si>
    <t>Raintree 1-9</t>
  </si>
  <si>
    <t>Raintree 10-18</t>
  </si>
  <si>
    <t>Active</t>
  </si>
  <si>
    <t>TeamMatchTotPoints</t>
  </si>
  <si>
    <t>4 indiv matches (20 each) + team net (4)</t>
  </si>
  <si>
    <t>TeamMatchKey</t>
  </si>
  <si>
    <t>IndivMatchKey</t>
  </si>
  <si>
    <t>AsOfMatchWeek</t>
  </si>
  <si>
    <t>AsOfMatchDate</t>
  </si>
  <si>
    <t>NumberTeams</t>
  </si>
  <si>
    <t>UseBlindDraw</t>
  </si>
  <si>
    <t>BlindDrawTeamNumber</t>
  </si>
  <si>
    <t>PointsPerHoleWin</t>
  </si>
  <si>
    <t>PointsPerHoleTie</t>
  </si>
  <si>
    <t>PointsIndivNetWin</t>
  </si>
  <si>
    <t>PointsIndivNetTie</t>
  </si>
  <si>
    <t>PointsTeamNetWin</t>
  </si>
  <si>
    <t>PointsTeamNetTie</t>
  </si>
  <si>
    <t>BlindDrawFullScore</t>
  </si>
  <si>
    <t>BlindDrawForfeitScore</t>
  </si>
  <si>
    <t>BlindDrawHandicap</t>
  </si>
  <si>
    <t>BlindDrawScoreMode</t>
  </si>
  <si>
    <t>BlindDrawBirdieMode</t>
  </si>
  <si>
    <t>MaxHoleScoreOverPar</t>
  </si>
  <si>
    <t>EnableMaxHoleScoreCap</t>
  </si>
  <si>
    <t>AllowUnderParBlindDrawGross</t>
  </si>
  <si>
    <t>HandicapPercent</t>
  </si>
  <si>
    <t>MaxPlayerHandicap</t>
  </si>
  <si>
    <t>HandicapRoundsLookback</t>
  </si>
  <si>
    <t>HandicapRoundsUsed</t>
  </si>
  <si>
    <t>HandicapCalcMethod</t>
  </si>
  <si>
    <t>HandicapRoundingMethod</t>
  </si>
  <si>
    <t>StrokeAllocationMethod</t>
  </si>
  <si>
    <t>Static_Season_Config</t>
  </si>
  <si>
    <t>Settings_System</t>
  </si>
  <si>
    <t>Blind Draw Hole Scores - Team Front</t>
  </si>
  <si>
    <t>Blind Draw Hole Scores - Team Back</t>
  </si>
  <si>
    <t>Blind Draw Hole Scores - Forfeit Front</t>
  </si>
  <si>
    <t>Blind Draw Hole Scores - Forfeit Back</t>
  </si>
  <si>
    <t>Team Match Total Points</t>
  </si>
  <si>
    <t>Archive Folder Path</t>
  </si>
  <si>
    <t>Allow Empty Match Folder</t>
  </si>
  <si>
    <t>Enforce Schema Strictness</t>
  </si>
  <si>
    <t>Warn on Missing Weeks</t>
  </si>
  <si>
    <t>Block Overwrite on Mismatch</t>
  </si>
  <si>
    <t>Require Captain Approval Flag</t>
  </si>
  <si>
    <t>Allow Retroactive Correction</t>
  </si>
  <si>
    <t>Correction Requires Note</t>
  </si>
  <si>
    <t>REFIT Version</t>
  </si>
  <si>
    <t>REFIT Build Date</t>
  </si>
  <si>
    <t>System Owner</t>
  </si>
  <si>
    <t>Use Schema Lock</t>
  </si>
  <si>
    <t>System Info</t>
  </si>
  <si>
    <t>Blind Draw Full Team Score</t>
  </si>
  <si>
    <t>Blind Draw Full Forfeit Score</t>
  </si>
  <si>
    <t>C:\Users\maver\OneDrive\Documents\Dad's Documents\Timken Golf League\REFIT Archives\</t>
  </si>
  <si>
    <t>TBD</t>
  </si>
  <si>
    <t>Format for all match report files</t>
  </si>
  <si>
    <t>Used if Cloud Syncing</t>
  </si>
  <si>
    <t>Currently Out of Scope</t>
  </si>
  <si>
    <t>v1.0</t>
  </si>
  <si>
    <t>Mike Avery</t>
  </si>
  <si>
    <t>Highlight Missing Weeks</t>
  </si>
  <si>
    <t>Log of errors that are thrown</t>
  </si>
  <si>
    <t>section</t>
  </si>
  <si>
    <t>Section Sort</t>
  </si>
  <si>
    <t>Section Order</t>
  </si>
  <si>
    <t>Points/hole = 2</t>
  </si>
  <si>
    <t>Can this be derived in the scoring engine?</t>
  </si>
  <si>
    <t>Points for net/Indiv match = 2</t>
  </si>
  <si>
    <t>Points for net/Team match = 4</t>
  </si>
  <si>
    <t>Used to allocate strokes per handicap diff</t>
  </si>
  <si>
    <t>Future automation only</t>
  </si>
  <si>
    <t>Only cap handicap value, not strokes allowed</t>
  </si>
  <si>
    <t>Allowed decimals and rounding rules</t>
  </si>
  <si>
    <t>Int64.Type</t>
  </si>
  <si>
    <t>Most recent number of rounds to incl in calc population</t>
  </si>
  <si>
    <t>Number of lowest rounds to average in hdcp population</t>
  </si>
  <si>
    <t>Can this be derived?</t>
  </si>
  <si>
    <t>Can this be derived (sum of hole scores)?</t>
  </si>
  <si>
    <t>Not needed?  It never changes.</t>
  </si>
  <si>
    <t>"Week * &lt;Reporting Team&gt; &lt;Opposing Team&gt;&lt;-Sec&gt;.xlsx</t>
  </si>
  <si>
    <t>[4,3,4,4,4,5,3,4,5]</t>
  </si>
  <si>
    <t>[4,5,4,3,4,4,5,3,4]</t>
  </si>
  <si>
    <t>[3,13,5,15,17,1,9,11,7]</t>
  </si>
  <si>
    <t>[14,12,16,4,6,10,18,2,8]</t>
  </si>
  <si>
    <t>[5,5,4,3,4,5,5,3,4]</t>
  </si>
  <si>
    <t>[4,3,4,5,4,5,3,5,5]</t>
  </si>
  <si>
    <t>[5,5,5,3,4,5,5,3,5]</t>
  </si>
  <si>
    <t>[4,3,4,5,5,5,3,5,6]</t>
  </si>
  <si>
    <t>[List]</t>
  </si>
  <si>
    <t>KISH, JEFF - C</t>
  </si>
  <si>
    <t>BATES, JIM</t>
  </si>
  <si>
    <t>PARRISH, CHARLIE</t>
  </si>
  <si>
    <t>AVERY, MIKE - GOLD TEES</t>
  </si>
  <si>
    <t>BLIND DRAW #1</t>
  </si>
  <si>
    <t>BLIND DRAW #4</t>
  </si>
  <si>
    <t>BLIND DRAW #2</t>
  </si>
  <si>
    <t>BLIND DRAW #3</t>
  </si>
  <si>
    <t>2025|1|KISH, JEFF - C</t>
  </si>
  <si>
    <t>2025|Aceholes</t>
  </si>
  <si>
    <t>2025|1|BATES, JIM</t>
  </si>
  <si>
    <t>2025|1|PARRISH, CHARLIE</t>
  </si>
  <si>
    <t>2025|1|AVERY, MIKE - GOLD TEES</t>
  </si>
  <si>
    <t>2025|1|BLIND DRAW #1</t>
  </si>
  <si>
    <t>2025|Blind Draw</t>
  </si>
  <si>
    <t>2025|1|BLIND DRAW #4</t>
  </si>
  <si>
    <t>2025|1|BLIND DRAW #2</t>
  </si>
  <si>
    <t>2025|1|BLIND DRAW #3</t>
  </si>
  <si>
    <t>2025-01-Kish, Jeff - C</t>
  </si>
  <si>
    <t>2025-01-Bates, Jim</t>
  </si>
  <si>
    <t>2025-01-Parrish, Charlie</t>
  </si>
  <si>
    <t>2025-01-Avery, Mike - Gold Tees</t>
  </si>
  <si>
    <t>2025-01-Blind Draw #1</t>
  </si>
  <si>
    <t>2025-01-Blind Draw #4</t>
  </si>
  <si>
    <t>2025-01-Blind Draw #2</t>
  </si>
  <si>
    <t>2025-01-Blind Draw #3</t>
  </si>
  <si>
    <t>2025|1|2025|Aceholes</t>
  </si>
  <si>
    <t>2025|1|2025|Blind 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</si>
</sst>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;@"/>
    <numFmt numFmtId="165" formatCode=".0000"/>
    <numFmt numFmtId="166" formatCode="."/>
    <numFmt numFmtId="167" formatCode="0.0"/>
    <numFmt numFmtId="168" formatCode="[&lt;=9999999]###\-####;\(###\)\ ###\-####"/>
    <numFmt numFmtId="169" formatCode="0.000"/>
  </numFmts>
  <fonts count="5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4"/>
      <name val="Arial"/>
      <family val="2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"/>
      <color theme="0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8"/>
      <color theme="3"/>
      <name val="Calibri"/>
      <family val="2"/>
      <scheme val="minor"/>
    </font>
    <font>
      <sz val="8"/>
      <name val="Arial"/>
      <family val="2"/>
    </font>
    <font>
      <b/>
      <sz val="12"/>
      <name val="Calibri"/>
      <family val="2"/>
      <scheme val="minor"/>
    </font>
    <font>
      <u/>
      <sz val="10"/>
      <color theme="10"/>
      <name val="Arial"/>
      <family val="2"/>
    </font>
    <font>
      <b/>
      <sz val="8"/>
      <name val="Calibri"/>
      <family val="2"/>
      <scheme val="minor"/>
    </font>
    <font>
      <b/>
      <sz val="10"/>
      <color rgb="FFFF000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b/>
      <sz val="16"/>
      <name val="Calibri"/>
      <family val="2"/>
      <scheme val="minor"/>
    </font>
    <font>
      <sz val="10"/>
      <color theme="0" tint="-0.34998626667073579"/>
      <name val="Arial"/>
      <family val="2"/>
    </font>
    <font>
      <sz val="8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66FF"/>
      <name val="Arial"/>
      <family val="2"/>
    </font>
    <font>
      <sz val="9"/>
      <name val="Arial"/>
      <family val="2"/>
    </font>
    <font>
      <sz val="14"/>
      <name val="Arial"/>
      <family val="2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rgb="FF0066FF"/>
      <name val="Arial"/>
      <family val="2"/>
    </font>
    <font>
      <sz val="10"/>
      <color rgb="FFFFFF00"/>
      <name val="Arial"/>
      <family val="2"/>
    </font>
    <font>
      <sz val="8"/>
      <color theme="0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Arial"/>
    </font>
    <font>
      <sz val="10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rgb="FFFF0000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0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9" fillId="0" borderId="0"/>
  </cellStyleXfs>
  <cellXfs count="45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4" fillId="2" borderId="0" xfId="0" applyFont="1" applyFill="1" applyAlignment="1">
      <alignment horizontal="left"/>
    </xf>
    <xf numFmtId="0" fontId="14" fillId="3" borderId="4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13" fillId="3" borderId="3" xfId="0" applyFont="1" applyFill="1" applyBorder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3" borderId="9" xfId="0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6" borderId="0" xfId="0" applyFont="1" applyFill="1" applyAlignment="1">
      <alignment horizontal="center"/>
    </xf>
    <xf numFmtId="2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17" fillId="0" borderId="7" xfId="0" applyFont="1" applyBorder="1"/>
    <xf numFmtId="0" fontId="17" fillId="0" borderId="10" xfId="0" applyFont="1" applyBorder="1" applyAlignment="1">
      <alignment horizontal="center"/>
    </xf>
    <xf numFmtId="0" fontId="17" fillId="0" borderId="10" xfId="0" applyFont="1" applyBorder="1"/>
    <xf numFmtId="0" fontId="17" fillId="0" borderId="11" xfId="0" applyFont="1" applyBorder="1"/>
    <xf numFmtId="0" fontId="17" fillId="0" borderId="12" xfId="0" applyFont="1" applyBorder="1"/>
    <xf numFmtId="0" fontId="17" fillId="0" borderId="13" xfId="0" applyFont="1" applyBorder="1"/>
    <xf numFmtId="166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left"/>
    </xf>
    <xf numFmtId="0" fontId="18" fillId="7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17" fillId="7" borderId="0" xfId="0" applyFont="1" applyFill="1"/>
    <xf numFmtId="0" fontId="18" fillId="7" borderId="0" xfId="0" applyFont="1" applyFill="1"/>
    <xf numFmtId="0" fontId="22" fillId="8" borderId="0" xfId="0" applyFont="1" applyFill="1" applyAlignment="1">
      <alignment horizontal="center"/>
    </xf>
    <xf numFmtId="0" fontId="22" fillId="0" borderId="0" xfId="0" applyFont="1" applyAlignment="1">
      <alignment horizontal="center"/>
    </xf>
    <xf numFmtId="0" fontId="22" fillId="6" borderId="0" xfId="0" applyFont="1" applyFill="1" applyAlignment="1">
      <alignment horizontal="center"/>
    </xf>
    <xf numFmtId="0" fontId="21" fillId="6" borderId="15" xfId="0" applyFont="1" applyFill="1" applyBorder="1"/>
    <xf numFmtId="0" fontId="21" fillId="6" borderId="15" xfId="0" applyFont="1" applyFill="1" applyBorder="1" applyAlignment="1">
      <alignment horizontal="center"/>
    </xf>
    <xf numFmtId="165" fontId="21" fillId="6" borderId="15" xfId="0" applyNumberFormat="1" applyFont="1" applyFill="1" applyBorder="1" applyAlignment="1">
      <alignment horizontal="center"/>
    </xf>
    <xf numFmtId="2" fontId="21" fillId="6" borderId="15" xfId="0" applyNumberFormat="1" applyFont="1" applyFill="1" applyBorder="1" applyAlignment="1">
      <alignment horizontal="center"/>
    </xf>
    <xf numFmtId="2" fontId="17" fillId="6" borderId="0" xfId="0" applyNumberFormat="1" applyFont="1" applyFill="1" applyAlignment="1">
      <alignment horizontal="center"/>
    </xf>
    <xf numFmtId="0" fontId="18" fillId="7" borderId="0" xfId="0" quotePrefix="1" applyFont="1" applyFill="1"/>
    <xf numFmtId="2" fontId="18" fillId="7" borderId="0" xfId="0" applyNumberFormat="1" applyFont="1" applyFill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2" fontId="17" fillId="0" borderId="12" xfId="0" applyNumberFormat="1" applyFont="1" applyBorder="1" applyAlignment="1">
      <alignment horizontal="center"/>
    </xf>
    <xf numFmtId="0" fontId="13" fillId="0" borderId="0" xfId="0" applyFont="1"/>
    <xf numFmtId="0" fontId="14" fillId="2" borderId="0" xfId="0" applyFont="1" applyFill="1"/>
    <xf numFmtId="2" fontId="0" fillId="0" borderId="0" xfId="0" applyNumberFormat="1" applyAlignment="1">
      <alignment horizontal="center"/>
    </xf>
    <xf numFmtId="0" fontId="17" fillId="9" borderId="0" xfId="0" applyFont="1" applyFill="1"/>
    <xf numFmtId="0" fontId="23" fillId="0" borderId="0" xfId="0" applyFont="1"/>
    <xf numFmtId="0" fontId="13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14" fillId="10" borderId="0" xfId="0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7" fillId="6" borderId="0" xfId="0" applyFont="1" applyFill="1"/>
    <xf numFmtId="0" fontId="0" fillId="6" borderId="1" xfId="0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0" fontId="18" fillId="7" borderId="0" xfId="0" applyFont="1" applyFill="1" applyAlignment="1">
      <alignment horizontal="center" wrapText="1"/>
    </xf>
    <xf numFmtId="0" fontId="26" fillId="4" borderId="0" xfId="0" applyFont="1" applyFill="1" applyAlignment="1">
      <alignment horizontal="left"/>
    </xf>
    <xf numFmtId="0" fontId="17" fillId="0" borderId="11" xfId="0" applyFont="1" applyBorder="1" applyAlignment="1">
      <alignment horizontal="center"/>
    </xf>
    <xf numFmtId="0" fontId="13" fillId="0" borderId="1" xfId="0" applyFont="1" applyBorder="1"/>
    <xf numFmtId="0" fontId="25" fillId="3" borderId="3" xfId="1" applyFill="1" applyBorder="1" applyAlignment="1" applyProtection="1">
      <alignment horizontal="left"/>
    </xf>
    <xf numFmtId="0" fontId="25" fillId="12" borderId="0" xfId="1" applyFill="1" applyAlignment="1" applyProtection="1"/>
    <xf numFmtId="0" fontId="0" fillId="0" borderId="3" xfId="0" applyBorder="1" applyAlignment="1">
      <alignment horizontal="center"/>
    </xf>
    <xf numFmtId="0" fontId="0" fillId="0" borderId="3" xfId="0" applyBorder="1"/>
    <xf numFmtId="0" fontId="15" fillId="0" borderId="0" xfId="0" applyFont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3" fillId="4" borderId="0" xfId="0" applyFont="1" applyFill="1"/>
    <xf numFmtId="0" fontId="0" fillId="1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0" borderId="4" xfId="0" applyBorder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31" fillId="0" borderId="0" xfId="0" applyFont="1"/>
    <xf numFmtId="0" fontId="31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13" fillId="0" borderId="14" xfId="0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166" fontId="17" fillId="0" borderId="0" xfId="0" applyNumberFormat="1" applyFont="1" applyAlignment="1">
      <alignment horizontal="right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4" fillId="0" borderId="0" xfId="2" applyFont="1"/>
    <xf numFmtId="0" fontId="13" fillId="0" borderId="0" xfId="2"/>
    <xf numFmtId="0" fontId="13" fillId="0" borderId="0" xfId="2" applyAlignment="1">
      <alignment horizontal="center"/>
    </xf>
    <xf numFmtId="20" fontId="13" fillId="0" borderId="0" xfId="2" applyNumberFormat="1" applyAlignment="1">
      <alignment horizontal="center"/>
    </xf>
    <xf numFmtId="20" fontId="13" fillId="0" borderId="0" xfId="2" quotePrefix="1" applyNumberFormat="1" applyAlignment="1">
      <alignment horizontal="center"/>
    </xf>
    <xf numFmtId="0" fontId="14" fillId="0" borderId="4" xfId="2" applyFont="1" applyBorder="1" applyAlignment="1">
      <alignment horizontal="center"/>
    </xf>
    <xf numFmtId="0" fontId="14" fillId="0" borderId="5" xfId="2" applyFont="1" applyBorder="1" applyAlignment="1">
      <alignment horizontal="center"/>
    </xf>
    <xf numFmtId="0" fontId="13" fillId="0" borderId="17" xfId="2" applyBorder="1"/>
    <xf numFmtId="0" fontId="13" fillId="0" borderId="16" xfId="2" applyBorder="1"/>
    <xf numFmtId="0" fontId="13" fillId="0" borderId="14" xfId="2" applyBorder="1" applyAlignment="1">
      <alignment horizontal="center"/>
    </xf>
    <xf numFmtId="20" fontId="13" fillId="15" borderId="14" xfId="2" applyNumberFormat="1" applyFill="1" applyBorder="1" applyAlignment="1">
      <alignment horizontal="center"/>
    </xf>
    <xf numFmtId="20" fontId="13" fillId="5" borderId="14" xfId="2" applyNumberFormat="1" applyFill="1" applyBorder="1" applyAlignment="1">
      <alignment horizontal="center"/>
    </xf>
    <xf numFmtId="0" fontId="13" fillId="0" borderId="3" xfId="2" applyBorder="1" applyAlignment="1">
      <alignment horizontal="center"/>
    </xf>
    <xf numFmtId="0" fontId="13" fillId="15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14" borderId="3" xfId="2" applyFill="1" applyBorder="1" applyAlignment="1">
      <alignment horizontal="center"/>
    </xf>
    <xf numFmtId="0" fontId="13" fillId="0" borderId="16" xfId="2" applyBorder="1" applyAlignment="1">
      <alignment horizontal="center"/>
    </xf>
    <xf numFmtId="16" fontId="13" fillId="0" borderId="0" xfId="2" applyNumberFormat="1" applyAlignment="1">
      <alignment horizontal="center"/>
    </xf>
    <xf numFmtId="0" fontId="15" fillId="0" borderId="0" xfId="2" applyFont="1" applyAlignment="1">
      <alignment horizontal="center"/>
    </xf>
    <xf numFmtId="0" fontId="15" fillId="0" borderId="0" xfId="2" applyFont="1"/>
    <xf numFmtId="0" fontId="14" fillId="0" borderId="0" xfId="2" applyFont="1" applyAlignment="1">
      <alignment horizontal="left"/>
    </xf>
    <xf numFmtId="0" fontId="13" fillId="0" borderId="0" xfId="2" applyAlignment="1">
      <alignment horizontal="center" vertical="center"/>
    </xf>
    <xf numFmtId="0" fontId="13" fillId="17" borderId="3" xfId="2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27" fillId="0" borderId="0" xfId="0" applyFont="1" applyAlignment="1">
      <alignment horizontal="center"/>
    </xf>
    <xf numFmtId="2" fontId="17" fillId="0" borderId="13" xfId="0" applyNumberFormat="1" applyFont="1" applyBorder="1" applyAlignment="1">
      <alignment horizontal="center"/>
    </xf>
    <xf numFmtId="0" fontId="19" fillId="0" borderId="0" xfId="0" applyFont="1" applyAlignment="1">
      <alignment horizontal="center" vertical="top" textRotation="90"/>
    </xf>
    <xf numFmtId="0" fontId="19" fillId="6" borderId="0" xfId="0" applyFont="1" applyFill="1" applyAlignment="1">
      <alignment horizontal="center" vertical="top" textRotation="90"/>
    </xf>
    <xf numFmtId="14" fontId="0" fillId="0" borderId="0" xfId="0" applyNumberFormat="1"/>
    <xf numFmtId="0" fontId="0" fillId="0" borderId="0" xfId="0" pivotButton="1"/>
    <xf numFmtId="0" fontId="31" fillId="0" borderId="16" xfId="2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center"/>
    </xf>
    <xf numFmtId="0" fontId="14" fillId="6" borderId="14" xfId="0" applyFont="1" applyFill="1" applyBorder="1" applyAlignment="1">
      <alignment horizontal="center"/>
    </xf>
    <xf numFmtId="0" fontId="14" fillId="17" borderId="14" xfId="0" applyFont="1" applyFill="1" applyBorder="1" applyAlignment="1">
      <alignment horizontal="center"/>
    </xf>
    <xf numFmtId="0" fontId="14" fillId="12" borderId="0" xfId="2" applyFont="1" applyFill="1" applyAlignment="1">
      <alignment horizontal="center"/>
    </xf>
    <xf numFmtId="0" fontId="0" fillId="12" borderId="0" xfId="0" applyFill="1"/>
    <xf numFmtId="0" fontId="14" fillId="12" borderId="14" xfId="2" applyFont="1" applyFill="1" applyBorder="1" applyAlignment="1">
      <alignment horizontal="center"/>
    </xf>
    <xf numFmtId="0" fontId="14" fillId="12" borderId="14" xfId="2" applyFont="1" applyFill="1" applyBorder="1"/>
    <xf numFmtId="0" fontId="14" fillId="12" borderId="14" xfId="0" applyFont="1" applyFill="1" applyBorder="1" applyAlignment="1">
      <alignment horizontal="center"/>
    </xf>
    <xf numFmtId="0" fontId="14" fillId="12" borderId="0" xfId="2" applyFont="1" applyFill="1" applyAlignment="1">
      <alignment horizontal="center" vertical="center"/>
    </xf>
    <xf numFmtId="0" fontId="14" fillId="12" borderId="0" xfId="2" applyFont="1" applyFill="1"/>
    <xf numFmtId="0" fontId="14" fillId="12" borderId="0" xfId="0" applyFont="1" applyFill="1" applyAlignment="1">
      <alignment horizontal="center"/>
    </xf>
    <xf numFmtId="167" fontId="0" fillId="0" borderId="0" xfId="0" applyNumberFormat="1" applyAlignment="1">
      <alignment horizontal="center"/>
    </xf>
    <xf numFmtId="0" fontId="14" fillId="17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0" xfId="0" applyFont="1" applyFill="1"/>
    <xf numFmtId="0" fontId="14" fillId="6" borderId="0" xfId="0" applyFont="1" applyFill="1" applyAlignment="1">
      <alignment horizontal="center" vertical="center"/>
    </xf>
    <xf numFmtId="0" fontId="14" fillId="17" borderId="0" xfId="0" applyFont="1" applyFill="1"/>
    <xf numFmtId="0" fontId="14" fillId="17" borderId="0" xfId="0" applyFont="1" applyFill="1" applyAlignment="1">
      <alignment horizontal="center" vertical="center"/>
    </xf>
    <xf numFmtId="1" fontId="35" fillId="6" borderId="0" xfId="0" applyNumberFormat="1" applyFont="1" applyFill="1" applyAlignment="1">
      <alignment horizontal="center"/>
    </xf>
    <xf numFmtId="167" fontId="35" fillId="6" borderId="0" xfId="0" applyNumberFormat="1" applyFont="1" applyFill="1" applyAlignment="1">
      <alignment horizontal="center"/>
    </xf>
    <xf numFmtId="1" fontId="35" fillId="17" borderId="0" xfId="0" applyNumberFormat="1" applyFont="1" applyFill="1" applyAlignment="1">
      <alignment horizontal="center"/>
    </xf>
    <xf numFmtId="167" fontId="35" fillId="17" borderId="0" xfId="0" applyNumberFormat="1" applyFont="1" applyFill="1" applyAlignment="1">
      <alignment horizontal="center"/>
    </xf>
    <xf numFmtId="1" fontId="13" fillId="6" borderId="0" xfId="0" applyNumberFormat="1" applyFont="1" applyFill="1" applyAlignment="1">
      <alignment horizontal="center"/>
    </xf>
    <xf numFmtId="167" fontId="13" fillId="6" borderId="0" xfId="0" applyNumberFormat="1" applyFont="1" applyFill="1" applyAlignment="1">
      <alignment horizontal="center"/>
    </xf>
    <xf numFmtId="1" fontId="13" fillId="17" borderId="0" xfId="0" applyNumberFormat="1" applyFont="1" applyFill="1" applyAlignment="1">
      <alignment horizontal="center"/>
    </xf>
    <xf numFmtId="167" fontId="13" fillId="17" borderId="0" xfId="0" applyNumberFormat="1" applyFont="1" applyFill="1" applyAlignment="1">
      <alignment horizontal="center"/>
    </xf>
    <xf numFmtId="0" fontId="36" fillId="0" borderId="0" xfId="0" applyFont="1"/>
    <xf numFmtId="0" fontId="14" fillId="6" borderId="22" xfId="0" applyFont="1" applyFill="1" applyBorder="1" applyAlignment="1">
      <alignment horizontal="center"/>
    </xf>
    <xf numFmtId="0" fontId="14" fillId="6" borderId="22" xfId="0" applyFont="1" applyFill="1" applyBorder="1" applyAlignment="1">
      <alignment horizontal="center" vertical="center"/>
    </xf>
    <xf numFmtId="0" fontId="14" fillId="17" borderId="22" xfId="0" applyFont="1" applyFill="1" applyBorder="1" applyAlignment="1">
      <alignment horizontal="center"/>
    </xf>
    <xf numFmtId="0" fontId="14" fillId="17" borderId="22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/>
    </xf>
    <xf numFmtId="167" fontId="35" fillId="16" borderId="0" xfId="0" applyNumberFormat="1" applyFont="1" applyFill="1" applyAlignment="1">
      <alignment horizontal="center"/>
    </xf>
    <xf numFmtId="0" fontId="14" fillId="16" borderId="0" xfId="0" applyFont="1" applyFill="1"/>
    <xf numFmtId="0" fontId="14" fillId="16" borderId="0" xfId="0" applyFont="1" applyFill="1" applyAlignment="1">
      <alignment horizontal="center" vertical="center"/>
    </xf>
    <xf numFmtId="0" fontId="14" fillId="16" borderId="22" xfId="0" applyFont="1" applyFill="1" applyBorder="1" applyAlignment="1">
      <alignment horizontal="center"/>
    </xf>
    <xf numFmtId="0" fontId="14" fillId="16" borderId="22" xfId="0" applyFont="1" applyFill="1" applyBorder="1" applyAlignment="1">
      <alignment horizontal="center" vertical="center"/>
    </xf>
    <xf numFmtId="0" fontId="0" fillId="16" borderId="0" xfId="0" applyFill="1"/>
    <xf numFmtId="167" fontId="13" fillId="16" borderId="0" xfId="0" applyNumberFormat="1" applyFont="1" applyFill="1" applyAlignment="1">
      <alignment horizontal="center"/>
    </xf>
    <xf numFmtId="0" fontId="36" fillId="17" borderId="0" xfId="0" applyFont="1" applyFill="1"/>
    <xf numFmtId="0" fontId="35" fillId="17" borderId="0" xfId="0" applyFont="1" applyFill="1" applyAlignment="1">
      <alignment horizontal="right"/>
    </xf>
    <xf numFmtId="0" fontId="36" fillId="16" borderId="0" xfId="0" applyFont="1" applyFill="1" applyAlignment="1">
      <alignment horizontal="right"/>
    </xf>
    <xf numFmtId="0" fontId="0" fillId="16" borderId="0" xfId="0" applyFill="1" applyAlignment="1">
      <alignment horizontal="center"/>
    </xf>
    <xf numFmtId="167" fontId="0" fillId="16" borderId="0" xfId="0" applyNumberFormat="1" applyFill="1" applyAlignment="1">
      <alignment horizontal="center"/>
    </xf>
    <xf numFmtId="0" fontId="14" fillId="19" borderId="0" xfId="0" applyFont="1" applyFill="1" applyAlignment="1">
      <alignment horizontal="center"/>
    </xf>
    <xf numFmtId="0" fontId="14" fillId="19" borderId="0" xfId="0" applyFont="1" applyFill="1"/>
    <xf numFmtId="0" fontId="14" fillId="19" borderId="0" xfId="0" applyFont="1" applyFill="1" applyAlignment="1">
      <alignment horizontal="center" vertical="center"/>
    </xf>
    <xf numFmtId="0" fontId="14" fillId="19" borderId="22" xfId="0" applyFont="1" applyFill="1" applyBorder="1" applyAlignment="1">
      <alignment horizontal="center"/>
    </xf>
    <xf numFmtId="0" fontId="14" fillId="19" borderId="22" xfId="0" applyFont="1" applyFill="1" applyBorder="1" applyAlignment="1">
      <alignment horizontal="center" vertical="center"/>
    </xf>
    <xf numFmtId="0" fontId="37" fillId="17" borderId="0" xfId="0" applyFont="1" applyFill="1"/>
    <xf numFmtId="0" fontId="16" fillId="16" borderId="0" xfId="0" applyFont="1" applyFill="1" applyAlignment="1">
      <alignment horizontal="right"/>
    </xf>
    <xf numFmtId="0" fontId="37" fillId="0" borderId="0" xfId="0" applyFont="1"/>
    <xf numFmtId="1" fontId="34" fillId="0" borderId="0" xfId="0" applyNumberFormat="1" applyFont="1" applyAlignment="1">
      <alignment horizontal="center" wrapText="1"/>
    </xf>
    <xf numFmtId="0" fontId="38" fillId="17" borderId="0" xfId="0" applyFont="1" applyFill="1"/>
    <xf numFmtId="0" fontId="38" fillId="17" borderId="0" xfId="0" applyFont="1" applyFill="1" applyAlignment="1">
      <alignment horizontal="center"/>
    </xf>
    <xf numFmtId="0" fontId="38" fillId="0" borderId="0" xfId="0" applyFont="1"/>
    <xf numFmtId="0" fontId="38" fillId="16" borderId="21" xfId="0" applyFont="1" applyFill="1" applyBorder="1" applyAlignment="1">
      <alignment horizontal="right"/>
    </xf>
    <xf numFmtId="0" fontId="38" fillId="16" borderId="0" xfId="0" applyFont="1" applyFill="1" applyAlignment="1">
      <alignment horizontal="center"/>
    </xf>
    <xf numFmtId="0" fontId="38" fillId="16" borderId="21" xfId="0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0" fontId="39" fillId="7" borderId="21" xfId="0" applyFont="1" applyFill="1" applyBorder="1" applyAlignment="1">
      <alignment horizontal="right"/>
    </xf>
    <xf numFmtId="0" fontId="39" fillId="7" borderId="21" xfId="0" applyFont="1" applyFill="1" applyBorder="1" applyAlignment="1">
      <alignment horizontal="center"/>
    </xf>
    <xf numFmtId="0" fontId="38" fillId="0" borderId="0" xfId="0" pivotButton="1" applyFont="1"/>
    <xf numFmtId="0" fontId="38" fillId="0" borderId="0" xfId="0" applyFont="1" applyAlignment="1">
      <alignment horizont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/>
    <xf numFmtId="1" fontId="38" fillId="0" borderId="19" xfId="0" applyNumberFormat="1" applyFont="1" applyBorder="1" applyAlignment="1">
      <alignment horizontal="center"/>
    </xf>
    <xf numFmtId="1" fontId="38" fillId="17" borderId="20" xfId="0" applyNumberFormat="1" applyFont="1" applyFill="1" applyBorder="1" applyAlignment="1">
      <alignment horizontal="center" wrapText="1"/>
    </xf>
    <xf numFmtId="1" fontId="38" fillId="17" borderId="19" xfId="0" applyNumberFormat="1" applyFont="1" applyFill="1" applyBorder="1" applyAlignment="1">
      <alignment horizontal="center" wrapText="1"/>
    </xf>
    <xf numFmtId="0" fontId="38" fillId="0" borderId="0" xfId="0" applyFont="1" applyAlignment="1">
      <alignment horizontal="left" wrapText="1"/>
    </xf>
    <xf numFmtId="1" fontId="36" fillId="17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" fontId="36" fillId="0" borderId="0" xfId="0" applyNumberFormat="1" applyFont="1" applyAlignment="1">
      <alignment horizontal="center"/>
    </xf>
    <xf numFmtId="1" fontId="38" fillId="17" borderId="0" xfId="0" applyNumberFormat="1" applyFont="1" applyFill="1" applyAlignment="1">
      <alignment horizontal="center" wrapText="1"/>
    </xf>
    <xf numFmtId="1" fontId="38" fillId="0" borderId="0" xfId="0" applyNumberFormat="1" applyFont="1" applyAlignment="1">
      <alignment horizontal="center" wrapText="1"/>
    </xf>
    <xf numFmtId="0" fontId="40" fillId="6" borderId="14" xfId="0" applyFont="1" applyFill="1" applyBorder="1" applyAlignment="1">
      <alignment horizontal="right"/>
    </xf>
    <xf numFmtId="0" fontId="40" fillId="6" borderId="14" xfId="0" applyFont="1" applyFill="1" applyBorder="1" applyAlignment="1">
      <alignment horizontal="center"/>
    </xf>
    <xf numFmtId="0" fontId="40" fillId="6" borderId="10" xfId="0" applyFont="1" applyFill="1" applyBorder="1" applyAlignment="1">
      <alignment horizontal="right"/>
    </xf>
    <xf numFmtId="0" fontId="40" fillId="6" borderId="10" xfId="0" applyFont="1" applyFill="1" applyBorder="1" applyAlignment="1">
      <alignment horizontal="center"/>
    </xf>
    <xf numFmtId="0" fontId="40" fillId="18" borderId="10" xfId="0" applyFont="1" applyFill="1" applyBorder="1" applyAlignment="1">
      <alignment horizontal="center"/>
    </xf>
    <xf numFmtId="0" fontId="39" fillId="7" borderId="0" xfId="0" applyFont="1" applyFill="1" applyAlignment="1">
      <alignment horizontal="right"/>
    </xf>
    <xf numFmtId="167" fontId="38" fillId="18" borderId="0" xfId="0" applyNumberFormat="1" applyFont="1" applyFill="1" applyAlignment="1">
      <alignment horizontal="right"/>
    </xf>
    <xf numFmtId="0" fontId="38" fillId="18" borderId="0" xfId="0" applyFont="1" applyFill="1" applyAlignment="1">
      <alignment horizontal="center"/>
    </xf>
    <xf numFmtId="0" fontId="14" fillId="0" borderId="0" xfId="2" applyFont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3" fillId="10" borderId="23" xfId="2" applyFill="1" applyBorder="1" applyAlignment="1">
      <alignment horizontal="center"/>
    </xf>
    <xf numFmtId="16" fontId="13" fillId="14" borderId="0" xfId="2" applyNumberFormat="1" applyFill="1" applyAlignment="1">
      <alignment horizontal="center"/>
    </xf>
    <xf numFmtId="16" fontId="13" fillId="17" borderId="0" xfId="2" applyNumberFormat="1" applyFill="1" applyAlignment="1">
      <alignment horizontal="center"/>
    </xf>
    <xf numFmtId="168" fontId="0" fillId="3" borderId="3" xfId="0" applyNumberFormat="1" applyFill="1" applyBorder="1" applyAlignment="1">
      <alignment horizontal="left"/>
    </xf>
    <xf numFmtId="0" fontId="24" fillId="0" borderId="0" xfId="0" applyFont="1" applyAlignment="1">
      <alignment horizontal="centerContinuous"/>
    </xf>
    <xf numFmtId="168" fontId="17" fillId="6" borderId="0" xfId="0" applyNumberFormat="1" applyFont="1" applyFill="1" applyAlignment="1">
      <alignment horizontal="center"/>
    </xf>
    <xf numFmtId="0" fontId="13" fillId="6" borderId="0" xfId="0" applyFont="1" applyFill="1"/>
    <xf numFmtId="0" fontId="14" fillId="4" borderId="0" xfId="0" applyFont="1" applyFill="1" applyAlignment="1">
      <alignment horizontal="centerContinuous"/>
    </xf>
    <xf numFmtId="1" fontId="38" fillId="0" borderId="0" xfId="0" applyNumberFormat="1" applyFont="1" applyAlignment="1">
      <alignment horizontal="center"/>
    </xf>
    <xf numFmtId="1" fontId="38" fillId="17" borderId="0" xfId="0" applyNumberFormat="1" applyFont="1" applyFill="1" applyAlignment="1">
      <alignment horizontal="center"/>
    </xf>
    <xf numFmtId="16" fontId="14" fillId="12" borderId="0" xfId="2" applyNumberFormat="1" applyFont="1" applyFill="1" applyAlignment="1">
      <alignment horizontal="centerContinuous"/>
    </xf>
    <xf numFmtId="16" fontId="14" fillId="6" borderId="0" xfId="2" applyNumberFormat="1" applyFont="1" applyFill="1" applyAlignment="1">
      <alignment horizontal="centerContinuous"/>
    </xf>
    <xf numFmtId="16" fontId="14" fillId="17" borderId="0" xfId="2" applyNumberFormat="1" applyFont="1" applyFill="1" applyAlignment="1">
      <alignment horizontal="centerContinuous"/>
    </xf>
    <xf numFmtId="16" fontId="14" fillId="0" borderId="0" xfId="2" applyNumberFormat="1" applyFont="1" applyAlignment="1">
      <alignment horizontal="centerContinuous"/>
    </xf>
    <xf numFmtId="0" fontId="14" fillId="6" borderId="0" xfId="0" applyFont="1" applyFill="1" applyAlignment="1">
      <alignment horizontal="centerContinuous" vertical="center"/>
    </xf>
    <xf numFmtId="0" fontId="0" fillId="6" borderId="0" xfId="0" applyFill="1" applyAlignment="1">
      <alignment horizontal="centerContinuous" vertical="center"/>
    </xf>
    <xf numFmtId="0" fontId="14" fillId="17" borderId="0" xfId="0" applyFont="1" applyFill="1" applyAlignment="1">
      <alignment horizontal="centerContinuous" vertical="center"/>
    </xf>
    <xf numFmtId="0" fontId="0" fillId="17" borderId="0" xfId="0" applyFill="1" applyAlignment="1">
      <alignment horizontal="centerContinuous"/>
    </xf>
    <xf numFmtId="0" fontId="0" fillId="6" borderId="0" xfId="0" applyFill="1" applyAlignment="1">
      <alignment horizontal="centerContinuous"/>
    </xf>
    <xf numFmtId="0" fontId="14" fillId="16" borderId="0" xfId="0" applyFont="1" applyFill="1" applyAlignment="1">
      <alignment horizontal="centerContinuous"/>
    </xf>
    <xf numFmtId="0" fontId="14" fillId="19" borderId="0" xfId="0" applyFont="1" applyFill="1" applyAlignment="1">
      <alignment horizontal="centerContinuous"/>
    </xf>
    <xf numFmtId="0" fontId="16" fillId="6" borderId="0" xfId="0" applyFont="1" applyFill="1" applyAlignment="1">
      <alignment horizontal="centerContinuous"/>
    </xf>
    <xf numFmtId="0" fontId="16" fillId="17" borderId="0" xfId="0" applyFont="1" applyFill="1" applyAlignment="1">
      <alignment horizontal="centerContinuous" vertical="center"/>
    </xf>
    <xf numFmtId="0" fontId="36" fillId="6" borderId="0" xfId="0" applyFont="1" applyFill="1" applyAlignment="1">
      <alignment horizontal="centerContinuous"/>
    </xf>
    <xf numFmtId="0" fontId="36" fillId="17" borderId="0" xfId="0" applyFont="1" applyFill="1" applyAlignment="1">
      <alignment horizontal="centerContinuous"/>
    </xf>
    <xf numFmtId="0" fontId="16" fillId="16" borderId="0" xfId="0" applyFont="1" applyFill="1" applyAlignment="1">
      <alignment vertical="center"/>
    </xf>
    <xf numFmtId="0" fontId="16" fillId="16" borderId="0" xfId="0" applyFont="1" applyFill="1" applyAlignment="1">
      <alignment horizontal="centerContinuous" vertical="center"/>
    </xf>
    <xf numFmtId="0" fontId="36" fillId="16" borderId="0" xfId="0" applyFont="1" applyFill="1" applyAlignment="1">
      <alignment vertical="center"/>
    </xf>
    <xf numFmtId="0" fontId="16" fillId="19" borderId="0" xfId="0" applyFont="1" applyFill="1" applyAlignment="1">
      <alignment vertical="center"/>
    </xf>
    <xf numFmtId="0" fontId="16" fillId="19" borderId="0" xfId="0" applyFont="1" applyFill="1" applyAlignment="1">
      <alignment horizontal="centerContinuous" vertical="center"/>
    </xf>
    <xf numFmtId="0" fontId="36" fillId="19" borderId="0" xfId="0" applyFont="1" applyFill="1" applyAlignment="1">
      <alignment vertical="center"/>
    </xf>
    <xf numFmtId="0" fontId="14" fillId="0" borderId="0" xfId="2" applyFont="1" applyAlignment="1">
      <alignment horizontal="centerContinuous"/>
    </xf>
    <xf numFmtId="0" fontId="14" fillId="0" borderId="23" xfId="2" applyFont="1" applyBorder="1" applyAlignment="1">
      <alignment horizontal="centerContinuous"/>
    </xf>
    <xf numFmtId="0" fontId="13" fillId="13" borderId="4" xfId="2" applyFill="1" applyBorder="1" applyAlignment="1">
      <alignment vertical="center"/>
    </xf>
    <xf numFmtId="0" fontId="13" fillId="13" borderId="2" xfId="2" applyFill="1" applyBorder="1" applyAlignment="1">
      <alignment vertical="center"/>
    </xf>
    <xf numFmtId="0" fontId="13" fillId="13" borderId="9" xfId="2" applyFill="1" applyBorder="1" applyAlignment="1">
      <alignment vertical="center"/>
    </xf>
    <xf numFmtId="0" fontId="13" fillId="13" borderId="1" xfId="2" applyFill="1" applyBorder="1" applyAlignment="1">
      <alignment vertical="center"/>
    </xf>
    <xf numFmtId="0" fontId="13" fillId="13" borderId="3" xfId="2" applyFill="1" applyBorder="1" applyAlignment="1">
      <alignment horizontal="centerContinuous" vertical="center"/>
    </xf>
    <xf numFmtId="0" fontId="13" fillId="13" borderId="0" xfId="2" applyFill="1" applyAlignment="1">
      <alignment horizontal="centerContinuous" vertical="center"/>
    </xf>
    <xf numFmtId="0" fontId="13" fillId="13" borderId="6" xfId="2" applyFill="1" applyBorder="1" applyAlignment="1">
      <alignment horizontal="centerContinuous" vertical="center"/>
    </xf>
    <xf numFmtId="0" fontId="27" fillId="0" borderId="0" xfId="0" applyFont="1" applyAlignment="1">
      <alignment horizontal="centerContinuous"/>
    </xf>
    <xf numFmtId="0" fontId="14" fillId="0" borderId="0" xfId="2" applyFont="1"/>
    <xf numFmtId="0" fontId="14" fillId="17" borderId="14" xfId="2" applyFont="1" applyFill="1" applyBorder="1" applyAlignment="1">
      <alignment horizontal="center"/>
    </xf>
    <xf numFmtId="0" fontId="14" fillId="17" borderId="14" xfId="2" applyFont="1" applyFill="1" applyBorder="1" applyAlignment="1">
      <alignment horizontal="right"/>
    </xf>
    <xf numFmtId="0" fontId="13" fillId="17" borderId="0" xfId="2" applyFill="1"/>
    <xf numFmtId="0" fontId="13" fillId="17" borderId="0" xfId="2" applyFill="1" applyAlignment="1">
      <alignment horizontal="center"/>
    </xf>
    <xf numFmtId="0" fontId="14" fillId="17" borderId="1" xfId="0" applyFont="1" applyFill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3" fillId="0" borderId="9" xfId="2" applyBorder="1" applyAlignment="1">
      <alignment horizontal="center"/>
    </xf>
    <xf numFmtId="16" fontId="13" fillId="0" borderId="1" xfId="2" quotePrefix="1" applyNumberFormat="1" applyBorder="1" applyAlignment="1">
      <alignment horizontal="center"/>
    </xf>
    <xf numFmtId="169" fontId="17" fillId="0" borderId="0" xfId="0" applyNumberFormat="1" applyFont="1" applyAlignment="1">
      <alignment horizontal="center"/>
    </xf>
    <xf numFmtId="0" fontId="25" fillId="12" borderId="0" xfId="1" quotePrefix="1" applyFill="1" applyAlignment="1" applyProtection="1"/>
    <xf numFmtId="0" fontId="0" fillId="0" borderId="0" xfId="0" applyAlignment="1">
      <alignment horizontal="centerContinuous"/>
    </xf>
    <xf numFmtId="16" fontId="13" fillId="0" borderId="6" xfId="2" applyNumberFormat="1" applyBorder="1" applyAlignment="1">
      <alignment horizontal="center"/>
    </xf>
    <xf numFmtId="0" fontId="14" fillId="0" borderId="2" xfId="0" applyFont="1" applyBorder="1" applyAlignment="1">
      <alignment horizontal="centerContinuous"/>
    </xf>
    <xf numFmtId="0" fontId="14" fillId="0" borderId="5" xfId="0" applyFont="1" applyBorder="1" applyAlignment="1">
      <alignment horizontal="centerContinuous"/>
    </xf>
    <xf numFmtId="0" fontId="17" fillId="20" borderId="0" xfId="0" applyFont="1" applyFill="1"/>
    <xf numFmtId="1" fontId="13" fillId="21" borderId="0" xfId="0" applyNumberFormat="1" applyFont="1" applyFill="1" applyAlignment="1">
      <alignment horizontal="centerContinuous"/>
    </xf>
    <xf numFmtId="0" fontId="0" fillId="21" borderId="0" xfId="0" applyFill="1" applyAlignment="1">
      <alignment horizontal="centerContinuous"/>
    </xf>
    <xf numFmtId="0" fontId="13" fillId="21" borderId="0" xfId="0" applyFont="1" applyFill="1" applyAlignment="1">
      <alignment horizontal="centerContinuous"/>
    </xf>
    <xf numFmtId="1" fontId="13" fillId="21" borderId="0" xfId="0" applyNumberFormat="1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1" fontId="0" fillId="21" borderId="0" xfId="0" applyNumberFormat="1" applyFill="1" applyAlignment="1">
      <alignment horizontal="center"/>
    </xf>
    <xf numFmtId="0" fontId="0" fillId="21" borderId="0" xfId="0" applyFill="1"/>
    <xf numFmtId="16" fontId="0" fillId="21" borderId="0" xfId="0" applyNumberFormat="1" applyFill="1"/>
    <xf numFmtId="2" fontId="0" fillId="21" borderId="0" xfId="0" applyNumberFormat="1" applyFill="1" applyAlignment="1">
      <alignment horizontal="center"/>
    </xf>
    <xf numFmtId="2" fontId="13" fillId="21" borderId="0" xfId="0" applyNumberFormat="1" applyFont="1" applyFill="1" applyAlignment="1">
      <alignment horizontal="center"/>
    </xf>
    <xf numFmtId="0" fontId="13" fillId="21" borderId="0" xfId="0" applyFont="1" applyFill="1"/>
    <xf numFmtId="14" fontId="13" fillId="0" borderId="0" xfId="2" applyNumberFormat="1" applyAlignment="1">
      <alignment horizontal="center"/>
    </xf>
    <xf numFmtId="0" fontId="13" fillId="0" borderId="0" xfId="2" applyAlignment="1">
      <alignment horizontal="centerContinuous"/>
    </xf>
    <xf numFmtId="0" fontId="13" fillId="0" borderId="4" xfId="2" applyBorder="1" applyAlignment="1">
      <alignment horizontal="center"/>
    </xf>
    <xf numFmtId="0" fontId="13" fillId="15" borderId="23" xfId="2" applyFill="1" applyBorder="1" applyAlignment="1">
      <alignment horizontal="center"/>
    </xf>
    <xf numFmtId="0" fontId="13" fillId="5" borderId="23" xfId="2" applyFill="1" applyBorder="1" applyAlignment="1">
      <alignment horizontal="center"/>
    </xf>
    <xf numFmtId="0" fontId="41" fillId="11" borderId="23" xfId="2" applyFont="1" applyFill="1" applyBorder="1" applyAlignment="1">
      <alignment horizontal="centerContinuous"/>
    </xf>
    <xf numFmtId="0" fontId="13" fillId="2" borderId="23" xfId="2" applyFill="1" applyBorder="1" applyAlignment="1">
      <alignment horizontal="center"/>
    </xf>
    <xf numFmtId="0" fontId="0" fillId="0" borderId="2" xfId="0" applyBorder="1"/>
    <xf numFmtId="0" fontId="43" fillId="4" borderId="0" xfId="0" applyFont="1" applyFill="1"/>
    <xf numFmtId="0" fontId="29" fillId="0" borderId="0" xfId="0" applyFont="1"/>
    <xf numFmtId="0" fontId="29" fillId="0" borderId="1" xfId="0" applyFont="1" applyBorder="1"/>
    <xf numFmtId="0" fontId="19" fillId="7" borderId="0" xfId="0" applyFont="1" applyFill="1" applyAlignment="1">
      <alignment horizontal="center" vertical="top" textRotation="90"/>
    </xf>
    <xf numFmtId="0" fontId="14" fillId="19" borderId="4" xfId="0" applyFont="1" applyFill="1" applyBorder="1" applyAlignment="1">
      <alignment horizontal="left"/>
    </xf>
    <xf numFmtId="0" fontId="0" fillId="19" borderId="3" xfId="0" applyFill="1" applyBorder="1" applyAlignment="1">
      <alignment horizontal="left"/>
    </xf>
    <xf numFmtId="0" fontId="13" fillId="19" borderId="3" xfId="0" applyFont="1" applyFill="1" applyBorder="1" applyAlignment="1">
      <alignment horizontal="left"/>
    </xf>
    <xf numFmtId="2" fontId="0" fillId="19" borderId="0" xfId="0" applyNumberFormat="1" applyFill="1" applyAlignment="1">
      <alignment horizontal="left"/>
    </xf>
    <xf numFmtId="0" fontId="0" fillId="19" borderId="9" xfId="0" applyFill="1" applyBorder="1" applyAlignment="1">
      <alignment horizontal="left"/>
    </xf>
    <xf numFmtId="0" fontId="0" fillId="19" borderId="2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13" fillId="19" borderId="0" xfId="0" applyFont="1" applyFill="1" applyAlignment="1">
      <alignment horizontal="center"/>
    </xf>
    <xf numFmtId="0" fontId="13" fillId="19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left"/>
    </xf>
    <xf numFmtId="168" fontId="0" fillId="0" borderId="3" xfId="0" applyNumberFormat="1" applyBorder="1" applyAlignment="1">
      <alignment horizontal="left"/>
    </xf>
    <xf numFmtId="0" fontId="25" fillId="0" borderId="0" xfId="1" applyFill="1" applyAlignment="1" applyProtection="1"/>
    <xf numFmtId="2" fontId="0" fillId="0" borderId="0" xfId="0" applyNumberFormat="1" applyAlignment="1">
      <alignment horizontal="left"/>
    </xf>
    <xf numFmtId="0" fontId="0" fillId="0" borderId="9" xfId="0" applyBorder="1" applyAlignment="1">
      <alignment horizontal="left"/>
    </xf>
    <xf numFmtId="0" fontId="25" fillId="0" borderId="3" xfId="1" applyFill="1" applyBorder="1" applyAlignment="1" applyProtection="1">
      <alignment horizontal="left"/>
    </xf>
    <xf numFmtId="168" fontId="13" fillId="0" borderId="3" xfId="0" applyNumberFormat="1" applyFont="1" applyBorder="1" applyAlignment="1">
      <alignment horizontal="left"/>
    </xf>
    <xf numFmtId="0" fontId="13" fillId="4" borderId="0" xfId="0" applyFont="1" applyFill="1" applyAlignment="1">
      <alignment horizontal="center"/>
    </xf>
    <xf numFmtId="0" fontId="0" fillId="17" borderId="1" xfId="0" applyFill="1" applyBorder="1" applyAlignment="1">
      <alignment horizontal="center"/>
    </xf>
    <xf numFmtId="0" fontId="14" fillId="17" borderId="0" xfId="2" applyFont="1" applyFill="1"/>
    <xf numFmtId="0" fontId="14" fillId="17" borderId="14" xfId="0" applyFont="1" applyFill="1" applyBorder="1"/>
    <xf numFmtId="0" fontId="17" fillId="0" borderId="0" xfId="0" applyFont="1" applyAlignment="1">
      <alignment horizontal="centerContinuous"/>
    </xf>
    <xf numFmtId="0" fontId="13" fillId="14" borderId="25" xfId="2" applyFill="1" applyBorder="1" applyAlignment="1">
      <alignment horizontal="center"/>
    </xf>
    <xf numFmtId="16" fontId="13" fillId="14" borderId="26" xfId="2" applyNumberFormat="1" applyFill="1" applyBorder="1" applyAlignment="1">
      <alignment horizontal="center"/>
    </xf>
    <xf numFmtId="0" fontId="13" fillId="15" borderId="27" xfId="2" applyFill="1" applyBorder="1" applyAlignment="1">
      <alignment horizontal="center"/>
    </xf>
    <xf numFmtId="0" fontId="13" fillId="5" borderId="27" xfId="2" applyFill="1" applyBorder="1" applyAlignment="1">
      <alignment horizontal="center"/>
    </xf>
    <xf numFmtId="0" fontId="13" fillId="0" borderId="24" xfId="2" applyBorder="1"/>
    <xf numFmtId="16" fontId="13" fillId="14" borderId="6" xfId="2" applyNumberFormat="1" applyFill="1" applyBorder="1" applyAlignment="1">
      <alignment horizontal="center"/>
    </xf>
    <xf numFmtId="0" fontId="13" fillId="15" borderId="18" xfId="2" applyFill="1" applyBorder="1" applyAlignment="1">
      <alignment horizontal="center"/>
    </xf>
    <xf numFmtId="0" fontId="13" fillId="5" borderId="18" xfId="2" applyFill="1" applyBorder="1" applyAlignment="1">
      <alignment horizontal="center"/>
    </xf>
    <xf numFmtId="0" fontId="13" fillId="22" borderId="23" xfId="2" applyFill="1" applyBorder="1" applyAlignment="1">
      <alignment horizontal="center"/>
    </xf>
    <xf numFmtId="16" fontId="13" fillId="0" borderId="0" xfId="2" applyNumberFormat="1"/>
    <xf numFmtId="1" fontId="13" fillId="21" borderId="0" xfId="0" applyNumberFormat="1" applyFont="1" applyFill="1"/>
    <xf numFmtId="0" fontId="13" fillId="4" borderId="6" xfId="0" applyFont="1" applyFill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3" borderId="0" xfId="0" applyFont="1" applyFill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14" xfId="2" applyFont="1" applyBorder="1" applyAlignment="1">
      <alignment horizontal="center"/>
    </xf>
    <xf numFmtId="0" fontId="14" fillId="0" borderId="14" xfId="2" applyFont="1" applyBorder="1" applyAlignment="1">
      <alignment horizontal="centerContinuous"/>
    </xf>
    <xf numFmtId="0" fontId="40" fillId="18" borderId="14" xfId="0" applyFont="1" applyFill="1" applyBorder="1" applyAlignment="1">
      <alignment horizontal="center"/>
    </xf>
    <xf numFmtId="0" fontId="13" fillId="17" borderId="0" xfId="0" applyFont="1" applyFill="1" applyAlignment="1">
      <alignment horizontal="right" indent="1"/>
    </xf>
    <xf numFmtId="0" fontId="44" fillId="0" borderId="0" xfId="0" applyFont="1"/>
    <xf numFmtId="0" fontId="24" fillId="0" borderId="0" xfId="0" applyFont="1" applyAlignment="1">
      <alignment horizontal="center" vertical="top" textRotation="90"/>
    </xf>
    <xf numFmtId="0" fontId="44" fillId="0" borderId="12" xfId="0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4" fillId="0" borderId="13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6" fillId="17" borderId="0" xfId="0" applyFont="1" applyFill="1" applyAlignment="1">
      <alignment horizontal="center"/>
    </xf>
    <xf numFmtId="14" fontId="13" fillId="0" borderId="18" xfId="2" applyNumberFormat="1" applyBorder="1" applyAlignment="1">
      <alignment horizontal="center"/>
    </xf>
    <xf numFmtId="0" fontId="29" fillId="0" borderId="16" xfId="2" applyFont="1" applyBorder="1" applyAlignment="1">
      <alignment horizontal="center"/>
    </xf>
    <xf numFmtId="0" fontId="29" fillId="0" borderId="16" xfId="2" applyFont="1" applyBorder="1"/>
    <xf numFmtId="0" fontId="41" fillId="0" borderId="16" xfId="2" applyFont="1" applyBorder="1" applyAlignment="1">
      <alignment horizontal="center"/>
    </xf>
    <xf numFmtId="0" fontId="30" fillId="0" borderId="0" xfId="2" applyFont="1"/>
    <xf numFmtId="0" fontId="13" fillId="15" borderId="23" xfId="2" applyFill="1" applyBorder="1" applyAlignment="1">
      <alignment horizontal="centerContinuous"/>
    </xf>
    <xf numFmtId="0" fontId="13" fillId="5" borderId="23" xfId="2" applyFill="1" applyBorder="1" applyAlignment="1">
      <alignment horizontal="centerContinuous"/>
    </xf>
    <xf numFmtId="0" fontId="26" fillId="0" borderId="0" xfId="0" applyFont="1" applyAlignment="1">
      <alignment horizontal="centerContinuous"/>
    </xf>
    <xf numFmtId="0" fontId="26" fillId="6" borderId="0" xfId="0" applyFont="1" applyFill="1" applyAlignment="1">
      <alignment horizontal="centerContinuous"/>
    </xf>
    <xf numFmtId="0" fontId="17" fillId="6" borderId="0" xfId="0" applyFont="1" applyFill="1" applyAlignment="1">
      <alignment horizontal="centerContinuous"/>
    </xf>
    <xf numFmtId="0" fontId="24" fillId="0" borderId="0" xfId="0" applyFont="1" applyAlignment="1">
      <alignment horizontal="centerContinuous" vertical="top"/>
    </xf>
    <xf numFmtId="2" fontId="17" fillId="0" borderId="0" xfId="0" applyNumberFormat="1" applyFont="1"/>
    <xf numFmtId="0" fontId="14" fillId="23" borderId="4" xfId="0" applyFont="1" applyFill="1" applyBorder="1" applyAlignment="1">
      <alignment horizontal="left"/>
    </xf>
    <xf numFmtId="0" fontId="0" fillId="5" borderId="0" xfId="0" applyFill="1"/>
    <xf numFmtId="0" fontId="25" fillId="0" borderId="0" xfId="1" applyAlignment="1" applyProtection="1"/>
    <xf numFmtId="20" fontId="14" fillId="15" borderId="23" xfId="2" applyNumberFormat="1" applyFont="1" applyFill="1" applyBorder="1" applyAlignment="1">
      <alignment horizontal="centerContinuous"/>
    </xf>
    <xf numFmtId="20" fontId="14" fillId="5" borderId="23" xfId="2" applyNumberFormat="1" applyFont="1" applyFill="1" applyBorder="1" applyAlignment="1">
      <alignment horizontal="centerContinuous"/>
    </xf>
    <xf numFmtId="20" fontId="14" fillId="15" borderId="23" xfId="2" quotePrefix="1" applyNumberFormat="1" applyFont="1" applyFill="1" applyBorder="1" applyAlignment="1">
      <alignment horizontal="centerContinuous"/>
    </xf>
    <xf numFmtId="0" fontId="38" fillId="0" borderId="28" xfId="0" applyFont="1" applyBorder="1" applyAlignment="1">
      <alignment horizontal="left" wrapText="1"/>
    </xf>
    <xf numFmtId="0" fontId="38" fillId="0" borderId="0" xfId="0" applyFont="1" applyAlignment="1">
      <alignment horizontal="left"/>
    </xf>
    <xf numFmtId="0" fontId="43" fillId="0" borderId="0" xfId="0" applyFont="1"/>
    <xf numFmtId="1" fontId="13" fillId="0" borderId="0" xfId="0" applyNumberFormat="1" applyFont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13" fillId="17" borderId="0" xfId="0" quotePrefix="1" applyFont="1" applyFill="1"/>
    <xf numFmtId="0" fontId="19" fillId="7" borderId="0" xfId="0" applyFont="1" applyFill="1" applyAlignment="1">
      <alignment vertical="top" textRotation="90"/>
    </xf>
    <xf numFmtId="0" fontId="29" fillId="4" borderId="0" xfId="0" applyFont="1" applyFill="1"/>
    <xf numFmtId="1" fontId="13" fillId="4" borderId="6" xfId="0" applyNumberFormat="1" applyFont="1" applyFill="1" applyBorder="1" applyAlignment="1">
      <alignment horizontal="center"/>
    </xf>
    <xf numFmtId="1" fontId="0" fillId="0" borderId="0" xfId="0" applyNumberFormat="1"/>
    <xf numFmtId="0" fontId="31" fillId="17" borderId="0" xfId="0" applyFont="1" applyFill="1" applyAlignment="1">
      <alignment horizontal="center"/>
    </xf>
    <xf numFmtId="0" fontId="40" fillId="6" borderId="0" xfId="0" applyFont="1" applyFill="1" applyAlignment="1">
      <alignment horizontal="center"/>
    </xf>
    <xf numFmtId="0" fontId="38" fillId="0" borderId="29" xfId="0" applyFont="1" applyBorder="1" applyAlignment="1">
      <alignment horizontal="left" wrapText="1"/>
    </xf>
    <xf numFmtId="0" fontId="0" fillId="4" borderId="0" xfId="0" applyFill="1"/>
    <xf numFmtId="0" fontId="17" fillId="0" borderId="0" xfId="0" quotePrefix="1" applyFont="1"/>
    <xf numFmtId="0" fontId="49" fillId="0" borderId="0" xfId="9" applyFont="1" applyAlignment="1">
      <alignment vertical="center"/>
    </xf>
    <xf numFmtId="0" fontId="9" fillId="0" borderId="0" xfId="9" applyAlignment="1">
      <alignment vertical="center"/>
    </xf>
    <xf numFmtId="0" fontId="9" fillId="0" borderId="0" xfId="9"/>
    <xf numFmtId="0" fontId="50" fillId="0" borderId="0" xfId="9" applyFont="1" applyAlignment="1">
      <alignment vertical="center"/>
    </xf>
    <xf numFmtId="0" fontId="49" fillId="0" borderId="0" xfId="9" applyFont="1" applyAlignment="1">
      <alignment horizontal="center" vertical="center"/>
    </xf>
    <xf numFmtId="0" fontId="8" fillId="0" borderId="0" xfId="9" applyFont="1" applyAlignment="1">
      <alignment vertical="center"/>
    </xf>
    <xf numFmtId="0" fontId="9" fillId="0" borderId="0" xfId="9" applyAlignment="1">
      <alignment horizontal="right" vertical="center"/>
    </xf>
    <xf numFmtId="0" fontId="8" fillId="0" borderId="0" xfId="9" applyFont="1" applyAlignment="1">
      <alignment horizontal="right" vertical="center"/>
    </xf>
    <xf numFmtId="0" fontId="9" fillId="0" borderId="0" xfId="9" applyAlignment="1">
      <alignment horizontal="right"/>
    </xf>
    <xf numFmtId="0" fontId="50" fillId="0" borderId="0" xfId="9" applyFont="1" applyAlignment="1">
      <alignment horizontal="right" vertical="center"/>
    </xf>
    <xf numFmtId="0" fontId="49" fillId="0" borderId="0" xfId="9" applyFont="1" applyAlignment="1">
      <alignment horizontal="right" vertical="center"/>
    </xf>
    <xf numFmtId="0" fontId="8" fillId="0" borderId="0" xfId="9" applyFont="1"/>
    <xf numFmtId="0" fontId="7" fillId="0" borderId="0" xfId="9" applyFont="1" applyAlignment="1">
      <alignment vertical="center"/>
    </xf>
    <xf numFmtId="0" fontId="7" fillId="0" borderId="0" xfId="9" applyFont="1" applyAlignment="1">
      <alignment horizontal="right" vertical="center"/>
    </xf>
    <xf numFmtId="0" fontId="0" fillId="0" borderId="0" xfId="0" quotePrefix="1"/>
    <xf numFmtId="0" fontId="0" fillId="0" borderId="0" xfId="0" quotePrefix="1" applyAlignment="1">
      <alignment wrapText="1"/>
    </xf>
    <xf numFmtId="0" fontId="6" fillId="0" borderId="0" xfId="9" applyFont="1"/>
    <xf numFmtId="0" fontId="5" fillId="0" borderId="0" xfId="9" applyFont="1" applyAlignment="1">
      <alignment vertical="center"/>
    </xf>
    <xf numFmtId="0" fontId="5" fillId="0" borderId="0" xfId="9" applyFont="1" applyAlignment="1">
      <alignment horizontal="right" vertical="center"/>
    </xf>
    <xf numFmtId="0" fontId="5" fillId="0" borderId="0" xfId="9" applyFont="1"/>
    <xf numFmtId="0" fontId="4" fillId="0" borderId="0" xfId="9" applyFont="1" applyAlignment="1">
      <alignment horizontal="right" vertical="center"/>
    </xf>
    <xf numFmtId="0" fontId="4" fillId="0" borderId="0" xfId="9" applyFont="1" applyAlignment="1">
      <alignment vertical="center"/>
    </xf>
    <xf numFmtId="0" fontId="4" fillId="0" borderId="0" xfId="9" applyFont="1"/>
    <xf numFmtId="0" fontId="2" fillId="0" borderId="0" xfId="9" applyFont="1"/>
    <xf numFmtId="0" fontId="13" fillId="0" borderId="14" xfId="0" applyFont="1" applyBorder="1"/>
    <xf numFmtId="0" fontId="2" fillId="0" borderId="0" xfId="9" applyFont="1" applyAlignment="1">
      <alignment vertical="center"/>
    </xf>
    <xf numFmtId="0" fontId="13" fillId="0" borderId="14" xfId="9" applyFont="1" applyBorder="1" applyAlignment="1">
      <alignment vertical="center"/>
    </xf>
    <xf numFmtId="0" fontId="13" fillId="0" borderId="0" xfId="0" applyFont="1" applyAlignment="1">
      <alignment horizontal="right"/>
    </xf>
    <xf numFmtId="0" fontId="13" fillId="0" borderId="0" xfId="0" quotePrefix="1" applyFont="1" applyAlignment="1">
      <alignment horizontal="right"/>
    </xf>
    <xf numFmtId="14" fontId="2" fillId="0" borderId="0" xfId="9" applyNumberFormat="1" applyFont="1" applyAlignment="1">
      <alignment vertical="center"/>
    </xf>
    <xf numFmtId="0" fontId="3" fillId="15" borderId="0" xfId="9" applyFont="1" applyFill="1" applyAlignment="1">
      <alignment horizontal="right" vertical="center"/>
    </xf>
    <xf numFmtId="0" fontId="9" fillId="15" borderId="0" xfId="9" applyFill="1" applyAlignment="1">
      <alignment vertical="center"/>
    </xf>
    <xf numFmtId="0" fontId="9" fillId="15" borderId="0" xfId="9" applyFill="1" applyAlignment="1">
      <alignment horizontal="right" vertical="center"/>
    </xf>
    <xf numFmtId="0" fontId="13" fillId="15" borderId="0" xfId="0" applyFont="1" applyFill="1"/>
    <xf numFmtId="0" fontId="5" fillId="15" borderId="0" xfId="9" applyFont="1" applyFill="1" applyAlignment="1">
      <alignment vertical="center"/>
    </xf>
    <xf numFmtId="0" fontId="8" fillId="15" borderId="0" xfId="9" applyFont="1" applyFill="1" applyAlignment="1">
      <alignment vertical="center"/>
    </xf>
    <xf numFmtId="0" fontId="8" fillId="15" borderId="0" xfId="9" applyFont="1" applyFill="1"/>
    <xf numFmtId="0" fontId="1" fillId="15" borderId="0" xfId="9" applyFont="1" applyFill="1" applyAlignment="1">
      <alignment vertical="center"/>
    </xf>
    <xf numFmtId="0" fontId="1" fillId="15" borderId="0" xfId="9" applyFont="1" applyFill="1"/>
    <xf numFmtId="0" fontId="4" fillId="15" borderId="0" xfId="9" applyFont="1" applyFill="1" applyAlignment="1">
      <alignment vertical="center"/>
    </xf>
    <xf numFmtId="0" fontId="13" fillId="15" borderId="30" xfId="0" applyFont="1" applyFill="1" applyBorder="1"/>
    <xf numFmtId="0" fontId="1" fillId="0" borderId="0" xfId="9" applyFont="1"/>
    <xf numFmtId="0" fontId="49" fillId="0" borderId="0" xfId="9" applyFont="1"/>
    <xf numFmtId="0" fontId="6" fillId="0" borderId="0" xfId="9" applyFont="1" applyAlignment="1">
      <alignment vertical="center"/>
    </xf>
    <xf numFmtId="0" fontId="1" fillId="0" borderId="0" xfId="9" applyFont="1" applyAlignment="1">
      <alignment vertical="center"/>
    </xf>
    <xf numFmtId="0" fontId="9" fillId="15" borderId="0" xfId="9" applyFill="1"/>
    <xf numFmtId="0" fontId="3" fillId="0" borderId="0" xfId="9" applyFont="1" applyAlignment="1">
      <alignment horizontal="center" vertical="center"/>
    </xf>
    <xf numFmtId="0" fontId="1" fillId="0" borderId="0" xfId="9" applyFont="1" applyAlignment="1">
      <alignment horizontal="center" vertical="center"/>
    </xf>
    <xf numFmtId="0" fontId="52" fillId="0" borderId="32" xfId="0" applyFont="1" applyBorder="1" applyAlignment="1">
      <alignment horizontal="center"/>
    </xf>
    <xf numFmtId="0" fontId="52" fillId="0" borderId="31" xfId="0" applyFont="1" applyBorder="1" applyAlignment="1">
      <alignment horizontal="center"/>
    </xf>
    <xf numFmtId="0" fontId="0" fillId="15" borderId="0" xfId="0" applyFill="1"/>
    <xf numFmtId="0" fontId="1" fillId="15" borderId="30" xfId="9" applyFont="1" applyFill="1" applyBorder="1" applyAlignment="1">
      <alignment vertical="center"/>
    </xf>
    <xf numFmtId="0" fontId="5" fillId="15" borderId="30" xfId="9" applyFont="1" applyFill="1" applyBorder="1" applyAlignment="1">
      <alignment vertical="center"/>
    </xf>
    <xf numFmtId="0" fontId="52" fillId="0" borderId="0" xfId="0" applyFont="1" applyAlignment="1">
      <alignment horizontal="center"/>
    </xf>
    <xf numFmtId="0" fontId="13" fillId="0" borderId="31" xfId="0" applyFont="1" applyBorder="1" applyAlignment="1">
      <alignment horizontal="center"/>
    </xf>
    <xf numFmtId="0" fontId="6" fillId="15" borderId="0" xfId="9" applyFont="1" applyFill="1" applyAlignment="1">
      <alignment vertical="center"/>
    </xf>
    <xf numFmtId="0" fontId="9" fillId="15" borderId="30" xfId="9" applyFill="1" applyBorder="1" applyAlignment="1">
      <alignment vertical="center"/>
    </xf>
    <xf numFmtId="14" fontId="5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27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27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9" fillId="7" borderId="0" xfId="0" applyFont="1" applyFill="1" applyAlignment="1">
      <alignment horizontal="center" vertical="top" textRotation="90"/>
    </xf>
    <xf numFmtId="0" fontId="17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14" fillId="0" borderId="14" xfId="2" applyFont="1" applyBorder="1" applyAlignment="1">
      <alignment horizontal="center"/>
    </xf>
    <xf numFmtId="0" fontId="30" fillId="0" borderId="0" xfId="2" applyFont="1" applyAlignment="1">
      <alignment horizontal="center"/>
    </xf>
    <xf numFmtId="16" fontId="14" fillId="0" borderId="0" xfId="2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/>
    <xf numFmtId="0" fontId="38" fillId="0" borderId="0" xfId="0" applyNumberFormat="1" applyFont="1" applyAlignment="1">
      <alignment horizontal="center" wrapText="1"/>
    </xf>
    <xf numFmtId="0" fontId="38" fillId="0" borderId="0" xfId="0" applyFont="1" applyBorder="1" applyAlignment="1">
      <alignment horizontal="left" wrapText="1"/>
    </xf>
    <xf numFmtId="0" fontId="38" fillId="0" borderId="0" xfId="0" applyNumberFormat="1" applyFont="1" applyBorder="1" applyAlignment="1">
      <alignment horizontal="center" wrapText="1"/>
    </xf>
    <xf numFmtId="0" fontId="38" fillId="0" borderId="28" xfId="0" applyNumberFormat="1" applyFont="1" applyBorder="1" applyAlignment="1">
      <alignment horizontal="center" wrapText="1"/>
    </xf>
    <xf numFmtId="0" fontId="38" fillId="0" borderId="28" xfId="0" applyFont="1" applyFill="1" applyBorder="1" applyAlignment="1">
      <alignment horizontal="left"/>
    </xf>
    <xf numFmtId="0" fontId="38" fillId="0" borderId="29" xfId="0" applyNumberFormat="1" applyFont="1" applyBorder="1" applyAlignment="1">
      <alignment horizontal="center" wrapText="1"/>
    </xf>
    <xf numFmtId="0" fontId="38" fillId="0" borderId="29" xfId="0" applyFont="1" applyFill="1" applyBorder="1" applyAlignment="1">
      <alignment horizontal="left" wrapText="1"/>
    </xf>
  </cellXfs>
  <cellStyles count="10">
    <cellStyle name="Comma 2" xfId="4" xr:uid="{84713D23-66F2-4D55-B942-57B78C07EEEB}"/>
    <cellStyle name="Comma 2 2" xfId="6" xr:uid="{5CA7E65B-7EF3-4C3B-8643-928769A73A3A}"/>
    <cellStyle name="Comma 2 3" xfId="8" xr:uid="{1C627498-B5B8-443E-8CEE-25F342E6EE41}"/>
    <cellStyle name="Hyperlink" xfId="1" builtinId="8"/>
    <cellStyle name="Normal" xfId="0" builtinId="0"/>
    <cellStyle name="Normal 2" xfId="2" xr:uid="{00000000-0005-0000-0000-000002000000}"/>
    <cellStyle name="Normal 3" xfId="3" xr:uid="{B85D4508-289F-41E7-BD38-386E0F3CE215}"/>
    <cellStyle name="Normal 3 2" xfId="5" xr:uid="{4ED92DAA-7EEA-469D-A4DB-5ADDAABBC56B}"/>
    <cellStyle name="Normal 3 3" xfId="7" xr:uid="{C092ED34-5038-4420-B360-C220A0E3FB9E}"/>
    <cellStyle name="Normal 4" xfId="9" xr:uid="{9320006F-C3DE-408A-8F0C-6D19C0916C0C}"/>
  </cellStyles>
  <dxfs count="720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alignment wrapText="1"/>
    </dxf>
    <dxf>
      <border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horizontal style="dotted">
          <color auto="1"/>
        </horizontal>
      </border>
    </dxf>
    <dxf>
      <alignment wrapText="1"/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alignment wrapText="1"/>
    </dxf>
    <dxf>
      <alignment wrapText="1"/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</border>
    </dxf>
    <dxf>
      <border>
        <top style="dotted">
          <color auto="1"/>
        </top>
        <bottom style="dotted">
          <color auto="1"/>
        </bottom>
      </border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alignment wrapText="1"/>
    </dxf>
    <dxf>
      <alignment wrapText="1"/>
    </dxf>
    <dxf>
      <alignment wrapText="1"/>
    </dxf>
    <dxf>
      <border>
        <left style="dotted">
          <color auto="1"/>
        </left>
        <right style="dotted">
          <color auto="1"/>
        </right>
      </border>
    </dxf>
    <dxf>
      <border>
        <left style="dotted">
          <color auto="1"/>
        </left>
        <right style="dotted">
          <color auto="1"/>
        </right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border>
        <bottom style="hair">
          <color auto="1"/>
        </bottom>
      </border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alignment wrapText="1"/>
    </dxf>
    <dxf>
      <border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horizontal style="dotted">
          <color auto="1"/>
        </horizontal>
      </border>
    </dxf>
    <dxf>
      <alignment wrapText="1"/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alignment wrapText="1"/>
    </dxf>
    <dxf>
      <alignment wrapText="1"/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</border>
    </dxf>
    <dxf>
      <border>
        <top style="dotted">
          <color auto="1"/>
        </top>
        <bottom style="dotted">
          <color auto="1"/>
        </bottom>
      </border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alignment wrapText="1"/>
    </dxf>
    <dxf>
      <alignment wrapText="1"/>
    </dxf>
    <dxf>
      <alignment wrapText="1"/>
    </dxf>
    <dxf>
      <border>
        <left style="dotted">
          <color auto="1"/>
        </left>
        <right style="dotted">
          <color auto="1"/>
        </right>
      </border>
    </dxf>
    <dxf>
      <border>
        <left style="dotted">
          <color auto="1"/>
        </left>
        <right style="dotted">
          <color auto="1"/>
        </right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bottom style="hair">
          <color auto="1"/>
        </bottom>
      </border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horizontal="center"/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font>
        <sz val="12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none">
          <bgColor auto="1"/>
        </patternFill>
      </fill>
    </dxf>
    <dxf>
      <border>
        <vertical style="dotted">
          <color auto="1"/>
        </vertical>
        <horizontal style="dotted">
          <color auto="1"/>
        </horizontal>
      </border>
    </dxf>
    <dxf>
      <border>
        <right/>
      </border>
    </dxf>
    <dxf>
      <font>
        <sz val="12"/>
      </font>
    </dxf>
    <dxf>
      <alignment wrapText="1"/>
    </dxf>
    <dxf>
      <alignment wrapText="1"/>
    </dxf>
    <dxf>
      <alignment wrapText="1"/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  <alignment wrapText="1"/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alignment wrapText="1"/>
    </dxf>
    <dxf>
      <border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horizontal style="dotted">
          <color auto="1"/>
        </horizontal>
      </border>
    </dxf>
    <dxf>
      <alignment wrapText="1"/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alignment wrapText="1"/>
    </dxf>
    <dxf>
      <alignment wrapText="1"/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</border>
    </dxf>
    <dxf>
      <border>
        <top style="dotted">
          <color auto="1"/>
        </top>
        <bottom style="dotted">
          <color auto="1"/>
        </bottom>
      </border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alignment wrapText="1"/>
    </dxf>
    <dxf>
      <alignment wrapText="1"/>
    </dxf>
    <dxf>
      <alignment wrapText="1"/>
    </dxf>
    <dxf>
      <border>
        <left style="dotted">
          <color auto="1"/>
        </left>
        <right style="dotted">
          <color auto="1"/>
        </right>
      </border>
    </dxf>
    <dxf>
      <border>
        <left style="dotted">
          <color auto="1"/>
        </left>
        <right style="dotted">
          <color auto="1"/>
        </right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bottom style="hair">
          <color auto="1"/>
        </bottom>
      </border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12"/>
      </font>
      <alignment wrapText="1"/>
    </dxf>
    <dxf>
      <font>
        <sz val="12"/>
      </font>
    </dxf>
    <dxf>
      <fill>
        <patternFill patternType="none">
          <bgColor auto="1"/>
        </patternFill>
      </fill>
    </dxf>
    <dxf>
      <alignment wrapText="1"/>
    </dxf>
    <dxf>
      <alignment wrapText="1"/>
    </dxf>
    <dxf>
      <alignment wrapText="1"/>
    </dxf>
    <dxf>
      <font>
        <sz val="12"/>
      </font>
    </dxf>
    <dxf>
      <border>
        <right/>
      </border>
    </dxf>
    <dxf>
      <border>
        <vertical style="dotted">
          <color auto="1"/>
        </vertical>
        <horizontal style="dotted">
          <color auto="1"/>
        </horizontal>
      </border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  <family val="2"/>
      </font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left style="dotted">
          <color auto="1"/>
        </left>
        <right style="dotted">
          <color auto="1"/>
        </right>
      </border>
    </dxf>
    <dxf>
      <border>
        <left style="dotted">
          <color auto="1"/>
        </left>
        <right style="dotted">
          <color auto="1"/>
        </right>
      </border>
    </dxf>
    <dxf>
      <alignment wrapText="1"/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border>
        <top style="dotted">
          <color auto="1"/>
        </top>
        <bottom style="dotted">
          <color auto="1"/>
        </bottom>
        <horizontal style="dotted">
          <color auto="1"/>
        </horizontal>
      </border>
    </dxf>
    <dxf>
      <alignment wrapText="1"/>
    </dxf>
    <dxf>
      <alignment wrapText="1"/>
    </dxf>
    <dxf>
      <border>
        <top style="dotted">
          <color auto="1"/>
        </top>
        <bottom style="dotted">
          <color auto="1"/>
        </bottom>
      </border>
    </dxf>
    <dxf>
      <border>
        <top style="dotted">
          <color auto="1"/>
        </top>
        <bottom style="dotted">
          <color auto="1"/>
        </bottom>
      </border>
    </dxf>
    <dxf>
      <alignment wrapText="1"/>
    </dxf>
    <dxf>
      <alignment wrapText="1"/>
    </dxf>
    <dxf>
      <alignment wrapText="1"/>
    </dxf>
    <dxf>
      <alignment wrapText="1"/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</border>
    </dxf>
    <dxf>
      <alignment wrapText="1"/>
    </dxf>
    <dxf>
      <border>
        <left style="dotted">
          <color auto="1"/>
        </left>
        <right style="dotted">
          <color auto="1"/>
        </right>
        <top style="dotted">
          <color auto="1"/>
        </top>
        <horizontal style="dotted">
          <color auto="1"/>
        </horizontal>
      </border>
    </dxf>
    <dxf>
      <border>
        <horizontal style="dotted">
          <color auto="1"/>
        </horizontal>
      </border>
    </dxf>
    <dxf>
      <alignment wrapText="1"/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border>
        <left style="dotted">
          <color auto="1"/>
        </left>
        <right style="dotted">
          <color auto="1"/>
        </right>
        <vertical style="dotted">
          <color auto="1"/>
        </vertical>
        <horizontal style="dotted">
          <color auto="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font>
        <sz val="12"/>
      </font>
      <alignment wrapText="1"/>
    </dxf>
    <dxf>
      <font>
        <sz val="12"/>
      </font>
    </dxf>
    <dxf>
      <fill>
        <patternFill patternType="none">
          <bgColor auto="1"/>
        </patternFill>
      </fill>
    </dxf>
    <dxf>
      <alignment wrapText="1"/>
    </dxf>
    <dxf>
      <alignment wrapText="1"/>
    </dxf>
    <dxf>
      <alignment wrapText="1"/>
    </dxf>
    <dxf>
      <font>
        <sz val="12"/>
      </font>
    </dxf>
    <dxf>
      <border>
        <right/>
      </border>
    </dxf>
    <dxf>
      <border>
        <vertical style="dotted">
          <color auto="1"/>
        </vertical>
        <horizontal style="dotted">
          <color auto="1"/>
        </horizontal>
      </border>
    </dxf>
    <dxf>
      <fill>
        <patternFill patternType="none">
          <bgColor auto="1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  <family val="2"/>
      </font>
    </dxf>
    <dxf>
      <border>
        <horizontal style="dotted">
          <color auto="1"/>
        </horizontal>
      </border>
    </dxf>
    <dxf>
      <border>
        <horizontal style="dotted">
          <color auto="1"/>
        </horizontal>
      </border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8" formatCode="[&lt;=9999999]###\-####;\(###\)\ ###\-####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5" formatCode="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66FF"/>
      <color rgb="FFFFFF99"/>
      <color rgb="FF00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87746</xdr:colOff>
      <xdr:row>4</xdr:row>
      <xdr:rowOff>15055</xdr:rowOff>
    </xdr:from>
    <xdr:ext cx="9425722" cy="262822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4F6E7BC-727B-C294-C320-162BDEAC45A7}"/>
            </a:ext>
          </a:extLst>
        </xdr:cNvPr>
        <xdr:cNvSpPr/>
      </xdr:nvSpPr>
      <xdr:spPr>
        <a:xfrm>
          <a:off x="87746" y="685615"/>
          <a:ext cx="9425722" cy="262822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This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worksheet, table and query</a:t>
          </a:r>
        </a:p>
        <a:p>
          <a:pPr algn="ctr"/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were eliminated in vDraft.1 of</a:t>
          </a:r>
        </a:p>
        <a:p>
          <a:pPr algn="ctr"/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Summary_New schema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56198</xdr:colOff>
      <xdr:row>0</xdr:row>
      <xdr:rowOff>154283</xdr:rowOff>
    </xdr:from>
    <xdr:ext cx="1452563" cy="342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2816D13-9C61-4E7A-90DE-D90BADBD9033}"/>
            </a:ext>
          </a:extLst>
        </xdr:cNvPr>
        <xdr:cNvSpPr txBox="1"/>
      </xdr:nvSpPr>
      <xdr:spPr>
        <a:xfrm>
          <a:off x="761048" y="154283"/>
          <a:ext cx="1452563" cy="342786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800"/>
            <a:t>Eligble for Gold</a:t>
          </a:r>
          <a:r>
            <a:rPr lang="en-US" sz="800" baseline="0"/>
            <a:t> Tees Based on 2025 Scoring</a:t>
          </a:r>
          <a:endParaRPr lang="en-US" sz="8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1946910</xdr:colOff>
      <xdr:row>3</xdr:row>
      <xdr:rowOff>7620</xdr:rowOff>
    </xdr:from>
    <xdr:to>
      <xdr:col>1</xdr:col>
      <xdr:colOff>758190</xdr:colOff>
      <xdr:row>4</xdr:row>
      <xdr:rowOff>163830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63DB34DA-59F8-4CCE-B215-5875440A92B4}"/>
            </a:ext>
          </a:extLst>
        </xdr:cNvPr>
        <xdr:cNvCxnSpPr/>
      </xdr:nvCxnSpPr>
      <xdr:spPr>
        <a:xfrm>
          <a:off x="3718560" y="550545"/>
          <a:ext cx="759143" cy="3371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ver\Documents\Timken%20Golf%20League\ChatGPT%20Analysis\TMMNGL%20Master%20Tracking%20File_NEW.xlsm" TargetMode="External"/><Relationship Id="rId1" Type="http://schemas.openxmlformats.org/officeDocument/2006/relationships/externalLinkPath" Target="/Users/maver/Documents/Timken%20Golf%20League/ChatGPT%20Analysis/TMMNGL%20Master%20Tracking%20File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Settings Documentation"/>
    </sheetNames>
    <sheetDataSet>
      <sheetData sheetId="0">
        <row r="4">
          <cell r="B4">
            <v>7</v>
          </cell>
        </row>
        <row r="5">
          <cell r="B5" t="b">
            <v>1</v>
          </cell>
        </row>
        <row r="38">
          <cell r="B38" t="str">
            <v>Week*.xlsx</v>
          </cell>
        </row>
        <row r="39">
          <cell r="B39" t="b">
            <v>1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Avery" refreshedDate="46048.878346296297" createdVersion="6" refreshedVersion="8" minRefreshableVersion="3" recordCount="528" xr:uid="{8336A992-3A5B-4951-9BB9-3231E66CAEB0}">
  <cacheSource type="worksheet">
    <worksheetSource name="Upload_Indiv"/>
  </cacheSource>
  <cacheFields count="61">
    <cacheField name="Source.Name" numFmtId="0">
      <sharedItems/>
    </cacheField>
    <cacheField name="Week" numFmtId="0">
      <sharedItems/>
    </cacheField>
    <cacheField name="Date" numFmtId="14">
      <sharedItems containsSemiMixedTypes="0" containsNonDate="0" containsDate="1" containsString="0" minDate="2025-04-14T00:00:00" maxDate="2025-08-19T00:00:00"/>
    </cacheField>
    <cacheField name="Team" numFmtId="0">
      <sharedItems/>
    </cacheField>
    <cacheField name="Opponent" numFmtId="0">
      <sharedItems/>
    </cacheField>
    <cacheField name="Side" numFmtId="0">
      <sharedItems/>
    </cacheField>
    <cacheField name="Position" numFmtId="0">
      <sharedItems containsSemiMixedTypes="0" containsString="0" containsNumber="1" containsInteger="1" minValue="1" maxValue="4"/>
    </cacheField>
    <cacheField name="Player" numFmtId="0">
      <sharedItems containsBlank="1" count="188">
        <s v="Kish, Jeff - C"/>
        <s v="Bates, Jim"/>
        <s v="Parrish, Charlie"/>
        <s v="Avery, Mike - gold tees"/>
        <s v="Blind Draw #1"/>
        <s v="Blind Draw #4"/>
        <s v="Blind Draw #2"/>
        <s v="Blind Draw #3"/>
        <s v="Culver, Chuck"/>
        <s v="Hyde, Scott"/>
        <s v="Yackley, Jeff"/>
        <s v="Boyd, Steve"/>
        <s v="Hegnauer, Clark - green tees"/>
        <s v="Evans, Ryan"/>
        <s v="Kirkpatrick, Tom - gold tees"/>
        <s v="Lapole, Chris - C - gold tees"/>
        <s v="Spoonemore, Joe"/>
        <s v="Smith, Steve - gold tees"/>
        <s v="Cizek, Randy - gold tees"/>
        <s v="Hawkins, Rick - C"/>
        <s v="Shreeve, Tim - C"/>
        <s v="Reed, Rich"/>
        <s v="Rundquist, Chuck"/>
        <s v="Holzer, John"/>
        <s v="Bond, Gregg"/>
        <s v="Howe, Fred - gold tees"/>
        <s v="Radel, Pat - C - green tees"/>
        <s v="Kushner, John"/>
        <s v="Buckley, Chris - gold tees"/>
        <s v="Williams, Jerry - C"/>
        <s v="Cox, Marcus"/>
        <s v="Newsome, Gregg - gold tees"/>
        <s v="Miller, Russ - green tees"/>
        <s v="Preising, Danny"/>
        <s v="Cline, Chad"/>
        <s v="Blind Draw"/>
        <s v="Albaugh, Dick - green tees"/>
        <s v="Blind Draw Who's Your Caddy?"/>
        <s v="Dombrowski, Jerry - gold tees"/>
        <s v="Vassas, Jim"/>
        <s v="Lemus, Alex"/>
        <s v="Fitch, Dennis - gold tees"/>
        <s v="Blind Draw The Four Puttz"/>
        <s v="Parrish, Mack"/>
        <s v="Shrestha, Bishnu"/>
        <s v="Zbuka, Pat"/>
        <s v="Devine, Dean - gold tees"/>
        <s v="Blind Draw Hack Squad"/>
        <s v="Hajba, Michael"/>
        <s v="Piccari, Steve"/>
        <s v="Schloss, Rich"/>
        <s v="Reese, Felix"/>
        <s v="Blind Draw Mickey Mouse Club"/>
        <s v="Okonak, Tom - green tees"/>
        <s v="Blind Draw Stymies"/>
        <s v="Jones, Ron"/>
        <s v="Haslar, Dave - gold tees"/>
        <s v="Sanders, Jim - C"/>
        <s v="Shrestha, Bishnu " u="1"/>
        <s v="Mack Parrish" u="1"/>
        <s v="Bishnu Shrestha" u="1"/>
        <s v="Miller, Russ - gold tees" u="1"/>
        <s v="Rich ?" u="1"/>
        <s v="Hajba, Michael " u="1"/>
        <s v="Smith, Steve" u="1"/>
        <s v="Cizek, Randy" u="1"/>
        <s v="Howe, Fred" u="1"/>
        <s v="Black, Andy - gold tees" u="1"/>
        <s v="Quinn, Pat - gold tees" u="1"/>
        <s v="Matheson, Jamie" u="1"/>
        <s v="Burdett, Cory" u="1"/>
        <s v="Nimon, Ed - gold tees" u="1"/>
        <s v="Fair, John - gold tees" u="1"/>
        <s v="Hardwick, Mike - gold tees" u="1"/>
        <s v="Hasler, Dave" u="1"/>
        <s v="Fair, John" u="1"/>
        <s v="Nimon, Ed" u="1"/>
        <s v="Mike Hajba" u="1"/>
        <s v="Joe Spoonemore" u="1"/>
        <s v="Rick Hawkins" u="1"/>
        <s v="Pat Quinn" u="1"/>
        <s v="Blind 1" u="1"/>
        <s v="Blind 2" u="1"/>
        <s v="Blind 3" u="1"/>
        <s v="Blind 4" u="1"/>
        <m u="1"/>
        <s v="Radel, Pat - green tees" u="1"/>
        <s v="Devine, Dean - C - gold tees" u="1"/>
        <s v="Fowkes, Jerrod" u="1"/>
        <s v="Kean, Pat" u="1"/>
        <s v="Okonak, Tom - C - gold tees" u="1"/>
        <s v="Tavares, Carlos" u="1"/>
        <s v="Sopczak, Mike" u="1"/>
        <s v="Buckley, Chris - C - gold tees" u="1"/>
        <s v="Bagnola, Tony - gold tees" u="1"/>
        <s v="Bagnola, Denny - gold tees" u="1"/>
        <s v="Hawkins, Rick" u="1"/>
        <s v="Blind Draw Aceholes" u="1"/>
        <s v="Heron, Roger" u="1"/>
        <s v="Steve Piccari" u="1"/>
        <s v="Urwin, Todd" u="1"/>
        <s v="Jarocewicz, Pete - gray tees" u="1"/>
        <s v="Nimon, Ed - gray tees" u="1"/>
        <s v="Shalosky, Connor" u="1"/>
        <s v="Sanchez, Dave - gold tees" u="1"/>
        <s v="Bush, Dan - gray tees" u="1"/>
        <s v="Evans, Dick - gray tees" u="1"/>
        <s v="Lapole, Chris - C - gray tees" u="1"/>
        <s v="Holzapfel, John" u="1"/>
        <s v="Hunter, Harry - gray tees" u="1"/>
        <s v="Conneely, Mark" u="1"/>
        <s v="Bent, Patty - fwd tees" u="1"/>
        <s v="Avery, Mike - gray tees" u="1"/>
        <s v="Kolosionek, Roman - C - gray tees" u="1"/>
        <s v="Hunter, Harry - gold tees" u="1"/>
        <s v="Sopczak, Mike - white tees" u="1"/>
        <s v="Evans, Dick" u="1"/>
        <s v="Burnett, Al - fwd tees" u="1"/>
        <s v="Cole, Becky - fwd tees" u="1"/>
        <s v="Miller, Ken - gray tees" u="1"/>
        <s v="Hill, Jerry - C - fwd tees" u="1"/>
        <s v="Pete Jarocewicz" u="1"/>
        <s v="Spears, Stacey - green tees" u="1"/>
        <s v="Blair, Daniel" u="1"/>
        <s v="Marks, Larry" u="1"/>
        <s v="Hegnauer, Clark - gold tees" u="1"/>
        <s v="Devine, Dean - C - gray tees" u="1"/>
        <s v="Dressler, Gary - gold tees" u="1"/>
        <s v="Radel, Pat - gold tees" u="1"/>
        <s v="Cole, Jim - C - gray tees" u="1"/>
        <s v="John Kushner" u="1"/>
        <s v="Kolosionek, Roman - C - gold tees" u="1"/>
        <s v="Bye-Player 2" u="1"/>
        <s v="Dickerhoof, Ean" u="1"/>
        <s v="Cole, Jim - C - gold tees" u="1"/>
        <s v="Thoma, Dan - C - gray tees" u="1"/>
        <s v="Tidenburg, Walt (sub)" u="1"/>
        <s v="Williams, Jerry" u="1"/>
        <s v="Buckley, Chris - gray tees" u="1"/>
        <s v="Hegnauer, Clark - gray tees" u="1"/>
        <s v="Kish, Jeff" u="1"/>
        <s v="Selby, Joe" u="1"/>
        <s v="Mertes, Dick - red tees" u="1"/>
        <s v="Haslar, Dave - Gray tees" u="1"/>
        <s v="Evans, Dick - fwd tees" u="1"/>
        <s v="Hill, Susan - fwd tees" u="1"/>
        <s v="Kieffer, David - gray tees" u="1"/>
        <s v="Fowkes, Jerrod - gray tees" u="1"/>
        <s v="Bye-Player 4" u="1"/>
        <s v="Miller, Russ - gray tees" u="1"/>
        <s v="Bagnola, Tony - gray tees" u="1"/>
        <s v="D'Ostroph, Malcolm" u="1"/>
        <s v="Dick Evans - fwd Tees" u="1"/>
        <s v="Pat Kean" u="1"/>
        <s v="Brown , Rick - gray tees" u="1"/>
        <s v="Bush, Dan - gold tees" u="1"/>
        <s v="Yackley, Jeff - C" u="1"/>
        <s v="Radel, Pat - gray tees" u="1"/>
        <s v="Mertes, Dick - fwd tees" u="1"/>
        <s v="Lenarz, Robert - Gold Tees " u="1"/>
        <s v="Pyles, Terry" u="1"/>
        <s v="Miller, Ken - gold tees" u="1"/>
        <s v="Kutscher, Jim - gray tees" u="1"/>
        <s v="Brown, Blaine" u="1"/>
        <s v="Okonak, Tom - C - gray tees" u="1"/>
        <s v="Calhoun, Doug" u="1"/>
        <s v="Hunter, Harry" u="1"/>
        <s v="Tidenburg, Walt" u="1"/>
        <s v="Black, Andy - gray tees" u="1"/>
        <s v="Bye-Player 1" u="1"/>
        <s v="Clendenin, AC" u="1"/>
        <s v="Wrecsics, Ernie" u="1"/>
        <s v="Mark Conneely" u="1"/>
        <s v="Bagnola, Denny - gray tees" u="1"/>
        <s v="Burnett, Al - gray tees" u="1"/>
        <s v="Hill, Jerry - C - gray tees" u="1"/>
        <s v="Jarocewicz, Pete - gold tees" u="1"/>
        <s v="Kutscher, Jim - red tees" u="1"/>
        <s v="Fitch, Dennis - gray tees" u="1"/>
        <s v="Fowkes, Jerrod - gold tees" u="1"/>
        <s v="Quinn, Pat - gray tees" u="1"/>
        <s v="Lenarz, Robert - Gold Tees" u="1"/>
        <s v="Bye-Player 3" u="1"/>
        <s v="Braun, Zev" u="1"/>
        <s v="Lenarz, Beaux" u="1"/>
        <s v="Kutscher, Jim - fwd tees" u="1"/>
        <s v="Brown , Rick - gold tees" u="1"/>
        <s v="Kirkpatrick, Tom - gray tees" u="1"/>
      </sharedItems>
    </cacheField>
    <cacheField name="Excl Score" numFmtId="0">
      <sharedItems/>
    </cacheField>
    <cacheField name="Score1" numFmtId="0">
      <sharedItems containsSemiMixedTypes="0" containsString="0" containsNumber="1" containsInteger="1" minValue="0" maxValue="9"/>
    </cacheField>
    <cacheField name="Score2" numFmtId="0">
      <sharedItems containsSemiMixedTypes="0" containsString="0" containsNumber="1" containsInteger="1" minValue="0" maxValue="10"/>
    </cacheField>
    <cacheField name="Score3" numFmtId="0">
      <sharedItems containsSemiMixedTypes="0" containsString="0" containsNumber="1" containsInteger="1" minValue="0" maxValue="9"/>
    </cacheField>
    <cacheField name="Score4" numFmtId="0">
      <sharedItems containsSemiMixedTypes="0" containsString="0" containsNumber="1" containsInteger="1" minValue="0" maxValue="9"/>
    </cacheField>
    <cacheField name="Score5" numFmtId="0">
      <sharedItems containsSemiMixedTypes="0" containsString="0" containsNumber="1" containsInteger="1" minValue="0" maxValue="9"/>
    </cacheField>
    <cacheField name="Score6" numFmtId="0">
      <sharedItems containsSemiMixedTypes="0" containsString="0" containsNumber="1" containsInteger="1" minValue="0" maxValue="10"/>
    </cacheField>
    <cacheField name="Score7" numFmtId="0">
      <sharedItems containsSemiMixedTypes="0" containsString="0" containsNumber="1" containsInteger="1" minValue="0" maxValue="10"/>
    </cacheField>
    <cacheField name="Score8" numFmtId="0">
      <sharedItems containsSemiMixedTypes="0" containsString="0" containsNumber="1" containsInteger="1" minValue="0" maxValue="9"/>
    </cacheField>
    <cacheField name="Score9" numFmtId="0">
      <sharedItems containsSemiMixedTypes="0" containsString="0" containsNumber="1" containsInteger="1" minValue="0" maxValue="10"/>
    </cacheField>
    <cacheField name="Gross" numFmtId="0">
      <sharedItems containsSemiMixedTypes="0" containsString="0" containsNumber="1" containsInteger="1" minValue="0" maxValue="78"/>
    </cacheField>
    <cacheField name="Hdcp" numFmtId="0">
      <sharedItems containsString="0" containsBlank="1" containsNumber="1" minValue="0" maxValue="20"/>
    </cacheField>
    <cacheField name="Net" numFmtId="0">
      <sharedItems containsString="0" containsBlank="1" containsNumber="1" containsInteger="1" minValue="-20" maxValue="58"/>
    </cacheField>
    <cacheField name="Strokes1" numFmtId="0">
      <sharedItems containsString="0" containsBlank="1" containsNumber="1" containsInteger="1" minValue="0" maxValue="3"/>
    </cacheField>
    <cacheField name="Strokes2" numFmtId="0">
      <sharedItems containsString="0" containsBlank="1" containsNumber="1" containsInteger="1" minValue="0" maxValue="2"/>
    </cacheField>
    <cacheField name="Strokes3" numFmtId="0">
      <sharedItems containsString="0" containsBlank="1" containsNumber="1" containsInteger="1" minValue="0" maxValue="2"/>
    </cacheField>
    <cacheField name="Strokes4" numFmtId="0">
      <sharedItems containsString="0" containsBlank="1" containsNumber="1" containsInteger="1" minValue="0" maxValue="3"/>
    </cacheField>
    <cacheField name="Strokes5" numFmtId="0">
      <sharedItems containsString="0" containsBlank="1" containsNumber="1" containsInteger="1" minValue="0" maxValue="2"/>
    </cacheField>
    <cacheField name="Strokes6" numFmtId="0">
      <sharedItems containsString="0" containsBlank="1" containsNumber="1" containsInteger="1" minValue="0" maxValue="3"/>
    </cacheField>
    <cacheField name="Strokes7" numFmtId="0">
      <sharedItems containsString="0" containsBlank="1" containsNumber="1" containsInteger="1" minValue="0" maxValue="2"/>
    </cacheField>
    <cacheField name="Strokes8" numFmtId="0">
      <sharedItems containsString="0" containsBlank="1" containsNumber="1" containsInteger="1" minValue="0" maxValue="3"/>
    </cacheField>
    <cacheField name="Strokes9" numFmtId="0">
      <sharedItems containsString="0" containsBlank="1" containsNumber="1" containsInteger="1" minValue="0" maxValue="2"/>
    </cacheField>
    <cacheField name="Points1" numFmtId="0">
      <sharedItems containsSemiMixedTypes="0" containsString="0" containsNumber="1" containsInteger="1" minValue="0" maxValue="2"/>
    </cacheField>
    <cacheField name="Points2" numFmtId="0">
      <sharedItems containsSemiMixedTypes="0" containsString="0" containsNumber="1" containsInteger="1" minValue="0" maxValue="2"/>
    </cacheField>
    <cacheField name="Points3" numFmtId="0">
      <sharedItems containsSemiMixedTypes="0" containsString="0" containsNumber="1" containsInteger="1" minValue="0" maxValue="2"/>
    </cacheField>
    <cacheField name="Points4" numFmtId="0">
      <sharedItems containsSemiMixedTypes="0" containsString="0" containsNumber="1" containsInteger="1" minValue="0" maxValue="2"/>
    </cacheField>
    <cacheField name="Points5" numFmtId="0">
      <sharedItems containsSemiMixedTypes="0" containsString="0" containsNumber="1" containsInteger="1" minValue="0" maxValue="2"/>
    </cacheField>
    <cacheField name="Points6" numFmtId="0">
      <sharedItems containsSemiMixedTypes="0" containsString="0" containsNumber="1" containsInteger="1" minValue="0" maxValue="2"/>
    </cacheField>
    <cacheField name="Points7" numFmtId="0">
      <sharedItems containsSemiMixedTypes="0" containsString="0" containsNumber="1" containsInteger="1" minValue="0" maxValue="2"/>
    </cacheField>
    <cacheField name="Points8" numFmtId="0">
      <sharedItems containsSemiMixedTypes="0" containsString="0" containsNumber="1" containsInteger="1" minValue="0" maxValue="2"/>
    </cacheField>
    <cacheField name="Points9" numFmtId="0">
      <sharedItems containsSemiMixedTypes="0" containsString="0" containsNumber="1" containsInteger="1" minValue="0" maxValue="2"/>
    </cacheField>
    <cacheField name="PointsNet" numFmtId="0">
      <sharedItems containsSemiMixedTypes="0" containsString="0" containsNumber="1" containsInteger="1" minValue="0" maxValue="2"/>
    </cacheField>
    <cacheField name="PointsTot" numFmtId="0">
      <sharedItems containsSemiMixedTypes="0" containsString="0" containsNumber="1" containsInteger="1" minValue="0" maxValue="20"/>
    </cacheField>
    <cacheField name="Bird1" numFmtId="0">
      <sharedItems containsString="0" containsBlank="1" containsNumber="1" containsInteger="1" minValue="1" maxValue="1"/>
    </cacheField>
    <cacheField name="Bird2" numFmtId="0">
      <sharedItems containsString="0" containsBlank="1" containsNumber="1" containsInteger="1" minValue="1" maxValue="1"/>
    </cacheField>
    <cacheField name="Bird3" numFmtId="0">
      <sharedItems containsString="0" containsBlank="1" containsNumber="1" containsInteger="1" minValue="1" maxValue="1"/>
    </cacheField>
    <cacheField name="Bird4" numFmtId="0">
      <sharedItems containsString="0" containsBlank="1" containsNumber="1" containsInteger="1" minValue="1" maxValue="1"/>
    </cacheField>
    <cacheField name="Bird5" numFmtId="0">
      <sharedItems containsString="0" containsBlank="1" containsNumber="1" containsInteger="1" minValue="1" maxValue="1"/>
    </cacheField>
    <cacheField name="Bird6" numFmtId="0">
      <sharedItems containsString="0" containsBlank="1" containsNumber="1" containsInteger="1" minValue="1" maxValue="1"/>
    </cacheField>
    <cacheField name="Bird7" numFmtId="0">
      <sharedItems containsString="0" containsBlank="1" containsNumber="1" containsInteger="1" minValue="1" maxValue="1"/>
    </cacheField>
    <cacheField name="Bird8" numFmtId="0">
      <sharedItems containsString="0" containsBlank="1" containsNumber="1" containsInteger="1" minValue="1" maxValue="1"/>
    </cacheField>
    <cacheField name="Bird9" numFmtId="0">
      <sharedItems containsString="0" containsBlank="1" containsNumber="1" containsInteger="1" minValue="1" maxValue="1"/>
    </cacheField>
    <cacheField name="Tot_Birds" numFmtId="0">
      <sharedItems containsSemiMixedTypes="0" containsString="0" containsNumber="1" containsInteger="1" minValue="0" maxValue="2"/>
    </cacheField>
    <cacheField name="Eagle1" numFmtId="0">
      <sharedItems containsNonDate="0" containsString="0" containsBlank="1"/>
    </cacheField>
    <cacheField name="Eagle2" numFmtId="0">
      <sharedItems containsString="0" containsBlank="1" containsNumber="1" containsInteger="1" minValue="1" maxValue="1"/>
    </cacheField>
    <cacheField name="Eagle3" numFmtId="0">
      <sharedItems containsNonDate="0" containsString="0" containsBlank="1"/>
    </cacheField>
    <cacheField name="Eagle4" numFmtId="0">
      <sharedItems containsNonDate="0" containsString="0" containsBlank="1"/>
    </cacheField>
    <cacheField name="Eagle5" numFmtId="0">
      <sharedItems containsNonDate="0" containsString="0" containsBlank="1"/>
    </cacheField>
    <cacheField name="Eagle6" numFmtId="0">
      <sharedItems containsString="0" containsBlank="1" containsNumber="1" containsInteger="1" minValue="1" maxValue="1"/>
    </cacheField>
    <cacheField name="Eagle7" numFmtId="0">
      <sharedItems containsNonDate="0" containsString="0" containsBlank="1"/>
    </cacheField>
    <cacheField name="Eagle8" numFmtId="0">
      <sharedItems containsNonDate="0" containsString="0" containsBlank="1"/>
    </cacheField>
    <cacheField name="Eagle9" numFmtId="0">
      <sharedItems containsNonDate="0" containsString="0" containsBlank="1"/>
    </cacheField>
    <cacheField name="Tot_Eagle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8">
  <r>
    <s v="Week 1 25 ACE vs BD.xlsx"/>
    <s v="1"/>
    <d v="2025-04-14T00:00:00"/>
    <s v="Aceholes"/>
    <s v="Blind Draw"/>
    <s v="Raintree Front"/>
    <n v="1"/>
    <x v="0"/>
    <s v="0"/>
    <n v="6"/>
    <n v="5"/>
    <n v="7"/>
    <n v="4"/>
    <n v="4"/>
    <n v="5"/>
    <n v="6"/>
    <n v="3"/>
    <n v="5"/>
    <n v="45"/>
    <n v="3.46"/>
    <n v="42"/>
    <n v="1"/>
    <n v="0"/>
    <n v="1"/>
    <n v="0"/>
    <n v="0"/>
    <n v="1"/>
    <n v="0"/>
    <n v="0"/>
    <n v="0"/>
    <n v="1"/>
    <n v="1"/>
    <n v="0"/>
    <n v="0"/>
    <n v="1"/>
    <n v="2"/>
    <n v="0"/>
    <n v="1"/>
    <n v="0"/>
    <n v="0"/>
    <n v="6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Aceholes"/>
    <s v="Blind Draw"/>
    <s v="Raintree Front"/>
    <n v="2"/>
    <x v="1"/>
    <s v="0"/>
    <n v="6"/>
    <n v="5"/>
    <n v="5"/>
    <n v="3"/>
    <n v="5"/>
    <n v="6"/>
    <n v="7"/>
    <n v="3"/>
    <n v="5"/>
    <n v="45"/>
    <n v="4.8"/>
    <n v="40"/>
    <n v="1"/>
    <n v="0"/>
    <n v="1"/>
    <n v="0"/>
    <n v="0"/>
    <n v="1"/>
    <n v="1"/>
    <n v="0"/>
    <n v="1"/>
    <n v="1"/>
    <n v="1"/>
    <n v="1"/>
    <n v="1"/>
    <n v="0"/>
    <n v="1"/>
    <n v="0"/>
    <n v="1"/>
    <n v="1"/>
    <n v="0"/>
    <n v="7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Aceholes"/>
    <s v="Blind Draw"/>
    <s v="Raintree Front"/>
    <n v="3"/>
    <x v="2"/>
    <s v="0"/>
    <n v="5"/>
    <n v="8"/>
    <n v="6"/>
    <n v="4"/>
    <n v="4"/>
    <n v="6"/>
    <n v="5"/>
    <n v="4"/>
    <n v="4"/>
    <n v="46"/>
    <n v="5.76"/>
    <n v="40"/>
    <n v="1"/>
    <n v="0"/>
    <n v="1"/>
    <n v="0"/>
    <n v="0"/>
    <n v="1"/>
    <n v="1"/>
    <n v="1"/>
    <n v="1"/>
    <n v="2"/>
    <n v="0"/>
    <n v="0"/>
    <n v="0"/>
    <n v="1"/>
    <n v="1"/>
    <n v="2"/>
    <n v="1"/>
    <n v="2"/>
    <n v="0"/>
    <n v="9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Aceholes"/>
    <s v="Blind Draw"/>
    <s v="Raintree Front"/>
    <n v="4"/>
    <x v="3"/>
    <s v="0"/>
    <n v="6"/>
    <n v="7"/>
    <n v="5"/>
    <n v="4"/>
    <n v="6"/>
    <n v="7"/>
    <n v="7"/>
    <n v="5"/>
    <n v="7"/>
    <n v="54"/>
    <n v="13.25"/>
    <n v="41"/>
    <n v="2"/>
    <n v="1"/>
    <n v="2"/>
    <n v="1"/>
    <n v="1"/>
    <n v="2"/>
    <n v="1"/>
    <n v="1"/>
    <n v="2"/>
    <n v="2"/>
    <n v="0"/>
    <n v="2"/>
    <n v="1"/>
    <n v="0"/>
    <n v="1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Blind Draw"/>
    <s v="Aceholes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2"/>
    <n v="2"/>
    <n v="1"/>
    <n v="0"/>
    <n v="2"/>
    <n v="1"/>
    <n v="2"/>
    <n v="2"/>
    <n v="14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Blind Draw"/>
    <s v="Aceholes"/>
    <s v="Raintree Front"/>
    <n v="2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1"/>
    <n v="1"/>
    <n v="2"/>
    <n v="1"/>
    <n v="2"/>
    <n v="1"/>
    <n v="1"/>
    <n v="2"/>
    <n v="13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Blind Draw"/>
    <s v="Aceholes"/>
    <s v="Raintree Front"/>
    <n v="3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2"/>
    <n v="2"/>
    <n v="1"/>
    <n v="1"/>
    <n v="0"/>
    <n v="1"/>
    <n v="0"/>
    <n v="2"/>
    <n v="11"/>
    <m/>
    <m/>
    <m/>
    <m/>
    <m/>
    <m/>
    <m/>
    <m/>
    <m/>
    <n v="0"/>
    <m/>
    <m/>
    <m/>
    <m/>
    <m/>
    <m/>
    <m/>
    <m/>
    <m/>
    <n v="0"/>
  </r>
  <r>
    <s v="Week 1 25 ACE vs BD.xlsx"/>
    <s v="1"/>
    <d v="2025-04-14T00:00:00"/>
    <s v="Blind Draw"/>
    <s v="Aceholes"/>
    <s v="Raintree Front"/>
    <n v="4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0"/>
    <n v="1"/>
    <n v="2"/>
    <n v="1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Metheads"/>
    <s v="Stymies"/>
    <s v="Raintree Back"/>
    <n v="1"/>
    <x v="8"/>
    <s v="0"/>
    <n v="4"/>
    <n v="3"/>
    <n v="6"/>
    <n v="5"/>
    <n v="6"/>
    <n v="6"/>
    <n v="4"/>
    <n v="5"/>
    <n v="8"/>
    <n v="47"/>
    <n v="4.03"/>
    <n v="43"/>
    <n v="0"/>
    <n v="0"/>
    <n v="0"/>
    <n v="0"/>
    <n v="0"/>
    <n v="0"/>
    <n v="0"/>
    <n v="0"/>
    <n v="0"/>
    <n v="2"/>
    <n v="1"/>
    <n v="1"/>
    <n v="2"/>
    <n v="0"/>
    <n v="1"/>
    <n v="1"/>
    <n v="1"/>
    <n v="0"/>
    <n v="0"/>
    <n v="9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Metheads"/>
    <s v="Stymies"/>
    <s v="Raintree Back"/>
    <n v="2"/>
    <x v="9"/>
    <s v="0"/>
    <n v="5"/>
    <n v="3"/>
    <n v="4"/>
    <n v="7"/>
    <n v="7"/>
    <n v="6"/>
    <n v="4"/>
    <n v="5"/>
    <n v="6"/>
    <n v="47"/>
    <n v="4.8"/>
    <n v="42"/>
    <n v="0"/>
    <n v="0"/>
    <n v="0"/>
    <n v="0"/>
    <n v="0"/>
    <n v="0"/>
    <n v="0"/>
    <n v="0"/>
    <n v="0"/>
    <n v="0"/>
    <n v="2"/>
    <n v="2"/>
    <n v="0"/>
    <n v="0"/>
    <n v="2"/>
    <n v="1"/>
    <n v="0"/>
    <n v="2"/>
    <n v="0"/>
    <n v="9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Metheads"/>
    <s v="Stymies"/>
    <s v="Raintree Back"/>
    <n v="3"/>
    <x v="10"/>
    <s v="0"/>
    <n v="5"/>
    <n v="5"/>
    <n v="5"/>
    <n v="8"/>
    <n v="5"/>
    <n v="5"/>
    <n v="4"/>
    <n v="4"/>
    <n v="5"/>
    <n v="46"/>
    <n v="6.96"/>
    <n v="39"/>
    <n v="0"/>
    <n v="0"/>
    <n v="0"/>
    <n v="0"/>
    <n v="0"/>
    <n v="0"/>
    <n v="0"/>
    <n v="0"/>
    <n v="0"/>
    <n v="2"/>
    <n v="0"/>
    <n v="2"/>
    <n v="1"/>
    <n v="0"/>
    <n v="2"/>
    <n v="1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Metheads"/>
    <s v="Stymies"/>
    <s v="Raintree Back"/>
    <n v="4"/>
    <x v="11"/>
    <s v="0"/>
    <n v="3"/>
    <n v="5"/>
    <n v="9"/>
    <n v="4"/>
    <n v="6"/>
    <n v="6"/>
    <n v="3"/>
    <n v="5"/>
    <n v="8"/>
    <n v="49"/>
    <n v="8.83"/>
    <n v="40"/>
    <n v="0"/>
    <n v="0"/>
    <n v="0"/>
    <n v="0"/>
    <n v="0"/>
    <n v="0"/>
    <n v="0"/>
    <n v="0"/>
    <n v="0"/>
    <n v="2"/>
    <n v="0"/>
    <n v="0"/>
    <n v="2"/>
    <n v="1"/>
    <n v="0"/>
    <n v="2"/>
    <n v="2"/>
    <n v="1"/>
    <n v="2"/>
    <n v="12"/>
    <n v="1"/>
    <m/>
    <m/>
    <m/>
    <m/>
    <m/>
    <m/>
    <m/>
    <m/>
    <n v="1"/>
    <m/>
    <m/>
    <m/>
    <m/>
    <m/>
    <m/>
    <m/>
    <m/>
    <m/>
    <n v="0"/>
  </r>
  <r>
    <s v="Week 1 25 MET vs STY_MCA.xlsx"/>
    <s v="1"/>
    <d v="2025-04-14T00:00:00"/>
    <s v="Stymies"/>
    <s v="Metheads"/>
    <s v="Raintree Back"/>
    <n v="1"/>
    <x v="12"/>
    <s v="0"/>
    <n v="5"/>
    <n v="3"/>
    <n v="6"/>
    <n v="7"/>
    <n v="6"/>
    <n v="6"/>
    <n v="4"/>
    <n v="6"/>
    <n v="6"/>
    <n v="49"/>
    <n v="6.91"/>
    <n v="42"/>
    <n v="0"/>
    <n v="0"/>
    <n v="0"/>
    <n v="1"/>
    <n v="1"/>
    <n v="0"/>
    <n v="0"/>
    <n v="1"/>
    <n v="0"/>
    <n v="0"/>
    <n v="1"/>
    <n v="1"/>
    <n v="0"/>
    <n v="2"/>
    <n v="1"/>
    <n v="1"/>
    <n v="1"/>
    <n v="2"/>
    <n v="2"/>
    <n v="11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Stymies"/>
    <s v="Metheads"/>
    <s v="Raintree Back"/>
    <n v="2"/>
    <x v="13"/>
    <s v="0"/>
    <n v="4"/>
    <n v="4"/>
    <n v="5"/>
    <n v="6"/>
    <n v="5"/>
    <n v="7"/>
    <n v="4"/>
    <n v="5"/>
    <n v="7"/>
    <n v="47"/>
    <n v="7.3"/>
    <n v="40"/>
    <n v="0"/>
    <n v="0"/>
    <n v="0"/>
    <n v="1"/>
    <n v="1"/>
    <n v="0"/>
    <n v="0"/>
    <n v="1"/>
    <n v="0"/>
    <n v="2"/>
    <n v="0"/>
    <n v="0"/>
    <n v="2"/>
    <n v="2"/>
    <n v="0"/>
    <n v="1"/>
    <n v="2"/>
    <n v="0"/>
    <n v="2"/>
    <n v="11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Stymies"/>
    <s v="Metheads"/>
    <s v="Raintree Back"/>
    <n v="3"/>
    <x v="14"/>
    <s v="0"/>
    <n v="6"/>
    <n v="5"/>
    <n v="6"/>
    <n v="9"/>
    <n v="5"/>
    <n v="7"/>
    <n v="4"/>
    <n v="8"/>
    <n v="10"/>
    <n v="60"/>
    <n v="12.67"/>
    <n v="47"/>
    <n v="0"/>
    <n v="1"/>
    <n v="0"/>
    <n v="1"/>
    <n v="1"/>
    <n v="1"/>
    <n v="0"/>
    <n v="1"/>
    <n v="1"/>
    <n v="0"/>
    <n v="2"/>
    <n v="0"/>
    <n v="1"/>
    <n v="2"/>
    <n v="0"/>
    <n v="1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 25 MET vs STY_MCA.xlsx"/>
    <s v="1"/>
    <d v="2025-04-14T00:00:00"/>
    <s v="Stymies"/>
    <s v="Metheads"/>
    <s v="Raintree Back"/>
    <n v="4"/>
    <x v="15"/>
    <s v="0"/>
    <n v="6"/>
    <n v="4"/>
    <n v="6"/>
    <n v="8"/>
    <n v="7"/>
    <n v="6"/>
    <n v="4"/>
    <n v="8"/>
    <n v="9"/>
    <n v="58"/>
    <n v="15.55"/>
    <n v="42"/>
    <n v="1"/>
    <n v="1"/>
    <n v="0"/>
    <n v="1"/>
    <n v="1"/>
    <n v="1"/>
    <n v="0"/>
    <n v="1"/>
    <n v="1"/>
    <n v="0"/>
    <n v="2"/>
    <n v="2"/>
    <n v="0"/>
    <n v="1"/>
    <n v="2"/>
    <n v="0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Mickey Mouse Club"/>
    <s v="The Four Puttz"/>
    <s v="Raintree Back"/>
    <n v="1"/>
    <x v="16"/>
    <s v="0"/>
    <n v="5"/>
    <n v="5"/>
    <n v="6"/>
    <n v="6"/>
    <n v="6"/>
    <n v="6"/>
    <n v="5"/>
    <n v="8"/>
    <n v="6"/>
    <n v="53"/>
    <n v="10.37"/>
    <n v="43"/>
    <n v="0"/>
    <n v="0"/>
    <n v="0"/>
    <n v="1"/>
    <n v="1"/>
    <n v="1"/>
    <n v="0"/>
    <n v="1"/>
    <n v="1"/>
    <n v="1"/>
    <n v="0"/>
    <n v="0"/>
    <n v="0"/>
    <n v="1"/>
    <n v="0"/>
    <n v="0"/>
    <n v="0"/>
    <n v="2"/>
    <n v="0"/>
    <n v="4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Mickey Mouse Club"/>
    <s v="The Four Puttz"/>
    <s v="Raintree Back"/>
    <n v="2"/>
    <x v="17"/>
    <s v="0"/>
    <n v="7"/>
    <n v="6"/>
    <n v="9"/>
    <n v="7"/>
    <n v="5"/>
    <n v="7"/>
    <n v="6"/>
    <n v="9"/>
    <n v="8"/>
    <n v="64"/>
    <n v="20"/>
    <n v="44"/>
    <n v="1"/>
    <n v="1"/>
    <n v="1"/>
    <n v="2"/>
    <n v="2"/>
    <n v="1"/>
    <n v="1"/>
    <n v="2"/>
    <n v="2"/>
    <n v="1"/>
    <n v="0"/>
    <n v="0"/>
    <n v="2"/>
    <n v="2"/>
    <n v="2"/>
    <n v="0"/>
    <n v="0"/>
    <n v="1"/>
    <n v="1"/>
    <n v="9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Mickey Mouse Club"/>
    <s v="The Four Puttz"/>
    <s v="Raintree Back"/>
    <n v="3"/>
    <x v="18"/>
    <s v="0"/>
    <n v="3"/>
    <n v="3"/>
    <n v="9"/>
    <n v="8"/>
    <n v="5"/>
    <n v="7"/>
    <n v="8"/>
    <n v="8"/>
    <n v="8"/>
    <n v="59"/>
    <n v="20"/>
    <n v="39"/>
    <n v="1"/>
    <n v="1"/>
    <n v="1"/>
    <n v="1"/>
    <n v="1"/>
    <n v="1"/>
    <n v="0"/>
    <n v="1"/>
    <n v="1"/>
    <n v="2"/>
    <n v="2"/>
    <n v="0"/>
    <n v="0"/>
    <n v="2"/>
    <n v="2"/>
    <n v="0"/>
    <n v="2"/>
    <n v="2"/>
    <n v="2"/>
    <n v="14"/>
    <n v="1"/>
    <m/>
    <m/>
    <m/>
    <m/>
    <m/>
    <m/>
    <m/>
    <m/>
    <n v="1"/>
    <m/>
    <m/>
    <m/>
    <m/>
    <m/>
    <m/>
    <m/>
    <m/>
    <m/>
    <n v="0"/>
  </r>
  <r>
    <s v="Week 1 25 MMC vs 4P_MCA.xlsx"/>
    <s v="1"/>
    <d v="2025-04-14T00:00:00"/>
    <s v="Mickey Mouse Club"/>
    <s v="The Four Puttz"/>
    <s v="Raintree Back"/>
    <n v="4"/>
    <x v="19"/>
    <s v="0"/>
    <n v="6"/>
    <n v="5"/>
    <n v="7"/>
    <n v="7"/>
    <n v="6"/>
    <n v="7"/>
    <n v="8"/>
    <n v="7"/>
    <n v="8"/>
    <n v="61"/>
    <n v="16.32"/>
    <n v="45"/>
    <n v="0"/>
    <n v="0"/>
    <n v="0"/>
    <n v="1"/>
    <n v="0"/>
    <n v="0"/>
    <n v="0"/>
    <n v="1"/>
    <n v="0"/>
    <n v="2"/>
    <n v="1"/>
    <n v="2"/>
    <n v="2"/>
    <n v="2"/>
    <n v="2"/>
    <n v="0"/>
    <n v="2"/>
    <n v="1"/>
    <n v="2"/>
    <n v="16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The Four Puttz"/>
    <s v="Mickey Mouse Club"/>
    <s v="Raintree Back"/>
    <n v="1"/>
    <x v="20"/>
    <s v="0"/>
    <n v="5"/>
    <n v="4"/>
    <n v="4"/>
    <n v="4"/>
    <n v="5"/>
    <n v="4"/>
    <n v="2"/>
    <n v="5"/>
    <n v="6"/>
    <n v="39"/>
    <n v="4.99"/>
    <n v="34"/>
    <n v="0"/>
    <n v="0"/>
    <n v="0"/>
    <n v="0"/>
    <n v="0"/>
    <n v="0"/>
    <n v="0"/>
    <n v="0"/>
    <n v="0"/>
    <n v="1"/>
    <n v="2"/>
    <n v="2"/>
    <n v="2"/>
    <n v="1"/>
    <n v="2"/>
    <n v="2"/>
    <n v="2"/>
    <n v="0"/>
    <n v="2"/>
    <n v="16"/>
    <m/>
    <m/>
    <m/>
    <m/>
    <m/>
    <n v="1"/>
    <n v="1"/>
    <m/>
    <m/>
    <n v="2"/>
    <m/>
    <m/>
    <m/>
    <m/>
    <m/>
    <m/>
    <m/>
    <m/>
    <m/>
    <n v="0"/>
  </r>
  <r>
    <s v="Week 1 25 MMC vs 4P_MCA.xlsx"/>
    <s v="1"/>
    <d v="2025-04-14T00:00:00"/>
    <s v="The Four Puttz"/>
    <s v="Mickey Mouse Club"/>
    <s v="Raintree Back"/>
    <n v="2"/>
    <x v="21"/>
    <s v="0"/>
    <n v="6"/>
    <n v="3"/>
    <n v="5"/>
    <n v="6"/>
    <n v="7"/>
    <n v="8"/>
    <n v="4"/>
    <n v="6"/>
    <n v="6"/>
    <n v="51"/>
    <n v="7.3"/>
    <n v="44"/>
    <n v="0"/>
    <n v="0"/>
    <n v="0"/>
    <n v="0"/>
    <n v="0"/>
    <n v="0"/>
    <n v="0"/>
    <n v="0"/>
    <n v="0"/>
    <n v="1"/>
    <n v="2"/>
    <n v="2"/>
    <n v="0"/>
    <n v="0"/>
    <n v="0"/>
    <n v="2"/>
    <n v="2"/>
    <n v="1"/>
    <n v="1"/>
    <n v="11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The Four Puttz"/>
    <s v="Mickey Mouse Club"/>
    <s v="Raintree Back"/>
    <n v="3"/>
    <x v="22"/>
    <s v="0"/>
    <n v="5"/>
    <n v="4"/>
    <n v="7"/>
    <n v="6"/>
    <n v="9"/>
    <n v="8"/>
    <n v="4"/>
    <n v="8"/>
    <n v="9"/>
    <n v="60"/>
    <n v="12.1"/>
    <n v="48"/>
    <n v="0"/>
    <n v="0"/>
    <n v="0"/>
    <n v="0"/>
    <n v="0"/>
    <n v="0"/>
    <n v="0"/>
    <n v="0"/>
    <n v="0"/>
    <n v="0"/>
    <n v="0"/>
    <n v="2"/>
    <n v="2"/>
    <n v="0"/>
    <n v="0"/>
    <n v="2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 25 MMC vs 4P_MCA.xlsx"/>
    <s v="1"/>
    <d v="2025-04-14T00:00:00"/>
    <s v="The Four Puttz"/>
    <s v="Mickey Mouse Club"/>
    <s v="Raintree Back"/>
    <n v="4"/>
    <x v="23"/>
    <s v="0"/>
    <n v="9"/>
    <n v="5"/>
    <n v="9"/>
    <n v="7"/>
    <n v="9"/>
    <n v="9"/>
    <n v="5"/>
    <n v="9"/>
    <n v="8"/>
    <n v="70"/>
    <n v="14.59"/>
    <n v="55"/>
    <n v="0"/>
    <n v="0"/>
    <n v="0"/>
    <n v="0"/>
    <n v="0"/>
    <n v="0"/>
    <n v="0"/>
    <n v="0"/>
    <n v="0"/>
    <n v="0"/>
    <n v="1"/>
    <n v="0"/>
    <n v="0"/>
    <n v="0"/>
    <n v="0"/>
    <n v="2"/>
    <n v="0"/>
    <n v="1"/>
    <n v="0"/>
    <n v="4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Who's Your Caddy?"/>
    <s v="Hack Squad"/>
    <s v="Raintree Front"/>
    <n v="1"/>
    <x v="24"/>
    <s v="0"/>
    <n v="7"/>
    <n v="7"/>
    <n v="5"/>
    <n v="4"/>
    <n v="8"/>
    <n v="7"/>
    <n v="8"/>
    <n v="6"/>
    <n v="6"/>
    <n v="58"/>
    <n v="7.1"/>
    <n v="51"/>
    <n v="0"/>
    <n v="0"/>
    <n v="0"/>
    <n v="0"/>
    <n v="0"/>
    <n v="0"/>
    <n v="0"/>
    <n v="0"/>
    <n v="0"/>
    <n v="0"/>
    <n v="2"/>
    <n v="0"/>
    <n v="2"/>
    <n v="0"/>
    <n v="2"/>
    <n v="1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Who's Your Caddy?"/>
    <s v="Hack Squad"/>
    <s v="Raintree Front"/>
    <n v="2"/>
    <x v="25"/>
    <s v="0"/>
    <n v="9"/>
    <n v="10"/>
    <n v="7"/>
    <n v="6"/>
    <n v="7"/>
    <n v="7"/>
    <n v="9"/>
    <n v="7"/>
    <n v="8"/>
    <n v="70"/>
    <n v="20"/>
    <n v="50"/>
    <n v="1"/>
    <n v="0"/>
    <n v="1"/>
    <n v="0"/>
    <n v="0"/>
    <n v="1"/>
    <n v="1"/>
    <n v="0"/>
    <n v="1"/>
    <n v="0"/>
    <n v="0"/>
    <n v="1"/>
    <n v="0"/>
    <n v="0"/>
    <n v="1"/>
    <n v="1"/>
    <n v="0"/>
    <n v="0"/>
    <n v="0"/>
    <n v="3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Who's Your Caddy?"/>
    <s v="Hack Squad"/>
    <s v="Raintree Front"/>
    <n v="3"/>
    <x v="26"/>
    <s v="0"/>
    <n v="7"/>
    <n v="8"/>
    <n v="6"/>
    <n v="4"/>
    <n v="5"/>
    <n v="7"/>
    <n v="8"/>
    <n v="5"/>
    <n v="5"/>
    <n v="55"/>
    <n v="9.02"/>
    <n v="46"/>
    <n v="0"/>
    <n v="0"/>
    <n v="0"/>
    <n v="0"/>
    <n v="0"/>
    <n v="0"/>
    <n v="0"/>
    <n v="0"/>
    <n v="0"/>
    <n v="0"/>
    <n v="0"/>
    <n v="2"/>
    <n v="2"/>
    <n v="0"/>
    <n v="0"/>
    <n v="2"/>
    <n v="0"/>
    <n v="2"/>
    <n v="0"/>
    <n v="8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Who's Your Caddy?"/>
    <s v="Hack Squad"/>
    <s v="Raintree Front"/>
    <n v="4"/>
    <x v="27"/>
    <s v="0"/>
    <n v="7"/>
    <n v="7"/>
    <n v="5"/>
    <n v="4"/>
    <n v="6"/>
    <n v="9"/>
    <n v="9"/>
    <n v="3"/>
    <n v="6"/>
    <n v="56"/>
    <n v="14.4"/>
    <n v="42"/>
    <n v="0"/>
    <n v="0"/>
    <n v="0"/>
    <n v="0"/>
    <n v="0"/>
    <n v="0"/>
    <n v="0"/>
    <n v="0"/>
    <n v="0"/>
    <n v="1"/>
    <n v="1"/>
    <n v="2"/>
    <n v="2"/>
    <n v="0"/>
    <n v="0"/>
    <n v="0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Hack Squad"/>
    <s v="Who's Your Caddy?"/>
    <s v="Raintree Front"/>
    <n v="1"/>
    <x v="28"/>
    <s v="0"/>
    <n v="6"/>
    <n v="8"/>
    <n v="5"/>
    <n v="5"/>
    <n v="6"/>
    <n v="9"/>
    <n v="9"/>
    <n v="6"/>
    <n v="7"/>
    <n v="61"/>
    <n v="12.67"/>
    <n v="48"/>
    <n v="1"/>
    <n v="0"/>
    <n v="1"/>
    <n v="0"/>
    <n v="0"/>
    <n v="1"/>
    <n v="1"/>
    <n v="1"/>
    <n v="1"/>
    <n v="2"/>
    <n v="0"/>
    <n v="2"/>
    <n v="0"/>
    <n v="2"/>
    <n v="0"/>
    <n v="1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Hack Squad"/>
    <s v="Who's Your Caddy?"/>
    <s v="Raintree Front"/>
    <n v="2"/>
    <x v="29"/>
    <s v="0"/>
    <n v="7"/>
    <n v="7"/>
    <n v="6"/>
    <n v="4"/>
    <n v="5"/>
    <n v="6"/>
    <n v="8"/>
    <n v="5"/>
    <n v="6"/>
    <n v="54"/>
    <n v="14.98"/>
    <n v="39"/>
    <n v="0"/>
    <n v="0"/>
    <n v="0"/>
    <n v="0"/>
    <n v="0"/>
    <n v="0"/>
    <n v="0"/>
    <n v="0"/>
    <n v="0"/>
    <n v="2"/>
    <n v="2"/>
    <n v="1"/>
    <n v="2"/>
    <n v="2"/>
    <n v="1"/>
    <n v="1"/>
    <n v="2"/>
    <n v="2"/>
    <n v="2"/>
    <n v="17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Hack Squad"/>
    <s v="Who's Your Caddy?"/>
    <s v="Raintree Front"/>
    <n v="3"/>
    <x v="30"/>
    <s v="0"/>
    <n v="7"/>
    <n v="7"/>
    <n v="8"/>
    <n v="5"/>
    <n v="4"/>
    <n v="6"/>
    <n v="10"/>
    <n v="4"/>
    <n v="8"/>
    <n v="59"/>
    <n v="15.55"/>
    <n v="43"/>
    <n v="1"/>
    <n v="1"/>
    <n v="1"/>
    <n v="0"/>
    <n v="0"/>
    <n v="1"/>
    <n v="1"/>
    <n v="1"/>
    <n v="1"/>
    <n v="2"/>
    <n v="2"/>
    <n v="0"/>
    <n v="0"/>
    <n v="2"/>
    <n v="2"/>
    <n v="0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1 25 WYC vs HS_MCA.xlsx"/>
    <s v="1"/>
    <d v="2025-04-14T00:00:00"/>
    <s v="Hack Squad"/>
    <s v="Who's Your Caddy?"/>
    <s v="Raintree Front"/>
    <n v="4"/>
    <x v="31"/>
    <s v="0"/>
    <n v="8"/>
    <n v="7"/>
    <n v="7"/>
    <n v="5"/>
    <n v="5"/>
    <n v="6"/>
    <n v="7"/>
    <n v="5"/>
    <n v="5"/>
    <n v="55"/>
    <n v="17.09"/>
    <n v="38"/>
    <n v="1"/>
    <n v="0"/>
    <n v="1"/>
    <n v="0"/>
    <n v="0"/>
    <n v="1"/>
    <n v="0"/>
    <n v="0"/>
    <n v="0"/>
    <n v="1"/>
    <n v="1"/>
    <n v="0"/>
    <n v="0"/>
    <n v="2"/>
    <n v="2"/>
    <n v="2"/>
    <n v="0"/>
    <n v="2"/>
    <n v="2"/>
    <n v="12"/>
    <m/>
    <m/>
    <m/>
    <m/>
    <m/>
    <m/>
    <m/>
    <m/>
    <m/>
    <n v="0"/>
    <m/>
    <m/>
    <m/>
    <m/>
    <m/>
    <m/>
    <m/>
    <m/>
    <m/>
    <n v="0"/>
  </r>
  <r>
    <s v="Week 10 25 ACE vs MMC.xlsx"/>
    <s v="10"/>
    <d v="2025-06-23T00:00:00"/>
    <s v="Aceholes"/>
    <s v="Mickey Mouse Club"/>
    <s v="Raintree Front"/>
    <n v="1"/>
    <x v="0"/>
    <s v="0"/>
    <n v="4"/>
    <n v="5"/>
    <n v="5"/>
    <n v="4"/>
    <n v="5"/>
    <n v="4"/>
    <n v="6"/>
    <n v="3"/>
    <n v="6"/>
    <n v="42"/>
    <n v="3.07"/>
    <n v="39"/>
    <n v="0"/>
    <n v="0"/>
    <n v="0"/>
    <n v="0"/>
    <n v="0"/>
    <n v="0"/>
    <n v="0"/>
    <n v="0"/>
    <n v="0"/>
    <n v="1"/>
    <n v="2"/>
    <n v="0"/>
    <n v="1"/>
    <n v="2"/>
    <n v="2"/>
    <n v="0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0 25 ACE vs MMC.xlsx"/>
    <s v="10"/>
    <d v="2025-06-23T00:00:00"/>
    <s v="Aceholes"/>
    <s v="Mickey Mouse Club"/>
    <s v="Raintree Front"/>
    <n v="2"/>
    <x v="1"/>
    <s v="0"/>
    <n v="6"/>
    <n v="6"/>
    <n v="4"/>
    <n v="2"/>
    <n v="4"/>
    <n v="4"/>
    <n v="5"/>
    <n v="5"/>
    <n v="4"/>
    <n v="40"/>
    <n v="3.84"/>
    <n v="36"/>
    <n v="0"/>
    <n v="0"/>
    <n v="0"/>
    <n v="0"/>
    <n v="0"/>
    <n v="0"/>
    <n v="0"/>
    <n v="0"/>
    <n v="0"/>
    <n v="0"/>
    <n v="1"/>
    <n v="2"/>
    <n v="2"/>
    <n v="2"/>
    <n v="2"/>
    <n v="0"/>
    <n v="0"/>
    <n v="1"/>
    <n v="2"/>
    <n v="12"/>
    <m/>
    <m/>
    <m/>
    <n v="1"/>
    <m/>
    <m/>
    <m/>
    <m/>
    <m/>
    <n v="1"/>
    <m/>
    <m/>
    <m/>
    <m/>
    <m/>
    <m/>
    <m/>
    <m/>
    <m/>
    <n v="0"/>
  </r>
  <r>
    <s v="Week 10 25 ACE vs MMC.xlsx"/>
    <s v="10"/>
    <d v="2025-06-23T00:00:00"/>
    <s v="Aceholes"/>
    <s v="Mickey Mouse Club"/>
    <s v="Raintree Front"/>
    <n v="3"/>
    <x v="2"/>
    <s v="0"/>
    <n v="3"/>
    <n v="5"/>
    <n v="5"/>
    <n v="4"/>
    <n v="3"/>
    <n v="4"/>
    <n v="7"/>
    <n v="4"/>
    <n v="4"/>
    <n v="39"/>
    <n v="5.57"/>
    <n v="33"/>
    <n v="0"/>
    <n v="0"/>
    <n v="0"/>
    <n v="0"/>
    <n v="0"/>
    <n v="0"/>
    <n v="0"/>
    <n v="0"/>
    <n v="0"/>
    <n v="2"/>
    <n v="1"/>
    <n v="1"/>
    <n v="1"/>
    <n v="2"/>
    <n v="2"/>
    <n v="0"/>
    <n v="0"/>
    <n v="1"/>
    <n v="2"/>
    <n v="12"/>
    <n v="1"/>
    <m/>
    <m/>
    <m/>
    <n v="1"/>
    <m/>
    <m/>
    <m/>
    <m/>
    <n v="2"/>
    <m/>
    <m/>
    <m/>
    <m/>
    <m/>
    <m/>
    <m/>
    <m/>
    <m/>
    <n v="0"/>
  </r>
  <r>
    <s v="Week 10 25 ACE vs MMC.xlsx"/>
    <s v="10"/>
    <d v="2025-06-23T00:00:00"/>
    <s v="Aceholes"/>
    <s v="Mickey Mouse Club"/>
    <s v="Raintree Front"/>
    <n v="4"/>
    <x v="3"/>
    <s v="0"/>
    <n v="5"/>
    <n v="7"/>
    <n v="5"/>
    <n v="4"/>
    <n v="5"/>
    <n v="6"/>
    <n v="8"/>
    <n v="5"/>
    <n v="5"/>
    <n v="50"/>
    <n v="15.94"/>
    <n v="34"/>
    <n v="0"/>
    <n v="0"/>
    <n v="0"/>
    <n v="0"/>
    <n v="0"/>
    <n v="0"/>
    <n v="0"/>
    <n v="0"/>
    <n v="0"/>
    <n v="2"/>
    <n v="2"/>
    <n v="2"/>
    <n v="2"/>
    <n v="2"/>
    <n v="2"/>
    <n v="0"/>
    <n v="2"/>
    <n v="2"/>
    <n v="2"/>
    <n v="18"/>
    <m/>
    <m/>
    <m/>
    <m/>
    <m/>
    <m/>
    <m/>
    <m/>
    <m/>
    <n v="0"/>
    <m/>
    <m/>
    <m/>
    <m/>
    <m/>
    <m/>
    <m/>
    <m/>
    <m/>
    <n v="0"/>
  </r>
  <r>
    <s v="Week 10 25 ACE vs MMC.xlsx"/>
    <s v="10"/>
    <d v="2025-06-23T00:00:00"/>
    <s v="Mickey Mouse Club"/>
    <s v="Aceholes"/>
    <s v="Raintree Front"/>
    <n v="1"/>
    <x v="18"/>
    <s v="0"/>
    <n v="5"/>
    <n v="7"/>
    <n v="4"/>
    <n v="4"/>
    <n v="6"/>
    <n v="6"/>
    <n v="6"/>
    <n v="3"/>
    <n v="6"/>
    <n v="47"/>
    <n v="8.64"/>
    <n v="38"/>
    <n v="1"/>
    <n v="0"/>
    <n v="1"/>
    <n v="0"/>
    <n v="0"/>
    <n v="1"/>
    <n v="1"/>
    <n v="1"/>
    <n v="1"/>
    <n v="1"/>
    <n v="0"/>
    <n v="2"/>
    <n v="1"/>
    <n v="0"/>
    <n v="0"/>
    <n v="2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0 25 ACE vs MMC.xlsx"/>
    <s v="10"/>
    <d v="2025-06-23T00:00:00"/>
    <s v="Mickey Mouse Club"/>
    <s v="Aceholes"/>
    <s v="Raintree Front"/>
    <n v="2"/>
    <x v="16"/>
    <s v="0"/>
    <n v="6"/>
    <n v="7"/>
    <n v="9"/>
    <n v="4"/>
    <n v="7"/>
    <n v="8"/>
    <n v="4"/>
    <n v="4"/>
    <n v="5"/>
    <n v="54"/>
    <n v="12.1"/>
    <n v="42"/>
    <n v="1"/>
    <n v="1"/>
    <n v="1"/>
    <n v="1"/>
    <n v="0"/>
    <n v="1"/>
    <n v="1"/>
    <n v="1"/>
    <n v="1"/>
    <n v="2"/>
    <n v="1"/>
    <n v="0"/>
    <n v="0"/>
    <n v="0"/>
    <n v="0"/>
    <n v="2"/>
    <n v="2"/>
    <n v="1"/>
    <n v="0"/>
    <n v="8"/>
    <m/>
    <m/>
    <m/>
    <m/>
    <m/>
    <m/>
    <n v="1"/>
    <m/>
    <m/>
    <n v="1"/>
    <m/>
    <m/>
    <m/>
    <m/>
    <m/>
    <m/>
    <m/>
    <m/>
    <m/>
    <n v="0"/>
  </r>
  <r>
    <s v="Week 10 25 ACE vs MMC.xlsx"/>
    <s v="10"/>
    <d v="2025-06-23T00:00:00"/>
    <s v="Mickey Mouse Club"/>
    <s v="Aceholes"/>
    <s v="Raintree Front"/>
    <n v="3"/>
    <x v="17"/>
    <s v="0"/>
    <n v="7"/>
    <n v="6"/>
    <n v="6"/>
    <n v="5"/>
    <n v="7"/>
    <n v="9"/>
    <n v="6"/>
    <n v="3"/>
    <n v="5"/>
    <n v="54"/>
    <n v="16.32"/>
    <n v="38"/>
    <n v="2"/>
    <n v="1"/>
    <n v="1"/>
    <n v="1"/>
    <n v="1"/>
    <n v="2"/>
    <n v="1"/>
    <n v="1"/>
    <n v="1"/>
    <n v="0"/>
    <n v="1"/>
    <n v="1"/>
    <n v="1"/>
    <n v="0"/>
    <n v="0"/>
    <n v="2"/>
    <n v="2"/>
    <n v="1"/>
    <n v="0"/>
    <n v="8"/>
    <m/>
    <m/>
    <m/>
    <m/>
    <m/>
    <m/>
    <m/>
    <m/>
    <m/>
    <n v="0"/>
    <m/>
    <m/>
    <m/>
    <m/>
    <m/>
    <m/>
    <m/>
    <m/>
    <m/>
    <n v="0"/>
  </r>
  <r>
    <s v="Week 10 25 ACE vs MMC.xlsx"/>
    <s v="10"/>
    <d v="2025-06-23T00:00:00"/>
    <s v="Mickey Mouse Club"/>
    <s v="Aceholes"/>
    <s v="Raintree Front"/>
    <n v="4"/>
    <x v="19"/>
    <s v="0"/>
    <n v="7"/>
    <n v="8"/>
    <n v="7"/>
    <n v="6"/>
    <n v="6"/>
    <n v="9"/>
    <n v="7"/>
    <n v="6"/>
    <n v="6"/>
    <n v="62"/>
    <n v="19.2"/>
    <n v="43"/>
    <n v="1"/>
    <n v="0"/>
    <n v="1"/>
    <n v="0"/>
    <n v="0"/>
    <n v="1"/>
    <n v="0"/>
    <n v="0"/>
    <n v="0"/>
    <n v="0"/>
    <n v="0"/>
    <n v="0"/>
    <n v="0"/>
    <n v="0"/>
    <n v="0"/>
    <n v="2"/>
    <n v="0"/>
    <n v="0"/>
    <n v="0"/>
    <n v="2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Hack Squad"/>
    <s v="Blind Draw"/>
    <s v="Raintree Front"/>
    <n v="1"/>
    <x v="29"/>
    <s v="0"/>
    <n v="6"/>
    <n v="6"/>
    <n v="6"/>
    <n v="7"/>
    <n v="5"/>
    <n v="5"/>
    <n v="7"/>
    <n v="6"/>
    <n v="6"/>
    <n v="54"/>
    <n v="15.74"/>
    <n v="38"/>
    <n v="2"/>
    <n v="2"/>
    <n v="2"/>
    <n v="1"/>
    <n v="1"/>
    <n v="2"/>
    <n v="2"/>
    <n v="2"/>
    <n v="2"/>
    <n v="2"/>
    <n v="2"/>
    <n v="1"/>
    <n v="0"/>
    <n v="1"/>
    <n v="2"/>
    <n v="1"/>
    <n v="0"/>
    <n v="1"/>
    <n v="1"/>
    <n v="11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Hack Squad"/>
    <s v="Blind Draw"/>
    <s v="Raintree Front"/>
    <n v="2"/>
    <x v="28"/>
    <s v="0"/>
    <n v="6"/>
    <n v="6"/>
    <n v="6"/>
    <n v="8"/>
    <n v="5"/>
    <n v="5"/>
    <n v="7"/>
    <n v="6"/>
    <n v="6"/>
    <n v="55"/>
    <n v="16.7"/>
    <n v="38"/>
    <n v="2"/>
    <n v="2"/>
    <n v="2"/>
    <n v="2"/>
    <n v="1"/>
    <n v="2"/>
    <n v="2"/>
    <n v="2"/>
    <n v="2"/>
    <n v="2"/>
    <n v="2"/>
    <n v="1"/>
    <n v="0"/>
    <n v="1"/>
    <n v="2"/>
    <n v="1"/>
    <n v="0"/>
    <n v="1"/>
    <n v="1"/>
    <n v="11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Hack Squad"/>
    <s v="Blind Draw"/>
    <s v="Raintree Front"/>
    <n v="3"/>
    <x v="30"/>
    <s v="0"/>
    <n v="5"/>
    <n v="6"/>
    <n v="7"/>
    <n v="5"/>
    <n v="7"/>
    <n v="5"/>
    <n v="7"/>
    <n v="6"/>
    <n v="6"/>
    <n v="54"/>
    <n v="17.66"/>
    <n v="36"/>
    <n v="2"/>
    <n v="2"/>
    <n v="2"/>
    <n v="2"/>
    <n v="2"/>
    <n v="2"/>
    <n v="2"/>
    <n v="2"/>
    <n v="2"/>
    <n v="2"/>
    <n v="2"/>
    <n v="0"/>
    <n v="1"/>
    <n v="0"/>
    <n v="2"/>
    <n v="1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Hack Squad"/>
    <s v="Blind Draw"/>
    <s v="Raintree Front"/>
    <n v="4"/>
    <x v="31"/>
    <s v="0"/>
    <n v="5"/>
    <n v="8"/>
    <n v="6"/>
    <n v="7"/>
    <n v="7"/>
    <n v="6"/>
    <n v="8"/>
    <n v="6"/>
    <n v="6"/>
    <n v="59"/>
    <n v="18.62"/>
    <n v="40"/>
    <n v="2"/>
    <n v="2"/>
    <n v="2"/>
    <n v="2"/>
    <n v="2"/>
    <n v="3"/>
    <n v="2"/>
    <n v="2"/>
    <n v="2"/>
    <n v="2"/>
    <n v="0"/>
    <n v="1"/>
    <n v="0"/>
    <n v="0"/>
    <n v="2"/>
    <n v="0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Blind Draw"/>
    <s v="Hack Squad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1"/>
    <n v="2"/>
    <n v="1"/>
    <n v="0"/>
    <n v="1"/>
    <n v="2"/>
    <n v="1"/>
    <n v="1"/>
    <n v="9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Blind Draw"/>
    <s v="Hack Squad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1"/>
    <n v="2"/>
    <n v="1"/>
    <n v="0"/>
    <n v="1"/>
    <n v="2"/>
    <n v="1"/>
    <n v="1"/>
    <n v="9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Blind Draw"/>
    <s v="Hack Squad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2"/>
    <n v="1"/>
    <n v="2"/>
    <n v="0"/>
    <n v="1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0 25 HS vs BD_MCA.xlsx"/>
    <s v="10"/>
    <d v="2025-06-23T00:00:00"/>
    <s v="Blind Draw"/>
    <s v="Hack Squad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1"/>
    <n v="2"/>
    <n v="2"/>
    <n v="0"/>
    <n v="2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Metheads"/>
    <s v="The Four Puttz"/>
    <s v="Raintree Back"/>
    <n v="1"/>
    <x v="9"/>
    <s v="0"/>
    <n v="5"/>
    <n v="4"/>
    <n v="5"/>
    <n v="6"/>
    <n v="5"/>
    <n v="6"/>
    <n v="4"/>
    <n v="5"/>
    <n v="6"/>
    <n v="46"/>
    <n v="7.3"/>
    <n v="39"/>
    <n v="0"/>
    <n v="0"/>
    <n v="0"/>
    <n v="1"/>
    <n v="1"/>
    <n v="0"/>
    <n v="0"/>
    <n v="1"/>
    <n v="0"/>
    <n v="2"/>
    <n v="1"/>
    <n v="1"/>
    <n v="0"/>
    <n v="2"/>
    <n v="1"/>
    <n v="0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Metheads"/>
    <s v="The Four Puttz"/>
    <s v="Raintree Back"/>
    <n v="2"/>
    <x v="8"/>
    <s v="0"/>
    <n v="5"/>
    <n v="4"/>
    <n v="5"/>
    <n v="6"/>
    <n v="7"/>
    <n v="5"/>
    <n v="5"/>
    <n v="5"/>
    <n v="7"/>
    <n v="49"/>
    <n v="8.4499999999999993"/>
    <n v="41"/>
    <n v="0"/>
    <n v="0"/>
    <n v="0"/>
    <n v="1"/>
    <n v="0"/>
    <n v="0"/>
    <n v="0"/>
    <n v="1"/>
    <n v="0"/>
    <n v="2"/>
    <n v="2"/>
    <n v="1"/>
    <n v="1"/>
    <n v="0"/>
    <n v="0"/>
    <n v="0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Metheads"/>
    <s v="The Four Puttz"/>
    <s v="Raintree Back"/>
    <n v="3"/>
    <x v="32"/>
    <s v="0"/>
    <n v="5"/>
    <n v="3"/>
    <n v="5"/>
    <n v="3"/>
    <n v="5"/>
    <n v="9"/>
    <n v="4"/>
    <n v="5"/>
    <n v="9"/>
    <n v="48"/>
    <n v="10.56"/>
    <n v="37"/>
    <n v="0"/>
    <n v="0"/>
    <n v="0"/>
    <n v="0"/>
    <n v="0"/>
    <n v="0"/>
    <n v="0"/>
    <n v="0"/>
    <n v="0"/>
    <n v="1"/>
    <n v="2"/>
    <n v="0"/>
    <n v="2"/>
    <n v="0"/>
    <n v="0"/>
    <n v="2"/>
    <n v="0"/>
    <n v="0"/>
    <n v="0"/>
    <n v="7"/>
    <m/>
    <m/>
    <m/>
    <n v="1"/>
    <m/>
    <m/>
    <m/>
    <m/>
    <m/>
    <n v="1"/>
    <m/>
    <m/>
    <m/>
    <m/>
    <m/>
    <m/>
    <m/>
    <m/>
    <m/>
    <n v="0"/>
  </r>
  <r>
    <s v="Week 10 25 MET vs 4P_MCA.xlsx"/>
    <s v="10"/>
    <d v="2025-06-23T00:00:00"/>
    <s v="Metheads"/>
    <s v="The Four Puttz"/>
    <s v="Raintree Back"/>
    <n v="4"/>
    <x v="33"/>
    <s v="0"/>
    <n v="5"/>
    <n v="3"/>
    <n v="5"/>
    <n v="5"/>
    <n v="6"/>
    <n v="5"/>
    <n v="3"/>
    <n v="4"/>
    <n v="5"/>
    <n v="41"/>
    <n v="3.8"/>
    <n v="37"/>
    <n v="0"/>
    <n v="0"/>
    <n v="0"/>
    <n v="0"/>
    <n v="0"/>
    <n v="0"/>
    <n v="0"/>
    <n v="0"/>
    <n v="0"/>
    <n v="2"/>
    <n v="2"/>
    <n v="0"/>
    <n v="1"/>
    <n v="0"/>
    <n v="0"/>
    <n v="0"/>
    <n v="1"/>
    <n v="2"/>
    <n v="2"/>
    <n v="10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The Four Puttz"/>
    <s v="Metheads"/>
    <s v="Raintree Back"/>
    <n v="1"/>
    <x v="20"/>
    <s v="0"/>
    <n v="6"/>
    <n v="4"/>
    <n v="5"/>
    <n v="4"/>
    <n v="6"/>
    <n v="6"/>
    <n v="3"/>
    <n v="4"/>
    <n v="5"/>
    <n v="43"/>
    <n v="4.6100000000000003"/>
    <n v="38"/>
    <n v="0"/>
    <n v="0"/>
    <n v="0"/>
    <n v="0"/>
    <n v="0"/>
    <n v="0"/>
    <n v="0"/>
    <n v="0"/>
    <n v="0"/>
    <n v="0"/>
    <n v="1"/>
    <n v="1"/>
    <n v="2"/>
    <n v="0"/>
    <n v="1"/>
    <n v="2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The Four Puttz"/>
    <s v="Metheads"/>
    <s v="Raintree Back"/>
    <n v="2"/>
    <x v="34"/>
    <s v="0"/>
    <n v="6"/>
    <n v="6"/>
    <n v="5"/>
    <n v="5"/>
    <n v="5"/>
    <n v="4"/>
    <n v="3"/>
    <n v="4"/>
    <n v="5"/>
    <n v="43"/>
    <n v="6.72"/>
    <n v="36"/>
    <n v="0"/>
    <n v="0"/>
    <n v="0"/>
    <n v="0"/>
    <n v="0"/>
    <n v="0"/>
    <n v="0"/>
    <n v="0"/>
    <n v="0"/>
    <n v="0"/>
    <n v="0"/>
    <n v="1"/>
    <n v="1"/>
    <n v="2"/>
    <n v="2"/>
    <n v="2"/>
    <n v="1"/>
    <n v="2"/>
    <n v="2"/>
    <n v="13"/>
    <m/>
    <m/>
    <m/>
    <m/>
    <m/>
    <n v="1"/>
    <m/>
    <m/>
    <m/>
    <n v="1"/>
    <m/>
    <m/>
    <m/>
    <m/>
    <m/>
    <m/>
    <m/>
    <m/>
    <m/>
    <n v="0"/>
  </r>
  <r>
    <s v="Week 10 25 MET vs 4P_MCA.xlsx"/>
    <s v="10"/>
    <d v="2025-06-23T00:00:00"/>
    <s v="The Four Puttz"/>
    <s v="Metheads"/>
    <s v="Raintree Back"/>
    <n v="3"/>
    <x v="22"/>
    <s v="0"/>
    <n v="5"/>
    <n v="5"/>
    <n v="4"/>
    <n v="7"/>
    <n v="5"/>
    <n v="6"/>
    <n v="5"/>
    <n v="4"/>
    <n v="8"/>
    <n v="49"/>
    <n v="13.63"/>
    <n v="35"/>
    <n v="0"/>
    <n v="0"/>
    <n v="0"/>
    <n v="1"/>
    <n v="1"/>
    <n v="0"/>
    <n v="0"/>
    <n v="1"/>
    <n v="0"/>
    <n v="1"/>
    <n v="0"/>
    <n v="2"/>
    <n v="0"/>
    <n v="2"/>
    <n v="2"/>
    <n v="0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10 25 MET vs 4P_MCA.xlsx"/>
    <s v="10"/>
    <d v="2025-06-23T00:00:00"/>
    <s v="The Four Puttz"/>
    <s v="Metheads"/>
    <s v="Raintree Back"/>
    <n v="4"/>
    <x v="23"/>
    <s v="0"/>
    <n v="7"/>
    <n v="6"/>
    <n v="5"/>
    <n v="7"/>
    <n v="6"/>
    <n v="5"/>
    <n v="3"/>
    <n v="6"/>
    <n v="7"/>
    <n v="52"/>
    <n v="14.4"/>
    <n v="38"/>
    <n v="1"/>
    <n v="1"/>
    <n v="1"/>
    <n v="2"/>
    <n v="1"/>
    <n v="1"/>
    <n v="1"/>
    <n v="2"/>
    <n v="1"/>
    <n v="0"/>
    <n v="0"/>
    <n v="2"/>
    <n v="1"/>
    <n v="2"/>
    <n v="2"/>
    <n v="2"/>
    <n v="1"/>
    <n v="0"/>
    <n v="0"/>
    <n v="10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Stymies"/>
    <s v="Who's Your Caddy?"/>
    <s v="Raintree Back"/>
    <n v="1"/>
    <x v="10"/>
    <s v="0"/>
    <n v="5"/>
    <n v="5"/>
    <n v="4"/>
    <n v="6"/>
    <n v="6"/>
    <n v="6"/>
    <n v="4"/>
    <n v="6"/>
    <n v="4"/>
    <n v="46"/>
    <n v="7.49"/>
    <n v="39"/>
    <n v="0"/>
    <n v="0"/>
    <n v="0"/>
    <n v="0"/>
    <n v="0"/>
    <n v="0"/>
    <n v="0"/>
    <n v="0"/>
    <n v="0"/>
    <n v="1"/>
    <n v="0"/>
    <n v="2"/>
    <n v="0"/>
    <n v="1"/>
    <n v="2"/>
    <n v="0"/>
    <n v="1"/>
    <n v="2"/>
    <n v="0"/>
    <n v="9"/>
    <m/>
    <m/>
    <m/>
    <m/>
    <m/>
    <m/>
    <m/>
    <m/>
    <n v="1"/>
    <n v="1"/>
    <m/>
    <m/>
    <m/>
    <m/>
    <m/>
    <m/>
    <m/>
    <m/>
    <m/>
    <n v="0"/>
  </r>
  <r>
    <s v="Week 10 25 STY vs WYC_MCA.xlsx"/>
    <s v="10"/>
    <d v="2025-06-23T00:00:00"/>
    <s v="Stymies"/>
    <s v="Who's Your Caddy?"/>
    <s v="Raintree Back"/>
    <n v="2"/>
    <x v="12"/>
    <s v="0"/>
    <n v="5"/>
    <n v="4"/>
    <n v="4"/>
    <n v="6"/>
    <n v="5"/>
    <n v="5"/>
    <n v="4"/>
    <n v="6"/>
    <n v="5"/>
    <n v="44"/>
    <n v="8.64"/>
    <n v="35"/>
    <n v="1"/>
    <n v="1"/>
    <n v="1"/>
    <n v="1"/>
    <n v="1"/>
    <n v="1"/>
    <n v="1"/>
    <n v="1"/>
    <n v="1"/>
    <n v="1"/>
    <n v="1"/>
    <n v="2"/>
    <n v="1"/>
    <n v="2"/>
    <n v="2"/>
    <n v="1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Stymies"/>
    <s v="Who's Your Caddy?"/>
    <s v="Raintree Back"/>
    <n v="3"/>
    <x v="13"/>
    <s v="0"/>
    <n v="5"/>
    <n v="5"/>
    <n v="5"/>
    <n v="6"/>
    <n v="6"/>
    <n v="6"/>
    <n v="4"/>
    <n v="6"/>
    <n v="7"/>
    <n v="50"/>
    <n v="9.98"/>
    <n v="40"/>
    <n v="0"/>
    <n v="0"/>
    <n v="0"/>
    <n v="0"/>
    <n v="0"/>
    <n v="0"/>
    <n v="0"/>
    <n v="0"/>
    <n v="0"/>
    <n v="1"/>
    <n v="0"/>
    <n v="2"/>
    <n v="0"/>
    <n v="0"/>
    <n v="1"/>
    <n v="1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Stymies"/>
    <s v="Who's Your Caddy?"/>
    <s v="Raintree Back"/>
    <n v="4"/>
    <x v="14"/>
    <s v="0"/>
    <n v="4"/>
    <n v="5"/>
    <n v="5"/>
    <n v="8"/>
    <n v="6"/>
    <n v="8"/>
    <n v="4"/>
    <n v="6"/>
    <n v="7"/>
    <n v="53"/>
    <n v="15.55"/>
    <n v="37"/>
    <n v="2"/>
    <n v="2"/>
    <n v="1"/>
    <n v="2"/>
    <n v="2"/>
    <n v="2"/>
    <n v="1"/>
    <n v="2"/>
    <n v="2"/>
    <n v="2"/>
    <n v="1"/>
    <n v="1"/>
    <n v="0"/>
    <n v="2"/>
    <n v="0"/>
    <n v="1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Who's Your Caddy?"/>
    <s v="Stymies"/>
    <s v="Raintree Back"/>
    <n v="1"/>
    <x v="26"/>
    <s v="0"/>
    <n v="5"/>
    <n v="4"/>
    <n v="5"/>
    <n v="4"/>
    <n v="6"/>
    <n v="7"/>
    <n v="3"/>
    <n v="7"/>
    <n v="7"/>
    <n v="48"/>
    <n v="9.98"/>
    <n v="38"/>
    <n v="0"/>
    <n v="0"/>
    <n v="0"/>
    <n v="1"/>
    <n v="0"/>
    <n v="0"/>
    <n v="0"/>
    <n v="1"/>
    <n v="0"/>
    <n v="1"/>
    <n v="2"/>
    <n v="0"/>
    <n v="2"/>
    <n v="1"/>
    <n v="0"/>
    <n v="2"/>
    <n v="1"/>
    <n v="0"/>
    <n v="2"/>
    <n v="11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Who's Your Caddy?"/>
    <s v="Stymies"/>
    <s v="Raintree Back"/>
    <n v="2"/>
    <x v="35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1"/>
    <n v="1"/>
    <n v="0"/>
    <n v="1"/>
    <n v="0"/>
    <n v="0"/>
    <n v="1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Who's Your Caddy?"/>
    <s v="Stymies"/>
    <s v="Raintree Back"/>
    <n v="3"/>
    <x v="36"/>
    <s v="0"/>
    <n v="5"/>
    <n v="4"/>
    <n v="6"/>
    <n v="5"/>
    <n v="5"/>
    <n v="6"/>
    <n v="4"/>
    <n v="6"/>
    <n v="8"/>
    <n v="49"/>
    <n v="10.48"/>
    <n v="39"/>
    <n v="0"/>
    <n v="0"/>
    <n v="0"/>
    <n v="0"/>
    <n v="0"/>
    <n v="0"/>
    <n v="0"/>
    <n v="1"/>
    <n v="0"/>
    <n v="1"/>
    <n v="2"/>
    <n v="0"/>
    <n v="2"/>
    <n v="2"/>
    <n v="1"/>
    <n v="1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0 25 STY vs WYC_MCA.xlsx"/>
    <s v="10"/>
    <d v="2025-06-23T00:00:00"/>
    <s v="Who's Your Caddy?"/>
    <s v="Stymies"/>
    <s v="Raintree Back"/>
    <n v="4"/>
    <x v="37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0"/>
    <n v="1"/>
    <n v="1"/>
    <n v="2"/>
    <n v="0"/>
    <n v="2"/>
    <n v="1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The Four Puttz"/>
    <s v="Blind Draw"/>
    <s v="Raintree Back"/>
    <n v="1"/>
    <x v="20"/>
    <s v="0"/>
    <n v="5"/>
    <n v="3"/>
    <n v="5"/>
    <n v="4"/>
    <n v="5"/>
    <n v="5"/>
    <n v="3"/>
    <n v="5"/>
    <n v="6"/>
    <n v="41"/>
    <n v="4.8"/>
    <n v="36"/>
    <n v="0"/>
    <n v="0"/>
    <n v="0"/>
    <n v="1"/>
    <n v="1"/>
    <n v="1"/>
    <n v="0"/>
    <n v="1"/>
    <n v="1"/>
    <n v="0"/>
    <n v="1"/>
    <n v="0"/>
    <n v="2"/>
    <n v="1"/>
    <n v="2"/>
    <n v="1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The Four Puttz"/>
    <s v="Blind Draw"/>
    <s v="Raintree Back"/>
    <n v="2"/>
    <x v="34"/>
    <s v="0"/>
    <n v="5"/>
    <n v="3"/>
    <n v="4"/>
    <n v="5"/>
    <n v="4"/>
    <n v="4"/>
    <n v="3"/>
    <n v="5"/>
    <n v="6"/>
    <n v="39"/>
    <n v="2.88"/>
    <n v="36"/>
    <n v="0"/>
    <n v="0"/>
    <n v="0"/>
    <n v="1"/>
    <n v="1"/>
    <n v="0"/>
    <n v="0"/>
    <n v="1"/>
    <n v="0"/>
    <n v="0"/>
    <n v="1"/>
    <n v="1"/>
    <n v="2"/>
    <n v="2"/>
    <n v="2"/>
    <n v="1"/>
    <n v="2"/>
    <n v="0"/>
    <n v="2"/>
    <n v="13"/>
    <m/>
    <m/>
    <m/>
    <m/>
    <m/>
    <n v="1"/>
    <m/>
    <m/>
    <m/>
    <n v="1"/>
    <m/>
    <m/>
    <m/>
    <m/>
    <m/>
    <m/>
    <m/>
    <m/>
    <m/>
    <n v="0"/>
  </r>
  <r>
    <s v="Week 11 25 4P vs BD_MCA.xlsx"/>
    <s v="11"/>
    <d v="2025-06-30T00:00:00"/>
    <s v="The Four Puttz"/>
    <s v="Blind Draw"/>
    <s v="Raintree Back"/>
    <n v="3"/>
    <x v="21"/>
    <s v="0"/>
    <n v="5"/>
    <n v="8"/>
    <n v="6"/>
    <n v="4"/>
    <n v="7"/>
    <n v="6"/>
    <n v="4"/>
    <n v="6"/>
    <n v="7"/>
    <n v="53"/>
    <n v="7.49"/>
    <n v="46"/>
    <n v="1"/>
    <n v="1"/>
    <n v="0"/>
    <n v="1"/>
    <n v="1"/>
    <n v="1"/>
    <n v="0"/>
    <n v="1"/>
    <n v="1"/>
    <n v="1"/>
    <n v="0"/>
    <n v="0"/>
    <n v="2"/>
    <n v="0"/>
    <n v="1"/>
    <n v="0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The Four Puttz"/>
    <s v="Blind Draw"/>
    <s v="Raintree Back"/>
    <n v="4"/>
    <x v="22"/>
    <s v="0"/>
    <n v="4"/>
    <n v="6"/>
    <n v="6"/>
    <n v="5"/>
    <n v="5"/>
    <n v="8"/>
    <n v="5"/>
    <n v="5"/>
    <n v="6"/>
    <n v="50"/>
    <n v="12.86"/>
    <n v="37"/>
    <n v="1"/>
    <n v="1"/>
    <n v="1"/>
    <n v="2"/>
    <n v="2"/>
    <n v="1"/>
    <n v="1"/>
    <n v="2"/>
    <n v="2"/>
    <n v="2"/>
    <n v="0"/>
    <n v="0"/>
    <n v="2"/>
    <n v="2"/>
    <n v="0"/>
    <n v="0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Blind Draw"/>
    <s v="The Four Puttz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2"/>
    <n v="0"/>
    <n v="1"/>
    <n v="0"/>
    <n v="1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Blind Draw"/>
    <s v="The Four Puttz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1"/>
    <n v="0"/>
    <n v="0"/>
    <n v="0"/>
    <n v="1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Blind Draw"/>
    <s v="The Four Puttz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2"/>
    <n v="2"/>
    <n v="0"/>
    <n v="2"/>
    <n v="1"/>
    <n v="2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11 25 4P vs BD_MCA.xlsx"/>
    <s v="11"/>
    <d v="2025-06-30T00:00:00"/>
    <s v="Blind Draw"/>
    <s v="The Four Puttz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2"/>
    <n v="2"/>
    <n v="0"/>
    <n v="0"/>
    <n v="2"/>
    <n v="2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Aceholes"/>
    <s v="Stymies"/>
    <s v="Raintree Back"/>
    <n v="1"/>
    <x v="0"/>
    <s v="0"/>
    <n v="4"/>
    <n v="3"/>
    <n v="5"/>
    <n v="4"/>
    <n v="6"/>
    <n v="5"/>
    <n v="4"/>
    <n v="5"/>
    <n v="5"/>
    <n v="41"/>
    <n v="3.07"/>
    <n v="38"/>
    <n v="0"/>
    <n v="0"/>
    <n v="0"/>
    <n v="0"/>
    <n v="0"/>
    <n v="0"/>
    <n v="0"/>
    <n v="0"/>
    <n v="0"/>
    <n v="2"/>
    <n v="2"/>
    <n v="2"/>
    <n v="2"/>
    <n v="0"/>
    <n v="0"/>
    <n v="2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Aceholes"/>
    <s v="Stymies"/>
    <s v="Raintree Back"/>
    <n v="2"/>
    <x v="1"/>
    <s v="0"/>
    <n v="5"/>
    <n v="4"/>
    <n v="5"/>
    <n v="4"/>
    <n v="8"/>
    <n v="10"/>
    <n v="3"/>
    <n v="5"/>
    <n v="6"/>
    <n v="50"/>
    <n v="3.65"/>
    <n v="46"/>
    <n v="0"/>
    <n v="0"/>
    <n v="0"/>
    <n v="0"/>
    <n v="0"/>
    <n v="0"/>
    <n v="0"/>
    <n v="0"/>
    <n v="0"/>
    <n v="2"/>
    <n v="0"/>
    <n v="2"/>
    <n v="0"/>
    <n v="0"/>
    <n v="0"/>
    <n v="1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Aceholes"/>
    <s v="Stymies"/>
    <s v="Raintree Back"/>
    <n v="3"/>
    <x v="2"/>
    <s v="0"/>
    <n v="4"/>
    <n v="4"/>
    <n v="6"/>
    <n v="7"/>
    <n v="5"/>
    <n v="5"/>
    <n v="3"/>
    <n v="4"/>
    <n v="6"/>
    <n v="44"/>
    <n v="4.22"/>
    <n v="40"/>
    <n v="0"/>
    <n v="0"/>
    <n v="0"/>
    <n v="0"/>
    <n v="0"/>
    <n v="0"/>
    <n v="0"/>
    <n v="0"/>
    <n v="0"/>
    <n v="1"/>
    <n v="1"/>
    <n v="0"/>
    <n v="0"/>
    <n v="0"/>
    <n v="2"/>
    <n v="1"/>
    <n v="1"/>
    <n v="1"/>
    <n v="0"/>
    <n v="7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Aceholes"/>
    <s v="Stymies"/>
    <s v="Raintree Back"/>
    <n v="4"/>
    <x v="3"/>
    <s v="0"/>
    <n v="5"/>
    <n v="5"/>
    <n v="6"/>
    <n v="5"/>
    <n v="6"/>
    <n v="7"/>
    <n v="6"/>
    <n v="7"/>
    <n v="6"/>
    <n v="53"/>
    <n v="15.36"/>
    <n v="38"/>
    <n v="0"/>
    <n v="0"/>
    <n v="0"/>
    <n v="0"/>
    <n v="0"/>
    <n v="0"/>
    <n v="0"/>
    <n v="0"/>
    <n v="0"/>
    <n v="2"/>
    <n v="0"/>
    <n v="2"/>
    <n v="1"/>
    <n v="1"/>
    <n v="1"/>
    <n v="0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Stymies"/>
    <s v="Aceholes"/>
    <s v="Raintree Back"/>
    <n v="1"/>
    <x v="12"/>
    <s v="0"/>
    <n v="5"/>
    <n v="5"/>
    <n v="7"/>
    <n v="6"/>
    <n v="4"/>
    <n v="5"/>
    <n v="5"/>
    <n v="6"/>
    <n v="7"/>
    <n v="50"/>
    <n v="8.64"/>
    <n v="41"/>
    <n v="0"/>
    <n v="1"/>
    <n v="0"/>
    <n v="1"/>
    <n v="1"/>
    <n v="1"/>
    <n v="0"/>
    <n v="1"/>
    <n v="1"/>
    <n v="0"/>
    <n v="0"/>
    <n v="0"/>
    <n v="0"/>
    <n v="2"/>
    <n v="2"/>
    <n v="0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Stymies"/>
    <s v="Aceholes"/>
    <s v="Raintree Back"/>
    <n v="2"/>
    <x v="13"/>
    <s v="0"/>
    <n v="6"/>
    <n v="4"/>
    <n v="7"/>
    <n v="4"/>
    <n v="5"/>
    <n v="7"/>
    <n v="3"/>
    <n v="5"/>
    <n v="7"/>
    <n v="48"/>
    <n v="9.98"/>
    <n v="38"/>
    <n v="0"/>
    <n v="1"/>
    <n v="0"/>
    <n v="1"/>
    <n v="1"/>
    <n v="1"/>
    <n v="0"/>
    <n v="1"/>
    <n v="1"/>
    <n v="0"/>
    <n v="2"/>
    <n v="0"/>
    <n v="2"/>
    <n v="2"/>
    <n v="2"/>
    <n v="1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Stymies"/>
    <s v="Aceholes"/>
    <s v="Raintree Back"/>
    <n v="3"/>
    <x v="14"/>
    <s v="0"/>
    <n v="5"/>
    <n v="5"/>
    <n v="5"/>
    <n v="7"/>
    <n v="5"/>
    <n v="7"/>
    <n v="4"/>
    <n v="6"/>
    <n v="7"/>
    <n v="51"/>
    <n v="16.32"/>
    <n v="35"/>
    <n v="1"/>
    <n v="1"/>
    <n v="1"/>
    <n v="2"/>
    <n v="2"/>
    <n v="1"/>
    <n v="1"/>
    <n v="2"/>
    <n v="1"/>
    <n v="1"/>
    <n v="1"/>
    <n v="2"/>
    <n v="2"/>
    <n v="2"/>
    <n v="0"/>
    <n v="1"/>
    <n v="1"/>
    <n v="1"/>
    <n v="2"/>
    <n v="13"/>
    <m/>
    <m/>
    <m/>
    <m/>
    <m/>
    <m/>
    <m/>
    <m/>
    <m/>
    <n v="0"/>
    <m/>
    <m/>
    <m/>
    <m/>
    <m/>
    <m/>
    <m/>
    <m/>
    <m/>
    <n v="0"/>
  </r>
  <r>
    <s v="Week 11 25 ACE vs STY.xlsx"/>
    <s v="11"/>
    <d v="2025-06-30T00:00:00"/>
    <s v="Stymies"/>
    <s v="Aceholes"/>
    <s v="Raintree Back"/>
    <n v="4"/>
    <x v="15"/>
    <s v="0"/>
    <n v="6"/>
    <n v="3"/>
    <n v="9"/>
    <n v="6"/>
    <n v="7"/>
    <n v="7"/>
    <n v="4"/>
    <n v="7"/>
    <n v="6"/>
    <n v="55"/>
    <n v="17.86"/>
    <n v="37"/>
    <n v="0"/>
    <n v="0"/>
    <n v="0"/>
    <n v="1"/>
    <n v="1"/>
    <n v="0"/>
    <n v="0"/>
    <n v="1"/>
    <n v="0"/>
    <n v="0"/>
    <n v="2"/>
    <n v="0"/>
    <n v="1"/>
    <n v="1"/>
    <n v="1"/>
    <n v="2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Hack Squad"/>
    <s v="Mickey Mouse Club"/>
    <s v="Raintree Front"/>
    <n v="1"/>
    <x v="29"/>
    <s v="0"/>
    <n v="6"/>
    <n v="7"/>
    <n v="5"/>
    <n v="6"/>
    <n v="6"/>
    <n v="8"/>
    <n v="7"/>
    <n v="4"/>
    <n v="6"/>
    <n v="55"/>
    <n v="16.32"/>
    <n v="39"/>
    <n v="1"/>
    <n v="1"/>
    <n v="1"/>
    <n v="0"/>
    <n v="0"/>
    <n v="1"/>
    <n v="1"/>
    <n v="1"/>
    <n v="1"/>
    <n v="1"/>
    <n v="2"/>
    <n v="1"/>
    <n v="0"/>
    <n v="0"/>
    <n v="0"/>
    <n v="2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Hack Squad"/>
    <s v="Mickey Mouse Club"/>
    <s v="Raintree Front"/>
    <n v="2"/>
    <x v="30"/>
    <s v="0"/>
    <n v="7"/>
    <n v="6"/>
    <n v="6"/>
    <n v="6"/>
    <n v="5"/>
    <n v="6"/>
    <n v="9"/>
    <n v="5"/>
    <n v="7"/>
    <n v="57"/>
    <n v="17.09"/>
    <n v="40"/>
    <n v="1"/>
    <n v="0"/>
    <n v="1"/>
    <n v="0"/>
    <n v="0"/>
    <n v="1"/>
    <n v="0"/>
    <n v="0"/>
    <n v="1"/>
    <n v="1"/>
    <n v="1"/>
    <n v="2"/>
    <n v="0"/>
    <n v="2"/>
    <n v="0"/>
    <n v="0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Hack Squad"/>
    <s v="Mickey Mouse Club"/>
    <s v="Raintree Front"/>
    <n v="3"/>
    <x v="28"/>
    <s v="0"/>
    <n v="4"/>
    <n v="7"/>
    <n v="6"/>
    <n v="3"/>
    <n v="5"/>
    <n v="6"/>
    <n v="7"/>
    <n v="6"/>
    <n v="5"/>
    <n v="49"/>
    <n v="18.239999999999998"/>
    <n v="31"/>
    <n v="1"/>
    <n v="0"/>
    <n v="0"/>
    <n v="0"/>
    <n v="0"/>
    <n v="1"/>
    <n v="0"/>
    <n v="0"/>
    <n v="0"/>
    <n v="2"/>
    <n v="0"/>
    <n v="0"/>
    <n v="2"/>
    <n v="2"/>
    <n v="2"/>
    <n v="2"/>
    <n v="0"/>
    <n v="1"/>
    <n v="2"/>
    <n v="13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Hack Squad"/>
    <s v="Mickey Mouse Club"/>
    <s v="Raintree Front"/>
    <n v="4"/>
    <x v="31"/>
    <s v="0"/>
    <n v="5"/>
    <n v="6"/>
    <n v="8"/>
    <n v="6"/>
    <n v="9"/>
    <n v="9"/>
    <n v="4"/>
    <n v="6"/>
    <n v="6"/>
    <n v="59"/>
    <n v="18.62"/>
    <n v="40"/>
    <n v="0"/>
    <n v="0"/>
    <n v="0"/>
    <n v="0"/>
    <n v="0"/>
    <n v="0"/>
    <n v="0"/>
    <n v="0"/>
    <n v="0"/>
    <n v="2"/>
    <n v="1"/>
    <n v="0"/>
    <n v="1"/>
    <n v="0"/>
    <n v="0"/>
    <n v="2"/>
    <n v="0"/>
    <n v="1"/>
    <n v="0"/>
    <n v="7"/>
    <m/>
    <m/>
    <m/>
    <m/>
    <m/>
    <m/>
    <n v="1"/>
    <m/>
    <m/>
    <n v="1"/>
    <m/>
    <m/>
    <m/>
    <m/>
    <m/>
    <m/>
    <m/>
    <m/>
    <m/>
    <n v="0"/>
  </r>
  <r>
    <s v="Week 11 25 HS vs MMC.xlsx"/>
    <s v="11"/>
    <d v="2025-06-30T00:00:00"/>
    <s v="Mickey Mouse Club"/>
    <s v="Hack Squad"/>
    <s v="Raintree Front"/>
    <n v="1"/>
    <x v="18"/>
    <s v="0"/>
    <n v="5"/>
    <n v="7"/>
    <n v="4"/>
    <n v="4"/>
    <n v="5"/>
    <n v="6"/>
    <n v="7"/>
    <n v="5"/>
    <n v="5"/>
    <n v="48"/>
    <n v="9.6"/>
    <n v="38"/>
    <n v="0"/>
    <n v="0"/>
    <n v="0"/>
    <n v="0"/>
    <n v="0"/>
    <n v="0"/>
    <n v="0"/>
    <n v="0"/>
    <n v="0"/>
    <n v="1"/>
    <n v="0"/>
    <n v="1"/>
    <n v="2"/>
    <n v="2"/>
    <n v="2"/>
    <n v="0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Mickey Mouse Club"/>
    <s v="Hack Squad"/>
    <s v="Raintree Front"/>
    <n v="2"/>
    <x v="16"/>
    <s v="0"/>
    <n v="6"/>
    <n v="6"/>
    <n v="6"/>
    <n v="4"/>
    <n v="6"/>
    <n v="4"/>
    <n v="6"/>
    <n v="6"/>
    <n v="6"/>
    <n v="50"/>
    <n v="13.25"/>
    <n v="37"/>
    <n v="0"/>
    <n v="0"/>
    <n v="0"/>
    <n v="0"/>
    <n v="0"/>
    <n v="0"/>
    <n v="0"/>
    <n v="0"/>
    <n v="0"/>
    <n v="1"/>
    <n v="1"/>
    <n v="0"/>
    <n v="2"/>
    <n v="0"/>
    <n v="2"/>
    <n v="2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Mickey Mouse Club"/>
    <s v="Hack Squad"/>
    <s v="Raintree Front"/>
    <n v="3"/>
    <x v="17"/>
    <s v="0"/>
    <n v="6"/>
    <n v="6"/>
    <n v="5"/>
    <n v="4"/>
    <n v="7"/>
    <n v="6"/>
    <n v="10"/>
    <n v="4"/>
    <n v="5"/>
    <n v="53"/>
    <n v="16.079999999999998"/>
    <n v="37"/>
    <n v="0"/>
    <n v="0"/>
    <n v="0"/>
    <n v="0"/>
    <n v="0"/>
    <n v="0"/>
    <n v="0"/>
    <n v="0"/>
    <n v="0"/>
    <n v="0"/>
    <n v="2"/>
    <n v="2"/>
    <n v="0"/>
    <n v="0"/>
    <n v="0"/>
    <n v="0"/>
    <n v="2"/>
    <n v="1"/>
    <n v="0"/>
    <n v="7"/>
    <m/>
    <m/>
    <m/>
    <m/>
    <m/>
    <m/>
    <m/>
    <m/>
    <m/>
    <n v="0"/>
    <m/>
    <m/>
    <m/>
    <m/>
    <m/>
    <m/>
    <m/>
    <m/>
    <m/>
    <n v="0"/>
  </r>
  <r>
    <s v="Week 11 25 HS vs MMC.xlsx"/>
    <s v="11"/>
    <d v="2025-06-30T00:00:00"/>
    <s v="Mickey Mouse Club"/>
    <s v="Hack Squad"/>
    <s v="Raintree Front"/>
    <n v="4"/>
    <x v="19"/>
    <s v="0"/>
    <n v="8"/>
    <n v="6"/>
    <n v="7"/>
    <n v="6"/>
    <n v="6"/>
    <n v="7"/>
    <n v="7"/>
    <n v="5"/>
    <n v="6"/>
    <n v="58"/>
    <n v="20"/>
    <n v="38"/>
    <n v="0"/>
    <n v="0"/>
    <n v="0"/>
    <n v="0"/>
    <n v="0"/>
    <n v="1"/>
    <n v="0"/>
    <n v="0"/>
    <n v="0"/>
    <n v="0"/>
    <n v="1"/>
    <n v="2"/>
    <n v="1"/>
    <n v="2"/>
    <n v="2"/>
    <n v="0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Who's Your Caddy?"/>
    <s v="Metheads"/>
    <s v="Raintree Front"/>
    <n v="1"/>
    <x v="10"/>
    <s v="0"/>
    <n v="5"/>
    <n v="6"/>
    <n v="4"/>
    <n v="4"/>
    <n v="7"/>
    <n v="6"/>
    <n v="6"/>
    <n v="4"/>
    <n v="5"/>
    <n v="47"/>
    <n v="7.49"/>
    <n v="40"/>
    <n v="0"/>
    <n v="0"/>
    <n v="0"/>
    <n v="0"/>
    <n v="0"/>
    <n v="0"/>
    <n v="0"/>
    <n v="0"/>
    <n v="0"/>
    <n v="2"/>
    <n v="1"/>
    <n v="2"/>
    <n v="2"/>
    <n v="0"/>
    <n v="0"/>
    <n v="1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Who's Your Caddy?"/>
    <s v="Metheads"/>
    <s v="Raintree Front"/>
    <n v="2"/>
    <x v="36"/>
    <s v="0"/>
    <n v="5"/>
    <n v="7"/>
    <n v="5"/>
    <n v="4"/>
    <n v="6"/>
    <n v="6"/>
    <n v="6"/>
    <n v="3"/>
    <n v="5"/>
    <n v="47"/>
    <n v="9.56"/>
    <n v="37"/>
    <n v="0"/>
    <n v="0"/>
    <n v="0"/>
    <n v="0"/>
    <n v="0"/>
    <n v="0"/>
    <n v="0"/>
    <n v="0"/>
    <n v="0"/>
    <n v="2"/>
    <n v="1"/>
    <n v="1"/>
    <n v="0"/>
    <n v="0"/>
    <n v="0"/>
    <n v="2"/>
    <n v="2"/>
    <n v="0"/>
    <n v="1"/>
    <n v="9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Who's Your Caddy?"/>
    <s v="Metheads"/>
    <s v="Raintree Front"/>
    <n v="3"/>
    <x v="38"/>
    <s v="0"/>
    <n v="6"/>
    <n v="7"/>
    <n v="8"/>
    <n v="5"/>
    <n v="7"/>
    <n v="5"/>
    <n v="10"/>
    <n v="6"/>
    <n v="6"/>
    <n v="60"/>
    <n v="15.94"/>
    <n v="44"/>
    <n v="1"/>
    <n v="0"/>
    <n v="1"/>
    <n v="0"/>
    <n v="0"/>
    <n v="1"/>
    <n v="1"/>
    <n v="0"/>
    <n v="1"/>
    <n v="1"/>
    <n v="1"/>
    <n v="0"/>
    <n v="1"/>
    <n v="0"/>
    <n v="2"/>
    <n v="0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Who's Your Caddy?"/>
    <s v="Metheads"/>
    <s v="Raintree Front"/>
    <n v="4"/>
    <x v="27"/>
    <s v="0"/>
    <n v="6"/>
    <n v="7"/>
    <n v="5"/>
    <n v="4"/>
    <n v="6"/>
    <n v="6"/>
    <n v="6"/>
    <n v="5"/>
    <n v="5"/>
    <n v="50"/>
    <n v="16.7"/>
    <n v="33"/>
    <n v="1"/>
    <n v="0"/>
    <n v="1"/>
    <n v="0"/>
    <n v="0"/>
    <n v="1"/>
    <n v="0"/>
    <n v="0"/>
    <n v="1"/>
    <n v="1"/>
    <n v="0"/>
    <n v="2"/>
    <n v="2"/>
    <n v="0"/>
    <n v="0"/>
    <n v="0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Metheads"/>
    <s v="Who's Your Caddy?"/>
    <s v="Raintree Front"/>
    <n v="1"/>
    <x v="39"/>
    <s v="0"/>
    <n v="7"/>
    <n v="6"/>
    <n v="7"/>
    <n v="5"/>
    <n v="6"/>
    <n v="5"/>
    <n v="6"/>
    <n v="5"/>
    <n v="5"/>
    <n v="52"/>
    <n v="8.64"/>
    <n v="43"/>
    <n v="0"/>
    <n v="0"/>
    <n v="0"/>
    <n v="0"/>
    <n v="0"/>
    <n v="1"/>
    <n v="0"/>
    <n v="0"/>
    <n v="0"/>
    <n v="0"/>
    <n v="1"/>
    <n v="0"/>
    <n v="0"/>
    <n v="2"/>
    <n v="2"/>
    <n v="1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Metheads"/>
    <s v="Who's Your Caddy?"/>
    <s v="Raintree Front"/>
    <n v="2"/>
    <x v="11"/>
    <s v="0"/>
    <n v="6"/>
    <n v="7"/>
    <n v="5"/>
    <n v="3"/>
    <n v="5"/>
    <n v="5"/>
    <n v="7"/>
    <n v="4"/>
    <n v="4"/>
    <n v="46"/>
    <n v="9.2200000000000006"/>
    <n v="37"/>
    <n v="0"/>
    <n v="0"/>
    <n v="0"/>
    <n v="0"/>
    <n v="0"/>
    <n v="0"/>
    <n v="0"/>
    <n v="0"/>
    <n v="0"/>
    <n v="0"/>
    <n v="1"/>
    <n v="1"/>
    <n v="2"/>
    <n v="2"/>
    <n v="2"/>
    <n v="0"/>
    <n v="0"/>
    <n v="2"/>
    <n v="1"/>
    <n v="11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Metheads"/>
    <s v="Who's Your Caddy?"/>
    <s v="Raintree Front"/>
    <n v="3"/>
    <x v="32"/>
    <s v="0"/>
    <n v="5"/>
    <n v="7"/>
    <n v="6"/>
    <n v="5"/>
    <n v="6"/>
    <n v="8"/>
    <n v="6"/>
    <n v="5"/>
    <n v="5"/>
    <n v="53"/>
    <n v="10.56"/>
    <n v="42"/>
    <n v="0"/>
    <n v="0"/>
    <n v="0"/>
    <n v="0"/>
    <n v="0"/>
    <n v="0"/>
    <n v="0"/>
    <n v="0"/>
    <n v="0"/>
    <n v="1"/>
    <n v="1"/>
    <n v="2"/>
    <n v="1"/>
    <n v="2"/>
    <n v="0"/>
    <n v="2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1 25 MET vs WYC.xlsx"/>
    <s v="11"/>
    <d v="2025-06-30T00:00:00"/>
    <s v="Metheads"/>
    <s v="Who's Your Caddy?"/>
    <s v="Raintree Front"/>
    <n v="4"/>
    <x v="40"/>
    <s v="0"/>
    <n v="5"/>
    <n v="5"/>
    <n v="5"/>
    <n v="5"/>
    <n v="5"/>
    <n v="4"/>
    <n v="5"/>
    <n v="4"/>
    <n v="6"/>
    <n v="44"/>
    <n v="13.12"/>
    <n v="31"/>
    <n v="0"/>
    <n v="0"/>
    <n v="0"/>
    <n v="0"/>
    <n v="0"/>
    <n v="0"/>
    <n v="0"/>
    <n v="0"/>
    <n v="0"/>
    <n v="1"/>
    <n v="2"/>
    <n v="0"/>
    <n v="0"/>
    <n v="2"/>
    <n v="2"/>
    <n v="2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Aceholes"/>
    <s v="Hack Squad"/>
    <s v="Raintree Front"/>
    <n v="1"/>
    <x v="1"/>
    <s v="0"/>
    <n v="5"/>
    <n v="6"/>
    <n v="5"/>
    <n v="4"/>
    <n v="6"/>
    <n v="4"/>
    <n v="5"/>
    <n v="3"/>
    <n v="3"/>
    <n v="41"/>
    <n v="4.22"/>
    <n v="37"/>
    <n v="0"/>
    <n v="0"/>
    <n v="0"/>
    <n v="0"/>
    <n v="0"/>
    <n v="0"/>
    <n v="0"/>
    <n v="0"/>
    <n v="0"/>
    <n v="0"/>
    <n v="2"/>
    <n v="1"/>
    <n v="1"/>
    <n v="0"/>
    <n v="2"/>
    <n v="2"/>
    <n v="2"/>
    <n v="1"/>
    <n v="2"/>
    <n v="13"/>
    <m/>
    <m/>
    <m/>
    <m/>
    <m/>
    <m/>
    <m/>
    <m/>
    <n v="1"/>
    <n v="1"/>
    <m/>
    <m/>
    <m/>
    <m/>
    <m/>
    <m/>
    <m/>
    <m/>
    <m/>
    <n v="0"/>
  </r>
  <r>
    <s v="Week 13 25 ACE vs HS.xlsx"/>
    <s v="13"/>
    <d v="2025-07-14T00:00:00"/>
    <s v="Aceholes"/>
    <s v="Hack Squad"/>
    <s v="Raintree Front"/>
    <n v="2"/>
    <x v="2"/>
    <s v="0"/>
    <n v="6"/>
    <n v="5"/>
    <n v="4"/>
    <n v="4"/>
    <n v="5"/>
    <n v="5"/>
    <n v="6"/>
    <n v="5"/>
    <n v="5"/>
    <n v="45"/>
    <n v="4.22"/>
    <n v="41"/>
    <n v="0"/>
    <n v="0"/>
    <n v="0"/>
    <n v="0"/>
    <n v="0"/>
    <n v="0"/>
    <n v="0"/>
    <n v="0"/>
    <n v="0"/>
    <n v="0"/>
    <n v="2"/>
    <n v="1"/>
    <n v="2"/>
    <n v="1"/>
    <n v="0"/>
    <n v="2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Aceholes"/>
    <s v="Hack Squad"/>
    <s v="Raintree Front"/>
    <n v="3"/>
    <x v="3"/>
    <s v="0"/>
    <n v="6"/>
    <n v="7"/>
    <n v="3"/>
    <n v="5"/>
    <n v="5"/>
    <n v="7"/>
    <n v="7"/>
    <n v="5"/>
    <n v="5"/>
    <n v="50"/>
    <n v="15.55"/>
    <n v="34"/>
    <n v="0"/>
    <n v="0"/>
    <n v="0"/>
    <n v="0"/>
    <n v="0"/>
    <n v="0"/>
    <n v="0"/>
    <n v="0"/>
    <n v="0"/>
    <n v="0"/>
    <n v="0"/>
    <n v="2"/>
    <n v="0"/>
    <n v="2"/>
    <n v="0"/>
    <n v="2"/>
    <n v="1"/>
    <n v="2"/>
    <n v="2"/>
    <n v="11"/>
    <m/>
    <m/>
    <n v="1"/>
    <m/>
    <m/>
    <m/>
    <m/>
    <m/>
    <m/>
    <n v="1"/>
    <m/>
    <m/>
    <m/>
    <m/>
    <m/>
    <m/>
    <m/>
    <m/>
    <m/>
    <n v="0"/>
  </r>
  <r>
    <s v="Week 13 25 ACE vs HS.xlsx"/>
    <s v="13"/>
    <d v="2025-07-14T00:00:00"/>
    <s v="Aceholes"/>
    <s v="Hack Squad"/>
    <s v="Raintree Front"/>
    <n v="4"/>
    <x v="41"/>
    <s v="0"/>
    <n v="6"/>
    <n v="8"/>
    <n v="6"/>
    <n v="4"/>
    <n v="7"/>
    <n v="7"/>
    <n v="7"/>
    <n v="4"/>
    <n v="7"/>
    <n v="56"/>
    <n v="18.48"/>
    <n v="38"/>
    <n v="0"/>
    <n v="0"/>
    <n v="0"/>
    <n v="0"/>
    <n v="0"/>
    <n v="0"/>
    <n v="0"/>
    <n v="0"/>
    <n v="0"/>
    <n v="2"/>
    <n v="2"/>
    <n v="2"/>
    <n v="1"/>
    <n v="0"/>
    <n v="0"/>
    <n v="2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Hack Squad"/>
    <s v="Aceholes"/>
    <s v="Raintree Front"/>
    <n v="1"/>
    <x v="28"/>
    <s v="0"/>
    <n v="5"/>
    <n v="8"/>
    <n v="7"/>
    <n v="5"/>
    <n v="6"/>
    <n v="9"/>
    <n v="10"/>
    <n v="5"/>
    <n v="5"/>
    <n v="60"/>
    <n v="16.899999999999999"/>
    <n v="43"/>
    <n v="2"/>
    <n v="1"/>
    <n v="2"/>
    <n v="1"/>
    <n v="1"/>
    <n v="2"/>
    <n v="1"/>
    <n v="1"/>
    <n v="2"/>
    <n v="2"/>
    <n v="0"/>
    <n v="1"/>
    <n v="1"/>
    <n v="2"/>
    <n v="0"/>
    <n v="0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Hack Squad"/>
    <s v="Aceholes"/>
    <s v="Raintree Front"/>
    <n v="2"/>
    <x v="29"/>
    <s v="0"/>
    <n v="7"/>
    <n v="7"/>
    <n v="6"/>
    <n v="7"/>
    <n v="6"/>
    <n v="6"/>
    <n v="8"/>
    <n v="5"/>
    <n v="7"/>
    <n v="59"/>
    <n v="17.28"/>
    <n v="42"/>
    <n v="2"/>
    <n v="1"/>
    <n v="2"/>
    <n v="1"/>
    <n v="1"/>
    <n v="2"/>
    <n v="1"/>
    <n v="1"/>
    <n v="2"/>
    <n v="2"/>
    <n v="0"/>
    <n v="1"/>
    <n v="0"/>
    <n v="1"/>
    <n v="2"/>
    <n v="0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Hack Squad"/>
    <s v="Aceholes"/>
    <s v="Raintree Front"/>
    <n v="3"/>
    <x v="30"/>
    <s v="0"/>
    <n v="6"/>
    <n v="6"/>
    <n v="8"/>
    <n v="4"/>
    <n v="9"/>
    <n v="6"/>
    <n v="9"/>
    <n v="5"/>
    <n v="8"/>
    <n v="61"/>
    <n v="18.05"/>
    <n v="43"/>
    <n v="1"/>
    <n v="0"/>
    <n v="1"/>
    <n v="0"/>
    <n v="0"/>
    <n v="1"/>
    <n v="0"/>
    <n v="0"/>
    <n v="0"/>
    <n v="2"/>
    <n v="2"/>
    <n v="0"/>
    <n v="2"/>
    <n v="0"/>
    <n v="2"/>
    <n v="0"/>
    <n v="1"/>
    <n v="0"/>
    <n v="0"/>
    <n v="9"/>
    <m/>
    <m/>
    <m/>
    <m/>
    <m/>
    <m/>
    <m/>
    <m/>
    <m/>
    <n v="0"/>
    <m/>
    <m/>
    <m/>
    <m/>
    <m/>
    <m/>
    <m/>
    <m/>
    <m/>
    <n v="0"/>
  </r>
  <r>
    <s v="Week 13 25 ACE vs HS.xlsx"/>
    <s v="13"/>
    <d v="2025-07-14T00:00:00"/>
    <s v="Hack Squad"/>
    <s v="Aceholes"/>
    <s v="Raintree Front"/>
    <n v="4"/>
    <x v="31"/>
    <s v="0"/>
    <n v="7"/>
    <n v="9"/>
    <n v="8"/>
    <n v="4"/>
    <n v="6"/>
    <n v="7"/>
    <n v="10"/>
    <n v="5"/>
    <n v="5"/>
    <n v="61"/>
    <n v="19.2"/>
    <n v="42"/>
    <n v="0"/>
    <n v="0"/>
    <n v="0"/>
    <n v="0"/>
    <n v="0"/>
    <n v="1"/>
    <n v="0"/>
    <n v="0"/>
    <n v="0"/>
    <n v="0"/>
    <n v="0"/>
    <n v="0"/>
    <n v="1"/>
    <n v="2"/>
    <n v="2"/>
    <n v="0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Metheads"/>
    <s v="Blind Draw"/>
    <s v="Raintree Front"/>
    <n v="1"/>
    <x v="9"/>
    <s v="0"/>
    <n v="5"/>
    <n v="5"/>
    <n v="4"/>
    <n v="4"/>
    <n v="5"/>
    <n v="6"/>
    <n v="6"/>
    <n v="3"/>
    <n v="5"/>
    <n v="43"/>
    <n v="7.68"/>
    <n v="35"/>
    <n v="1"/>
    <n v="1"/>
    <n v="1"/>
    <n v="1"/>
    <n v="0"/>
    <n v="1"/>
    <n v="1"/>
    <n v="1"/>
    <n v="1"/>
    <n v="2"/>
    <n v="2"/>
    <n v="2"/>
    <n v="1"/>
    <n v="0"/>
    <n v="1"/>
    <n v="1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Metheads"/>
    <s v="Blind Draw"/>
    <s v="Raintree Front"/>
    <n v="2"/>
    <x v="8"/>
    <s v="0"/>
    <n v="6"/>
    <n v="5"/>
    <n v="6"/>
    <n v="5"/>
    <n v="4"/>
    <n v="7"/>
    <n v="8"/>
    <n v="4"/>
    <n v="4"/>
    <n v="49"/>
    <n v="8.4499999999999993"/>
    <n v="41"/>
    <n v="1"/>
    <n v="1"/>
    <n v="1"/>
    <n v="1"/>
    <n v="0"/>
    <n v="1"/>
    <n v="1"/>
    <n v="1"/>
    <n v="1"/>
    <n v="1"/>
    <n v="2"/>
    <n v="0"/>
    <n v="0"/>
    <n v="1"/>
    <n v="0"/>
    <n v="0"/>
    <n v="1"/>
    <n v="2"/>
    <n v="0"/>
    <n v="7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Metheads"/>
    <s v="Blind Draw"/>
    <s v="Raintree Front"/>
    <n v="3"/>
    <x v="11"/>
    <s v="0"/>
    <n v="5"/>
    <n v="6"/>
    <n v="7"/>
    <n v="4"/>
    <n v="4"/>
    <n v="5"/>
    <n v="6"/>
    <n v="3"/>
    <n v="6"/>
    <n v="46"/>
    <n v="9.41"/>
    <n v="37"/>
    <n v="1"/>
    <n v="1"/>
    <n v="1"/>
    <n v="1"/>
    <n v="1"/>
    <n v="1"/>
    <n v="1"/>
    <n v="1"/>
    <n v="1"/>
    <n v="2"/>
    <n v="1"/>
    <n v="0"/>
    <n v="1"/>
    <n v="2"/>
    <n v="2"/>
    <n v="1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Metheads"/>
    <s v="Blind Draw"/>
    <s v="Raintree Front"/>
    <n v="4"/>
    <x v="32"/>
    <s v="0"/>
    <n v="5"/>
    <n v="6"/>
    <n v="5"/>
    <n v="6"/>
    <n v="6"/>
    <n v="6"/>
    <n v="8"/>
    <n v="5"/>
    <n v="6"/>
    <n v="53"/>
    <n v="10.56"/>
    <n v="42"/>
    <n v="2"/>
    <n v="1"/>
    <n v="1"/>
    <n v="1"/>
    <n v="1"/>
    <n v="2"/>
    <n v="1"/>
    <n v="1"/>
    <n v="1"/>
    <n v="2"/>
    <n v="1"/>
    <n v="1"/>
    <n v="0"/>
    <n v="0"/>
    <n v="2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Blind Draw"/>
    <s v="Metheads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1"/>
    <n v="2"/>
    <n v="1"/>
    <n v="1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Blind Draw"/>
    <s v="Metheads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0"/>
    <n v="2"/>
    <n v="2"/>
    <n v="1"/>
    <n v="2"/>
    <n v="2"/>
    <n v="1"/>
    <n v="0"/>
    <n v="2"/>
    <n v="13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Blind Draw"/>
    <s v="Metheads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2"/>
    <n v="1"/>
    <n v="0"/>
    <n v="0"/>
    <n v="1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3 25 MET vs BD.xlsx"/>
    <s v="13"/>
    <d v="2025-07-14T00:00:00"/>
    <s v="Blind Draw"/>
    <s v="Metheads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1"/>
    <n v="2"/>
    <n v="2"/>
    <n v="0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Stymies"/>
    <s v="The Four Puttz"/>
    <s v="Raintree Back"/>
    <n v="1"/>
    <x v="12"/>
    <s v="0"/>
    <n v="5"/>
    <n v="4"/>
    <n v="4"/>
    <n v="6"/>
    <n v="4"/>
    <n v="6"/>
    <n v="4"/>
    <n v="6"/>
    <n v="5"/>
    <n v="44"/>
    <n v="9.2200000000000006"/>
    <n v="35"/>
    <n v="0"/>
    <n v="1"/>
    <n v="0"/>
    <n v="1"/>
    <n v="1"/>
    <n v="1"/>
    <n v="0"/>
    <n v="1"/>
    <n v="1"/>
    <n v="1"/>
    <n v="2"/>
    <n v="2"/>
    <n v="1"/>
    <n v="2"/>
    <n v="1"/>
    <n v="2"/>
    <n v="1"/>
    <n v="2"/>
    <n v="2"/>
    <n v="16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Stymies"/>
    <s v="The Four Puttz"/>
    <s v="Raintree Back"/>
    <n v="2"/>
    <x v="13"/>
    <s v="0"/>
    <n v="4"/>
    <n v="3"/>
    <n v="5"/>
    <n v="4"/>
    <n v="4"/>
    <n v="4"/>
    <n v="3"/>
    <n v="5"/>
    <n v="6"/>
    <n v="38"/>
    <n v="9.98"/>
    <n v="28"/>
    <n v="0"/>
    <n v="0"/>
    <n v="0"/>
    <n v="1"/>
    <n v="1"/>
    <n v="1"/>
    <n v="0"/>
    <n v="1"/>
    <n v="1"/>
    <n v="2"/>
    <n v="2"/>
    <n v="0"/>
    <n v="2"/>
    <n v="2"/>
    <n v="2"/>
    <n v="2"/>
    <n v="1"/>
    <n v="2"/>
    <n v="2"/>
    <n v="17"/>
    <m/>
    <m/>
    <m/>
    <m/>
    <m/>
    <n v="1"/>
    <m/>
    <m/>
    <m/>
    <n v="1"/>
    <m/>
    <m/>
    <m/>
    <m/>
    <m/>
    <m/>
    <m/>
    <m/>
    <m/>
    <n v="0"/>
  </r>
  <r>
    <s v="Week 13 25 STY vs 4P.xlsx"/>
    <s v="13"/>
    <d v="2025-07-14T00:00:00"/>
    <s v="Stymies"/>
    <s v="The Four Puttz"/>
    <s v="Raintree Back"/>
    <n v="3"/>
    <x v="14"/>
    <s v="0"/>
    <n v="7"/>
    <n v="4"/>
    <n v="5"/>
    <n v="7"/>
    <n v="6"/>
    <n v="7"/>
    <n v="5"/>
    <n v="7"/>
    <n v="8"/>
    <n v="56"/>
    <n v="16.13"/>
    <n v="40"/>
    <n v="2"/>
    <n v="2"/>
    <n v="1"/>
    <n v="2"/>
    <n v="2"/>
    <n v="2"/>
    <n v="1"/>
    <n v="2"/>
    <n v="2"/>
    <n v="0"/>
    <n v="2"/>
    <n v="1"/>
    <n v="1"/>
    <n v="2"/>
    <n v="1"/>
    <n v="0"/>
    <n v="1"/>
    <n v="1"/>
    <n v="1"/>
    <n v="10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Stymies"/>
    <s v="The Four Puttz"/>
    <s v="Raintree Back"/>
    <n v="4"/>
    <x v="15"/>
    <s v="0"/>
    <n v="5"/>
    <n v="6"/>
    <n v="6"/>
    <n v="6"/>
    <n v="6"/>
    <n v="8"/>
    <n v="5"/>
    <n v="5"/>
    <n v="8"/>
    <n v="55"/>
    <n v="17.66"/>
    <n v="37"/>
    <n v="0"/>
    <n v="0"/>
    <n v="0"/>
    <n v="1"/>
    <n v="1"/>
    <n v="0"/>
    <n v="0"/>
    <n v="1"/>
    <n v="0"/>
    <n v="1"/>
    <n v="0"/>
    <n v="1"/>
    <n v="1"/>
    <n v="2"/>
    <n v="0"/>
    <n v="0"/>
    <n v="2"/>
    <n v="0"/>
    <n v="0"/>
    <n v="7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The Four Puttz"/>
    <s v="Stymies"/>
    <s v="Raintree Back"/>
    <n v="1"/>
    <x v="34"/>
    <s v="0"/>
    <n v="5"/>
    <n v="4"/>
    <n v="6"/>
    <n v="5"/>
    <n v="7"/>
    <n v="5"/>
    <n v="5"/>
    <n v="5"/>
    <n v="5"/>
    <n v="47"/>
    <n v="2.88"/>
    <n v="44"/>
    <n v="0"/>
    <n v="0"/>
    <n v="0"/>
    <n v="0"/>
    <n v="0"/>
    <n v="0"/>
    <n v="0"/>
    <n v="0"/>
    <n v="0"/>
    <n v="1"/>
    <n v="0"/>
    <n v="0"/>
    <n v="1"/>
    <n v="0"/>
    <n v="1"/>
    <n v="0"/>
    <n v="1"/>
    <n v="0"/>
    <n v="0"/>
    <n v="4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The Four Puttz"/>
    <s v="Stymies"/>
    <s v="Raintree Back"/>
    <n v="2"/>
    <x v="20"/>
    <s v="0"/>
    <n v="5"/>
    <n v="4"/>
    <n v="4"/>
    <n v="5"/>
    <n v="5"/>
    <n v="6"/>
    <n v="4"/>
    <n v="4"/>
    <n v="6"/>
    <n v="43"/>
    <n v="5.18"/>
    <n v="38"/>
    <n v="0"/>
    <n v="0"/>
    <n v="0"/>
    <n v="0"/>
    <n v="0"/>
    <n v="0"/>
    <n v="0"/>
    <n v="0"/>
    <n v="0"/>
    <n v="0"/>
    <n v="0"/>
    <n v="2"/>
    <n v="0"/>
    <n v="0"/>
    <n v="0"/>
    <n v="0"/>
    <n v="1"/>
    <n v="0"/>
    <n v="0"/>
    <n v="3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The Four Puttz"/>
    <s v="Stymies"/>
    <s v="Raintree Back"/>
    <n v="3"/>
    <x v="42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2"/>
    <n v="0"/>
    <n v="1"/>
    <n v="1"/>
    <n v="0"/>
    <n v="1"/>
    <n v="2"/>
    <n v="1"/>
    <n v="1"/>
    <n v="1"/>
    <n v="10"/>
    <m/>
    <m/>
    <m/>
    <m/>
    <m/>
    <m/>
    <m/>
    <m/>
    <m/>
    <n v="0"/>
    <m/>
    <m/>
    <m/>
    <m/>
    <m/>
    <m/>
    <m/>
    <m/>
    <m/>
    <n v="0"/>
  </r>
  <r>
    <s v="Week 13 25 STY vs 4P.xlsx"/>
    <s v="13"/>
    <d v="2025-07-14T00:00:00"/>
    <s v="The Four Puttz"/>
    <s v="Stymies"/>
    <s v="Raintree Back"/>
    <n v="4"/>
    <x v="23"/>
    <s v="0"/>
    <n v="5"/>
    <n v="5"/>
    <n v="6"/>
    <n v="5"/>
    <n v="6"/>
    <n v="4"/>
    <n v="4"/>
    <n v="6"/>
    <n v="7"/>
    <n v="48"/>
    <n v="14.78"/>
    <n v="33"/>
    <n v="0"/>
    <n v="0"/>
    <n v="0"/>
    <n v="0"/>
    <n v="0"/>
    <n v="0"/>
    <n v="0"/>
    <n v="0"/>
    <n v="0"/>
    <n v="1"/>
    <n v="2"/>
    <n v="1"/>
    <n v="1"/>
    <n v="0"/>
    <n v="2"/>
    <n v="2"/>
    <n v="0"/>
    <n v="2"/>
    <n v="2"/>
    <n v="13"/>
    <m/>
    <m/>
    <m/>
    <m/>
    <m/>
    <n v="1"/>
    <m/>
    <m/>
    <m/>
    <n v="1"/>
    <m/>
    <m/>
    <m/>
    <m/>
    <m/>
    <m/>
    <m/>
    <m/>
    <m/>
    <n v="0"/>
  </r>
  <r>
    <s v="Week 13 25 WYC vs MMC_MCA.xlsx"/>
    <s v="13"/>
    <d v="2025-07-14T00:00:00"/>
    <s v="Who's Your Caddy?"/>
    <s v="Mickey Mouse Club"/>
    <s v="Raintree Back"/>
    <n v="1"/>
    <x v="10"/>
    <s v="0"/>
    <n v="4"/>
    <n v="6"/>
    <n v="5"/>
    <n v="6"/>
    <n v="6"/>
    <n v="7"/>
    <n v="4"/>
    <n v="5"/>
    <n v="6"/>
    <n v="49"/>
    <n v="8.06"/>
    <n v="41"/>
    <n v="0"/>
    <n v="0"/>
    <n v="0"/>
    <n v="0"/>
    <n v="0"/>
    <n v="0"/>
    <n v="0"/>
    <n v="0"/>
    <n v="0"/>
    <n v="1"/>
    <n v="0"/>
    <n v="1"/>
    <n v="0"/>
    <n v="0"/>
    <n v="1"/>
    <n v="0"/>
    <n v="0"/>
    <n v="2"/>
    <n v="0"/>
    <n v="5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Who's Your Caddy?"/>
    <s v="Mickey Mouse Club"/>
    <s v="Raintree Back"/>
    <n v="2"/>
    <x v="24"/>
    <s v="0"/>
    <n v="6"/>
    <n v="7"/>
    <n v="4"/>
    <n v="8"/>
    <n v="5"/>
    <n v="5"/>
    <n v="3"/>
    <n v="5"/>
    <n v="5"/>
    <n v="48"/>
    <n v="8.64"/>
    <n v="39"/>
    <n v="0"/>
    <n v="0"/>
    <n v="0"/>
    <n v="0"/>
    <n v="0"/>
    <n v="0"/>
    <n v="0"/>
    <n v="0"/>
    <n v="0"/>
    <n v="2"/>
    <n v="0"/>
    <n v="2"/>
    <n v="0"/>
    <n v="0"/>
    <n v="1"/>
    <n v="1"/>
    <n v="0"/>
    <n v="2"/>
    <n v="0"/>
    <n v="8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Who's Your Caddy?"/>
    <s v="Mickey Mouse Club"/>
    <s v="Raintree Back"/>
    <n v="3"/>
    <x v="26"/>
    <s v="0"/>
    <n v="4"/>
    <n v="4"/>
    <n v="5"/>
    <n v="6"/>
    <n v="4"/>
    <n v="6"/>
    <n v="3"/>
    <n v="6"/>
    <n v="10"/>
    <n v="48"/>
    <n v="10.75"/>
    <n v="37"/>
    <n v="0"/>
    <n v="0"/>
    <n v="0"/>
    <n v="0"/>
    <n v="0"/>
    <n v="0"/>
    <n v="0"/>
    <n v="0"/>
    <n v="0"/>
    <n v="2"/>
    <n v="1"/>
    <n v="2"/>
    <n v="2"/>
    <n v="1"/>
    <n v="0"/>
    <n v="2"/>
    <n v="1"/>
    <n v="0"/>
    <n v="2"/>
    <n v="13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Who's Your Caddy?"/>
    <s v="Mickey Mouse Club"/>
    <s v="Raintree Back"/>
    <n v="4"/>
    <x v="25"/>
    <s v="1"/>
    <n v="9"/>
    <n v="0"/>
    <n v="0"/>
    <n v="0"/>
    <n v="0"/>
    <n v="0"/>
    <n v="0"/>
    <n v="0"/>
    <n v="0"/>
    <n v="9"/>
    <n v="20"/>
    <n v="-11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0"/>
    <n v="8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Mickey Mouse Club"/>
    <s v="Who's Your Caddy?"/>
    <s v="Raintree Back"/>
    <n v="1"/>
    <x v="18"/>
    <s v="0"/>
    <n v="4"/>
    <n v="4"/>
    <n v="5"/>
    <n v="5"/>
    <n v="5"/>
    <n v="7"/>
    <n v="3"/>
    <n v="4"/>
    <n v="8"/>
    <n v="45"/>
    <n v="10.24"/>
    <n v="35"/>
    <n v="0"/>
    <n v="0"/>
    <n v="0"/>
    <n v="1"/>
    <n v="0"/>
    <n v="0"/>
    <n v="0"/>
    <n v="1"/>
    <n v="0"/>
    <n v="1"/>
    <n v="2"/>
    <n v="1"/>
    <n v="2"/>
    <n v="2"/>
    <n v="1"/>
    <n v="2"/>
    <n v="2"/>
    <n v="0"/>
    <n v="2"/>
    <n v="15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Mickey Mouse Club"/>
    <s v="Who's Your Caddy?"/>
    <s v="Raintree Back"/>
    <n v="2"/>
    <x v="16"/>
    <s v="0"/>
    <n v="8"/>
    <n v="5"/>
    <n v="6"/>
    <n v="7"/>
    <n v="5"/>
    <n v="6"/>
    <n v="3"/>
    <n v="5"/>
    <n v="7"/>
    <n v="52"/>
    <n v="13.63"/>
    <n v="38"/>
    <n v="0"/>
    <n v="0"/>
    <n v="0"/>
    <n v="1"/>
    <n v="1"/>
    <n v="1"/>
    <n v="0"/>
    <n v="1"/>
    <n v="1"/>
    <n v="0"/>
    <n v="2"/>
    <n v="0"/>
    <n v="2"/>
    <n v="2"/>
    <n v="1"/>
    <n v="1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Mickey Mouse Club"/>
    <s v="Who's Your Caddy?"/>
    <s v="Raintree Back"/>
    <n v="3"/>
    <x v="17"/>
    <s v="0"/>
    <n v="7"/>
    <n v="4"/>
    <n v="6"/>
    <n v="9"/>
    <n v="5"/>
    <n v="6"/>
    <n v="4"/>
    <n v="7"/>
    <n v="10"/>
    <n v="58"/>
    <n v="16.13"/>
    <n v="42"/>
    <n v="0"/>
    <n v="0"/>
    <n v="0"/>
    <n v="1"/>
    <n v="1"/>
    <n v="1"/>
    <n v="0"/>
    <n v="1"/>
    <n v="1"/>
    <n v="0"/>
    <n v="1"/>
    <n v="0"/>
    <n v="0"/>
    <n v="1"/>
    <n v="2"/>
    <n v="0"/>
    <n v="1"/>
    <n v="2"/>
    <n v="0"/>
    <n v="7"/>
    <m/>
    <m/>
    <m/>
    <m/>
    <m/>
    <m/>
    <m/>
    <m/>
    <m/>
    <n v="0"/>
    <m/>
    <m/>
    <m/>
    <m/>
    <m/>
    <m/>
    <m/>
    <m/>
    <m/>
    <n v="0"/>
  </r>
  <r>
    <s v="Week 13 25 WYC vs MMC_MCA.xlsx"/>
    <s v="13"/>
    <d v="2025-07-14T00:00:00"/>
    <s v="Mickey Mouse Club"/>
    <s v="Who's Your Caddy?"/>
    <s v="Raintree Back"/>
    <n v="4"/>
    <x v="19"/>
    <s v="1"/>
    <n v="5"/>
    <n v="6"/>
    <n v="5"/>
    <n v="5"/>
    <n v="7"/>
    <n v="7"/>
    <n v="5"/>
    <n v="7"/>
    <n v="7"/>
    <n v="54"/>
    <n v="20"/>
    <n v="34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2"/>
    <n v="12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The Four Puttz"/>
    <s v="Hack Squad"/>
    <s v="Raintree Back"/>
    <n v="1"/>
    <x v="20"/>
    <s v="0"/>
    <n v="5"/>
    <n v="5"/>
    <n v="3"/>
    <n v="3"/>
    <n v="6"/>
    <n v="5"/>
    <n v="3"/>
    <n v="5"/>
    <n v="5"/>
    <n v="40"/>
    <n v="5.18"/>
    <n v="35"/>
    <n v="0"/>
    <n v="0"/>
    <n v="0"/>
    <n v="0"/>
    <n v="0"/>
    <n v="0"/>
    <n v="0"/>
    <n v="0"/>
    <n v="0"/>
    <n v="1"/>
    <n v="0"/>
    <n v="2"/>
    <n v="2"/>
    <n v="0"/>
    <n v="2"/>
    <n v="1"/>
    <n v="0"/>
    <n v="2"/>
    <n v="2"/>
    <n v="12"/>
    <m/>
    <m/>
    <n v="1"/>
    <n v="1"/>
    <m/>
    <m/>
    <m/>
    <m/>
    <m/>
    <n v="2"/>
    <m/>
    <m/>
    <m/>
    <m/>
    <m/>
    <m/>
    <m/>
    <m/>
    <m/>
    <n v="0"/>
  </r>
  <r>
    <s v="Week 14 25 4P vs HS.xlsx"/>
    <s v="14"/>
    <d v="2025-07-21T00:00:00"/>
    <s v="The Four Puttz"/>
    <s v="Hack Squad"/>
    <s v="Raintree Back"/>
    <n v="2"/>
    <x v="21"/>
    <s v="0"/>
    <n v="4"/>
    <n v="4"/>
    <n v="7"/>
    <n v="5"/>
    <n v="6"/>
    <n v="5"/>
    <n v="5"/>
    <n v="7"/>
    <n v="7"/>
    <n v="50"/>
    <n v="8.4499999999999993"/>
    <n v="42"/>
    <n v="0"/>
    <n v="0"/>
    <n v="0"/>
    <n v="0"/>
    <n v="0"/>
    <n v="0"/>
    <n v="0"/>
    <n v="0"/>
    <n v="0"/>
    <n v="2"/>
    <n v="1"/>
    <n v="0"/>
    <n v="2"/>
    <n v="0"/>
    <n v="1"/>
    <n v="1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The Four Puttz"/>
    <s v="Hack Squad"/>
    <s v="Raintree Back"/>
    <n v="3"/>
    <x v="22"/>
    <s v="0"/>
    <n v="5"/>
    <n v="5"/>
    <n v="5"/>
    <n v="7"/>
    <n v="7"/>
    <n v="7"/>
    <n v="4"/>
    <n v="5"/>
    <n v="6"/>
    <n v="51"/>
    <n v="13.44"/>
    <n v="38"/>
    <n v="0"/>
    <n v="0"/>
    <n v="0"/>
    <n v="0"/>
    <n v="0"/>
    <n v="0"/>
    <n v="0"/>
    <n v="0"/>
    <n v="0"/>
    <n v="2"/>
    <n v="2"/>
    <n v="1"/>
    <n v="0"/>
    <n v="1"/>
    <n v="0"/>
    <n v="1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The Four Puttz"/>
    <s v="Hack Squad"/>
    <s v="Raintree Back"/>
    <n v="4"/>
    <x v="23"/>
    <s v="0"/>
    <n v="7"/>
    <n v="4"/>
    <n v="4"/>
    <n v="5"/>
    <n v="7"/>
    <n v="6"/>
    <n v="3"/>
    <n v="5"/>
    <n v="8"/>
    <n v="49"/>
    <n v="13.63"/>
    <n v="35"/>
    <n v="0"/>
    <n v="0"/>
    <n v="0"/>
    <n v="0"/>
    <n v="0"/>
    <n v="0"/>
    <n v="0"/>
    <n v="0"/>
    <n v="0"/>
    <n v="1"/>
    <n v="2"/>
    <n v="2"/>
    <n v="1"/>
    <n v="0"/>
    <n v="2"/>
    <n v="2"/>
    <n v="2"/>
    <n v="0"/>
    <n v="2"/>
    <n v="14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Hack Squad"/>
    <s v="The Four Puttz"/>
    <s v="Raintree Back"/>
    <n v="1"/>
    <x v="28"/>
    <s v="0"/>
    <n v="6"/>
    <n v="4"/>
    <n v="6"/>
    <n v="6"/>
    <n v="6"/>
    <n v="10"/>
    <n v="4"/>
    <n v="6"/>
    <n v="7"/>
    <n v="55"/>
    <n v="16.899999999999999"/>
    <n v="38"/>
    <n v="1"/>
    <n v="1"/>
    <n v="1"/>
    <n v="2"/>
    <n v="2"/>
    <n v="1"/>
    <n v="1"/>
    <n v="2"/>
    <n v="1"/>
    <n v="1"/>
    <n v="2"/>
    <n v="0"/>
    <n v="0"/>
    <n v="2"/>
    <n v="0"/>
    <n v="1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Hack Squad"/>
    <s v="The Four Puttz"/>
    <s v="Raintree Back"/>
    <n v="2"/>
    <x v="29"/>
    <s v="0"/>
    <n v="6"/>
    <n v="5"/>
    <n v="6"/>
    <n v="7"/>
    <n v="6"/>
    <n v="6"/>
    <n v="6"/>
    <n v="7"/>
    <n v="7"/>
    <n v="56"/>
    <n v="17.66"/>
    <n v="38"/>
    <n v="1"/>
    <n v="1"/>
    <n v="1"/>
    <n v="1"/>
    <n v="1"/>
    <n v="1"/>
    <n v="1"/>
    <n v="1"/>
    <n v="1"/>
    <n v="0"/>
    <n v="1"/>
    <n v="2"/>
    <n v="0"/>
    <n v="2"/>
    <n v="1"/>
    <n v="1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14 25 4P vs HS.xlsx"/>
    <s v="14"/>
    <d v="2025-07-21T00:00:00"/>
    <s v="Hack Squad"/>
    <s v="The Four Puttz"/>
    <s v="Raintree Back"/>
    <n v="3"/>
    <x v="30"/>
    <s v="0"/>
    <n v="6"/>
    <n v="6"/>
    <n v="5"/>
    <n v="7"/>
    <n v="8"/>
    <n v="4"/>
    <n v="4"/>
    <n v="5"/>
    <n v="6"/>
    <n v="51"/>
    <n v="18.05"/>
    <n v="33"/>
    <n v="0"/>
    <n v="0"/>
    <n v="0"/>
    <n v="1"/>
    <n v="1"/>
    <n v="1"/>
    <n v="0"/>
    <n v="1"/>
    <n v="1"/>
    <n v="0"/>
    <n v="0"/>
    <n v="1"/>
    <n v="2"/>
    <n v="1"/>
    <n v="2"/>
    <n v="1"/>
    <n v="2"/>
    <n v="2"/>
    <n v="2"/>
    <n v="13"/>
    <m/>
    <m/>
    <m/>
    <m/>
    <m/>
    <n v="1"/>
    <m/>
    <m/>
    <m/>
    <n v="1"/>
    <m/>
    <m/>
    <m/>
    <m/>
    <m/>
    <m/>
    <m/>
    <m/>
    <m/>
    <n v="0"/>
  </r>
  <r>
    <s v="Week 14 25 4P vs HS.xlsx"/>
    <s v="14"/>
    <d v="2025-07-21T00:00:00"/>
    <s v="Hack Squad"/>
    <s v="The Four Puttz"/>
    <s v="Raintree Back"/>
    <n v="4"/>
    <x v="31"/>
    <s v="0"/>
    <n v="7"/>
    <n v="6"/>
    <n v="6"/>
    <n v="6"/>
    <n v="6"/>
    <n v="8"/>
    <n v="6"/>
    <n v="8"/>
    <n v="8"/>
    <n v="61"/>
    <n v="19.97"/>
    <n v="41"/>
    <n v="0"/>
    <n v="1"/>
    <n v="0"/>
    <n v="1"/>
    <n v="1"/>
    <n v="1"/>
    <n v="0"/>
    <n v="1"/>
    <n v="1"/>
    <n v="1"/>
    <n v="0"/>
    <n v="0"/>
    <n v="1"/>
    <n v="2"/>
    <n v="0"/>
    <n v="0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etheads"/>
    <s v="Mickey Mouse Club"/>
    <s v="Raintree Back"/>
    <n v="1"/>
    <x v="9"/>
    <s v="0"/>
    <n v="5"/>
    <n v="4"/>
    <n v="5"/>
    <n v="5"/>
    <n v="7"/>
    <n v="5"/>
    <n v="3"/>
    <n v="5"/>
    <n v="6"/>
    <n v="45"/>
    <n v="8.26"/>
    <n v="37"/>
    <n v="0"/>
    <n v="0"/>
    <n v="0"/>
    <n v="0"/>
    <n v="0"/>
    <n v="0"/>
    <n v="0"/>
    <n v="0"/>
    <n v="0"/>
    <n v="2"/>
    <n v="1"/>
    <n v="1"/>
    <n v="0"/>
    <n v="0"/>
    <n v="2"/>
    <n v="2"/>
    <n v="1"/>
    <n v="2"/>
    <n v="2"/>
    <n v="13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etheads"/>
    <s v="Mickey Mouse Club"/>
    <s v="Raintree Back"/>
    <n v="2"/>
    <x v="8"/>
    <s v="0"/>
    <n v="4"/>
    <n v="5"/>
    <n v="6"/>
    <n v="5"/>
    <n v="6"/>
    <n v="5"/>
    <n v="4"/>
    <n v="4"/>
    <n v="5"/>
    <n v="44"/>
    <n v="8.4499999999999993"/>
    <n v="36"/>
    <n v="0"/>
    <n v="0"/>
    <n v="0"/>
    <n v="0"/>
    <n v="0"/>
    <n v="0"/>
    <n v="0"/>
    <n v="0"/>
    <n v="0"/>
    <n v="2"/>
    <n v="1"/>
    <n v="1"/>
    <n v="1"/>
    <n v="1"/>
    <n v="0"/>
    <n v="1"/>
    <n v="1"/>
    <n v="1"/>
    <n v="2"/>
    <n v="11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etheads"/>
    <s v="Mickey Mouse Club"/>
    <s v="Raintree Back"/>
    <n v="3"/>
    <x v="11"/>
    <s v="0"/>
    <n v="4"/>
    <n v="3"/>
    <n v="4"/>
    <n v="5"/>
    <n v="7"/>
    <n v="5"/>
    <n v="4"/>
    <n v="6"/>
    <n v="6"/>
    <n v="44"/>
    <n v="9.41"/>
    <n v="35"/>
    <n v="0"/>
    <n v="0"/>
    <n v="0"/>
    <n v="0"/>
    <n v="0"/>
    <n v="0"/>
    <n v="0"/>
    <n v="0"/>
    <n v="0"/>
    <n v="2"/>
    <n v="2"/>
    <n v="2"/>
    <n v="2"/>
    <n v="0"/>
    <n v="2"/>
    <n v="2"/>
    <n v="0"/>
    <n v="2"/>
    <n v="2"/>
    <n v="16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etheads"/>
    <s v="Mickey Mouse Club"/>
    <s v="Raintree Back"/>
    <n v="4"/>
    <x v="32"/>
    <s v="0"/>
    <n v="5"/>
    <n v="7"/>
    <n v="6"/>
    <n v="8"/>
    <n v="5"/>
    <n v="7"/>
    <n v="3"/>
    <n v="6"/>
    <n v="6"/>
    <n v="53"/>
    <n v="10.56"/>
    <n v="42"/>
    <n v="0"/>
    <n v="0"/>
    <n v="0"/>
    <n v="0"/>
    <n v="0"/>
    <n v="0"/>
    <n v="0"/>
    <n v="0"/>
    <n v="0"/>
    <n v="2"/>
    <n v="0"/>
    <n v="1"/>
    <n v="0"/>
    <n v="1"/>
    <n v="0"/>
    <n v="2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ickey Mouse Club"/>
    <s v="Metheads"/>
    <s v="Raintree Back"/>
    <n v="1"/>
    <x v="18"/>
    <s v="0"/>
    <n v="6"/>
    <n v="4"/>
    <n v="5"/>
    <n v="4"/>
    <n v="6"/>
    <n v="8"/>
    <n v="8"/>
    <n v="6"/>
    <n v="8"/>
    <n v="55"/>
    <n v="9.84"/>
    <n v="45"/>
    <n v="0"/>
    <n v="0"/>
    <n v="0"/>
    <n v="1"/>
    <n v="0"/>
    <n v="0"/>
    <n v="0"/>
    <n v="1"/>
    <n v="0"/>
    <n v="0"/>
    <n v="1"/>
    <n v="1"/>
    <n v="2"/>
    <n v="2"/>
    <n v="0"/>
    <n v="0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ickey Mouse Club"/>
    <s v="Metheads"/>
    <s v="Raintree Back"/>
    <n v="2"/>
    <x v="16"/>
    <s v="0"/>
    <n v="7"/>
    <n v="5"/>
    <n v="6"/>
    <n v="6"/>
    <n v="7"/>
    <n v="5"/>
    <n v="4"/>
    <n v="5"/>
    <n v="6"/>
    <n v="51"/>
    <n v="13.63"/>
    <n v="37"/>
    <n v="0"/>
    <n v="0"/>
    <n v="0"/>
    <n v="1"/>
    <n v="1"/>
    <n v="1"/>
    <n v="0"/>
    <n v="1"/>
    <n v="1"/>
    <n v="0"/>
    <n v="1"/>
    <n v="1"/>
    <n v="1"/>
    <n v="1"/>
    <n v="2"/>
    <n v="1"/>
    <n v="1"/>
    <n v="1"/>
    <n v="0"/>
    <n v="9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ickey Mouse Club"/>
    <s v="Metheads"/>
    <s v="Raintree Back"/>
    <n v="3"/>
    <x v="17"/>
    <s v="0"/>
    <n v="8"/>
    <n v="8"/>
    <n v="5"/>
    <n v="7"/>
    <n v="6"/>
    <n v="7"/>
    <n v="5"/>
    <n v="5"/>
    <n v="10"/>
    <n v="61"/>
    <n v="16.13"/>
    <n v="45"/>
    <n v="1"/>
    <n v="1"/>
    <n v="0"/>
    <n v="1"/>
    <n v="1"/>
    <n v="1"/>
    <n v="0"/>
    <n v="1"/>
    <n v="1"/>
    <n v="0"/>
    <n v="0"/>
    <n v="0"/>
    <n v="0"/>
    <n v="2"/>
    <n v="0"/>
    <n v="0"/>
    <n v="2"/>
    <n v="0"/>
    <n v="0"/>
    <n v="4"/>
    <m/>
    <m/>
    <m/>
    <m/>
    <m/>
    <m/>
    <m/>
    <m/>
    <m/>
    <n v="0"/>
    <m/>
    <m/>
    <m/>
    <m/>
    <m/>
    <m/>
    <m/>
    <m/>
    <m/>
    <n v="0"/>
  </r>
  <r>
    <s v="Week 14 25 MET vs MMC.xlsx"/>
    <s v="14"/>
    <d v="2025-07-21T00:00:00"/>
    <s v="Mickey Mouse Club"/>
    <s v="Metheads"/>
    <s v="Raintree Back"/>
    <n v="4"/>
    <x v="19"/>
    <s v="0"/>
    <n v="7"/>
    <n v="4"/>
    <n v="7"/>
    <n v="7"/>
    <n v="6"/>
    <n v="7"/>
    <n v="8"/>
    <n v="6"/>
    <n v="7"/>
    <n v="59"/>
    <n v="20"/>
    <n v="39"/>
    <n v="1"/>
    <n v="1"/>
    <n v="1"/>
    <n v="1"/>
    <n v="1"/>
    <n v="1"/>
    <n v="1"/>
    <n v="1"/>
    <n v="1"/>
    <n v="0"/>
    <n v="2"/>
    <n v="1"/>
    <n v="2"/>
    <n v="1"/>
    <n v="2"/>
    <n v="0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Stymies"/>
    <s v="Blind Draw"/>
    <s v="Raintree Front"/>
    <n v="1"/>
    <x v="12"/>
    <s v="0"/>
    <n v="6"/>
    <n v="6"/>
    <n v="5"/>
    <n v="4"/>
    <n v="4"/>
    <n v="5"/>
    <n v="6"/>
    <n v="5"/>
    <n v="6"/>
    <n v="47"/>
    <n v="8.26"/>
    <n v="39"/>
    <n v="1"/>
    <n v="1"/>
    <n v="1"/>
    <n v="1"/>
    <n v="0"/>
    <n v="1"/>
    <n v="1"/>
    <n v="1"/>
    <n v="1"/>
    <n v="1"/>
    <n v="1"/>
    <n v="1"/>
    <n v="1"/>
    <n v="1"/>
    <n v="2"/>
    <n v="1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Stymies"/>
    <s v="Blind Draw"/>
    <s v="Raintree Front"/>
    <n v="2"/>
    <x v="13"/>
    <s v="0"/>
    <n v="6"/>
    <n v="6"/>
    <n v="6"/>
    <n v="4"/>
    <n v="5"/>
    <n v="4"/>
    <n v="6"/>
    <n v="3"/>
    <n v="5"/>
    <n v="45"/>
    <n v="8.4499999999999993"/>
    <n v="37"/>
    <n v="1"/>
    <n v="1"/>
    <n v="1"/>
    <n v="1"/>
    <n v="0"/>
    <n v="1"/>
    <n v="1"/>
    <n v="1"/>
    <n v="1"/>
    <n v="1"/>
    <n v="1"/>
    <n v="0"/>
    <n v="1"/>
    <n v="0"/>
    <n v="2"/>
    <n v="1"/>
    <n v="2"/>
    <n v="1"/>
    <n v="2"/>
    <n v="11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Stymies"/>
    <s v="Blind Draw"/>
    <s v="Raintree Front"/>
    <n v="3"/>
    <x v="14"/>
    <s v="0"/>
    <n v="8"/>
    <n v="7"/>
    <n v="5"/>
    <n v="5"/>
    <n v="9"/>
    <n v="6"/>
    <n v="5"/>
    <n v="5"/>
    <n v="7"/>
    <n v="57"/>
    <n v="16.13"/>
    <n v="41"/>
    <n v="2"/>
    <n v="2"/>
    <n v="2"/>
    <n v="1"/>
    <n v="1"/>
    <n v="2"/>
    <n v="2"/>
    <n v="2"/>
    <n v="2"/>
    <n v="0"/>
    <n v="1"/>
    <n v="2"/>
    <n v="0"/>
    <n v="0"/>
    <n v="2"/>
    <n v="2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Stymies"/>
    <s v="Blind Draw"/>
    <s v="Raintree Front"/>
    <n v="4"/>
    <x v="15"/>
    <s v="0"/>
    <n v="7"/>
    <n v="7"/>
    <n v="7"/>
    <n v="3"/>
    <n v="6"/>
    <n v="6"/>
    <n v="7"/>
    <n v="6"/>
    <n v="6"/>
    <n v="55"/>
    <n v="17.86"/>
    <n v="37"/>
    <n v="2"/>
    <n v="2"/>
    <n v="2"/>
    <n v="2"/>
    <n v="2"/>
    <n v="2"/>
    <n v="2"/>
    <n v="2"/>
    <n v="2"/>
    <n v="1"/>
    <n v="1"/>
    <n v="0"/>
    <n v="2"/>
    <n v="1"/>
    <n v="2"/>
    <n v="1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Blind Draw"/>
    <s v="Stymies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1"/>
    <n v="1"/>
    <n v="1"/>
    <n v="0"/>
    <n v="1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Blind Draw"/>
    <s v="Stymies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2"/>
    <n v="1"/>
    <n v="2"/>
    <n v="0"/>
    <n v="1"/>
    <n v="0"/>
    <n v="1"/>
    <n v="0"/>
    <n v="9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Blind Draw"/>
    <s v="Stymies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2"/>
    <n v="1"/>
    <n v="0"/>
    <n v="2"/>
    <n v="2"/>
    <n v="0"/>
    <n v="0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14 25 STY vs BD.xlsx"/>
    <s v="14"/>
    <d v="2025-07-21T00:00:00"/>
    <s v="Blind Draw"/>
    <s v="Stymies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2"/>
    <n v="0"/>
    <n v="1"/>
    <n v="0"/>
    <n v="1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Who's Your Caddy?"/>
    <s v="Aceholes"/>
    <s v="Raintree Front"/>
    <n v="1"/>
    <x v="24"/>
    <s v="0"/>
    <n v="6"/>
    <n v="5"/>
    <n v="6"/>
    <n v="4"/>
    <n v="4"/>
    <n v="4"/>
    <n v="10"/>
    <n v="4"/>
    <n v="5"/>
    <n v="48"/>
    <n v="8.83"/>
    <n v="39"/>
    <n v="1"/>
    <n v="0"/>
    <n v="1"/>
    <n v="0"/>
    <n v="0"/>
    <n v="1"/>
    <n v="1"/>
    <n v="0"/>
    <n v="1"/>
    <n v="1"/>
    <n v="1"/>
    <n v="0"/>
    <n v="0"/>
    <n v="2"/>
    <n v="2"/>
    <n v="0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Who's Your Caddy?"/>
    <s v="Aceholes"/>
    <s v="Raintree Front"/>
    <n v="2"/>
    <x v="10"/>
    <s v="0"/>
    <n v="6"/>
    <n v="7"/>
    <n v="5"/>
    <n v="3"/>
    <n v="6"/>
    <n v="4"/>
    <n v="5"/>
    <n v="5"/>
    <n v="4"/>
    <n v="45"/>
    <n v="9.41"/>
    <n v="36"/>
    <n v="1"/>
    <n v="0"/>
    <n v="1"/>
    <n v="0"/>
    <n v="0"/>
    <n v="1"/>
    <n v="1"/>
    <n v="0"/>
    <n v="1"/>
    <n v="0"/>
    <n v="0"/>
    <n v="2"/>
    <n v="2"/>
    <n v="0"/>
    <n v="2"/>
    <n v="2"/>
    <n v="0"/>
    <n v="2"/>
    <n v="2"/>
    <n v="12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Who's Your Caddy?"/>
    <s v="Aceholes"/>
    <s v="Raintree Front"/>
    <n v="3"/>
    <x v="26"/>
    <s v="0"/>
    <n v="5"/>
    <n v="6"/>
    <n v="4"/>
    <n v="5"/>
    <n v="4"/>
    <n v="6"/>
    <n v="5"/>
    <n v="3"/>
    <n v="6"/>
    <n v="44"/>
    <n v="10.75"/>
    <n v="33"/>
    <n v="0"/>
    <n v="0"/>
    <n v="0"/>
    <n v="0"/>
    <n v="0"/>
    <n v="0"/>
    <n v="0"/>
    <n v="0"/>
    <n v="0"/>
    <n v="2"/>
    <n v="2"/>
    <n v="2"/>
    <n v="1"/>
    <n v="2"/>
    <n v="0"/>
    <n v="2"/>
    <n v="2"/>
    <n v="0"/>
    <n v="2"/>
    <n v="15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Who's Your Caddy?"/>
    <s v="Aceholes"/>
    <s v="Raintree Front"/>
    <n v="4"/>
    <x v="27"/>
    <s v="0"/>
    <n v="9"/>
    <n v="6"/>
    <n v="7"/>
    <n v="5"/>
    <n v="5"/>
    <n v="5"/>
    <n v="8"/>
    <n v="3"/>
    <n v="6"/>
    <n v="54"/>
    <n v="15.55"/>
    <n v="38"/>
    <n v="0"/>
    <n v="0"/>
    <n v="0"/>
    <n v="0"/>
    <n v="0"/>
    <n v="0"/>
    <n v="0"/>
    <n v="0"/>
    <n v="0"/>
    <n v="0"/>
    <n v="1"/>
    <n v="0"/>
    <n v="0"/>
    <n v="2"/>
    <n v="1"/>
    <n v="1"/>
    <n v="2"/>
    <n v="0"/>
    <n v="2"/>
    <n v="9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Aceholes"/>
    <s v="Who's Your Caddy?"/>
    <s v="Raintree Front"/>
    <n v="1"/>
    <x v="0"/>
    <s v="0"/>
    <n v="5"/>
    <n v="5"/>
    <n v="4"/>
    <n v="3"/>
    <n v="5"/>
    <n v="6"/>
    <n v="7"/>
    <n v="3"/>
    <n v="4"/>
    <n v="42"/>
    <n v="3.65"/>
    <n v="38"/>
    <n v="0"/>
    <n v="0"/>
    <n v="0"/>
    <n v="0"/>
    <n v="0"/>
    <n v="0"/>
    <n v="0"/>
    <n v="0"/>
    <n v="0"/>
    <n v="1"/>
    <n v="1"/>
    <n v="2"/>
    <n v="2"/>
    <n v="0"/>
    <n v="0"/>
    <n v="2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Aceholes"/>
    <s v="Who's Your Caddy?"/>
    <s v="Raintree Front"/>
    <n v="2"/>
    <x v="1"/>
    <s v="0"/>
    <n v="4"/>
    <n v="5"/>
    <n v="5"/>
    <n v="4"/>
    <n v="5"/>
    <n v="4"/>
    <n v="6"/>
    <n v="4"/>
    <n v="5"/>
    <n v="42"/>
    <n v="4.03"/>
    <n v="38"/>
    <n v="0"/>
    <n v="0"/>
    <n v="0"/>
    <n v="0"/>
    <n v="0"/>
    <n v="0"/>
    <n v="0"/>
    <n v="0"/>
    <n v="0"/>
    <n v="2"/>
    <n v="2"/>
    <n v="0"/>
    <n v="0"/>
    <n v="2"/>
    <n v="0"/>
    <n v="0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Aceholes"/>
    <s v="Who's Your Caddy?"/>
    <s v="Raintree Front"/>
    <n v="3"/>
    <x v="3"/>
    <s v="0"/>
    <n v="7"/>
    <n v="7"/>
    <n v="7"/>
    <n v="5"/>
    <n v="5"/>
    <n v="5"/>
    <n v="8"/>
    <n v="4"/>
    <n v="6"/>
    <n v="54"/>
    <n v="14.78"/>
    <n v="39"/>
    <n v="1"/>
    <n v="0"/>
    <n v="1"/>
    <n v="0"/>
    <n v="0"/>
    <n v="1"/>
    <n v="0"/>
    <n v="0"/>
    <n v="1"/>
    <n v="0"/>
    <n v="0"/>
    <n v="0"/>
    <n v="1"/>
    <n v="0"/>
    <n v="2"/>
    <n v="0"/>
    <n v="0"/>
    <n v="2"/>
    <n v="0"/>
    <n v="5"/>
    <m/>
    <m/>
    <m/>
    <m/>
    <m/>
    <m/>
    <m/>
    <m/>
    <m/>
    <n v="0"/>
    <m/>
    <m/>
    <m/>
    <m/>
    <m/>
    <m/>
    <m/>
    <m/>
    <m/>
    <n v="0"/>
  </r>
  <r>
    <s v="Week 14 25 WYC vs ACE.xlsx"/>
    <s v="14"/>
    <d v="2025-07-21T00:00:00"/>
    <s v="Aceholes"/>
    <s v="Who's Your Caddy?"/>
    <s v="Raintree Front"/>
    <n v="4"/>
    <x v="41"/>
    <s v="0"/>
    <n v="6"/>
    <n v="6"/>
    <n v="7"/>
    <n v="4"/>
    <n v="8"/>
    <n v="6"/>
    <n v="8"/>
    <n v="7"/>
    <n v="5"/>
    <n v="57"/>
    <n v="18.239999999999998"/>
    <n v="39"/>
    <n v="1"/>
    <n v="0"/>
    <n v="1"/>
    <n v="0"/>
    <n v="0"/>
    <n v="1"/>
    <n v="0"/>
    <n v="0"/>
    <n v="0"/>
    <n v="2"/>
    <n v="1"/>
    <n v="2"/>
    <n v="2"/>
    <n v="0"/>
    <n v="1"/>
    <n v="1"/>
    <n v="0"/>
    <n v="2"/>
    <n v="0"/>
    <n v="11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Aceholes"/>
    <s v="Blind Draw"/>
    <s v="Raintree Back"/>
    <n v="1"/>
    <x v="0"/>
    <s v="1"/>
    <n v="4"/>
    <n v="3"/>
    <n v="4"/>
    <n v="4"/>
    <n v="4"/>
    <n v="5"/>
    <n v="3"/>
    <n v="4"/>
    <n v="0"/>
    <n v="31"/>
    <n v="3.84"/>
    <n v="27"/>
    <n v="0"/>
    <n v="0"/>
    <n v="0"/>
    <n v="1"/>
    <n v="1"/>
    <n v="0"/>
    <n v="0"/>
    <n v="1"/>
    <n v="1"/>
    <n v="1"/>
    <n v="1"/>
    <n v="1"/>
    <n v="2"/>
    <n v="2"/>
    <n v="1"/>
    <n v="1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Aceholes"/>
    <s v="Blind Draw"/>
    <s v="Raintree Back"/>
    <n v="2"/>
    <x v="2"/>
    <s v="1"/>
    <n v="4"/>
    <n v="3"/>
    <n v="4"/>
    <n v="5"/>
    <n v="6"/>
    <n v="4"/>
    <n v="3"/>
    <n v="5"/>
    <n v="0"/>
    <n v="34"/>
    <n v="4.6100000000000003"/>
    <n v="29"/>
    <n v="0"/>
    <n v="0"/>
    <n v="0"/>
    <n v="1"/>
    <n v="1"/>
    <n v="1"/>
    <n v="0"/>
    <n v="1"/>
    <n v="1"/>
    <n v="1"/>
    <n v="1"/>
    <n v="1"/>
    <n v="2"/>
    <n v="0"/>
    <n v="2"/>
    <n v="1"/>
    <n v="2"/>
    <n v="1"/>
    <n v="2"/>
    <n v="13"/>
    <m/>
    <m/>
    <m/>
    <m/>
    <m/>
    <n v="1"/>
    <m/>
    <m/>
    <m/>
    <n v="1"/>
    <m/>
    <m/>
    <m/>
    <m/>
    <m/>
    <m/>
    <m/>
    <m/>
    <m/>
    <n v="0"/>
  </r>
  <r>
    <s v="Week 15 25 ACE vs BD_MCA.xlsx"/>
    <s v="15"/>
    <d v="2025-07-28T00:00:00"/>
    <s v="Aceholes"/>
    <s v="Blind Draw"/>
    <s v="Raintree Back"/>
    <n v="3"/>
    <x v="3"/>
    <s v="1"/>
    <n v="4"/>
    <n v="4"/>
    <n v="5"/>
    <n v="8"/>
    <n v="6"/>
    <n v="7"/>
    <n v="3"/>
    <n v="6"/>
    <n v="0"/>
    <n v="43"/>
    <n v="14.59"/>
    <n v="28"/>
    <n v="1"/>
    <n v="2"/>
    <n v="1"/>
    <n v="2"/>
    <n v="2"/>
    <n v="2"/>
    <n v="1"/>
    <n v="2"/>
    <n v="2"/>
    <n v="2"/>
    <n v="2"/>
    <n v="1"/>
    <n v="0"/>
    <n v="1"/>
    <n v="1"/>
    <n v="2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Aceholes"/>
    <s v="Blind Draw"/>
    <s v="Raintree Back"/>
    <n v="4"/>
    <x v="41"/>
    <s v="1"/>
    <n v="6"/>
    <n v="5"/>
    <n v="5"/>
    <n v="8"/>
    <n v="4"/>
    <n v="6"/>
    <n v="4"/>
    <n v="6"/>
    <n v="0"/>
    <n v="44"/>
    <n v="18.62"/>
    <n v="25"/>
    <n v="2"/>
    <n v="2"/>
    <n v="2"/>
    <n v="2"/>
    <n v="2"/>
    <n v="2"/>
    <n v="2"/>
    <n v="3"/>
    <n v="2"/>
    <n v="1"/>
    <n v="1"/>
    <n v="2"/>
    <n v="0"/>
    <n v="2"/>
    <n v="2"/>
    <n v="2"/>
    <n v="2"/>
    <n v="1"/>
    <n v="2"/>
    <n v="15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Blind Draw"/>
    <s v="Aceholes"/>
    <s v="Raintree Back"/>
    <n v="1"/>
    <x v="4"/>
    <s v="1"/>
    <n v="4"/>
    <n v="3"/>
    <n v="4"/>
    <n v="5"/>
    <n v="4"/>
    <n v="5"/>
    <n v="3"/>
    <n v="5"/>
    <n v="0"/>
    <n v="33"/>
    <n v="0"/>
    <n v="33"/>
    <n v="0"/>
    <n v="0"/>
    <n v="0"/>
    <n v="0"/>
    <n v="0"/>
    <n v="0"/>
    <n v="0"/>
    <n v="0"/>
    <n v="0"/>
    <n v="1"/>
    <n v="1"/>
    <n v="1"/>
    <n v="0"/>
    <n v="0"/>
    <n v="1"/>
    <n v="1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Blind Draw"/>
    <s v="Aceholes"/>
    <s v="Raintree Back"/>
    <n v="2"/>
    <x v="6"/>
    <s v="1"/>
    <n v="4"/>
    <n v="3"/>
    <n v="4"/>
    <n v="5"/>
    <n v="4"/>
    <n v="5"/>
    <n v="3"/>
    <n v="5"/>
    <n v="0"/>
    <n v="33"/>
    <n v="0"/>
    <n v="33"/>
    <n v="0"/>
    <n v="0"/>
    <n v="0"/>
    <n v="0"/>
    <n v="0"/>
    <n v="0"/>
    <n v="0"/>
    <n v="0"/>
    <n v="0"/>
    <n v="1"/>
    <n v="1"/>
    <n v="1"/>
    <n v="0"/>
    <n v="2"/>
    <n v="0"/>
    <n v="1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Blind Draw"/>
    <s v="Aceholes"/>
    <s v="Raintree Back"/>
    <n v="3"/>
    <x v="7"/>
    <s v="1"/>
    <n v="4"/>
    <n v="3"/>
    <n v="4"/>
    <n v="5"/>
    <n v="4"/>
    <n v="5"/>
    <n v="3"/>
    <n v="5"/>
    <n v="0"/>
    <n v="33"/>
    <n v="0"/>
    <n v="33"/>
    <n v="0"/>
    <n v="0"/>
    <n v="0"/>
    <n v="0"/>
    <n v="0"/>
    <n v="0"/>
    <n v="0"/>
    <n v="0"/>
    <n v="0"/>
    <n v="0"/>
    <n v="0"/>
    <n v="1"/>
    <n v="2"/>
    <n v="1"/>
    <n v="1"/>
    <n v="0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5 25 ACE vs BD_MCA.xlsx"/>
    <s v="15"/>
    <d v="2025-07-28T00:00:00"/>
    <s v="Blind Draw"/>
    <s v="Aceholes"/>
    <s v="Raintree Back"/>
    <n v="4"/>
    <x v="5"/>
    <s v="1"/>
    <n v="4"/>
    <n v="3"/>
    <n v="4"/>
    <n v="5"/>
    <n v="4"/>
    <n v="5"/>
    <n v="3"/>
    <n v="5"/>
    <n v="0"/>
    <n v="33"/>
    <n v="0"/>
    <n v="33"/>
    <n v="0"/>
    <n v="0"/>
    <n v="0"/>
    <n v="0"/>
    <n v="0"/>
    <n v="0"/>
    <n v="0"/>
    <n v="0"/>
    <n v="0"/>
    <n v="1"/>
    <n v="1"/>
    <n v="0"/>
    <n v="2"/>
    <n v="0"/>
    <n v="0"/>
    <n v="0"/>
    <n v="0"/>
    <n v="1"/>
    <n v="0"/>
    <n v="5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Metheads"/>
    <s v="Stymies"/>
    <s v="Raintree Front"/>
    <n v="1"/>
    <x v="8"/>
    <s v="1"/>
    <n v="5"/>
    <n v="5"/>
    <n v="5"/>
    <n v="3"/>
    <n v="4"/>
    <n v="7"/>
    <n v="0"/>
    <n v="0"/>
    <n v="0"/>
    <n v="29"/>
    <n v="8.06"/>
    <n v="21"/>
    <n v="0"/>
    <n v="0"/>
    <n v="0"/>
    <n v="0"/>
    <n v="0"/>
    <n v="0"/>
    <n v="0"/>
    <n v="0"/>
    <n v="0"/>
    <n v="1"/>
    <n v="1"/>
    <n v="1"/>
    <n v="0"/>
    <n v="2"/>
    <n v="0"/>
    <n v="1"/>
    <n v="1"/>
    <n v="1"/>
    <n v="0"/>
    <n v="8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Metheads"/>
    <s v="Stymies"/>
    <s v="Raintree Front"/>
    <n v="2"/>
    <x v="9"/>
    <s v="1"/>
    <n v="5"/>
    <n v="5"/>
    <n v="6"/>
    <n v="4"/>
    <n v="6"/>
    <n v="5"/>
    <n v="5"/>
    <n v="0"/>
    <n v="0"/>
    <n v="36"/>
    <n v="8.06"/>
    <n v="28"/>
    <n v="0"/>
    <n v="0"/>
    <n v="0"/>
    <n v="0"/>
    <n v="0"/>
    <n v="0"/>
    <n v="0"/>
    <n v="0"/>
    <n v="0"/>
    <n v="0"/>
    <n v="1"/>
    <n v="0"/>
    <n v="0"/>
    <n v="1"/>
    <n v="0"/>
    <n v="2"/>
    <n v="1"/>
    <n v="1"/>
    <n v="0"/>
    <n v="6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Metheads"/>
    <s v="Stymies"/>
    <s v="Raintree Front"/>
    <n v="3"/>
    <x v="11"/>
    <s v="1"/>
    <n v="6"/>
    <n v="4"/>
    <n v="6"/>
    <n v="4"/>
    <n v="4"/>
    <n v="6"/>
    <n v="0"/>
    <n v="0"/>
    <n v="0"/>
    <n v="30"/>
    <n v="9.02"/>
    <n v="21"/>
    <n v="0"/>
    <n v="0"/>
    <n v="0"/>
    <n v="0"/>
    <n v="0"/>
    <n v="0"/>
    <n v="0"/>
    <n v="0"/>
    <n v="0"/>
    <n v="0"/>
    <n v="2"/>
    <n v="0"/>
    <n v="0"/>
    <n v="2"/>
    <n v="0"/>
    <n v="1"/>
    <n v="1"/>
    <n v="1"/>
    <n v="0"/>
    <n v="7"/>
    <m/>
    <n v="1"/>
    <m/>
    <m/>
    <m/>
    <m/>
    <m/>
    <m/>
    <m/>
    <n v="1"/>
    <m/>
    <m/>
    <m/>
    <m/>
    <m/>
    <m/>
    <m/>
    <m/>
    <m/>
    <n v="0"/>
  </r>
  <r>
    <s v="Week 15 25 MET vs STY_noBD_MCA.xlsx"/>
    <s v="15"/>
    <d v="2025-07-28T00:00:00"/>
    <s v="Metheads"/>
    <s v="Stymies"/>
    <s v="Raintree Front"/>
    <n v="4"/>
    <x v="43"/>
    <s v="1"/>
    <n v="9"/>
    <n v="6"/>
    <n v="5"/>
    <n v="7"/>
    <n v="7"/>
    <n v="8"/>
    <n v="0"/>
    <n v="0"/>
    <n v="0"/>
    <n v="42"/>
    <m/>
    <m/>
    <m/>
    <m/>
    <m/>
    <m/>
    <m/>
    <m/>
    <m/>
    <m/>
    <m/>
    <n v="1"/>
    <n v="1"/>
    <n v="1"/>
    <n v="1"/>
    <n v="1"/>
    <n v="1"/>
    <n v="1"/>
    <n v="1"/>
    <n v="1"/>
    <n v="1"/>
    <n v="10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Stymies"/>
    <s v="Metheads"/>
    <s v="Raintree Front"/>
    <n v="1"/>
    <x v="10"/>
    <s v="1"/>
    <n v="5"/>
    <n v="5"/>
    <n v="5"/>
    <n v="2"/>
    <n v="7"/>
    <n v="4"/>
    <n v="0"/>
    <n v="0"/>
    <n v="0"/>
    <n v="28"/>
    <n v="9.41"/>
    <n v="19"/>
    <n v="0"/>
    <n v="0"/>
    <n v="0"/>
    <n v="0"/>
    <n v="0"/>
    <n v="1"/>
    <n v="0"/>
    <n v="0"/>
    <n v="0"/>
    <n v="1"/>
    <n v="1"/>
    <n v="1"/>
    <n v="2"/>
    <n v="0"/>
    <n v="2"/>
    <n v="1"/>
    <n v="1"/>
    <n v="1"/>
    <n v="2"/>
    <n v="12"/>
    <m/>
    <m/>
    <m/>
    <n v="1"/>
    <m/>
    <m/>
    <m/>
    <m/>
    <m/>
    <n v="1"/>
    <m/>
    <m/>
    <m/>
    <m/>
    <m/>
    <m/>
    <m/>
    <m/>
    <m/>
    <n v="0"/>
  </r>
  <r>
    <s v="Week 15 25 MET vs STY_noBD_MCA.xlsx"/>
    <s v="15"/>
    <d v="2025-07-28T00:00:00"/>
    <s v="Stymies"/>
    <s v="Metheads"/>
    <s v="Raintree Front"/>
    <n v="2"/>
    <x v="14"/>
    <s v="1"/>
    <n v="5"/>
    <n v="6"/>
    <n v="6"/>
    <n v="4"/>
    <n v="6"/>
    <n v="5"/>
    <n v="7"/>
    <n v="0"/>
    <n v="0"/>
    <n v="39"/>
    <n v="16.13"/>
    <n v="23"/>
    <n v="1"/>
    <n v="1"/>
    <n v="1"/>
    <n v="1"/>
    <n v="0"/>
    <n v="1"/>
    <n v="1"/>
    <n v="1"/>
    <n v="1"/>
    <n v="2"/>
    <n v="1"/>
    <n v="2"/>
    <n v="2"/>
    <n v="1"/>
    <n v="2"/>
    <n v="0"/>
    <n v="1"/>
    <n v="1"/>
    <n v="2"/>
    <n v="14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Stymies"/>
    <s v="Metheads"/>
    <s v="Raintree Front"/>
    <n v="3"/>
    <x v="15"/>
    <s v="1"/>
    <n v="6"/>
    <n v="7"/>
    <n v="6"/>
    <n v="4"/>
    <n v="6"/>
    <n v="6"/>
    <n v="0"/>
    <n v="0"/>
    <n v="0"/>
    <n v="35"/>
    <n v="17.66"/>
    <n v="17"/>
    <n v="1"/>
    <n v="1"/>
    <n v="1"/>
    <n v="1"/>
    <n v="1"/>
    <n v="1"/>
    <n v="1"/>
    <n v="1"/>
    <n v="1"/>
    <n v="2"/>
    <n v="0"/>
    <n v="2"/>
    <n v="2"/>
    <n v="0"/>
    <n v="2"/>
    <n v="1"/>
    <n v="1"/>
    <n v="1"/>
    <n v="2"/>
    <n v="13"/>
    <m/>
    <m/>
    <m/>
    <m/>
    <m/>
    <m/>
    <m/>
    <m/>
    <m/>
    <n v="0"/>
    <m/>
    <m/>
    <m/>
    <m/>
    <m/>
    <m/>
    <m/>
    <m/>
    <m/>
    <n v="0"/>
  </r>
  <r>
    <s v="Week 15 25 MET vs STY_noBD_MCA.xlsx"/>
    <s v="15"/>
    <d v="2025-07-28T00:00:00"/>
    <s v="Stymies"/>
    <s v="Metheads"/>
    <s v="Raintree Front"/>
    <n v="4"/>
    <x v="44"/>
    <s v="1"/>
    <n v="6"/>
    <n v="6"/>
    <n v="9"/>
    <n v="4"/>
    <n v="9"/>
    <n v="7"/>
    <n v="0"/>
    <n v="0"/>
    <n v="0"/>
    <n v="41"/>
    <m/>
    <m/>
    <m/>
    <m/>
    <m/>
    <m/>
    <m/>
    <m/>
    <m/>
    <m/>
    <m/>
    <n v="1"/>
    <n v="1"/>
    <n v="1"/>
    <n v="1"/>
    <n v="1"/>
    <n v="1"/>
    <n v="1"/>
    <n v="1"/>
    <n v="1"/>
    <n v="1"/>
    <n v="10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Mickey Mouse Club"/>
    <s v="The Four Puttz"/>
    <s v="Raintree Front"/>
    <n v="1"/>
    <x v="18"/>
    <s v="0"/>
    <n v="6"/>
    <n v="7"/>
    <n v="5"/>
    <n v="4"/>
    <n v="9"/>
    <n v="6"/>
    <n v="5"/>
    <n v="4"/>
    <n v="7"/>
    <n v="53"/>
    <n v="9.84"/>
    <n v="43"/>
    <n v="1"/>
    <n v="0"/>
    <n v="1"/>
    <n v="0"/>
    <n v="0"/>
    <n v="1"/>
    <n v="1"/>
    <n v="0"/>
    <n v="1"/>
    <n v="0"/>
    <n v="0"/>
    <n v="2"/>
    <n v="1"/>
    <n v="0"/>
    <n v="1"/>
    <n v="2"/>
    <n v="1"/>
    <n v="2"/>
    <n v="0"/>
    <n v="9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Mickey Mouse Club"/>
    <s v="The Four Puttz"/>
    <s v="Raintree Front"/>
    <n v="2"/>
    <x v="16"/>
    <s v="0"/>
    <n v="4"/>
    <n v="8"/>
    <n v="7"/>
    <n v="3"/>
    <n v="6"/>
    <n v="6"/>
    <n v="6"/>
    <n v="6"/>
    <n v="6"/>
    <n v="52"/>
    <n v="13.44"/>
    <n v="39"/>
    <n v="1"/>
    <n v="0"/>
    <n v="1"/>
    <n v="0"/>
    <n v="0"/>
    <n v="1"/>
    <n v="0"/>
    <n v="0"/>
    <n v="0"/>
    <n v="2"/>
    <n v="0"/>
    <n v="0"/>
    <n v="2"/>
    <n v="0"/>
    <n v="1"/>
    <n v="1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Mickey Mouse Club"/>
    <s v="The Four Puttz"/>
    <s v="Raintree Front"/>
    <n v="3"/>
    <x v="17"/>
    <s v="1"/>
    <n v="4"/>
    <n v="6"/>
    <n v="6"/>
    <n v="5"/>
    <n v="7"/>
    <n v="6"/>
    <n v="6"/>
    <n v="6"/>
    <n v="0"/>
    <n v="46"/>
    <n v="16.13"/>
    <n v="30"/>
    <n v="1"/>
    <n v="0"/>
    <n v="1"/>
    <n v="0"/>
    <n v="0"/>
    <n v="1"/>
    <n v="0"/>
    <n v="0"/>
    <n v="0"/>
    <n v="2"/>
    <n v="0"/>
    <n v="2"/>
    <n v="1"/>
    <n v="0"/>
    <n v="2"/>
    <n v="2"/>
    <n v="0"/>
    <n v="1"/>
    <n v="2"/>
    <n v="12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Mickey Mouse Club"/>
    <s v="The Four Puttz"/>
    <s v="Raintree Front"/>
    <n v="4"/>
    <x v="19"/>
    <s v="1"/>
    <n v="8"/>
    <n v="6"/>
    <n v="6"/>
    <n v="5"/>
    <n v="6"/>
    <n v="5"/>
    <n v="7"/>
    <n v="3"/>
    <n v="0"/>
    <n v="46"/>
    <n v="20"/>
    <n v="26"/>
    <n v="1"/>
    <n v="0"/>
    <n v="1"/>
    <n v="0"/>
    <n v="0"/>
    <n v="1"/>
    <n v="1"/>
    <n v="1"/>
    <n v="1"/>
    <n v="0"/>
    <n v="2"/>
    <n v="1"/>
    <n v="0"/>
    <n v="0"/>
    <n v="2"/>
    <n v="1"/>
    <n v="2"/>
    <n v="1"/>
    <n v="1"/>
    <n v="10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The Four Puttz"/>
    <s v="Mickey Mouse Club"/>
    <s v="Raintree Front"/>
    <n v="1"/>
    <x v="45"/>
    <s v="0"/>
    <n v="4"/>
    <n v="6"/>
    <n v="5"/>
    <n v="4"/>
    <n v="6"/>
    <n v="5"/>
    <n v="6"/>
    <n v="4"/>
    <n v="7"/>
    <n v="47"/>
    <n v="5.18"/>
    <n v="42"/>
    <n v="0"/>
    <n v="0"/>
    <n v="0"/>
    <n v="0"/>
    <n v="0"/>
    <n v="0"/>
    <n v="0"/>
    <n v="0"/>
    <n v="0"/>
    <n v="2"/>
    <n v="2"/>
    <n v="0"/>
    <n v="1"/>
    <n v="2"/>
    <n v="1"/>
    <n v="0"/>
    <n v="1"/>
    <n v="0"/>
    <n v="2"/>
    <n v="11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The Four Puttz"/>
    <s v="Mickey Mouse Club"/>
    <s v="Raintree Front"/>
    <n v="2"/>
    <x v="21"/>
    <s v="0"/>
    <n v="5"/>
    <n v="6"/>
    <n v="4"/>
    <n v="4"/>
    <n v="4"/>
    <n v="5"/>
    <n v="6"/>
    <n v="4"/>
    <n v="5"/>
    <n v="43"/>
    <n v="10.18"/>
    <n v="33"/>
    <n v="0"/>
    <n v="0"/>
    <n v="0"/>
    <n v="0"/>
    <n v="0"/>
    <n v="0"/>
    <n v="0"/>
    <n v="0"/>
    <n v="0"/>
    <n v="0"/>
    <n v="2"/>
    <n v="2"/>
    <n v="0"/>
    <n v="2"/>
    <n v="1"/>
    <n v="1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The Four Puttz"/>
    <s v="Mickey Mouse Club"/>
    <s v="Raintree Front"/>
    <n v="3"/>
    <x v="22"/>
    <s v="1"/>
    <n v="7"/>
    <n v="5"/>
    <n v="7"/>
    <n v="5"/>
    <n v="4"/>
    <n v="7"/>
    <n v="8"/>
    <n v="3"/>
    <n v="0"/>
    <n v="46"/>
    <n v="13.44"/>
    <n v="33"/>
    <n v="0"/>
    <n v="0"/>
    <n v="0"/>
    <n v="0"/>
    <n v="0"/>
    <n v="0"/>
    <n v="0"/>
    <n v="0"/>
    <n v="0"/>
    <n v="0"/>
    <n v="2"/>
    <n v="0"/>
    <n v="1"/>
    <n v="2"/>
    <n v="0"/>
    <n v="0"/>
    <n v="2"/>
    <n v="1"/>
    <n v="0"/>
    <n v="8"/>
    <m/>
    <m/>
    <m/>
    <m/>
    <m/>
    <m/>
    <m/>
    <m/>
    <m/>
    <n v="0"/>
    <m/>
    <m/>
    <m/>
    <m/>
    <m/>
    <m/>
    <m/>
    <m/>
    <m/>
    <n v="0"/>
  </r>
  <r>
    <s v="Week 15 25 MMC vs 4P_MCA.xlsx"/>
    <s v="15"/>
    <d v="2025-07-28T00:00:00"/>
    <s v="The Four Puttz"/>
    <s v="Mickey Mouse Club"/>
    <s v="Raintree Front"/>
    <n v="4"/>
    <x v="23"/>
    <s v="1"/>
    <n v="5"/>
    <n v="7"/>
    <n v="5"/>
    <n v="4"/>
    <n v="5"/>
    <n v="5"/>
    <n v="6"/>
    <n v="3"/>
    <n v="0"/>
    <n v="40"/>
    <n v="13.63"/>
    <n v="26"/>
    <n v="0"/>
    <n v="0"/>
    <n v="0"/>
    <n v="0"/>
    <n v="0"/>
    <n v="0"/>
    <n v="0"/>
    <n v="0"/>
    <n v="0"/>
    <n v="2"/>
    <n v="0"/>
    <n v="1"/>
    <n v="2"/>
    <n v="2"/>
    <n v="0"/>
    <n v="1"/>
    <n v="0"/>
    <n v="1"/>
    <n v="1"/>
    <n v="10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Who's Your Caddy?"/>
    <s v="Hack Squad"/>
    <s v="Raintree Back"/>
    <n v="1"/>
    <x v="24"/>
    <s v="0"/>
    <n v="4"/>
    <n v="4"/>
    <n v="4"/>
    <n v="5"/>
    <n v="6"/>
    <n v="5"/>
    <n v="4"/>
    <n v="4"/>
    <n v="7"/>
    <n v="43"/>
    <n v="8.83"/>
    <n v="34"/>
    <n v="1"/>
    <n v="1"/>
    <n v="1"/>
    <n v="1"/>
    <n v="1"/>
    <n v="1"/>
    <n v="1"/>
    <n v="1"/>
    <n v="1"/>
    <n v="2"/>
    <n v="1"/>
    <n v="2"/>
    <n v="2"/>
    <n v="1"/>
    <n v="2"/>
    <n v="1"/>
    <n v="2"/>
    <n v="1"/>
    <n v="2"/>
    <n v="16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Who's Your Caddy?"/>
    <s v="Hack Squad"/>
    <s v="Raintree Back"/>
    <n v="2"/>
    <x v="26"/>
    <s v="0"/>
    <n v="6"/>
    <n v="4"/>
    <n v="5"/>
    <n v="6"/>
    <n v="5"/>
    <n v="6"/>
    <n v="4"/>
    <n v="5"/>
    <n v="7"/>
    <n v="48"/>
    <n v="9.98"/>
    <n v="38"/>
    <n v="0"/>
    <n v="0"/>
    <n v="0"/>
    <n v="0"/>
    <n v="0"/>
    <n v="0"/>
    <n v="0"/>
    <n v="0"/>
    <n v="0"/>
    <n v="0"/>
    <n v="0"/>
    <n v="2"/>
    <n v="0"/>
    <n v="0"/>
    <n v="0"/>
    <n v="2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Who's Your Caddy?"/>
    <s v="Hack Squad"/>
    <s v="Raintree Back"/>
    <n v="3"/>
    <x v="46"/>
    <s v="1"/>
    <n v="5"/>
    <n v="8"/>
    <n v="4"/>
    <n v="7"/>
    <n v="6"/>
    <n v="8"/>
    <n v="3"/>
    <n v="7"/>
    <n v="0"/>
    <n v="48"/>
    <m/>
    <m/>
    <m/>
    <m/>
    <m/>
    <m/>
    <m/>
    <m/>
    <m/>
    <m/>
    <m/>
    <n v="1"/>
    <n v="1"/>
    <n v="1"/>
    <n v="1"/>
    <n v="1"/>
    <n v="1"/>
    <n v="1"/>
    <n v="1"/>
    <n v="1"/>
    <n v="1"/>
    <n v="10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Who's Your Caddy?"/>
    <s v="Hack Squad"/>
    <s v="Raintree Back"/>
    <n v="4"/>
    <x v="27"/>
    <s v="1"/>
    <n v="4"/>
    <n v="3"/>
    <n v="5"/>
    <n v="6"/>
    <n v="6"/>
    <n v="6"/>
    <n v="3"/>
    <n v="5"/>
    <n v="0"/>
    <n v="38"/>
    <n v="15.55"/>
    <n v="22"/>
    <n v="0"/>
    <n v="0"/>
    <n v="0"/>
    <n v="0"/>
    <n v="0"/>
    <n v="0"/>
    <n v="0"/>
    <n v="0"/>
    <n v="0"/>
    <n v="2"/>
    <n v="2"/>
    <n v="2"/>
    <n v="0"/>
    <n v="0"/>
    <n v="1"/>
    <n v="1"/>
    <n v="1"/>
    <n v="1"/>
    <n v="2"/>
    <n v="12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Hack Squad"/>
    <s v="Who's Your Caddy?"/>
    <s v="Raintree Back"/>
    <n v="1"/>
    <x v="47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0"/>
    <n v="1"/>
    <n v="0"/>
    <n v="0"/>
    <n v="1"/>
    <n v="0"/>
    <n v="1"/>
    <n v="0"/>
    <n v="1"/>
    <n v="0"/>
    <n v="4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Hack Squad"/>
    <s v="Who's Your Caddy?"/>
    <s v="Raintree Back"/>
    <n v="2"/>
    <x v="28"/>
    <s v="0"/>
    <n v="6"/>
    <n v="3"/>
    <n v="6"/>
    <n v="6"/>
    <n v="5"/>
    <n v="6"/>
    <n v="5"/>
    <n v="6"/>
    <n v="7"/>
    <n v="50"/>
    <n v="16.7"/>
    <n v="33"/>
    <n v="1"/>
    <n v="1"/>
    <n v="0"/>
    <n v="1"/>
    <n v="1"/>
    <n v="1"/>
    <n v="0"/>
    <n v="1"/>
    <n v="1"/>
    <n v="2"/>
    <n v="2"/>
    <n v="0"/>
    <n v="2"/>
    <n v="2"/>
    <n v="2"/>
    <n v="0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15 25 WYC vs HS_MCA.xlsx"/>
    <s v="15"/>
    <d v="2025-07-28T00:00:00"/>
    <s v="Hack Squad"/>
    <s v="Who's Your Caddy?"/>
    <s v="Raintree Back"/>
    <n v="3"/>
    <x v="30"/>
    <s v="1"/>
    <n v="5"/>
    <n v="6"/>
    <n v="5"/>
    <n v="6"/>
    <n v="3"/>
    <n v="6"/>
    <n v="5"/>
    <n v="8"/>
    <n v="0"/>
    <n v="44"/>
    <n v="18.05"/>
    <n v="26"/>
    <m/>
    <m/>
    <m/>
    <m/>
    <m/>
    <m/>
    <m/>
    <m/>
    <m/>
    <n v="1"/>
    <n v="1"/>
    <n v="1"/>
    <n v="1"/>
    <n v="1"/>
    <n v="1"/>
    <n v="1"/>
    <n v="1"/>
    <n v="1"/>
    <n v="1"/>
    <n v="10"/>
    <m/>
    <m/>
    <m/>
    <m/>
    <n v="1"/>
    <m/>
    <m/>
    <m/>
    <m/>
    <n v="1"/>
    <m/>
    <m/>
    <m/>
    <m/>
    <m/>
    <m/>
    <m/>
    <m/>
    <m/>
    <n v="0"/>
  </r>
  <r>
    <s v="Week 15 25 WYC vs HS_MCA.xlsx"/>
    <s v="15"/>
    <d v="2025-07-28T00:00:00"/>
    <s v="Hack Squad"/>
    <s v="Who's Your Caddy?"/>
    <s v="Raintree Back"/>
    <n v="4"/>
    <x v="31"/>
    <s v="1"/>
    <n v="6"/>
    <n v="7"/>
    <n v="6"/>
    <n v="6"/>
    <n v="5"/>
    <n v="6"/>
    <n v="3"/>
    <n v="6"/>
    <n v="0"/>
    <n v="45"/>
    <n v="20"/>
    <n v="25"/>
    <n v="0"/>
    <n v="0"/>
    <n v="0"/>
    <n v="1"/>
    <n v="1"/>
    <n v="0"/>
    <n v="0"/>
    <n v="1"/>
    <n v="1"/>
    <n v="0"/>
    <n v="0"/>
    <n v="0"/>
    <n v="2"/>
    <n v="2"/>
    <n v="1"/>
    <n v="1"/>
    <n v="1"/>
    <n v="1"/>
    <n v="0"/>
    <n v="8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The Four Puttz"/>
    <s v="Who's Your Caddy?"/>
    <s v="Raintree Front"/>
    <n v="1"/>
    <x v="34"/>
    <s v="0"/>
    <n v="5"/>
    <n v="5"/>
    <n v="6"/>
    <n v="4"/>
    <n v="5"/>
    <n v="5"/>
    <n v="7"/>
    <n v="5"/>
    <n v="5"/>
    <n v="47"/>
    <n v="4.8"/>
    <n v="42"/>
    <n v="0"/>
    <n v="0"/>
    <n v="0"/>
    <n v="0"/>
    <n v="0"/>
    <n v="0"/>
    <n v="0"/>
    <n v="0"/>
    <n v="0"/>
    <n v="0"/>
    <n v="2"/>
    <n v="0"/>
    <n v="1"/>
    <n v="2"/>
    <n v="0"/>
    <n v="1"/>
    <n v="0"/>
    <n v="2"/>
    <n v="0"/>
    <n v="8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The Four Puttz"/>
    <s v="Who's Your Caddy?"/>
    <s v="Raintree Front"/>
    <n v="2"/>
    <x v="20"/>
    <s v="0"/>
    <n v="4"/>
    <n v="6"/>
    <n v="5"/>
    <n v="3"/>
    <n v="5"/>
    <n v="4"/>
    <n v="5"/>
    <n v="4"/>
    <n v="5"/>
    <n v="41"/>
    <n v="5.38"/>
    <n v="36"/>
    <n v="0"/>
    <n v="0"/>
    <n v="0"/>
    <n v="0"/>
    <n v="0"/>
    <n v="0"/>
    <n v="0"/>
    <n v="0"/>
    <n v="0"/>
    <n v="2"/>
    <n v="0"/>
    <n v="0"/>
    <n v="1"/>
    <n v="1"/>
    <n v="1"/>
    <n v="2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The Four Puttz"/>
    <s v="Who's Your Caddy?"/>
    <s v="Raintree Front"/>
    <n v="3"/>
    <x v="21"/>
    <s v="0"/>
    <n v="6"/>
    <n v="8"/>
    <n v="9"/>
    <n v="4"/>
    <n v="6"/>
    <n v="4"/>
    <n v="8"/>
    <n v="5"/>
    <n v="5"/>
    <n v="55"/>
    <n v="8.83"/>
    <n v="46"/>
    <n v="0"/>
    <n v="0"/>
    <n v="0"/>
    <n v="0"/>
    <n v="0"/>
    <n v="0"/>
    <n v="0"/>
    <n v="0"/>
    <n v="0"/>
    <n v="0"/>
    <n v="0"/>
    <n v="0"/>
    <n v="2"/>
    <n v="1"/>
    <n v="1"/>
    <n v="0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The Four Puttz"/>
    <s v="Who's Your Caddy?"/>
    <s v="Raintree Front"/>
    <n v="4"/>
    <x v="22"/>
    <s v="0"/>
    <n v="9"/>
    <n v="5"/>
    <n v="8"/>
    <n v="4"/>
    <n v="4"/>
    <n v="6"/>
    <n v="5"/>
    <n v="3"/>
    <n v="5"/>
    <n v="49"/>
    <n v="13.44"/>
    <n v="36"/>
    <n v="0"/>
    <n v="0"/>
    <n v="0"/>
    <n v="0"/>
    <n v="0"/>
    <n v="0"/>
    <n v="0"/>
    <n v="0"/>
    <n v="0"/>
    <n v="0"/>
    <n v="2"/>
    <n v="0"/>
    <n v="0"/>
    <n v="2"/>
    <n v="0"/>
    <n v="2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Who's Your Caddy?"/>
    <s v="The Four Puttz"/>
    <s v="Raintree Front"/>
    <n v="1"/>
    <x v="24"/>
    <s v="0"/>
    <n v="5"/>
    <n v="8"/>
    <n v="5"/>
    <n v="4"/>
    <n v="6"/>
    <n v="4"/>
    <n v="7"/>
    <n v="4"/>
    <n v="6"/>
    <n v="49"/>
    <n v="8.06"/>
    <n v="41"/>
    <n v="1"/>
    <n v="0"/>
    <n v="1"/>
    <n v="0"/>
    <n v="0"/>
    <n v="1"/>
    <n v="0"/>
    <n v="0"/>
    <n v="0"/>
    <n v="2"/>
    <n v="0"/>
    <n v="2"/>
    <n v="1"/>
    <n v="0"/>
    <n v="2"/>
    <n v="1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Who's Your Caddy?"/>
    <s v="The Four Puttz"/>
    <s v="Raintree Front"/>
    <n v="2"/>
    <x v="26"/>
    <s v="0"/>
    <n v="6"/>
    <n v="5"/>
    <n v="4"/>
    <n v="3"/>
    <n v="5"/>
    <n v="5"/>
    <n v="10"/>
    <n v="4"/>
    <n v="7"/>
    <n v="49"/>
    <n v="10.56"/>
    <n v="38"/>
    <n v="1"/>
    <n v="0"/>
    <n v="1"/>
    <n v="0"/>
    <n v="0"/>
    <n v="1"/>
    <n v="1"/>
    <n v="0"/>
    <n v="1"/>
    <n v="0"/>
    <n v="2"/>
    <n v="2"/>
    <n v="1"/>
    <n v="1"/>
    <n v="1"/>
    <n v="0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Who's Your Caddy?"/>
    <s v="The Four Puttz"/>
    <s v="Raintree Front"/>
    <n v="3"/>
    <x v="27"/>
    <s v="0"/>
    <n v="6"/>
    <n v="6"/>
    <n v="6"/>
    <n v="5"/>
    <n v="6"/>
    <n v="5"/>
    <n v="7"/>
    <n v="4"/>
    <n v="7"/>
    <n v="52"/>
    <n v="15.55"/>
    <n v="36"/>
    <n v="1"/>
    <n v="1"/>
    <n v="1"/>
    <n v="0"/>
    <n v="0"/>
    <n v="1"/>
    <n v="1"/>
    <n v="1"/>
    <n v="1"/>
    <n v="2"/>
    <n v="2"/>
    <n v="2"/>
    <n v="0"/>
    <n v="1"/>
    <n v="1"/>
    <n v="2"/>
    <n v="2"/>
    <n v="0"/>
    <n v="2"/>
    <n v="14"/>
    <m/>
    <m/>
    <m/>
    <m/>
    <m/>
    <m/>
    <m/>
    <m/>
    <m/>
    <n v="0"/>
    <m/>
    <m/>
    <m/>
    <m/>
    <m/>
    <m/>
    <m/>
    <m/>
    <m/>
    <n v="0"/>
  </r>
  <r>
    <s v="Week 16 25 4P vs WYC.xlsx"/>
    <s v="16"/>
    <d v="2025-08-04T00:00:00"/>
    <s v="Who's Your Caddy?"/>
    <s v="The Four Puttz"/>
    <s v="Raintree Front"/>
    <n v="4"/>
    <x v="38"/>
    <s v="0"/>
    <n v="8"/>
    <n v="7"/>
    <n v="8"/>
    <n v="3"/>
    <n v="5"/>
    <n v="6"/>
    <n v="7"/>
    <n v="6"/>
    <n v="9"/>
    <n v="59"/>
    <n v="16.7"/>
    <n v="42"/>
    <n v="1"/>
    <n v="0"/>
    <n v="1"/>
    <n v="0"/>
    <n v="0"/>
    <n v="1"/>
    <n v="0"/>
    <n v="0"/>
    <n v="0"/>
    <n v="2"/>
    <n v="0"/>
    <n v="2"/>
    <n v="2"/>
    <n v="0"/>
    <n v="2"/>
    <n v="0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Stymies"/>
    <s v="Hack Squad"/>
    <s v="Raintree Front"/>
    <n v="1"/>
    <x v="13"/>
    <s v="0"/>
    <n v="7"/>
    <n v="5"/>
    <n v="5"/>
    <n v="3"/>
    <n v="7"/>
    <n v="6"/>
    <n v="5"/>
    <n v="5"/>
    <n v="5"/>
    <n v="48"/>
    <n v="8.06"/>
    <n v="40"/>
    <n v="0"/>
    <n v="0"/>
    <n v="0"/>
    <n v="0"/>
    <n v="0"/>
    <n v="0"/>
    <n v="0"/>
    <n v="0"/>
    <n v="0"/>
    <n v="0"/>
    <n v="1"/>
    <n v="2"/>
    <n v="2"/>
    <n v="1"/>
    <n v="1"/>
    <n v="2"/>
    <n v="0"/>
    <n v="2"/>
    <n v="0"/>
    <n v="11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Stymies"/>
    <s v="Hack Squad"/>
    <s v="Raintree Front"/>
    <n v="2"/>
    <x v="10"/>
    <s v="0"/>
    <n v="7"/>
    <n v="5"/>
    <n v="5"/>
    <n v="5"/>
    <n v="5"/>
    <n v="6"/>
    <n v="7"/>
    <n v="4"/>
    <n v="7"/>
    <n v="51"/>
    <n v="9.41"/>
    <n v="42"/>
    <n v="0"/>
    <n v="0"/>
    <n v="0"/>
    <n v="0"/>
    <n v="0"/>
    <n v="0"/>
    <n v="0"/>
    <n v="0"/>
    <n v="0"/>
    <n v="2"/>
    <n v="2"/>
    <n v="2"/>
    <n v="1"/>
    <n v="1"/>
    <n v="1"/>
    <n v="1"/>
    <n v="1"/>
    <n v="0"/>
    <n v="2"/>
    <n v="13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Stymies"/>
    <s v="Hack Squad"/>
    <s v="Raintree Front"/>
    <n v="3"/>
    <x v="14"/>
    <s v="0"/>
    <n v="5"/>
    <n v="9"/>
    <n v="7"/>
    <n v="4"/>
    <n v="5"/>
    <n v="5"/>
    <n v="8"/>
    <n v="4"/>
    <n v="7"/>
    <n v="54"/>
    <n v="16.13"/>
    <n v="38"/>
    <n v="0"/>
    <n v="0"/>
    <n v="0"/>
    <n v="0"/>
    <n v="0"/>
    <n v="0"/>
    <n v="0"/>
    <n v="0"/>
    <n v="0"/>
    <n v="2"/>
    <n v="0"/>
    <n v="0"/>
    <n v="2"/>
    <n v="2"/>
    <n v="0"/>
    <n v="0"/>
    <n v="1"/>
    <n v="1"/>
    <n v="1"/>
    <n v="9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Stymies"/>
    <s v="Hack Squad"/>
    <s v="Raintree Front"/>
    <n v="4"/>
    <x v="44"/>
    <s v="0"/>
    <n v="8"/>
    <n v="5"/>
    <n v="7"/>
    <n v="3"/>
    <n v="8"/>
    <n v="7"/>
    <n v="8"/>
    <n v="5"/>
    <n v="9"/>
    <n v="60"/>
    <n v="20"/>
    <n v="40"/>
    <n v="0"/>
    <n v="0"/>
    <n v="0"/>
    <n v="0"/>
    <n v="0"/>
    <n v="0"/>
    <n v="0"/>
    <n v="0"/>
    <n v="0"/>
    <n v="2"/>
    <n v="2"/>
    <n v="2"/>
    <n v="2"/>
    <n v="0"/>
    <n v="0"/>
    <n v="2"/>
    <n v="0"/>
    <n v="0"/>
    <n v="2"/>
    <n v="12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Hack Squad"/>
    <s v="Stymies"/>
    <s v="Raintree Front"/>
    <n v="1"/>
    <x v="28"/>
    <s v="0"/>
    <n v="5"/>
    <n v="6"/>
    <n v="7"/>
    <n v="5"/>
    <n v="7"/>
    <n v="7"/>
    <n v="7"/>
    <n v="2"/>
    <n v="7"/>
    <n v="53"/>
    <n v="15.74"/>
    <n v="37"/>
    <n v="1"/>
    <n v="1"/>
    <n v="1"/>
    <n v="1"/>
    <n v="0"/>
    <n v="1"/>
    <n v="1"/>
    <n v="1"/>
    <n v="1"/>
    <n v="2"/>
    <n v="1"/>
    <n v="0"/>
    <n v="0"/>
    <n v="1"/>
    <n v="1"/>
    <n v="0"/>
    <n v="2"/>
    <n v="0"/>
    <n v="2"/>
    <n v="9"/>
    <m/>
    <m/>
    <m/>
    <m/>
    <m/>
    <m/>
    <m/>
    <n v="1"/>
    <m/>
    <n v="1"/>
    <m/>
    <m/>
    <m/>
    <m/>
    <m/>
    <m/>
    <m/>
    <m/>
    <m/>
    <n v="0"/>
  </r>
  <r>
    <s v="Week 16 25 HS vs STY.xlsx"/>
    <s v="16"/>
    <d v="2025-08-04T00:00:00"/>
    <s v="Hack Squad"/>
    <s v="Stymies"/>
    <s v="Raintree Front"/>
    <n v="2"/>
    <x v="30"/>
    <s v="0"/>
    <n v="9"/>
    <n v="8"/>
    <n v="8"/>
    <n v="6"/>
    <n v="6"/>
    <n v="7"/>
    <n v="8"/>
    <n v="5"/>
    <n v="5"/>
    <n v="62"/>
    <n v="18.05"/>
    <n v="44"/>
    <n v="1"/>
    <n v="1"/>
    <n v="1"/>
    <n v="1"/>
    <n v="1"/>
    <n v="1"/>
    <n v="1"/>
    <n v="1"/>
    <n v="1"/>
    <n v="0"/>
    <n v="0"/>
    <n v="0"/>
    <n v="1"/>
    <n v="1"/>
    <n v="1"/>
    <n v="1"/>
    <n v="1"/>
    <n v="2"/>
    <n v="0"/>
    <n v="7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Hack Squad"/>
    <s v="Stymies"/>
    <s v="Raintree Front"/>
    <n v="3"/>
    <x v="29"/>
    <s v="0"/>
    <n v="9"/>
    <n v="6"/>
    <n v="6"/>
    <n v="5"/>
    <n v="7"/>
    <n v="5"/>
    <n v="7"/>
    <n v="4"/>
    <n v="7"/>
    <n v="56"/>
    <n v="18.239999999999998"/>
    <n v="38"/>
    <n v="1"/>
    <n v="0"/>
    <n v="0"/>
    <n v="0"/>
    <n v="0"/>
    <n v="1"/>
    <n v="0"/>
    <n v="0"/>
    <n v="0"/>
    <n v="0"/>
    <n v="2"/>
    <n v="2"/>
    <n v="0"/>
    <n v="0"/>
    <n v="2"/>
    <n v="2"/>
    <n v="1"/>
    <n v="1"/>
    <n v="1"/>
    <n v="11"/>
    <m/>
    <m/>
    <m/>
    <m/>
    <m/>
    <m/>
    <m/>
    <m/>
    <m/>
    <n v="0"/>
    <m/>
    <m/>
    <m/>
    <m/>
    <m/>
    <m/>
    <m/>
    <m/>
    <m/>
    <n v="0"/>
  </r>
  <r>
    <s v="Week 16 25 HS vs STY.xlsx"/>
    <s v="16"/>
    <d v="2025-08-04T00:00:00"/>
    <s v="Hack Squad"/>
    <s v="Stymies"/>
    <s v="Raintree Front"/>
    <n v="4"/>
    <x v="31"/>
    <s v="0"/>
    <n v="9"/>
    <n v="8"/>
    <n v="8"/>
    <n v="4"/>
    <n v="6"/>
    <n v="6"/>
    <n v="10"/>
    <n v="4"/>
    <n v="6"/>
    <n v="61"/>
    <n v="20"/>
    <n v="41"/>
    <n v="0"/>
    <n v="0"/>
    <n v="0"/>
    <n v="0"/>
    <n v="0"/>
    <n v="0"/>
    <n v="0"/>
    <n v="0"/>
    <n v="0"/>
    <n v="0"/>
    <n v="0"/>
    <n v="0"/>
    <n v="0"/>
    <n v="2"/>
    <n v="2"/>
    <n v="0"/>
    <n v="2"/>
    <n v="2"/>
    <n v="0"/>
    <n v="8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Metheads"/>
    <s v="Aceholes"/>
    <s v="Raintree Back"/>
    <n v="1"/>
    <x v="8"/>
    <s v="0"/>
    <n v="4"/>
    <n v="3"/>
    <n v="6"/>
    <n v="7"/>
    <n v="5"/>
    <n v="6"/>
    <n v="4"/>
    <n v="4"/>
    <n v="5"/>
    <n v="44"/>
    <n v="8.06"/>
    <n v="36"/>
    <n v="0"/>
    <n v="0"/>
    <n v="0"/>
    <n v="1"/>
    <n v="1"/>
    <n v="0"/>
    <n v="0"/>
    <n v="1"/>
    <n v="1"/>
    <n v="0"/>
    <n v="0"/>
    <n v="0"/>
    <n v="0"/>
    <n v="2"/>
    <n v="1"/>
    <n v="1"/>
    <n v="2"/>
    <n v="2"/>
    <n v="1"/>
    <n v="9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Metheads"/>
    <s v="Aceholes"/>
    <s v="Raintree Back"/>
    <n v="2"/>
    <x v="9"/>
    <s v="0"/>
    <n v="4"/>
    <n v="3"/>
    <n v="4"/>
    <n v="6"/>
    <n v="5"/>
    <n v="6"/>
    <n v="3"/>
    <n v="5"/>
    <n v="7"/>
    <n v="43"/>
    <n v="8.06"/>
    <n v="35"/>
    <n v="0"/>
    <n v="0"/>
    <n v="0"/>
    <n v="1"/>
    <n v="1"/>
    <n v="0"/>
    <n v="0"/>
    <n v="1"/>
    <n v="1"/>
    <n v="1"/>
    <n v="2"/>
    <n v="1"/>
    <n v="1"/>
    <n v="1"/>
    <n v="1"/>
    <n v="2"/>
    <n v="2"/>
    <n v="1"/>
    <n v="2"/>
    <n v="14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Metheads"/>
    <s v="Aceholes"/>
    <s v="Raintree Back"/>
    <n v="3"/>
    <x v="11"/>
    <s v="0"/>
    <n v="4"/>
    <n v="5"/>
    <n v="4"/>
    <n v="4"/>
    <n v="5"/>
    <n v="5"/>
    <n v="4"/>
    <n v="4"/>
    <n v="6"/>
    <n v="41"/>
    <n v="9.02"/>
    <n v="32"/>
    <n v="0"/>
    <n v="0"/>
    <n v="0"/>
    <n v="1"/>
    <n v="1"/>
    <n v="0"/>
    <n v="0"/>
    <n v="1"/>
    <n v="1"/>
    <n v="2"/>
    <n v="2"/>
    <n v="2"/>
    <n v="2"/>
    <n v="2"/>
    <n v="2"/>
    <n v="0"/>
    <n v="2"/>
    <n v="2"/>
    <n v="2"/>
    <n v="18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Metheads"/>
    <s v="Aceholes"/>
    <s v="Raintree Back"/>
    <n v="4"/>
    <x v="32"/>
    <s v="0"/>
    <n v="4"/>
    <n v="4"/>
    <n v="4"/>
    <n v="7"/>
    <n v="5"/>
    <n v="7"/>
    <n v="3"/>
    <n v="5"/>
    <n v="8"/>
    <n v="47"/>
    <n v="11.04"/>
    <n v="36"/>
    <n v="0"/>
    <n v="0"/>
    <n v="0"/>
    <n v="0"/>
    <n v="0"/>
    <n v="0"/>
    <n v="0"/>
    <n v="0"/>
    <n v="0"/>
    <n v="2"/>
    <n v="1"/>
    <n v="2"/>
    <n v="0"/>
    <n v="0"/>
    <n v="0"/>
    <n v="2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Aceholes"/>
    <s v="Metheads"/>
    <s v="Raintree Back"/>
    <n v="1"/>
    <x v="0"/>
    <s v="0"/>
    <n v="3"/>
    <n v="2"/>
    <n v="4"/>
    <n v="5"/>
    <n v="5"/>
    <n v="6"/>
    <n v="4"/>
    <n v="4"/>
    <n v="7"/>
    <n v="40"/>
    <n v="3.84"/>
    <n v="36"/>
    <n v="0"/>
    <n v="0"/>
    <n v="0"/>
    <n v="0"/>
    <n v="0"/>
    <n v="0"/>
    <n v="0"/>
    <n v="0"/>
    <n v="0"/>
    <n v="2"/>
    <n v="2"/>
    <n v="2"/>
    <n v="2"/>
    <n v="0"/>
    <n v="1"/>
    <n v="1"/>
    <n v="0"/>
    <n v="0"/>
    <n v="1"/>
    <n v="11"/>
    <n v="1"/>
    <n v="1"/>
    <m/>
    <m/>
    <m/>
    <m/>
    <m/>
    <m/>
    <m/>
    <n v="2"/>
    <m/>
    <m/>
    <m/>
    <m/>
    <m/>
    <m/>
    <m/>
    <m/>
    <m/>
    <n v="0"/>
  </r>
  <r>
    <s v="Week 16 25 MET vs ACE.xlsx"/>
    <s v="16"/>
    <d v="2025-08-04T00:00:00"/>
    <s v="Aceholes"/>
    <s v="Metheads"/>
    <s v="Raintree Back"/>
    <n v="2"/>
    <x v="1"/>
    <s v="0"/>
    <n v="4"/>
    <n v="4"/>
    <n v="4"/>
    <n v="5"/>
    <n v="4"/>
    <n v="6"/>
    <n v="4"/>
    <n v="5"/>
    <n v="6"/>
    <n v="42"/>
    <n v="4.03"/>
    <n v="38"/>
    <n v="0"/>
    <n v="0"/>
    <n v="0"/>
    <n v="0"/>
    <n v="0"/>
    <n v="0"/>
    <n v="0"/>
    <n v="0"/>
    <n v="0"/>
    <n v="1"/>
    <n v="0"/>
    <n v="1"/>
    <n v="1"/>
    <n v="1"/>
    <n v="1"/>
    <n v="0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Aceholes"/>
    <s v="Metheads"/>
    <s v="Raintree Back"/>
    <n v="3"/>
    <x v="2"/>
    <s v="0"/>
    <n v="5"/>
    <n v="7"/>
    <n v="5"/>
    <n v="6"/>
    <n v="5"/>
    <n v="6"/>
    <n v="3"/>
    <n v="5"/>
    <n v="6"/>
    <n v="48"/>
    <n v="4.6100000000000003"/>
    <n v="43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2"/>
    <m/>
    <m/>
    <m/>
    <m/>
    <m/>
    <m/>
    <m/>
    <m/>
    <m/>
    <n v="0"/>
    <m/>
    <m/>
    <m/>
    <m/>
    <m/>
    <m/>
    <m/>
    <m/>
    <m/>
    <n v="0"/>
  </r>
  <r>
    <s v="Week 16 25 MET vs ACE.xlsx"/>
    <s v="16"/>
    <d v="2025-08-04T00:00:00"/>
    <s v="Aceholes"/>
    <s v="Metheads"/>
    <s v="Raintree Back"/>
    <n v="4"/>
    <x v="3"/>
    <s v="0"/>
    <n v="6"/>
    <n v="4"/>
    <n v="5"/>
    <n v="6"/>
    <n v="5"/>
    <n v="6"/>
    <n v="6"/>
    <n v="6"/>
    <n v="6"/>
    <n v="50"/>
    <n v="14.59"/>
    <n v="35"/>
    <n v="0"/>
    <n v="0"/>
    <n v="0"/>
    <n v="1"/>
    <n v="1"/>
    <n v="0"/>
    <n v="0"/>
    <n v="1"/>
    <n v="1"/>
    <n v="0"/>
    <n v="1"/>
    <n v="0"/>
    <n v="2"/>
    <n v="2"/>
    <n v="2"/>
    <n v="0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Mickey Mouse Club"/>
    <s v="Blind Draw"/>
    <s v="Raintree Back"/>
    <n v="1"/>
    <x v="18"/>
    <s v="0"/>
    <n v="5"/>
    <n v="5"/>
    <n v="4"/>
    <n v="5"/>
    <n v="6"/>
    <n v="5"/>
    <n v="6"/>
    <n v="6"/>
    <n v="6"/>
    <n v="48"/>
    <n v="10.18"/>
    <n v="38"/>
    <n v="1"/>
    <n v="1"/>
    <n v="1"/>
    <n v="1"/>
    <n v="1"/>
    <n v="1"/>
    <n v="1"/>
    <n v="2"/>
    <n v="1"/>
    <n v="1"/>
    <n v="0"/>
    <n v="2"/>
    <n v="2"/>
    <n v="0"/>
    <n v="2"/>
    <n v="0"/>
    <n v="2"/>
    <n v="1"/>
    <n v="1"/>
    <n v="11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Mickey Mouse Club"/>
    <s v="Blind Draw"/>
    <s v="Raintree Back"/>
    <n v="2"/>
    <x v="48"/>
    <s v="0"/>
    <n v="5"/>
    <n v="4"/>
    <n v="6"/>
    <n v="4"/>
    <n v="5"/>
    <n v="7"/>
    <n v="3"/>
    <n v="4"/>
    <n v="6"/>
    <n v="44"/>
    <n v="11.33"/>
    <n v="33"/>
    <n v="1"/>
    <n v="1"/>
    <n v="1"/>
    <n v="2"/>
    <n v="1"/>
    <n v="1"/>
    <n v="1"/>
    <n v="2"/>
    <n v="1"/>
    <n v="1"/>
    <n v="1"/>
    <n v="0"/>
    <n v="2"/>
    <n v="1"/>
    <n v="0"/>
    <n v="2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Mickey Mouse Club"/>
    <s v="Blind Draw"/>
    <s v="Raintree Back"/>
    <n v="3"/>
    <x v="17"/>
    <s v="0"/>
    <n v="5"/>
    <n v="4"/>
    <n v="6"/>
    <n v="7"/>
    <n v="5"/>
    <n v="7"/>
    <n v="4"/>
    <n v="9"/>
    <n v="7"/>
    <n v="54"/>
    <n v="16.13"/>
    <n v="38"/>
    <n v="2"/>
    <n v="2"/>
    <n v="1"/>
    <n v="2"/>
    <n v="2"/>
    <n v="2"/>
    <n v="1"/>
    <n v="2"/>
    <n v="2"/>
    <n v="2"/>
    <n v="2"/>
    <n v="0"/>
    <n v="1"/>
    <n v="2"/>
    <n v="1"/>
    <n v="1"/>
    <n v="0"/>
    <n v="1"/>
    <n v="1"/>
    <n v="11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Mickey Mouse Club"/>
    <s v="Blind Draw"/>
    <s v="Raintree Back"/>
    <n v="4"/>
    <x v="19"/>
    <s v="0"/>
    <n v="6"/>
    <n v="5"/>
    <n v="8"/>
    <n v="7"/>
    <n v="4"/>
    <n v="6"/>
    <n v="4"/>
    <n v="5"/>
    <n v="7"/>
    <n v="52"/>
    <n v="20"/>
    <n v="32"/>
    <n v="2"/>
    <n v="2"/>
    <n v="2"/>
    <n v="3"/>
    <n v="2"/>
    <n v="2"/>
    <n v="2"/>
    <n v="3"/>
    <n v="2"/>
    <n v="1"/>
    <n v="1"/>
    <n v="0"/>
    <n v="2"/>
    <n v="2"/>
    <n v="2"/>
    <n v="2"/>
    <n v="2"/>
    <n v="1"/>
    <n v="2"/>
    <n v="15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Blind Draw"/>
    <s v="Mickey Mouse Club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2"/>
    <n v="0"/>
    <n v="0"/>
    <n v="2"/>
    <n v="0"/>
    <n v="2"/>
    <n v="0"/>
    <n v="1"/>
    <n v="1"/>
    <n v="9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Blind Draw"/>
    <s v="Mickey Mouse Club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1"/>
    <n v="2"/>
    <n v="0"/>
    <n v="1"/>
    <n v="2"/>
    <n v="0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Blind Draw"/>
    <s v="Mickey Mouse Club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2"/>
    <n v="1"/>
    <n v="0"/>
    <n v="1"/>
    <n v="1"/>
    <n v="2"/>
    <n v="1"/>
    <n v="1"/>
    <n v="9"/>
    <m/>
    <m/>
    <m/>
    <m/>
    <m/>
    <m/>
    <m/>
    <m/>
    <m/>
    <n v="0"/>
    <m/>
    <m/>
    <m/>
    <m/>
    <m/>
    <m/>
    <m/>
    <m/>
    <m/>
    <n v="0"/>
  </r>
  <r>
    <s v="Week 16 25 MMC vs BD.xlsx"/>
    <s v="16"/>
    <d v="2025-08-04T00:00:00"/>
    <s v="Blind Draw"/>
    <s v="Mickey Mouse Club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1"/>
    <n v="2"/>
    <n v="0"/>
    <n v="0"/>
    <n v="0"/>
    <n v="0"/>
    <n v="0"/>
    <n v="1"/>
    <n v="0"/>
    <n v="5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The Four Puttz"/>
    <s v="Hack Squad"/>
    <s v="Raintree Front"/>
    <n v="1"/>
    <x v="20"/>
    <s v="0"/>
    <n v="5"/>
    <n v="4"/>
    <n v="7"/>
    <n v="4"/>
    <n v="5"/>
    <n v="6"/>
    <n v="5"/>
    <n v="3"/>
    <n v="6"/>
    <n v="45"/>
    <n v="4.99"/>
    <n v="40"/>
    <n v="0"/>
    <n v="0"/>
    <n v="0"/>
    <n v="0"/>
    <n v="0"/>
    <n v="0"/>
    <n v="0"/>
    <n v="0"/>
    <n v="0"/>
    <n v="1"/>
    <n v="2"/>
    <n v="0"/>
    <n v="0"/>
    <n v="0"/>
    <n v="0"/>
    <n v="2"/>
    <n v="2"/>
    <n v="1"/>
    <n v="1"/>
    <n v="9"/>
    <m/>
    <n v="1"/>
    <m/>
    <m/>
    <m/>
    <m/>
    <m/>
    <m/>
    <m/>
    <n v="1"/>
    <m/>
    <m/>
    <m/>
    <m/>
    <m/>
    <m/>
    <m/>
    <m/>
    <m/>
    <n v="0"/>
  </r>
  <r>
    <s v="Week 17 25 4P vs HS.xlsx"/>
    <s v="17"/>
    <d v="2025-08-11T00:00:00"/>
    <s v="The Four Puttz"/>
    <s v="Hack Squad"/>
    <s v="Raintree Front"/>
    <n v="2"/>
    <x v="45"/>
    <s v="0"/>
    <n v="4"/>
    <n v="6"/>
    <n v="5"/>
    <n v="4"/>
    <n v="5"/>
    <n v="6"/>
    <n v="6"/>
    <n v="4"/>
    <n v="5"/>
    <n v="45"/>
    <n v="5.18"/>
    <n v="40"/>
    <n v="0"/>
    <n v="0"/>
    <n v="0"/>
    <n v="0"/>
    <n v="0"/>
    <n v="0"/>
    <n v="0"/>
    <n v="0"/>
    <n v="0"/>
    <n v="0"/>
    <n v="0"/>
    <n v="0"/>
    <n v="1"/>
    <n v="0"/>
    <n v="0"/>
    <n v="1"/>
    <n v="1"/>
    <n v="1"/>
    <n v="0"/>
    <n v="4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The Four Puttz"/>
    <s v="Hack Squad"/>
    <s v="Raintree Front"/>
    <n v="3"/>
    <x v="22"/>
    <s v="0"/>
    <n v="6"/>
    <n v="6"/>
    <n v="6"/>
    <n v="3"/>
    <n v="9"/>
    <n v="9"/>
    <n v="7"/>
    <n v="4"/>
    <n v="5"/>
    <n v="55"/>
    <n v="12.86"/>
    <n v="42"/>
    <n v="0"/>
    <n v="0"/>
    <n v="0"/>
    <n v="0"/>
    <n v="0"/>
    <n v="0"/>
    <n v="0"/>
    <n v="0"/>
    <n v="0"/>
    <n v="2"/>
    <n v="2"/>
    <n v="2"/>
    <n v="2"/>
    <n v="0"/>
    <n v="0"/>
    <n v="2"/>
    <n v="0"/>
    <n v="1"/>
    <n v="2"/>
    <n v="13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The Four Puttz"/>
    <s v="Hack Squad"/>
    <s v="Raintree Front"/>
    <n v="4"/>
    <x v="23"/>
    <s v="0"/>
    <n v="6"/>
    <n v="5"/>
    <n v="5"/>
    <n v="4"/>
    <n v="4"/>
    <n v="6"/>
    <n v="8"/>
    <n v="5"/>
    <n v="6"/>
    <n v="49"/>
    <n v="13.63"/>
    <n v="35"/>
    <n v="0"/>
    <n v="0"/>
    <n v="0"/>
    <n v="0"/>
    <n v="0"/>
    <n v="0"/>
    <n v="0"/>
    <n v="0"/>
    <n v="0"/>
    <n v="0"/>
    <n v="2"/>
    <n v="1"/>
    <n v="2"/>
    <n v="2"/>
    <n v="0"/>
    <n v="1"/>
    <n v="0"/>
    <n v="2"/>
    <n v="2"/>
    <n v="12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Hack Squad"/>
    <s v="The Four Puttz"/>
    <s v="Raintree Front"/>
    <n v="1"/>
    <x v="28"/>
    <s v="0"/>
    <n v="6"/>
    <n v="8"/>
    <n v="6"/>
    <n v="4"/>
    <n v="5"/>
    <n v="5"/>
    <n v="9"/>
    <n v="5"/>
    <n v="7"/>
    <n v="55"/>
    <n v="15.36"/>
    <n v="40"/>
    <n v="1"/>
    <n v="1"/>
    <n v="1"/>
    <n v="1"/>
    <n v="1"/>
    <n v="2"/>
    <n v="1"/>
    <n v="1"/>
    <n v="1"/>
    <n v="1"/>
    <n v="0"/>
    <n v="2"/>
    <n v="2"/>
    <n v="2"/>
    <n v="2"/>
    <n v="0"/>
    <n v="0"/>
    <n v="1"/>
    <n v="1"/>
    <n v="11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Hack Squad"/>
    <s v="The Four Puttz"/>
    <s v="Raintree Front"/>
    <n v="2"/>
    <x v="29"/>
    <s v="0"/>
    <n v="5"/>
    <n v="6"/>
    <n v="5"/>
    <n v="5"/>
    <n v="5"/>
    <n v="7"/>
    <n v="7"/>
    <n v="5"/>
    <n v="7"/>
    <n v="52"/>
    <n v="18.239999999999998"/>
    <n v="34"/>
    <n v="2"/>
    <n v="1"/>
    <n v="2"/>
    <n v="1"/>
    <n v="1"/>
    <n v="2"/>
    <n v="1"/>
    <n v="1"/>
    <n v="2"/>
    <n v="2"/>
    <n v="2"/>
    <n v="2"/>
    <n v="1"/>
    <n v="2"/>
    <n v="2"/>
    <n v="1"/>
    <n v="1"/>
    <n v="1"/>
    <n v="2"/>
    <n v="16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Hack Squad"/>
    <s v="The Four Puttz"/>
    <s v="Raintree Front"/>
    <n v="3"/>
    <x v="30"/>
    <s v="0"/>
    <n v="9"/>
    <n v="7"/>
    <n v="8"/>
    <n v="4"/>
    <n v="7"/>
    <n v="7"/>
    <n v="10"/>
    <n v="4"/>
    <n v="6"/>
    <n v="62"/>
    <n v="18.82"/>
    <n v="43"/>
    <n v="1"/>
    <n v="0"/>
    <n v="1"/>
    <n v="0"/>
    <n v="0"/>
    <n v="1"/>
    <n v="1"/>
    <n v="1"/>
    <n v="1"/>
    <n v="0"/>
    <n v="0"/>
    <n v="0"/>
    <n v="0"/>
    <n v="2"/>
    <n v="2"/>
    <n v="0"/>
    <n v="2"/>
    <n v="1"/>
    <n v="0"/>
    <n v="7"/>
    <m/>
    <m/>
    <m/>
    <m/>
    <m/>
    <m/>
    <m/>
    <m/>
    <m/>
    <n v="0"/>
    <m/>
    <m/>
    <m/>
    <m/>
    <m/>
    <m/>
    <m/>
    <m/>
    <m/>
    <n v="0"/>
  </r>
  <r>
    <s v="Week 17 25 4P vs HS.xlsx"/>
    <s v="17"/>
    <d v="2025-08-11T00:00:00"/>
    <s v="Hack Squad"/>
    <s v="The Four Puttz"/>
    <s v="Raintree Front"/>
    <n v="4"/>
    <x v="31"/>
    <s v="0"/>
    <n v="6"/>
    <n v="7"/>
    <n v="6"/>
    <n v="6"/>
    <n v="5"/>
    <n v="6"/>
    <n v="9"/>
    <n v="4"/>
    <n v="9"/>
    <n v="58"/>
    <n v="20"/>
    <n v="38"/>
    <n v="1"/>
    <n v="0"/>
    <n v="1"/>
    <n v="0"/>
    <n v="0"/>
    <n v="1"/>
    <n v="1"/>
    <n v="1"/>
    <n v="1"/>
    <n v="2"/>
    <n v="0"/>
    <n v="1"/>
    <n v="0"/>
    <n v="0"/>
    <n v="2"/>
    <n v="1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etheads"/>
    <s v="Mickey Mouse Club"/>
    <s v="Raintree Back"/>
    <n v="1"/>
    <x v="9"/>
    <s v="0"/>
    <n v="5"/>
    <n v="4"/>
    <n v="4"/>
    <n v="4"/>
    <n v="9"/>
    <n v="8"/>
    <n v="3"/>
    <n v="5"/>
    <n v="5"/>
    <n v="47"/>
    <n v="7.49"/>
    <n v="40"/>
    <n v="0"/>
    <n v="0"/>
    <n v="0"/>
    <n v="0"/>
    <n v="0"/>
    <n v="0"/>
    <n v="0"/>
    <n v="0"/>
    <n v="0"/>
    <n v="0"/>
    <n v="2"/>
    <n v="2"/>
    <n v="0"/>
    <n v="0"/>
    <n v="1"/>
    <n v="1"/>
    <n v="1"/>
    <n v="2"/>
    <n v="1"/>
    <n v="10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etheads"/>
    <s v="Mickey Mouse Club"/>
    <s v="Raintree Back"/>
    <n v="2"/>
    <x v="8"/>
    <s v="0"/>
    <n v="4"/>
    <n v="3"/>
    <n v="4"/>
    <n v="4"/>
    <n v="4"/>
    <n v="3"/>
    <n v="3"/>
    <n v="5"/>
    <n v="8"/>
    <n v="38"/>
    <n v="7.68"/>
    <n v="30"/>
    <n v="0"/>
    <n v="0"/>
    <n v="0"/>
    <n v="0"/>
    <n v="0"/>
    <n v="0"/>
    <n v="0"/>
    <n v="0"/>
    <n v="0"/>
    <n v="1"/>
    <n v="1"/>
    <n v="2"/>
    <n v="2"/>
    <n v="2"/>
    <n v="2"/>
    <n v="2"/>
    <n v="0"/>
    <n v="0"/>
    <n v="2"/>
    <n v="14"/>
    <m/>
    <m/>
    <m/>
    <m/>
    <m/>
    <m/>
    <m/>
    <m/>
    <m/>
    <n v="0"/>
    <m/>
    <m/>
    <m/>
    <m/>
    <m/>
    <n v="1"/>
    <m/>
    <m/>
    <m/>
    <n v="1"/>
  </r>
  <r>
    <s v="Week 17 25 MET vs MMC.xlsx"/>
    <s v="17"/>
    <d v="2025-08-11T00:00:00"/>
    <s v="Metheads"/>
    <s v="Mickey Mouse Club"/>
    <s v="Raintree Back"/>
    <n v="3"/>
    <x v="11"/>
    <s v="0"/>
    <n v="5"/>
    <n v="4"/>
    <n v="4"/>
    <n v="5"/>
    <n v="6"/>
    <n v="8"/>
    <n v="4"/>
    <n v="5"/>
    <n v="7"/>
    <n v="48"/>
    <n v="8.06"/>
    <n v="40"/>
    <n v="0"/>
    <n v="0"/>
    <n v="0"/>
    <n v="0"/>
    <n v="0"/>
    <n v="0"/>
    <n v="0"/>
    <n v="0"/>
    <n v="0"/>
    <n v="0"/>
    <n v="0"/>
    <n v="2"/>
    <n v="0"/>
    <n v="0"/>
    <n v="0"/>
    <n v="1"/>
    <n v="0"/>
    <n v="1"/>
    <n v="0"/>
    <n v="4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etheads"/>
    <s v="Mickey Mouse Club"/>
    <s v="Raintree Back"/>
    <n v="4"/>
    <x v="32"/>
    <s v="0"/>
    <n v="5"/>
    <n v="4"/>
    <n v="6"/>
    <n v="8"/>
    <n v="7"/>
    <n v="7"/>
    <n v="4"/>
    <n v="7"/>
    <n v="10"/>
    <n v="58"/>
    <n v="10.88"/>
    <n v="47"/>
    <n v="0"/>
    <n v="0"/>
    <n v="0"/>
    <n v="0"/>
    <n v="0"/>
    <n v="0"/>
    <n v="0"/>
    <n v="0"/>
    <n v="0"/>
    <n v="2"/>
    <n v="2"/>
    <n v="2"/>
    <n v="0"/>
    <n v="0"/>
    <n v="1"/>
    <n v="0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ickey Mouse Club"/>
    <s v="Metheads"/>
    <s v="Raintree Back"/>
    <n v="1"/>
    <x v="18"/>
    <s v="0"/>
    <n v="4"/>
    <n v="5"/>
    <n v="6"/>
    <n v="4"/>
    <n v="7"/>
    <n v="8"/>
    <n v="3"/>
    <n v="6"/>
    <n v="7"/>
    <n v="50"/>
    <n v="10.18"/>
    <n v="40"/>
    <n v="0"/>
    <n v="0"/>
    <n v="0"/>
    <n v="1"/>
    <n v="1"/>
    <n v="0"/>
    <n v="0"/>
    <n v="1"/>
    <n v="0"/>
    <n v="2"/>
    <n v="0"/>
    <n v="0"/>
    <n v="2"/>
    <n v="2"/>
    <n v="1"/>
    <n v="1"/>
    <n v="1"/>
    <n v="0"/>
    <n v="1"/>
    <n v="10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ickey Mouse Club"/>
    <s v="Metheads"/>
    <s v="Raintree Back"/>
    <n v="2"/>
    <x v="16"/>
    <s v="0"/>
    <n v="4"/>
    <n v="4"/>
    <n v="6"/>
    <n v="7"/>
    <n v="7"/>
    <n v="5"/>
    <n v="5"/>
    <n v="5"/>
    <n v="7"/>
    <n v="50"/>
    <n v="13.44"/>
    <n v="37"/>
    <n v="0"/>
    <n v="1"/>
    <n v="0"/>
    <n v="1"/>
    <n v="1"/>
    <n v="1"/>
    <n v="0"/>
    <n v="1"/>
    <n v="1"/>
    <n v="1"/>
    <n v="1"/>
    <n v="0"/>
    <n v="0"/>
    <n v="0"/>
    <n v="0"/>
    <n v="0"/>
    <n v="2"/>
    <n v="2"/>
    <n v="0"/>
    <n v="6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ickey Mouse Club"/>
    <s v="Metheads"/>
    <s v="Raintree Back"/>
    <n v="3"/>
    <x v="17"/>
    <s v="0"/>
    <n v="5"/>
    <n v="4"/>
    <n v="6"/>
    <n v="4"/>
    <n v="6"/>
    <n v="7"/>
    <n v="4"/>
    <n v="5"/>
    <n v="8"/>
    <n v="49"/>
    <n v="15.94"/>
    <n v="33"/>
    <n v="1"/>
    <n v="1"/>
    <n v="1"/>
    <n v="1"/>
    <n v="1"/>
    <n v="1"/>
    <n v="0"/>
    <n v="1"/>
    <n v="1"/>
    <n v="2"/>
    <n v="2"/>
    <n v="0"/>
    <n v="2"/>
    <n v="2"/>
    <n v="2"/>
    <n v="1"/>
    <n v="2"/>
    <n v="1"/>
    <n v="2"/>
    <n v="16"/>
    <m/>
    <m/>
    <m/>
    <m/>
    <m/>
    <m/>
    <m/>
    <m/>
    <m/>
    <n v="0"/>
    <m/>
    <m/>
    <m/>
    <m/>
    <m/>
    <m/>
    <m/>
    <m/>
    <m/>
    <n v="0"/>
  </r>
  <r>
    <s v="Week 17 25 MET vs MMC.xlsx"/>
    <s v="17"/>
    <d v="2025-08-11T00:00:00"/>
    <s v="Mickey Mouse Club"/>
    <s v="Metheads"/>
    <s v="Raintree Back"/>
    <n v="4"/>
    <x v="19"/>
    <s v="0"/>
    <n v="7"/>
    <n v="6"/>
    <n v="8"/>
    <n v="6"/>
    <n v="7"/>
    <n v="8"/>
    <n v="4"/>
    <n v="6"/>
    <n v="9"/>
    <n v="61"/>
    <n v="19.579999999999998"/>
    <n v="41"/>
    <n v="1"/>
    <n v="1"/>
    <n v="1"/>
    <n v="1"/>
    <n v="1"/>
    <n v="1"/>
    <n v="1"/>
    <n v="1"/>
    <n v="1"/>
    <n v="0"/>
    <n v="0"/>
    <n v="0"/>
    <n v="2"/>
    <n v="2"/>
    <n v="1"/>
    <n v="2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17 25 STY vs ACE.xlsx"/>
    <s v="17"/>
    <d v="2025-08-11T00:00:00"/>
    <s v="Stymies"/>
    <s v="Aceholes"/>
    <s v="Raintree Front"/>
    <n v="1"/>
    <x v="13"/>
    <s v="0"/>
    <n v="5"/>
    <n v="4"/>
    <n v="5"/>
    <n v="3"/>
    <n v="4"/>
    <n v="6"/>
    <n v="6"/>
    <n v="4"/>
    <n v="4"/>
    <n v="41"/>
    <n v="8.06"/>
    <n v="33"/>
    <n v="1"/>
    <n v="0"/>
    <n v="1"/>
    <n v="0"/>
    <n v="0"/>
    <n v="1"/>
    <n v="0"/>
    <n v="0"/>
    <n v="1"/>
    <n v="1"/>
    <n v="2"/>
    <n v="1"/>
    <n v="1"/>
    <n v="1"/>
    <n v="1"/>
    <n v="0"/>
    <n v="0"/>
    <n v="2"/>
    <n v="1"/>
    <n v="10"/>
    <m/>
    <n v="1"/>
    <m/>
    <m/>
    <m/>
    <m/>
    <m/>
    <m/>
    <m/>
    <n v="1"/>
    <m/>
    <m/>
    <m/>
    <m/>
    <m/>
    <m/>
    <m/>
    <m/>
    <m/>
    <n v="0"/>
  </r>
  <r>
    <s v="Week 17 25 STY vs ACE.xlsx"/>
    <s v="17"/>
    <d v="2025-08-11T00:00:00"/>
    <s v="Stymies"/>
    <s v="Aceholes"/>
    <s v="Raintree Front"/>
    <n v="2"/>
    <x v="10"/>
    <s v="0"/>
    <n v="4"/>
    <n v="5"/>
    <n v="7"/>
    <n v="3"/>
    <n v="5"/>
    <n v="5"/>
    <n v="8"/>
    <n v="5"/>
    <n v="6"/>
    <n v="48"/>
    <n v="9.6"/>
    <n v="38"/>
    <n v="1"/>
    <n v="0"/>
    <n v="1"/>
    <n v="0"/>
    <n v="0"/>
    <n v="1"/>
    <n v="1"/>
    <n v="1"/>
    <n v="1"/>
    <n v="2"/>
    <n v="1"/>
    <n v="0"/>
    <n v="0"/>
    <n v="1"/>
    <n v="2"/>
    <n v="0"/>
    <n v="1"/>
    <n v="1"/>
    <n v="2"/>
    <n v="10"/>
    <m/>
    <m/>
    <m/>
    <m/>
    <m/>
    <m/>
    <m/>
    <m/>
    <m/>
    <n v="0"/>
    <m/>
    <m/>
    <m/>
    <m/>
    <m/>
    <m/>
    <m/>
    <m/>
    <m/>
    <n v="0"/>
  </r>
  <r>
    <s v="Week 17 25 STY vs ACE.xlsx"/>
    <s v="17"/>
    <d v="2025-08-11T00:00:00"/>
    <s v="Stymies"/>
    <s v="Aceholes"/>
    <s v="Raintree Front"/>
    <n v="3"/>
    <x v="14"/>
    <s v="0"/>
    <n v="5"/>
    <n v="6"/>
    <n v="4"/>
    <n v="4"/>
    <n v="6"/>
    <n v="5"/>
    <n v="10"/>
    <n v="4"/>
    <n v="5"/>
    <n v="49"/>
    <n v="16.32"/>
    <n v="33"/>
    <n v="1"/>
    <n v="1"/>
    <n v="1"/>
    <n v="1"/>
    <n v="1"/>
    <n v="2"/>
    <n v="1"/>
    <n v="1"/>
    <n v="1"/>
    <n v="2"/>
    <n v="0"/>
    <n v="2"/>
    <n v="2"/>
    <n v="0"/>
    <n v="2"/>
    <n v="0"/>
    <n v="1"/>
    <n v="1"/>
    <n v="2"/>
    <n v="12"/>
    <m/>
    <m/>
    <m/>
    <m/>
    <m/>
    <m/>
    <m/>
    <m/>
    <m/>
    <n v="0"/>
    <m/>
    <m/>
    <m/>
    <m/>
    <m/>
    <m/>
    <m/>
    <m/>
    <m/>
    <n v="0"/>
  </r>
  <r>
    <s v="Week 17 25 STY vs ACE.xlsx"/>
    <s v="17"/>
    <d v="2025-08-11T00:00:00"/>
    <s v="Stymies"/>
    <s v="Aceholes"/>
    <s v="Raintree Front"/>
    <n v="4"/>
    <x v="15"/>
    <s v="0"/>
    <n v="7"/>
    <n v="7"/>
    <n v="9"/>
    <n v="6"/>
    <n v="7"/>
    <n v="7"/>
    <n v="7"/>
    <n v="6"/>
    <n v="6"/>
    <n v="62"/>
    <n v="17.66"/>
    <n v="44"/>
    <n v="1"/>
    <n v="0"/>
    <n v="1"/>
    <n v="0"/>
    <n v="0"/>
    <n v="1"/>
    <n v="0"/>
    <n v="0"/>
    <n v="1"/>
    <n v="0"/>
    <n v="2"/>
    <n v="0"/>
    <n v="0"/>
    <n v="0"/>
    <n v="1"/>
    <n v="2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7 25 STY vs ACE.xlsx"/>
    <s v="17"/>
    <d v="2025-08-11T00:00:00"/>
    <s v="Aceholes"/>
    <s v="Stymies"/>
    <s v="Raintree Front"/>
    <n v="1"/>
    <x v="0"/>
    <s v="0"/>
    <n v="4"/>
    <n v="5"/>
    <n v="4"/>
    <n v="3"/>
    <n v="4"/>
    <n v="5"/>
    <n v="5"/>
    <n v="3"/>
    <n v="4"/>
    <n v="37"/>
    <n v="3.65"/>
    <n v="33"/>
    <n v="0"/>
    <n v="0"/>
    <n v="0"/>
    <n v="0"/>
    <n v="0"/>
    <n v="0"/>
    <n v="0"/>
    <n v="0"/>
    <n v="0"/>
    <n v="1"/>
    <n v="0"/>
    <n v="1"/>
    <n v="1"/>
    <n v="1"/>
    <n v="1"/>
    <n v="2"/>
    <n v="2"/>
    <n v="0"/>
    <n v="1"/>
    <n v="10"/>
    <m/>
    <m/>
    <m/>
    <m/>
    <m/>
    <m/>
    <m/>
    <m/>
    <m/>
    <n v="0"/>
    <m/>
    <m/>
    <m/>
    <m/>
    <m/>
    <m/>
    <m/>
    <m/>
    <m/>
    <n v="0"/>
  </r>
  <r>
    <s v="Week 17 25 STY vs ACE.xlsx"/>
    <s v="17"/>
    <d v="2025-08-11T00:00:00"/>
    <s v="Aceholes"/>
    <s v="Stymies"/>
    <s v="Raintree Front"/>
    <n v="2"/>
    <x v="1"/>
    <s v="0"/>
    <n v="5"/>
    <n v="5"/>
    <n v="5"/>
    <n v="2"/>
    <n v="5"/>
    <n v="7"/>
    <n v="5"/>
    <n v="4"/>
    <n v="5"/>
    <n v="43"/>
    <n v="4.03"/>
    <n v="39"/>
    <n v="0"/>
    <n v="0"/>
    <n v="0"/>
    <n v="0"/>
    <n v="0"/>
    <n v="0"/>
    <n v="0"/>
    <n v="0"/>
    <n v="0"/>
    <n v="0"/>
    <n v="1"/>
    <n v="2"/>
    <n v="2"/>
    <n v="1"/>
    <n v="0"/>
    <n v="2"/>
    <n v="1"/>
    <n v="1"/>
    <n v="0"/>
    <n v="10"/>
    <m/>
    <m/>
    <m/>
    <n v="1"/>
    <m/>
    <m/>
    <m/>
    <m/>
    <m/>
    <n v="1"/>
    <m/>
    <m/>
    <m/>
    <m/>
    <m/>
    <m/>
    <m/>
    <m/>
    <m/>
    <n v="0"/>
  </r>
  <r>
    <s v="Week 17 25 STY vs ACE.xlsx"/>
    <s v="17"/>
    <d v="2025-08-11T00:00:00"/>
    <s v="Aceholes"/>
    <s v="Stymies"/>
    <s v="Raintree Front"/>
    <n v="3"/>
    <x v="2"/>
    <s v="0"/>
    <n v="5"/>
    <n v="4"/>
    <n v="7"/>
    <n v="4"/>
    <n v="4"/>
    <n v="4"/>
    <n v="5"/>
    <n v="3"/>
    <n v="4"/>
    <n v="40"/>
    <n v="5.95"/>
    <n v="34"/>
    <n v="0"/>
    <n v="0"/>
    <n v="0"/>
    <n v="0"/>
    <n v="0"/>
    <n v="0"/>
    <n v="0"/>
    <n v="0"/>
    <n v="0"/>
    <n v="0"/>
    <n v="2"/>
    <n v="0"/>
    <n v="0"/>
    <n v="2"/>
    <n v="0"/>
    <n v="2"/>
    <n v="1"/>
    <n v="1"/>
    <n v="0"/>
    <n v="8"/>
    <m/>
    <n v="1"/>
    <m/>
    <m/>
    <m/>
    <m/>
    <m/>
    <m/>
    <m/>
    <n v="1"/>
    <m/>
    <m/>
    <m/>
    <m/>
    <m/>
    <m/>
    <m/>
    <m/>
    <m/>
    <n v="0"/>
  </r>
  <r>
    <s v="Week 17 25 STY vs ACE.xlsx"/>
    <s v="17"/>
    <d v="2025-08-11T00:00:00"/>
    <s v="Aceholes"/>
    <s v="Stymies"/>
    <s v="Raintree Front"/>
    <n v="4"/>
    <x v="3"/>
    <s v="0"/>
    <n v="5"/>
    <n v="8"/>
    <n v="4"/>
    <n v="4"/>
    <n v="5"/>
    <n v="6"/>
    <n v="9"/>
    <n v="5"/>
    <n v="6"/>
    <n v="52"/>
    <n v="13.82"/>
    <n v="38"/>
    <n v="0"/>
    <n v="0"/>
    <n v="0"/>
    <n v="0"/>
    <n v="0"/>
    <n v="0"/>
    <n v="0"/>
    <n v="0"/>
    <n v="0"/>
    <n v="2"/>
    <n v="0"/>
    <n v="2"/>
    <n v="2"/>
    <n v="2"/>
    <n v="1"/>
    <n v="0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Who's Your Caddy?"/>
    <s v="Blind Draw"/>
    <s v="Raintree Back"/>
    <n v="1"/>
    <x v="24"/>
    <s v="0"/>
    <n v="4"/>
    <n v="4"/>
    <n v="5"/>
    <n v="5"/>
    <n v="6"/>
    <n v="7"/>
    <n v="3"/>
    <n v="6"/>
    <n v="6"/>
    <n v="46"/>
    <n v="9.41"/>
    <n v="37"/>
    <n v="1"/>
    <n v="1"/>
    <n v="1"/>
    <n v="1"/>
    <n v="1"/>
    <n v="1"/>
    <n v="1"/>
    <n v="1"/>
    <n v="1"/>
    <n v="2"/>
    <n v="1"/>
    <n v="1"/>
    <n v="2"/>
    <n v="0"/>
    <n v="0"/>
    <n v="2"/>
    <n v="1"/>
    <n v="1"/>
    <n v="2"/>
    <n v="12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Who's Your Caddy?"/>
    <s v="Blind Draw"/>
    <s v="Raintree Back"/>
    <n v="2"/>
    <x v="26"/>
    <s v="0"/>
    <n v="4"/>
    <n v="2"/>
    <n v="5"/>
    <n v="7"/>
    <n v="4"/>
    <n v="6"/>
    <n v="5"/>
    <n v="6"/>
    <n v="6"/>
    <n v="45"/>
    <n v="10.56"/>
    <n v="34"/>
    <n v="1"/>
    <n v="1"/>
    <n v="1"/>
    <n v="2"/>
    <n v="1"/>
    <n v="1"/>
    <n v="1"/>
    <n v="2"/>
    <n v="1"/>
    <n v="2"/>
    <n v="2"/>
    <n v="1"/>
    <n v="1"/>
    <n v="2"/>
    <n v="1"/>
    <n v="0"/>
    <n v="2"/>
    <n v="1"/>
    <n v="2"/>
    <n v="14"/>
    <m/>
    <n v="1"/>
    <m/>
    <m/>
    <m/>
    <m/>
    <m/>
    <m/>
    <m/>
    <n v="1"/>
    <m/>
    <m/>
    <m/>
    <m/>
    <m/>
    <m/>
    <m/>
    <m/>
    <m/>
    <n v="0"/>
  </r>
  <r>
    <s v="Week 17 25 WYC vs BD_MCA.xlsx"/>
    <s v="17"/>
    <d v="2025-08-11T00:00:00"/>
    <s v="Who's Your Caddy?"/>
    <s v="Blind Draw"/>
    <s v="Raintree Back"/>
    <n v="3"/>
    <x v="27"/>
    <s v="0"/>
    <n v="4"/>
    <n v="4"/>
    <n v="5"/>
    <n v="5"/>
    <n v="6"/>
    <n v="6"/>
    <n v="5"/>
    <n v="5"/>
    <n v="8"/>
    <n v="48"/>
    <n v="14.78"/>
    <n v="33"/>
    <n v="1"/>
    <n v="2"/>
    <n v="1"/>
    <n v="2"/>
    <n v="2"/>
    <n v="2"/>
    <n v="1"/>
    <n v="2"/>
    <n v="2"/>
    <n v="2"/>
    <n v="2"/>
    <n v="1"/>
    <n v="2"/>
    <n v="1"/>
    <n v="2"/>
    <n v="0"/>
    <n v="2"/>
    <n v="0"/>
    <n v="2"/>
    <n v="14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Who's Your Caddy?"/>
    <s v="Blind Draw"/>
    <s v="Raintree Back"/>
    <n v="4"/>
    <x v="38"/>
    <s v="0"/>
    <n v="5"/>
    <n v="6"/>
    <n v="8"/>
    <n v="6"/>
    <n v="6"/>
    <n v="8"/>
    <n v="4"/>
    <n v="5"/>
    <n v="6"/>
    <n v="54"/>
    <n v="17.09"/>
    <n v="37"/>
    <n v="2"/>
    <n v="2"/>
    <n v="2"/>
    <n v="2"/>
    <n v="2"/>
    <n v="2"/>
    <n v="1"/>
    <n v="2"/>
    <n v="2"/>
    <n v="2"/>
    <n v="0"/>
    <n v="0"/>
    <n v="2"/>
    <n v="1"/>
    <n v="0"/>
    <n v="1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Blind Draw"/>
    <s v="Who's Your Caddy?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1"/>
    <n v="1"/>
    <n v="0"/>
    <n v="2"/>
    <n v="2"/>
    <n v="0"/>
    <n v="1"/>
    <n v="1"/>
    <n v="0"/>
    <n v="8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Blind Draw"/>
    <s v="Who's Your Caddy?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1"/>
    <n v="1"/>
    <n v="0"/>
    <n v="1"/>
    <n v="2"/>
    <n v="0"/>
    <n v="1"/>
    <n v="0"/>
    <n v="6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Blind Draw"/>
    <s v="Who's Your Caddy?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1"/>
    <n v="0"/>
    <n v="1"/>
    <n v="0"/>
    <n v="2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17 25 WYC vs BD_MCA.xlsx"/>
    <s v="17"/>
    <d v="2025-08-11T00:00:00"/>
    <s v="Blind Draw"/>
    <s v="Who's Your Caddy?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2"/>
    <n v="2"/>
    <n v="0"/>
    <n v="1"/>
    <n v="2"/>
    <n v="1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The Four Puttz"/>
    <s v="Blind Draw"/>
    <s v="Raintree Front"/>
    <n v="1"/>
    <x v="20"/>
    <s v="1"/>
    <n v="5"/>
    <n v="5"/>
    <n v="4"/>
    <n v="4"/>
    <n v="6"/>
    <n v="3"/>
    <n v="6"/>
    <n v="4"/>
    <n v="5"/>
    <n v="42"/>
    <n v="4.99"/>
    <n v="37"/>
    <n v="1"/>
    <n v="0"/>
    <n v="1"/>
    <n v="0"/>
    <n v="0"/>
    <n v="1"/>
    <n v="1"/>
    <n v="0"/>
    <n v="1"/>
    <n v="2"/>
    <n v="1"/>
    <n v="2"/>
    <n v="0"/>
    <n v="0"/>
    <n v="2"/>
    <n v="1"/>
    <n v="0"/>
    <n v="1"/>
    <n v="2"/>
    <n v="11"/>
    <m/>
    <m/>
    <m/>
    <m/>
    <m/>
    <n v="1"/>
    <m/>
    <m/>
    <m/>
    <n v="1"/>
    <m/>
    <m/>
    <m/>
    <m/>
    <m/>
    <m/>
    <m/>
    <m/>
    <m/>
    <n v="0"/>
  </r>
  <r>
    <s v="Week 18 25 4P Low Net.xlsx"/>
    <s v="18"/>
    <d v="2025-08-18T00:00:00"/>
    <s v="The Four Puttz"/>
    <s v="Blind Draw"/>
    <s v="Raintree Front"/>
    <n v="2"/>
    <x v="45"/>
    <s v="1"/>
    <n v="5"/>
    <n v="6"/>
    <n v="6"/>
    <n v="4"/>
    <n v="5"/>
    <n v="5"/>
    <n v="9"/>
    <n v="3"/>
    <n v="5"/>
    <n v="48"/>
    <n v="5.18"/>
    <n v="43"/>
    <n v="1"/>
    <n v="0"/>
    <n v="1"/>
    <n v="0"/>
    <n v="0"/>
    <n v="1"/>
    <n v="1"/>
    <n v="0"/>
    <n v="1"/>
    <n v="2"/>
    <n v="0"/>
    <n v="0"/>
    <n v="0"/>
    <n v="0"/>
    <n v="2"/>
    <n v="0"/>
    <n v="1"/>
    <n v="1"/>
    <n v="0"/>
    <n v="6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The Four Puttz"/>
    <s v="Blind Draw"/>
    <s v="Raintree Front"/>
    <n v="3"/>
    <x v="34"/>
    <s v="1"/>
    <n v="5"/>
    <n v="7"/>
    <n v="6"/>
    <n v="3"/>
    <n v="4"/>
    <n v="4"/>
    <n v="6"/>
    <n v="3"/>
    <n v="7"/>
    <n v="45"/>
    <n v="5.76"/>
    <n v="39"/>
    <n v="1"/>
    <n v="0"/>
    <n v="1"/>
    <n v="0"/>
    <n v="0"/>
    <n v="1"/>
    <n v="1"/>
    <n v="1"/>
    <n v="1"/>
    <n v="2"/>
    <n v="0"/>
    <n v="0"/>
    <n v="1"/>
    <n v="1"/>
    <n v="2"/>
    <n v="1"/>
    <n v="2"/>
    <n v="0"/>
    <n v="0"/>
    <n v="9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The Four Puttz"/>
    <s v="Blind Draw"/>
    <s v="Raintree Front"/>
    <n v="4"/>
    <x v="22"/>
    <s v="1"/>
    <n v="5"/>
    <n v="7"/>
    <n v="4"/>
    <n v="6"/>
    <n v="7"/>
    <n v="5"/>
    <n v="6"/>
    <n v="3"/>
    <n v="5"/>
    <n v="48"/>
    <n v="12.86"/>
    <n v="35"/>
    <n v="2"/>
    <n v="1"/>
    <n v="2"/>
    <n v="1"/>
    <n v="1"/>
    <n v="2"/>
    <n v="1"/>
    <n v="1"/>
    <n v="2"/>
    <n v="2"/>
    <n v="0"/>
    <n v="2"/>
    <n v="0"/>
    <n v="0"/>
    <n v="2"/>
    <n v="1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Blind Draw"/>
    <s v="The Four Puttz"/>
    <s v="Raintree Front"/>
    <n v="1"/>
    <x v="4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0"/>
    <n v="2"/>
    <n v="2"/>
    <n v="0"/>
    <n v="1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Blind Draw"/>
    <s v="The Four Puttz"/>
    <s v="Raintree Front"/>
    <n v="2"/>
    <x v="6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2"/>
    <n v="2"/>
    <n v="2"/>
    <n v="0"/>
    <n v="2"/>
    <n v="1"/>
    <n v="1"/>
    <n v="2"/>
    <n v="14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Blind Draw"/>
    <s v="The Four Puttz"/>
    <s v="Raintree Front"/>
    <n v="3"/>
    <x v="7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2"/>
    <n v="1"/>
    <n v="1"/>
    <n v="0"/>
    <n v="1"/>
    <n v="0"/>
    <n v="2"/>
    <n v="2"/>
    <n v="11"/>
    <m/>
    <m/>
    <m/>
    <m/>
    <m/>
    <m/>
    <m/>
    <m/>
    <m/>
    <n v="0"/>
    <m/>
    <m/>
    <m/>
    <m/>
    <m/>
    <m/>
    <m/>
    <m/>
    <m/>
    <n v="0"/>
  </r>
  <r>
    <s v="Week 18 25 4P Low Net.xlsx"/>
    <s v="18"/>
    <d v="2025-08-18T00:00:00"/>
    <s v="Blind Draw"/>
    <s v="The Four Puttz"/>
    <s v="Raintree Front"/>
    <n v="4"/>
    <x v="5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0"/>
    <n v="2"/>
    <n v="2"/>
    <n v="0"/>
    <n v="1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Aceholes"/>
    <s v="Blind Draw"/>
    <s v="Raintree Back"/>
    <n v="1"/>
    <x v="2"/>
    <s v="1"/>
    <n v="5"/>
    <n v="4"/>
    <n v="5"/>
    <n v="7"/>
    <n v="4"/>
    <n v="5"/>
    <n v="3"/>
    <n v="5"/>
    <n v="6"/>
    <n v="44"/>
    <n v="4.99"/>
    <n v="39"/>
    <n v="0"/>
    <n v="0"/>
    <n v="0"/>
    <n v="1"/>
    <n v="1"/>
    <n v="1"/>
    <n v="0"/>
    <n v="1"/>
    <n v="1"/>
    <n v="0"/>
    <n v="0"/>
    <n v="0"/>
    <n v="0"/>
    <n v="2"/>
    <n v="2"/>
    <n v="1"/>
    <n v="2"/>
    <n v="1"/>
    <n v="0"/>
    <n v="8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Aceholes"/>
    <s v="Blind Draw"/>
    <s v="Raintree Back"/>
    <n v="2"/>
    <x v="3"/>
    <s v="1"/>
    <n v="7"/>
    <n v="6"/>
    <n v="7"/>
    <n v="7"/>
    <n v="6"/>
    <n v="7"/>
    <n v="4"/>
    <n v="5"/>
    <n v="8"/>
    <n v="57"/>
    <n v="13.63"/>
    <n v="43"/>
    <n v="1"/>
    <n v="1"/>
    <n v="1"/>
    <n v="2"/>
    <n v="2"/>
    <n v="2"/>
    <n v="1"/>
    <n v="2"/>
    <n v="2"/>
    <n v="0"/>
    <n v="0"/>
    <n v="0"/>
    <n v="1"/>
    <n v="1"/>
    <n v="1"/>
    <n v="1"/>
    <n v="2"/>
    <n v="0"/>
    <n v="0"/>
    <n v="6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Aceholes"/>
    <s v="Blind Draw"/>
    <s v="Raintree Back"/>
    <n v="3"/>
    <x v="41"/>
    <s v="1"/>
    <n v="6"/>
    <n v="4"/>
    <n v="6"/>
    <n v="8"/>
    <n v="5"/>
    <n v="8"/>
    <n v="5"/>
    <n v="9"/>
    <n v="6"/>
    <n v="57"/>
    <n v="18.62"/>
    <n v="38"/>
    <n v="2"/>
    <n v="2"/>
    <n v="2"/>
    <n v="2"/>
    <n v="2"/>
    <n v="2"/>
    <n v="2"/>
    <n v="3"/>
    <n v="2"/>
    <n v="1"/>
    <n v="2"/>
    <n v="1"/>
    <n v="0"/>
    <n v="2"/>
    <n v="0"/>
    <n v="1"/>
    <n v="0"/>
    <n v="2"/>
    <n v="1"/>
    <n v="10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Aceholes"/>
    <s v="Blind Draw"/>
    <s v="Raintree Back"/>
    <n v="4"/>
    <x v="43"/>
    <s v="1"/>
    <n v="8"/>
    <n v="5"/>
    <n v="9"/>
    <n v="7"/>
    <n v="5"/>
    <n v="8"/>
    <n v="5"/>
    <n v="9"/>
    <n v="10"/>
    <n v="66"/>
    <n v="20"/>
    <n v="46"/>
    <n v="2"/>
    <n v="2"/>
    <n v="2"/>
    <n v="3"/>
    <n v="2"/>
    <n v="2"/>
    <n v="2"/>
    <n v="3"/>
    <n v="2"/>
    <n v="0"/>
    <n v="1"/>
    <n v="0"/>
    <n v="2"/>
    <n v="2"/>
    <n v="0"/>
    <n v="1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Blind Draw"/>
    <s v="Aceholes"/>
    <s v="Raintree Back"/>
    <n v="1"/>
    <x v="4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2"/>
    <n v="2"/>
    <n v="0"/>
    <n v="0"/>
    <n v="1"/>
    <n v="0"/>
    <n v="1"/>
    <n v="2"/>
    <n v="12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Blind Draw"/>
    <s v="Aceholes"/>
    <s v="Raintree Back"/>
    <n v="2"/>
    <x v="6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2"/>
    <n v="1"/>
    <n v="1"/>
    <n v="1"/>
    <n v="1"/>
    <n v="0"/>
    <n v="2"/>
    <n v="2"/>
    <n v="14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Blind Draw"/>
    <s v="Aceholes"/>
    <s v="Raintree Back"/>
    <n v="3"/>
    <x v="7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0"/>
    <n v="1"/>
    <n v="2"/>
    <n v="0"/>
    <n v="2"/>
    <n v="1"/>
    <n v="2"/>
    <n v="0"/>
    <n v="1"/>
    <n v="10"/>
    <m/>
    <m/>
    <m/>
    <m/>
    <m/>
    <m/>
    <m/>
    <m/>
    <m/>
    <n v="0"/>
    <m/>
    <m/>
    <m/>
    <m/>
    <m/>
    <m/>
    <m/>
    <m/>
    <m/>
    <n v="0"/>
  </r>
  <r>
    <s v="Week 18 25 ACE Low Net.xlsx"/>
    <s v="18"/>
    <d v="2025-08-18T00:00:00"/>
    <s v="Blind Draw"/>
    <s v="Aceholes"/>
    <s v="Raintree Back"/>
    <n v="4"/>
    <x v="5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2"/>
    <n v="0"/>
    <n v="0"/>
    <n v="2"/>
    <n v="1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Hack Squad"/>
    <s v="Blind Draw"/>
    <s v="Raintree Back"/>
    <n v="1"/>
    <x v="28"/>
    <s v="1"/>
    <n v="0"/>
    <n v="0"/>
    <n v="0"/>
    <n v="0"/>
    <n v="0"/>
    <n v="0"/>
    <n v="0"/>
    <n v="0"/>
    <n v="0"/>
    <n v="0"/>
    <n v="15.36"/>
    <n v="0"/>
    <n v="1"/>
    <n v="2"/>
    <n v="1"/>
    <n v="2"/>
    <n v="2"/>
    <n v="2"/>
    <n v="1"/>
    <n v="2"/>
    <n v="2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Hack Squad"/>
    <s v="Blind Draw"/>
    <s v="Raintree Back"/>
    <n v="2"/>
    <x v="29"/>
    <s v="1"/>
    <n v="0"/>
    <n v="0"/>
    <n v="0"/>
    <n v="0"/>
    <n v="0"/>
    <n v="0"/>
    <n v="0"/>
    <n v="0"/>
    <n v="0"/>
    <n v="0"/>
    <n v="17.47"/>
    <n v="0"/>
    <n v="2"/>
    <n v="2"/>
    <n v="2"/>
    <n v="2"/>
    <n v="2"/>
    <n v="2"/>
    <n v="1"/>
    <n v="2"/>
    <n v="2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Hack Squad"/>
    <s v="Blind Draw"/>
    <s v="Raintree Back"/>
    <n v="3"/>
    <x v="30"/>
    <s v="1"/>
    <n v="0"/>
    <n v="0"/>
    <n v="0"/>
    <n v="0"/>
    <n v="0"/>
    <n v="0"/>
    <n v="0"/>
    <n v="0"/>
    <n v="0"/>
    <n v="0"/>
    <n v="18.82"/>
    <n v="-19"/>
    <n v="2"/>
    <n v="2"/>
    <n v="2"/>
    <n v="2"/>
    <n v="2"/>
    <n v="2"/>
    <n v="2"/>
    <n v="3"/>
    <n v="2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Hack Squad"/>
    <s v="Blind Draw"/>
    <s v="Raintree Back"/>
    <n v="4"/>
    <x v="31"/>
    <s v="1"/>
    <n v="0"/>
    <n v="0"/>
    <n v="0"/>
    <n v="0"/>
    <n v="0"/>
    <n v="0"/>
    <n v="0"/>
    <n v="0"/>
    <n v="0"/>
    <n v="0"/>
    <n v="20"/>
    <n v="-20"/>
    <n v="2"/>
    <n v="2"/>
    <n v="2"/>
    <n v="3"/>
    <n v="2"/>
    <n v="2"/>
    <n v="2"/>
    <n v="3"/>
    <n v="2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Blind Draw"/>
    <s v="Hack Squad"/>
    <s v="Raintree Back"/>
    <n v="1"/>
    <x v="4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Blind Draw"/>
    <s v="Hack Squad"/>
    <s v="Raintree Back"/>
    <n v="2"/>
    <x v="6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Blind Draw"/>
    <s v="Hack Squad"/>
    <s v="Raintree Back"/>
    <n v="3"/>
    <x v="7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HS Low Net.xlsx"/>
    <s v="18"/>
    <d v="2025-08-18T00:00:00"/>
    <s v="Blind Draw"/>
    <s v="Hack Squad"/>
    <s v="Raintree Back"/>
    <n v="4"/>
    <x v="5"/>
    <s v="1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Metheads"/>
    <s v="Blind Draw"/>
    <s v="Raintree Front"/>
    <n v="1"/>
    <x v="8"/>
    <s v="1"/>
    <n v="0"/>
    <n v="0"/>
    <n v="0"/>
    <n v="0"/>
    <n v="0"/>
    <n v="0"/>
    <n v="0"/>
    <n v="0"/>
    <n v="0"/>
    <n v="0"/>
    <n v="6.34"/>
    <n v="0"/>
    <n v="1"/>
    <n v="0"/>
    <n v="1"/>
    <n v="0"/>
    <n v="0"/>
    <n v="1"/>
    <n v="1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Metheads"/>
    <s v="Blind Draw"/>
    <s v="Raintree Front"/>
    <n v="2"/>
    <x v="9"/>
    <s v="1"/>
    <n v="0"/>
    <n v="0"/>
    <n v="0"/>
    <n v="0"/>
    <n v="0"/>
    <n v="0"/>
    <n v="0"/>
    <n v="0"/>
    <n v="0"/>
    <n v="0"/>
    <n v="8.06"/>
    <n v="0"/>
    <n v="1"/>
    <n v="1"/>
    <n v="1"/>
    <n v="1"/>
    <n v="0"/>
    <n v="1"/>
    <n v="1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Metheads"/>
    <s v="Blind Draw"/>
    <s v="Raintree Front"/>
    <n v="3"/>
    <x v="11"/>
    <s v="1"/>
    <n v="0"/>
    <n v="0"/>
    <n v="0"/>
    <n v="0"/>
    <n v="0"/>
    <n v="0"/>
    <n v="0"/>
    <n v="0"/>
    <n v="0"/>
    <n v="0"/>
    <n v="8.26"/>
    <n v="-8"/>
    <n v="1"/>
    <n v="1"/>
    <n v="1"/>
    <n v="1"/>
    <n v="0"/>
    <n v="1"/>
    <n v="1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Metheads"/>
    <s v="Blind Draw"/>
    <s v="Raintree Front"/>
    <n v="4"/>
    <x v="32"/>
    <s v="1"/>
    <n v="0"/>
    <n v="0"/>
    <n v="0"/>
    <n v="0"/>
    <n v="0"/>
    <n v="0"/>
    <n v="0"/>
    <n v="0"/>
    <n v="0"/>
    <n v="0"/>
    <n v="11.04"/>
    <n v="-11"/>
    <n v="2"/>
    <n v="1"/>
    <n v="1"/>
    <n v="1"/>
    <n v="1"/>
    <n v="2"/>
    <n v="1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Blind Draw"/>
    <s v="Metheads"/>
    <s v="Raintree Front"/>
    <n v="1"/>
    <x v="4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Blind Draw"/>
    <s v="Metheads"/>
    <s v="Raintree Front"/>
    <n v="2"/>
    <x v="6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Blind Draw"/>
    <s v="Metheads"/>
    <s v="Raintree Front"/>
    <n v="3"/>
    <x v="7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MET Low Net.xlsx"/>
    <s v="18"/>
    <d v="2025-08-18T00:00:00"/>
    <s v="Blind Draw"/>
    <s v="Metheads"/>
    <s v="Raintree Front"/>
    <n v="4"/>
    <x v="5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Stymies"/>
    <s v="Blind Draw"/>
    <s v="Raintree Front"/>
    <n v="1"/>
    <x v="13"/>
    <s v="1"/>
    <n v="4"/>
    <n v="5"/>
    <n v="4"/>
    <n v="3"/>
    <n v="5"/>
    <n v="5"/>
    <n v="5"/>
    <n v="4"/>
    <n v="7"/>
    <n v="42"/>
    <n v="6.91"/>
    <n v="35"/>
    <n v="1"/>
    <n v="1"/>
    <n v="1"/>
    <n v="0"/>
    <n v="0"/>
    <n v="1"/>
    <n v="1"/>
    <n v="1"/>
    <n v="1"/>
    <n v="2"/>
    <n v="2"/>
    <n v="2"/>
    <n v="1"/>
    <n v="0"/>
    <n v="2"/>
    <n v="2"/>
    <n v="1"/>
    <n v="0"/>
    <n v="2"/>
    <n v="14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Stymies"/>
    <s v="Blind Draw"/>
    <s v="Raintree Front"/>
    <n v="2"/>
    <x v="10"/>
    <s v="1"/>
    <n v="6"/>
    <n v="7"/>
    <n v="5"/>
    <n v="5"/>
    <n v="5"/>
    <n v="5"/>
    <n v="6"/>
    <n v="4"/>
    <n v="5"/>
    <n v="48"/>
    <n v="9.98"/>
    <n v="38"/>
    <n v="1"/>
    <n v="1"/>
    <n v="1"/>
    <n v="1"/>
    <n v="1"/>
    <n v="2"/>
    <n v="1"/>
    <n v="1"/>
    <n v="1"/>
    <n v="1"/>
    <n v="0"/>
    <n v="1"/>
    <n v="0"/>
    <n v="1"/>
    <n v="2"/>
    <n v="1"/>
    <n v="1"/>
    <n v="1"/>
    <n v="1"/>
    <n v="9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Stymies"/>
    <s v="Blind Draw"/>
    <s v="Raintree Front"/>
    <n v="3"/>
    <x v="14"/>
    <s v="1"/>
    <n v="6"/>
    <n v="5"/>
    <n v="5"/>
    <n v="4"/>
    <n v="7"/>
    <n v="6"/>
    <n v="10"/>
    <n v="5"/>
    <n v="5"/>
    <n v="53"/>
    <n v="15.36"/>
    <n v="38"/>
    <n v="2"/>
    <n v="1"/>
    <n v="2"/>
    <n v="1"/>
    <n v="1"/>
    <n v="2"/>
    <n v="2"/>
    <n v="2"/>
    <n v="2"/>
    <n v="2"/>
    <n v="2"/>
    <n v="2"/>
    <n v="1"/>
    <n v="0"/>
    <n v="2"/>
    <n v="0"/>
    <n v="1"/>
    <n v="2"/>
    <n v="1"/>
    <n v="13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Stymies"/>
    <s v="Blind Draw"/>
    <s v="Raintree Front"/>
    <n v="4"/>
    <x v="15"/>
    <s v="1"/>
    <n v="7"/>
    <n v="5"/>
    <n v="9"/>
    <n v="5"/>
    <n v="7"/>
    <n v="7"/>
    <n v="10"/>
    <n v="6"/>
    <n v="4"/>
    <n v="60"/>
    <n v="17.66"/>
    <n v="42"/>
    <n v="2"/>
    <n v="2"/>
    <n v="2"/>
    <n v="2"/>
    <n v="2"/>
    <n v="2"/>
    <n v="2"/>
    <n v="2"/>
    <n v="2"/>
    <n v="1"/>
    <n v="2"/>
    <n v="0"/>
    <n v="1"/>
    <n v="0"/>
    <n v="1"/>
    <n v="0"/>
    <n v="0"/>
    <n v="2"/>
    <n v="0"/>
    <n v="7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Blind Draw"/>
    <s v="Stymies"/>
    <s v="Raintree Front"/>
    <n v="1"/>
    <x v="4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1"/>
    <n v="2"/>
    <n v="0"/>
    <n v="0"/>
    <n v="1"/>
    <n v="2"/>
    <n v="0"/>
    <n v="6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Blind Draw"/>
    <s v="Stymies"/>
    <s v="Raintree Front"/>
    <n v="2"/>
    <x v="6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2"/>
    <n v="1"/>
    <n v="2"/>
    <n v="1"/>
    <n v="0"/>
    <n v="1"/>
    <n v="1"/>
    <n v="1"/>
    <n v="1"/>
    <n v="11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Blind Draw"/>
    <s v="Stymies"/>
    <s v="Raintree Front"/>
    <n v="3"/>
    <x v="7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0"/>
    <n v="1"/>
    <n v="2"/>
    <n v="0"/>
    <n v="2"/>
    <n v="1"/>
    <n v="0"/>
    <n v="1"/>
    <n v="7"/>
    <m/>
    <m/>
    <m/>
    <m/>
    <m/>
    <m/>
    <m/>
    <m/>
    <m/>
    <n v="0"/>
    <m/>
    <m/>
    <m/>
    <m/>
    <m/>
    <m/>
    <m/>
    <m/>
    <m/>
    <n v="0"/>
  </r>
  <r>
    <s v="Week 18 25 STY Low Net.xlsx"/>
    <s v="18"/>
    <d v="2025-08-18T00:00:00"/>
    <s v="Blind Draw"/>
    <s v="Stymies"/>
    <s v="Raintree Front"/>
    <n v="4"/>
    <x v="5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0"/>
    <n v="2"/>
    <n v="1"/>
    <n v="2"/>
    <n v="1"/>
    <n v="2"/>
    <n v="2"/>
    <n v="0"/>
    <n v="2"/>
    <n v="13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Who's Your Caddy?"/>
    <s v="Blind Draw"/>
    <s v="Raintree Front"/>
    <n v="1"/>
    <x v="24"/>
    <s v="1"/>
    <n v="7"/>
    <n v="7"/>
    <n v="5"/>
    <n v="5"/>
    <n v="4"/>
    <n v="5"/>
    <n v="6"/>
    <n v="3"/>
    <n v="4"/>
    <n v="46"/>
    <n v="9.02"/>
    <n v="37"/>
    <n v="1"/>
    <n v="1"/>
    <n v="1"/>
    <n v="1"/>
    <n v="1"/>
    <n v="1"/>
    <n v="1"/>
    <n v="1"/>
    <n v="1"/>
    <n v="0"/>
    <n v="0"/>
    <n v="1"/>
    <n v="0"/>
    <n v="2"/>
    <n v="2"/>
    <n v="1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Who's Your Caddy?"/>
    <s v="Blind Draw"/>
    <s v="Raintree Front"/>
    <n v="2"/>
    <x v="26"/>
    <s v="1"/>
    <n v="5"/>
    <n v="6"/>
    <n v="5"/>
    <n v="5"/>
    <n v="5"/>
    <n v="6"/>
    <n v="6"/>
    <n v="5"/>
    <n v="5"/>
    <n v="48"/>
    <n v="9.98"/>
    <n v="38"/>
    <n v="1"/>
    <n v="1"/>
    <n v="1"/>
    <n v="1"/>
    <n v="1"/>
    <n v="2"/>
    <n v="1"/>
    <n v="1"/>
    <n v="1"/>
    <n v="2"/>
    <n v="1"/>
    <n v="1"/>
    <n v="0"/>
    <n v="1"/>
    <n v="2"/>
    <n v="1"/>
    <n v="0"/>
    <n v="1"/>
    <n v="1"/>
    <n v="10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Who's Your Caddy?"/>
    <s v="Blind Draw"/>
    <s v="Raintree Front"/>
    <n v="3"/>
    <x v="27"/>
    <s v="1"/>
    <n v="6"/>
    <n v="7"/>
    <n v="6"/>
    <n v="4"/>
    <n v="5"/>
    <n v="4"/>
    <n v="8"/>
    <n v="3"/>
    <n v="6"/>
    <n v="49"/>
    <n v="14.02"/>
    <n v="35"/>
    <n v="2"/>
    <n v="1"/>
    <n v="2"/>
    <n v="1"/>
    <n v="1"/>
    <n v="2"/>
    <n v="2"/>
    <n v="1"/>
    <n v="2"/>
    <n v="2"/>
    <n v="0"/>
    <n v="1"/>
    <n v="1"/>
    <n v="1"/>
    <n v="2"/>
    <n v="0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Who's Your Caddy?"/>
    <s v="Blind Draw"/>
    <s v="Raintree Front"/>
    <n v="4"/>
    <x v="38"/>
    <s v="1"/>
    <n v="7"/>
    <n v="7"/>
    <n v="4"/>
    <n v="4"/>
    <n v="4"/>
    <n v="8"/>
    <n v="8"/>
    <n v="4"/>
    <n v="7"/>
    <n v="53"/>
    <n v="16.510000000000002"/>
    <n v="36"/>
    <n v="2"/>
    <n v="2"/>
    <n v="2"/>
    <n v="2"/>
    <n v="1"/>
    <n v="2"/>
    <n v="2"/>
    <n v="2"/>
    <n v="2"/>
    <n v="1"/>
    <n v="1"/>
    <n v="2"/>
    <n v="2"/>
    <n v="2"/>
    <n v="0"/>
    <n v="0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Blind Draw"/>
    <s v="Who's Your Caddy?"/>
    <s v="Raintree Front"/>
    <n v="1"/>
    <x v="4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2"/>
    <n v="2"/>
    <n v="1"/>
    <n v="2"/>
    <n v="0"/>
    <n v="0"/>
    <n v="1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Blind Draw"/>
    <s v="Who's Your Caddy?"/>
    <s v="Raintree Front"/>
    <n v="2"/>
    <x v="6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1"/>
    <n v="2"/>
    <n v="1"/>
    <n v="0"/>
    <n v="1"/>
    <n v="2"/>
    <n v="1"/>
    <n v="1"/>
    <n v="10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Blind Draw"/>
    <s v="Who's Your Caddy?"/>
    <s v="Raintree Front"/>
    <n v="3"/>
    <x v="7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1"/>
    <n v="1"/>
    <n v="1"/>
    <n v="0"/>
    <n v="2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18 25 WYC Low Net.xlsx"/>
    <s v="18"/>
    <d v="2025-08-18T00:00:00"/>
    <s v="Blind Draw"/>
    <s v="Who's Your Caddy?"/>
    <s v="Raintree Front"/>
    <n v="4"/>
    <x v="5"/>
    <s v="1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1"/>
    <n v="0"/>
    <n v="0"/>
    <n v="0"/>
    <n v="2"/>
    <n v="2"/>
    <n v="0"/>
    <n v="2"/>
    <n v="0"/>
    <n v="8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Aceholes"/>
    <s v="The Four Puttz"/>
    <s v="Raintree Back"/>
    <n v="1"/>
    <x v="1"/>
    <s v="0"/>
    <n v="4"/>
    <n v="3"/>
    <n v="5"/>
    <n v="4"/>
    <n v="5"/>
    <n v="6"/>
    <n v="5"/>
    <n v="5"/>
    <n v="6"/>
    <n v="43"/>
    <n v="4.99"/>
    <n v="38"/>
    <n v="0"/>
    <n v="0"/>
    <n v="0"/>
    <n v="0"/>
    <n v="0"/>
    <n v="0"/>
    <n v="0"/>
    <n v="1"/>
    <n v="0"/>
    <n v="2"/>
    <n v="2"/>
    <n v="2"/>
    <n v="2"/>
    <n v="1"/>
    <n v="1"/>
    <n v="0"/>
    <n v="2"/>
    <n v="0"/>
    <n v="2"/>
    <n v="14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Aceholes"/>
    <s v="The Four Puttz"/>
    <s v="Raintree Back"/>
    <n v="2"/>
    <x v="10"/>
    <s v="0"/>
    <n v="4"/>
    <n v="3"/>
    <n v="8"/>
    <n v="6"/>
    <n v="6"/>
    <n v="5"/>
    <n v="6"/>
    <n v="5"/>
    <n v="6"/>
    <n v="49"/>
    <n v="7.49"/>
    <n v="42"/>
    <n v="0"/>
    <n v="0"/>
    <n v="0"/>
    <n v="0"/>
    <n v="0"/>
    <n v="0"/>
    <n v="0"/>
    <n v="1"/>
    <n v="0"/>
    <n v="2"/>
    <n v="1"/>
    <n v="0"/>
    <n v="2"/>
    <n v="0"/>
    <n v="2"/>
    <n v="0"/>
    <n v="2"/>
    <n v="2"/>
    <n v="1"/>
    <n v="12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Aceholes"/>
    <s v="The Four Puttz"/>
    <s v="Raintree Back"/>
    <n v="3"/>
    <x v="3"/>
    <s v="0"/>
    <n v="8"/>
    <n v="4"/>
    <n v="7"/>
    <n v="7"/>
    <n v="8"/>
    <n v="7"/>
    <n v="4"/>
    <n v="8"/>
    <n v="9"/>
    <n v="62"/>
    <n v="13.25"/>
    <n v="49"/>
    <n v="0"/>
    <n v="0"/>
    <n v="0"/>
    <n v="0"/>
    <n v="0"/>
    <n v="0"/>
    <n v="0"/>
    <n v="1"/>
    <n v="0"/>
    <n v="0"/>
    <n v="1"/>
    <n v="2"/>
    <n v="2"/>
    <n v="0"/>
    <n v="2"/>
    <n v="2"/>
    <n v="1"/>
    <n v="0"/>
    <n v="2"/>
    <n v="12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Aceholes"/>
    <s v="The Four Puttz"/>
    <s v="Raintree Back"/>
    <n v="4"/>
    <x v="41"/>
    <s v="0"/>
    <n v="5"/>
    <n v="6"/>
    <n v="9"/>
    <n v="7"/>
    <n v="7"/>
    <n v="6"/>
    <n v="3"/>
    <n v="6"/>
    <n v="8"/>
    <n v="57"/>
    <n v="15.36"/>
    <n v="42"/>
    <n v="0"/>
    <n v="0"/>
    <n v="0"/>
    <n v="1"/>
    <n v="0"/>
    <n v="0"/>
    <n v="0"/>
    <n v="1"/>
    <n v="0"/>
    <n v="2"/>
    <n v="0"/>
    <n v="0"/>
    <n v="2"/>
    <n v="0"/>
    <n v="0"/>
    <n v="2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The Four Puttz"/>
    <s v="Aceholes"/>
    <s v="Raintree Back"/>
    <n v="1"/>
    <x v="20"/>
    <s v="0"/>
    <n v="5"/>
    <n v="5"/>
    <n v="6"/>
    <n v="5"/>
    <n v="5"/>
    <n v="6"/>
    <n v="3"/>
    <n v="7"/>
    <n v="5"/>
    <n v="47"/>
    <n v="4.42"/>
    <n v="43"/>
    <n v="0"/>
    <n v="0"/>
    <n v="0"/>
    <n v="0"/>
    <n v="0"/>
    <n v="0"/>
    <n v="0"/>
    <n v="0"/>
    <n v="0"/>
    <n v="0"/>
    <n v="0"/>
    <n v="0"/>
    <n v="0"/>
    <n v="1"/>
    <n v="1"/>
    <n v="2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The Four Puttz"/>
    <s v="Aceholes"/>
    <s v="Raintree Back"/>
    <n v="2"/>
    <x v="21"/>
    <s v="0"/>
    <n v="6"/>
    <n v="3"/>
    <n v="5"/>
    <n v="7"/>
    <n v="4"/>
    <n v="6"/>
    <n v="4"/>
    <n v="6"/>
    <n v="8"/>
    <n v="49"/>
    <n v="6.72"/>
    <n v="42"/>
    <n v="0"/>
    <n v="0"/>
    <n v="0"/>
    <n v="0"/>
    <n v="0"/>
    <n v="0"/>
    <n v="0"/>
    <n v="0"/>
    <n v="0"/>
    <n v="0"/>
    <n v="1"/>
    <n v="2"/>
    <n v="0"/>
    <n v="2"/>
    <n v="0"/>
    <n v="2"/>
    <n v="0"/>
    <n v="0"/>
    <n v="1"/>
    <n v="8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The Four Puttz"/>
    <s v="Aceholes"/>
    <s v="Raintree Back"/>
    <n v="3"/>
    <x v="22"/>
    <s v="0"/>
    <n v="7"/>
    <n v="4"/>
    <n v="8"/>
    <n v="8"/>
    <n v="5"/>
    <n v="8"/>
    <n v="7"/>
    <n v="7"/>
    <n v="8"/>
    <n v="62"/>
    <n v="12.1"/>
    <n v="50"/>
    <n v="0"/>
    <n v="0"/>
    <n v="0"/>
    <n v="0"/>
    <n v="0"/>
    <n v="0"/>
    <n v="0"/>
    <n v="0"/>
    <n v="0"/>
    <n v="2"/>
    <n v="1"/>
    <n v="0"/>
    <n v="0"/>
    <n v="2"/>
    <n v="0"/>
    <n v="0"/>
    <n v="1"/>
    <n v="2"/>
    <n v="0"/>
    <n v="8"/>
    <m/>
    <m/>
    <m/>
    <m/>
    <m/>
    <m/>
    <m/>
    <m/>
    <m/>
    <n v="0"/>
    <m/>
    <m/>
    <m/>
    <m/>
    <m/>
    <m/>
    <m/>
    <m/>
    <m/>
    <n v="0"/>
  </r>
  <r>
    <s v="Week 2 25 ACE vs 4P.xlsx"/>
    <s v="2"/>
    <d v="2025-04-21T00:00:00"/>
    <s v="The Four Puttz"/>
    <s v="Aceholes"/>
    <s v="Raintree Back"/>
    <n v="4"/>
    <x v="23"/>
    <s v="0"/>
    <n v="6"/>
    <n v="4"/>
    <n v="8"/>
    <n v="7"/>
    <n v="6"/>
    <n v="5"/>
    <n v="4"/>
    <n v="7"/>
    <n v="8"/>
    <n v="55"/>
    <n v="13.68"/>
    <n v="41"/>
    <n v="0"/>
    <n v="0"/>
    <n v="0"/>
    <n v="0"/>
    <n v="0"/>
    <n v="0"/>
    <n v="0"/>
    <n v="0"/>
    <n v="0"/>
    <n v="0"/>
    <n v="2"/>
    <n v="2"/>
    <n v="0"/>
    <n v="2"/>
    <n v="2"/>
    <n v="0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Metheads"/>
    <s v="Hack Squad"/>
    <s v="Raintree Front"/>
    <n v="1"/>
    <x v="8"/>
    <s v="0"/>
    <n v="6"/>
    <n v="6"/>
    <n v="5"/>
    <n v="4"/>
    <n v="5"/>
    <n v="5"/>
    <n v="6"/>
    <n v="5"/>
    <n v="4"/>
    <n v="46"/>
    <n v="4.03"/>
    <n v="42"/>
    <n v="0"/>
    <n v="0"/>
    <n v="0"/>
    <n v="0"/>
    <n v="0"/>
    <n v="0"/>
    <n v="0"/>
    <n v="0"/>
    <n v="0"/>
    <n v="0"/>
    <n v="2"/>
    <n v="1"/>
    <n v="1"/>
    <n v="1"/>
    <n v="2"/>
    <n v="1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Metheads"/>
    <s v="Hack Squad"/>
    <s v="Raintree Front"/>
    <n v="2"/>
    <x v="9"/>
    <s v="0"/>
    <n v="6"/>
    <n v="5"/>
    <n v="7"/>
    <n v="3"/>
    <n v="6"/>
    <n v="5"/>
    <n v="6"/>
    <n v="5"/>
    <n v="5"/>
    <n v="48"/>
    <n v="5.76"/>
    <n v="42"/>
    <n v="0"/>
    <n v="0"/>
    <n v="0"/>
    <n v="0"/>
    <n v="0"/>
    <n v="0"/>
    <n v="0"/>
    <n v="0"/>
    <n v="0"/>
    <n v="2"/>
    <n v="2"/>
    <n v="0"/>
    <n v="1"/>
    <n v="1"/>
    <n v="0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Metheads"/>
    <s v="Hack Squad"/>
    <s v="Raintree Front"/>
    <n v="3"/>
    <x v="11"/>
    <s v="0"/>
    <n v="5"/>
    <n v="5"/>
    <n v="5"/>
    <n v="4"/>
    <n v="5"/>
    <n v="5"/>
    <n v="6"/>
    <n v="5"/>
    <n v="5"/>
    <n v="45"/>
    <n v="8.83"/>
    <n v="36"/>
    <n v="0"/>
    <n v="0"/>
    <n v="0"/>
    <n v="0"/>
    <n v="0"/>
    <n v="0"/>
    <n v="0"/>
    <n v="0"/>
    <n v="0"/>
    <n v="2"/>
    <n v="2"/>
    <n v="2"/>
    <n v="1"/>
    <n v="1"/>
    <n v="0"/>
    <n v="2"/>
    <n v="2"/>
    <n v="2"/>
    <n v="2"/>
    <n v="16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Metheads"/>
    <s v="Hack Squad"/>
    <s v="Raintree Front"/>
    <n v="4"/>
    <x v="40"/>
    <s v="0"/>
    <n v="6"/>
    <n v="7"/>
    <n v="7"/>
    <n v="5"/>
    <n v="6"/>
    <n v="4"/>
    <n v="8"/>
    <n v="5"/>
    <n v="4"/>
    <n v="52"/>
    <n v="13.44"/>
    <n v="39"/>
    <n v="0"/>
    <n v="0"/>
    <n v="0"/>
    <n v="0"/>
    <n v="0"/>
    <n v="0"/>
    <n v="0"/>
    <n v="0"/>
    <n v="0"/>
    <n v="1"/>
    <n v="0"/>
    <n v="0"/>
    <n v="2"/>
    <n v="1"/>
    <n v="2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Hack Squad"/>
    <s v="Metheads"/>
    <s v="Raintree Front"/>
    <n v="1"/>
    <x v="28"/>
    <s v="0"/>
    <n v="6"/>
    <n v="8"/>
    <n v="6"/>
    <n v="5"/>
    <n v="6"/>
    <n v="9"/>
    <n v="7"/>
    <n v="7"/>
    <n v="8"/>
    <n v="62"/>
    <n v="12.67"/>
    <n v="49"/>
    <n v="1"/>
    <n v="1"/>
    <n v="1"/>
    <n v="1"/>
    <n v="1"/>
    <n v="1"/>
    <n v="1"/>
    <n v="1"/>
    <n v="1"/>
    <n v="2"/>
    <n v="0"/>
    <n v="1"/>
    <n v="1"/>
    <n v="1"/>
    <n v="0"/>
    <n v="1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Hack Squad"/>
    <s v="Metheads"/>
    <s v="Raintree Front"/>
    <n v="2"/>
    <x v="49"/>
    <s v="0"/>
    <n v="9"/>
    <n v="7"/>
    <n v="6"/>
    <n v="3"/>
    <n v="6"/>
    <n v="5"/>
    <n v="6"/>
    <n v="5"/>
    <n v="5"/>
    <n v="52"/>
    <n v="11.52"/>
    <n v="40"/>
    <n v="1"/>
    <n v="0"/>
    <n v="1"/>
    <n v="0"/>
    <n v="0"/>
    <n v="1"/>
    <n v="1"/>
    <n v="1"/>
    <n v="1"/>
    <n v="0"/>
    <n v="0"/>
    <n v="2"/>
    <n v="1"/>
    <n v="1"/>
    <n v="2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Hack Squad"/>
    <s v="Metheads"/>
    <s v="Raintree Front"/>
    <n v="3"/>
    <x v="50"/>
    <s v="0"/>
    <n v="8"/>
    <n v="8"/>
    <n v="8"/>
    <n v="5"/>
    <n v="6"/>
    <n v="6"/>
    <n v="8"/>
    <n v="8"/>
    <n v="7"/>
    <n v="64"/>
    <n v="20"/>
    <n v="44"/>
    <n v="2"/>
    <n v="1"/>
    <n v="1"/>
    <n v="1"/>
    <n v="1"/>
    <n v="2"/>
    <n v="1"/>
    <n v="1"/>
    <n v="1"/>
    <n v="0"/>
    <n v="0"/>
    <n v="0"/>
    <n v="1"/>
    <n v="1"/>
    <n v="2"/>
    <n v="0"/>
    <n v="0"/>
    <n v="0"/>
    <n v="0"/>
    <n v="4"/>
    <m/>
    <m/>
    <m/>
    <m/>
    <m/>
    <m/>
    <m/>
    <m/>
    <m/>
    <n v="0"/>
    <m/>
    <m/>
    <m/>
    <m/>
    <m/>
    <m/>
    <m/>
    <m/>
    <m/>
    <n v="0"/>
  </r>
  <r>
    <s v="Week 2 25 MET vs HS_MCA.xlsx"/>
    <s v="2"/>
    <d v="2025-04-21T00:00:00"/>
    <s v="Hack Squad"/>
    <s v="Metheads"/>
    <s v="Raintree Front"/>
    <n v="4"/>
    <x v="31"/>
    <s v="0"/>
    <n v="7"/>
    <n v="6"/>
    <n v="4"/>
    <n v="6"/>
    <n v="6"/>
    <n v="6"/>
    <n v="10"/>
    <n v="7"/>
    <n v="6"/>
    <n v="58"/>
    <n v="17.09"/>
    <n v="41"/>
    <n v="1"/>
    <n v="0"/>
    <n v="1"/>
    <n v="0"/>
    <n v="0"/>
    <n v="1"/>
    <n v="0"/>
    <n v="0"/>
    <n v="1"/>
    <n v="1"/>
    <n v="2"/>
    <n v="2"/>
    <n v="0"/>
    <n v="1"/>
    <n v="0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Mickey Mouse Club"/>
    <s v="Stymies"/>
    <s v="Raintree Front"/>
    <n v="1"/>
    <x v="16"/>
    <s v="0"/>
    <n v="5"/>
    <n v="9"/>
    <n v="5"/>
    <n v="4"/>
    <n v="6"/>
    <n v="5"/>
    <n v="6"/>
    <n v="6"/>
    <n v="6"/>
    <n v="52"/>
    <n v="10.37"/>
    <n v="42"/>
    <n v="1"/>
    <n v="0"/>
    <n v="1"/>
    <n v="0"/>
    <n v="0"/>
    <n v="1"/>
    <n v="0"/>
    <n v="0"/>
    <n v="0"/>
    <n v="2"/>
    <n v="0"/>
    <n v="2"/>
    <n v="1"/>
    <n v="1"/>
    <n v="2"/>
    <n v="1"/>
    <n v="0"/>
    <n v="0"/>
    <n v="2"/>
    <n v="11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Mickey Mouse Club"/>
    <s v="Stymies"/>
    <s v="Raintree Front"/>
    <n v="2"/>
    <x v="48"/>
    <s v="0"/>
    <n v="7"/>
    <n v="4"/>
    <n v="6"/>
    <n v="4"/>
    <n v="6"/>
    <n v="5"/>
    <n v="7"/>
    <n v="6"/>
    <n v="4"/>
    <n v="49"/>
    <n v="12.67"/>
    <n v="36"/>
    <n v="1"/>
    <n v="0"/>
    <n v="1"/>
    <n v="0"/>
    <n v="0"/>
    <n v="1"/>
    <n v="1"/>
    <n v="0"/>
    <n v="1"/>
    <n v="2"/>
    <n v="2"/>
    <n v="1"/>
    <n v="1"/>
    <n v="1"/>
    <n v="2"/>
    <n v="2"/>
    <n v="1"/>
    <n v="2"/>
    <n v="2"/>
    <n v="16"/>
    <m/>
    <n v="1"/>
    <m/>
    <m/>
    <m/>
    <m/>
    <m/>
    <m/>
    <m/>
    <n v="1"/>
    <m/>
    <m/>
    <m/>
    <m/>
    <m/>
    <m/>
    <m/>
    <m/>
    <m/>
    <n v="0"/>
  </r>
  <r>
    <s v="Week 2 25 MMC vs STY_MCA.xlsx"/>
    <s v="2"/>
    <d v="2025-04-21T00:00:00"/>
    <s v="Mickey Mouse Club"/>
    <s v="Stymies"/>
    <s v="Raintree Front"/>
    <n v="3"/>
    <x v="19"/>
    <s v="0"/>
    <n v="8"/>
    <n v="8"/>
    <n v="6"/>
    <n v="5"/>
    <n v="7"/>
    <n v="7"/>
    <n v="7"/>
    <n v="5"/>
    <n v="8"/>
    <n v="61"/>
    <n v="16.7"/>
    <n v="44"/>
    <n v="1"/>
    <n v="0"/>
    <n v="1"/>
    <n v="0"/>
    <n v="0"/>
    <n v="1"/>
    <n v="0"/>
    <n v="0"/>
    <n v="1"/>
    <n v="0"/>
    <n v="1"/>
    <n v="1"/>
    <n v="0"/>
    <n v="2"/>
    <n v="1"/>
    <n v="1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Mickey Mouse Club"/>
    <s v="Stymies"/>
    <s v="Raintree Front"/>
    <n v="4"/>
    <x v="17"/>
    <s v="0"/>
    <n v="7"/>
    <n v="10"/>
    <n v="7"/>
    <n v="5"/>
    <n v="6"/>
    <n v="6"/>
    <n v="5"/>
    <n v="7"/>
    <n v="7"/>
    <n v="60"/>
    <n v="20"/>
    <n v="40"/>
    <n v="1"/>
    <n v="0"/>
    <n v="1"/>
    <n v="0"/>
    <n v="0"/>
    <n v="1"/>
    <n v="0"/>
    <n v="0"/>
    <n v="1"/>
    <n v="2"/>
    <n v="0"/>
    <n v="2"/>
    <n v="0"/>
    <n v="2"/>
    <n v="2"/>
    <n v="2"/>
    <n v="0"/>
    <n v="1"/>
    <n v="2"/>
    <n v="13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Stymies"/>
    <s v="Mickey Mouse Club"/>
    <s v="Raintree Front"/>
    <n v="1"/>
    <x v="12"/>
    <s v="0"/>
    <n v="5"/>
    <n v="8"/>
    <n v="9"/>
    <n v="4"/>
    <n v="6"/>
    <n v="5"/>
    <n v="6"/>
    <n v="3"/>
    <n v="5"/>
    <n v="51"/>
    <n v="6.91"/>
    <n v="44"/>
    <n v="0"/>
    <n v="0"/>
    <n v="0"/>
    <n v="0"/>
    <n v="0"/>
    <n v="0"/>
    <n v="0"/>
    <n v="0"/>
    <n v="0"/>
    <n v="0"/>
    <n v="2"/>
    <n v="0"/>
    <n v="1"/>
    <n v="1"/>
    <n v="0"/>
    <n v="1"/>
    <n v="2"/>
    <n v="2"/>
    <n v="0"/>
    <n v="9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Stymies"/>
    <s v="Mickey Mouse Club"/>
    <s v="Raintree Front"/>
    <n v="2"/>
    <x v="13"/>
    <s v="0"/>
    <n v="7"/>
    <n v="7"/>
    <n v="5"/>
    <n v="4"/>
    <n v="6"/>
    <n v="6"/>
    <n v="7"/>
    <n v="6"/>
    <n v="5"/>
    <n v="53"/>
    <n v="7.3"/>
    <n v="46"/>
    <n v="0"/>
    <n v="0"/>
    <n v="0"/>
    <n v="0"/>
    <n v="0"/>
    <n v="0"/>
    <n v="0"/>
    <n v="0"/>
    <n v="0"/>
    <n v="0"/>
    <n v="0"/>
    <n v="1"/>
    <n v="1"/>
    <n v="1"/>
    <n v="0"/>
    <n v="0"/>
    <n v="1"/>
    <n v="0"/>
    <n v="0"/>
    <n v="4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Stymies"/>
    <s v="Mickey Mouse Club"/>
    <s v="Raintree Front"/>
    <n v="3"/>
    <x v="14"/>
    <s v="0"/>
    <n v="6"/>
    <n v="8"/>
    <n v="5"/>
    <n v="4"/>
    <n v="8"/>
    <n v="6"/>
    <n v="7"/>
    <n v="3"/>
    <n v="6"/>
    <n v="53"/>
    <n v="12.67"/>
    <n v="40"/>
    <n v="0"/>
    <n v="0"/>
    <n v="0"/>
    <n v="0"/>
    <n v="0"/>
    <n v="0"/>
    <n v="0"/>
    <n v="0"/>
    <n v="0"/>
    <n v="2"/>
    <n v="1"/>
    <n v="1"/>
    <n v="2"/>
    <n v="0"/>
    <n v="1"/>
    <n v="1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2 25 MMC vs STY_MCA.xlsx"/>
    <s v="2"/>
    <d v="2025-04-21T00:00:00"/>
    <s v="Stymies"/>
    <s v="Mickey Mouse Club"/>
    <s v="Raintree Front"/>
    <n v="4"/>
    <x v="15"/>
    <s v="0"/>
    <n v="9"/>
    <n v="8"/>
    <n v="7"/>
    <n v="4"/>
    <n v="7"/>
    <n v="8"/>
    <n v="8"/>
    <n v="6"/>
    <n v="6"/>
    <n v="63"/>
    <n v="15.94"/>
    <n v="47"/>
    <n v="0"/>
    <n v="0"/>
    <n v="0"/>
    <n v="0"/>
    <n v="0"/>
    <n v="0"/>
    <n v="0"/>
    <n v="0"/>
    <n v="0"/>
    <n v="0"/>
    <n v="2"/>
    <n v="0"/>
    <n v="2"/>
    <n v="0"/>
    <n v="0"/>
    <n v="0"/>
    <n v="2"/>
    <n v="1"/>
    <n v="0"/>
    <n v="7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Who's Your Caddy?"/>
    <s v="Blind Draw"/>
    <s v="Raintree Back"/>
    <n v="1"/>
    <x v="24"/>
    <s v="0"/>
    <n v="4"/>
    <n v="4"/>
    <n v="8"/>
    <n v="6"/>
    <n v="6"/>
    <n v="8"/>
    <n v="4"/>
    <n v="6"/>
    <n v="9"/>
    <n v="55"/>
    <n v="7.1"/>
    <n v="48"/>
    <n v="1"/>
    <n v="1"/>
    <n v="0"/>
    <n v="1"/>
    <n v="1"/>
    <n v="1"/>
    <n v="0"/>
    <n v="1"/>
    <n v="1"/>
    <n v="2"/>
    <n v="1"/>
    <n v="0"/>
    <n v="1"/>
    <n v="0"/>
    <n v="0"/>
    <n v="0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Who's Your Caddy?"/>
    <s v="Blind Draw"/>
    <s v="Raintree Back"/>
    <n v="2"/>
    <x v="26"/>
    <s v="0"/>
    <n v="6"/>
    <n v="4"/>
    <n v="6"/>
    <n v="5"/>
    <n v="5"/>
    <n v="6"/>
    <n v="5"/>
    <n v="6"/>
    <n v="7"/>
    <n v="50"/>
    <n v="9.02"/>
    <n v="41"/>
    <n v="1"/>
    <n v="1"/>
    <n v="1"/>
    <n v="1"/>
    <n v="1"/>
    <n v="1"/>
    <n v="1"/>
    <n v="1"/>
    <n v="1"/>
    <n v="0"/>
    <n v="1"/>
    <n v="0"/>
    <n v="2"/>
    <n v="1"/>
    <n v="1"/>
    <n v="0"/>
    <n v="1"/>
    <n v="0"/>
    <n v="0"/>
    <n v="6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Who's Your Caddy?"/>
    <s v="Blind Draw"/>
    <s v="Raintree Back"/>
    <n v="3"/>
    <x v="27"/>
    <s v="0"/>
    <n v="5"/>
    <n v="5"/>
    <n v="5"/>
    <n v="7"/>
    <n v="5"/>
    <n v="7"/>
    <n v="5"/>
    <n v="5"/>
    <n v="8"/>
    <n v="52"/>
    <n v="14.4"/>
    <n v="38"/>
    <n v="1"/>
    <n v="1"/>
    <n v="1"/>
    <n v="2"/>
    <n v="2"/>
    <n v="2"/>
    <n v="1"/>
    <n v="2"/>
    <n v="2"/>
    <n v="1"/>
    <n v="0"/>
    <n v="1"/>
    <n v="1"/>
    <n v="2"/>
    <n v="1"/>
    <n v="0"/>
    <n v="2"/>
    <n v="0"/>
    <n v="1"/>
    <n v="9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Who's Your Caddy?"/>
    <s v="Blind Draw"/>
    <s v="Raintree Back"/>
    <n v="4"/>
    <x v="25"/>
    <s v="0"/>
    <n v="8"/>
    <n v="6"/>
    <n v="8"/>
    <n v="8"/>
    <n v="8"/>
    <n v="8"/>
    <n v="6"/>
    <n v="6"/>
    <n v="9"/>
    <n v="67"/>
    <n v="20"/>
    <n v="47"/>
    <n v="2"/>
    <n v="2"/>
    <n v="2"/>
    <n v="3"/>
    <n v="2"/>
    <n v="2"/>
    <n v="2"/>
    <n v="3"/>
    <n v="2"/>
    <n v="0"/>
    <n v="0"/>
    <n v="0"/>
    <n v="1"/>
    <n v="0"/>
    <n v="0"/>
    <n v="0"/>
    <n v="2"/>
    <n v="0"/>
    <n v="0"/>
    <n v="3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Blind Draw"/>
    <s v="Who's Your Caddy?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1"/>
    <n v="2"/>
    <n v="1"/>
    <n v="2"/>
    <n v="2"/>
    <n v="2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Blind Draw"/>
    <s v="Who's Your Caddy?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2"/>
    <n v="0"/>
    <n v="1"/>
    <n v="1"/>
    <n v="2"/>
    <n v="1"/>
    <n v="2"/>
    <n v="2"/>
    <n v="14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Blind Draw"/>
    <s v="Who's Your Caddy?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2"/>
    <n v="1"/>
    <n v="1"/>
    <n v="0"/>
    <n v="1"/>
    <n v="2"/>
    <n v="0"/>
    <n v="2"/>
    <n v="1"/>
    <n v="11"/>
    <m/>
    <m/>
    <m/>
    <m/>
    <m/>
    <m/>
    <m/>
    <m/>
    <m/>
    <n v="0"/>
    <m/>
    <m/>
    <m/>
    <m/>
    <m/>
    <m/>
    <m/>
    <m/>
    <m/>
    <n v="0"/>
  </r>
  <r>
    <s v="Week 2 25 WYC vs BD_MCA.xlsx"/>
    <s v="2"/>
    <d v="2025-04-21T00:00:00"/>
    <s v="Blind Draw"/>
    <s v="Who's Your Caddy?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2"/>
    <n v="1"/>
    <n v="2"/>
    <n v="2"/>
    <n v="2"/>
    <n v="0"/>
    <n v="2"/>
    <n v="2"/>
    <n v="17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Metheads"/>
    <s v="The Four Puttz"/>
    <s v="Raintree Front"/>
    <n v="1"/>
    <x v="8"/>
    <s v="0"/>
    <n v="5"/>
    <n v="6"/>
    <n v="6"/>
    <n v="5"/>
    <n v="6"/>
    <n v="5"/>
    <n v="5"/>
    <n v="3"/>
    <n v="5"/>
    <n v="46"/>
    <n v="4.03"/>
    <n v="42"/>
    <n v="0"/>
    <n v="0"/>
    <n v="0"/>
    <n v="0"/>
    <n v="0"/>
    <n v="0"/>
    <n v="0"/>
    <n v="0"/>
    <n v="0"/>
    <n v="2"/>
    <n v="0"/>
    <n v="0"/>
    <n v="0"/>
    <n v="0"/>
    <n v="1"/>
    <n v="1"/>
    <n v="2"/>
    <n v="2"/>
    <n v="0"/>
    <n v="8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Metheads"/>
    <s v="The Four Puttz"/>
    <s v="Raintree Front"/>
    <n v="2"/>
    <x v="9"/>
    <s v="0"/>
    <n v="5"/>
    <n v="5"/>
    <n v="5"/>
    <n v="3"/>
    <n v="5"/>
    <n v="5"/>
    <n v="6"/>
    <n v="5"/>
    <n v="4"/>
    <n v="43"/>
    <n v="6.48"/>
    <n v="37"/>
    <n v="1"/>
    <n v="0"/>
    <n v="0"/>
    <n v="0"/>
    <n v="0"/>
    <n v="1"/>
    <n v="0"/>
    <n v="0"/>
    <n v="0"/>
    <n v="2"/>
    <n v="2"/>
    <n v="1"/>
    <n v="1"/>
    <n v="2"/>
    <n v="2"/>
    <n v="0"/>
    <n v="0"/>
    <n v="2"/>
    <n v="2"/>
    <n v="14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Metheads"/>
    <s v="The Four Puttz"/>
    <s v="Raintree Front"/>
    <n v="3"/>
    <x v="11"/>
    <s v="0"/>
    <n v="5"/>
    <n v="5"/>
    <n v="6"/>
    <n v="4"/>
    <n v="5"/>
    <n v="4"/>
    <n v="5"/>
    <n v="5"/>
    <n v="7"/>
    <n v="46"/>
    <n v="8.4499999999999993"/>
    <n v="38"/>
    <n v="1"/>
    <n v="0"/>
    <n v="0"/>
    <n v="0"/>
    <n v="0"/>
    <n v="1"/>
    <n v="0"/>
    <n v="0"/>
    <n v="0"/>
    <n v="2"/>
    <n v="2"/>
    <n v="2"/>
    <n v="2"/>
    <n v="1"/>
    <n v="2"/>
    <n v="2"/>
    <n v="0"/>
    <n v="1"/>
    <n v="2"/>
    <n v="16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Metheads"/>
    <s v="The Four Puttz"/>
    <s v="Raintree Front"/>
    <n v="4"/>
    <x v="40"/>
    <s v="0"/>
    <n v="5"/>
    <n v="7"/>
    <n v="9"/>
    <n v="5"/>
    <n v="5"/>
    <n v="8"/>
    <n v="7"/>
    <n v="4"/>
    <n v="6"/>
    <n v="56"/>
    <n v="13.44"/>
    <n v="43"/>
    <n v="1"/>
    <n v="0"/>
    <n v="1"/>
    <n v="0"/>
    <n v="0"/>
    <n v="1"/>
    <n v="1"/>
    <n v="1"/>
    <n v="1"/>
    <n v="2"/>
    <n v="0"/>
    <n v="1"/>
    <n v="0"/>
    <n v="2"/>
    <n v="0"/>
    <n v="0"/>
    <n v="2"/>
    <n v="1"/>
    <n v="0"/>
    <n v="8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The Four Puttz"/>
    <s v="Metheads"/>
    <s v="Raintree Front"/>
    <n v="1"/>
    <x v="45"/>
    <s v="0"/>
    <n v="6"/>
    <n v="5"/>
    <n v="5"/>
    <n v="3"/>
    <n v="4"/>
    <n v="5"/>
    <n v="5"/>
    <n v="4"/>
    <n v="6"/>
    <n v="43"/>
    <n v="4.42"/>
    <n v="39"/>
    <n v="0"/>
    <n v="0"/>
    <n v="0"/>
    <n v="0"/>
    <n v="0"/>
    <n v="0"/>
    <n v="0"/>
    <n v="0"/>
    <n v="0"/>
    <n v="0"/>
    <n v="2"/>
    <n v="2"/>
    <n v="2"/>
    <n v="2"/>
    <n v="1"/>
    <n v="1"/>
    <n v="0"/>
    <n v="0"/>
    <n v="2"/>
    <n v="12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The Four Puttz"/>
    <s v="Metheads"/>
    <s v="Raintree Front"/>
    <n v="2"/>
    <x v="20"/>
    <s v="0"/>
    <n v="5"/>
    <n v="6"/>
    <n v="5"/>
    <n v="3"/>
    <n v="6"/>
    <n v="6"/>
    <n v="5"/>
    <n v="3"/>
    <n v="5"/>
    <n v="44"/>
    <n v="4.6100000000000003"/>
    <n v="39"/>
    <n v="0"/>
    <n v="0"/>
    <n v="0"/>
    <n v="0"/>
    <n v="0"/>
    <n v="0"/>
    <n v="0"/>
    <n v="0"/>
    <n v="0"/>
    <n v="0"/>
    <n v="0"/>
    <n v="1"/>
    <n v="1"/>
    <n v="0"/>
    <n v="0"/>
    <n v="2"/>
    <n v="2"/>
    <n v="0"/>
    <n v="0"/>
    <n v="6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The Four Puttz"/>
    <s v="Metheads"/>
    <s v="Raintree Front"/>
    <n v="3"/>
    <x v="21"/>
    <s v="0"/>
    <n v="6"/>
    <n v="7"/>
    <n v="7"/>
    <n v="5"/>
    <n v="5"/>
    <n v="7"/>
    <n v="6"/>
    <n v="3"/>
    <n v="7"/>
    <n v="53"/>
    <n v="6.72"/>
    <n v="46"/>
    <n v="0"/>
    <n v="0"/>
    <n v="0"/>
    <n v="0"/>
    <n v="0"/>
    <n v="0"/>
    <n v="0"/>
    <n v="0"/>
    <n v="0"/>
    <n v="0"/>
    <n v="0"/>
    <n v="0"/>
    <n v="0"/>
    <n v="1"/>
    <n v="0"/>
    <n v="0"/>
    <n v="2"/>
    <n v="1"/>
    <n v="0"/>
    <n v="4"/>
    <m/>
    <m/>
    <m/>
    <m/>
    <m/>
    <m/>
    <m/>
    <m/>
    <m/>
    <n v="0"/>
    <m/>
    <m/>
    <m/>
    <m/>
    <m/>
    <m/>
    <m/>
    <m/>
    <m/>
    <n v="0"/>
  </r>
  <r>
    <s v="Week 3 25 4P vs MET.xlsx"/>
    <s v="3"/>
    <d v="2025-04-28T00:00:00"/>
    <s v="The Four Puttz"/>
    <s v="Metheads"/>
    <s v="Raintree Front"/>
    <n v="4"/>
    <x v="34"/>
    <s v="0"/>
    <n v="5"/>
    <n v="3"/>
    <n v="8"/>
    <n v="3"/>
    <n v="6"/>
    <n v="5"/>
    <n v="5"/>
    <n v="5"/>
    <n v="5"/>
    <n v="45"/>
    <n v="7.64"/>
    <n v="37"/>
    <n v="0"/>
    <n v="0"/>
    <n v="0"/>
    <n v="0"/>
    <n v="0"/>
    <n v="0"/>
    <n v="0"/>
    <n v="0"/>
    <n v="0"/>
    <n v="0"/>
    <n v="2"/>
    <n v="1"/>
    <n v="2"/>
    <n v="0"/>
    <n v="2"/>
    <n v="2"/>
    <n v="0"/>
    <n v="1"/>
    <n v="2"/>
    <n v="12"/>
    <m/>
    <m/>
    <m/>
    <m/>
    <m/>
    <m/>
    <m/>
    <m/>
    <m/>
    <n v="0"/>
    <m/>
    <n v="1"/>
    <m/>
    <m/>
    <m/>
    <m/>
    <m/>
    <m/>
    <m/>
    <n v="1"/>
  </r>
  <r>
    <s v="Week 3 25 ACE vs MMC.xlsx"/>
    <s v="3"/>
    <d v="2025-04-28T00:00:00"/>
    <s v="Aceholes"/>
    <s v="Mickey Mouse Club"/>
    <s v="Raintree Back"/>
    <n v="1"/>
    <x v="1"/>
    <s v="0"/>
    <n v="5"/>
    <n v="4"/>
    <n v="4"/>
    <n v="5"/>
    <n v="5"/>
    <n v="7"/>
    <n v="3"/>
    <n v="5"/>
    <n v="4"/>
    <n v="42"/>
    <n v="4.99"/>
    <n v="37"/>
    <n v="0"/>
    <n v="0"/>
    <n v="0"/>
    <n v="0"/>
    <n v="0"/>
    <n v="0"/>
    <n v="0"/>
    <n v="0"/>
    <n v="0"/>
    <n v="1"/>
    <n v="2"/>
    <n v="2"/>
    <n v="2"/>
    <n v="0"/>
    <n v="0"/>
    <n v="2"/>
    <n v="1"/>
    <n v="2"/>
    <n v="2"/>
    <n v="14"/>
    <m/>
    <m/>
    <m/>
    <m/>
    <m/>
    <m/>
    <m/>
    <m/>
    <n v="1"/>
    <n v="1"/>
    <m/>
    <m/>
    <m/>
    <m/>
    <m/>
    <m/>
    <m/>
    <m/>
    <m/>
    <n v="0"/>
  </r>
  <r>
    <s v="Week 3 25 ACE vs MMC.xlsx"/>
    <s v="3"/>
    <d v="2025-04-28T00:00:00"/>
    <s v="Aceholes"/>
    <s v="Mickey Mouse Club"/>
    <s v="Raintree Back"/>
    <n v="2"/>
    <x v="2"/>
    <s v="0"/>
    <n v="5"/>
    <n v="3"/>
    <n v="5"/>
    <n v="5"/>
    <n v="5"/>
    <n v="5"/>
    <n v="4"/>
    <n v="5"/>
    <n v="7"/>
    <n v="44"/>
    <n v="7.1"/>
    <n v="37"/>
    <n v="0"/>
    <n v="0"/>
    <n v="0"/>
    <n v="0"/>
    <n v="0"/>
    <n v="0"/>
    <n v="0"/>
    <n v="0"/>
    <n v="0"/>
    <n v="2"/>
    <n v="2"/>
    <n v="2"/>
    <n v="2"/>
    <n v="2"/>
    <n v="2"/>
    <n v="0"/>
    <n v="1"/>
    <n v="2"/>
    <n v="2"/>
    <n v="17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Aceholes"/>
    <s v="Mickey Mouse Club"/>
    <s v="Raintree Back"/>
    <n v="3"/>
    <x v="10"/>
    <s v="0"/>
    <n v="5"/>
    <n v="6"/>
    <n v="7"/>
    <n v="6"/>
    <n v="6"/>
    <n v="5"/>
    <n v="6"/>
    <n v="5"/>
    <n v="7"/>
    <n v="53"/>
    <n v="7.49"/>
    <n v="46"/>
    <n v="0"/>
    <n v="0"/>
    <n v="0"/>
    <n v="0"/>
    <n v="0"/>
    <n v="0"/>
    <n v="0"/>
    <n v="0"/>
    <n v="0"/>
    <n v="2"/>
    <n v="0"/>
    <n v="0"/>
    <n v="0"/>
    <n v="0"/>
    <n v="2"/>
    <n v="0"/>
    <n v="0"/>
    <n v="0"/>
    <n v="0"/>
    <n v="4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Aceholes"/>
    <s v="Mickey Mouse Club"/>
    <s v="Raintree Back"/>
    <n v="4"/>
    <x v="3"/>
    <s v="0"/>
    <n v="6"/>
    <n v="7"/>
    <n v="9"/>
    <n v="6"/>
    <n v="4"/>
    <n v="5"/>
    <n v="6"/>
    <n v="6"/>
    <n v="8"/>
    <n v="57"/>
    <n v="13.63"/>
    <n v="43"/>
    <n v="0"/>
    <n v="0"/>
    <n v="0"/>
    <n v="0"/>
    <n v="0"/>
    <n v="0"/>
    <n v="0"/>
    <n v="0"/>
    <n v="0"/>
    <n v="1"/>
    <n v="0"/>
    <n v="1"/>
    <n v="0"/>
    <n v="2"/>
    <n v="0"/>
    <n v="1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Mickey Mouse Club"/>
    <s v="Aceholes"/>
    <s v="Raintree Back"/>
    <n v="1"/>
    <x v="16"/>
    <s v="0"/>
    <n v="5"/>
    <n v="6"/>
    <n v="6"/>
    <n v="7"/>
    <n v="5"/>
    <n v="6"/>
    <n v="4"/>
    <n v="6"/>
    <n v="7"/>
    <n v="52"/>
    <n v="11.33"/>
    <n v="41"/>
    <n v="0"/>
    <n v="1"/>
    <n v="0"/>
    <n v="1"/>
    <n v="1"/>
    <n v="1"/>
    <n v="0"/>
    <n v="1"/>
    <n v="1"/>
    <n v="1"/>
    <n v="0"/>
    <n v="0"/>
    <n v="0"/>
    <n v="2"/>
    <n v="2"/>
    <n v="0"/>
    <n v="1"/>
    <n v="0"/>
    <n v="0"/>
    <n v="6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Mickey Mouse Club"/>
    <s v="Aceholes"/>
    <s v="Raintree Back"/>
    <n v="2"/>
    <x v="19"/>
    <s v="0"/>
    <n v="7"/>
    <n v="6"/>
    <n v="7"/>
    <n v="7"/>
    <n v="9"/>
    <n v="9"/>
    <n v="4"/>
    <n v="7"/>
    <n v="9"/>
    <n v="65"/>
    <n v="16.7"/>
    <n v="48"/>
    <n v="1"/>
    <n v="1"/>
    <n v="1"/>
    <n v="1"/>
    <n v="1"/>
    <n v="1"/>
    <n v="1"/>
    <n v="2"/>
    <n v="1"/>
    <n v="0"/>
    <n v="0"/>
    <n v="0"/>
    <n v="0"/>
    <n v="0"/>
    <n v="0"/>
    <n v="2"/>
    <n v="1"/>
    <n v="0"/>
    <n v="0"/>
    <n v="3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Mickey Mouse Club"/>
    <s v="Aceholes"/>
    <s v="Raintree Back"/>
    <n v="3"/>
    <x v="18"/>
    <s v="0"/>
    <n v="8"/>
    <n v="4"/>
    <n v="6"/>
    <n v="6"/>
    <n v="5"/>
    <n v="7"/>
    <n v="4"/>
    <n v="5"/>
    <n v="7"/>
    <n v="52"/>
    <n v="14.36"/>
    <n v="38"/>
    <n v="1"/>
    <n v="1"/>
    <n v="0"/>
    <n v="1"/>
    <n v="1"/>
    <n v="1"/>
    <n v="0"/>
    <n v="1"/>
    <n v="1"/>
    <n v="0"/>
    <n v="2"/>
    <n v="2"/>
    <n v="2"/>
    <n v="2"/>
    <n v="0"/>
    <n v="2"/>
    <n v="2"/>
    <n v="2"/>
    <n v="2"/>
    <n v="16"/>
    <m/>
    <m/>
    <m/>
    <m/>
    <m/>
    <m/>
    <m/>
    <m/>
    <m/>
    <n v="0"/>
    <m/>
    <m/>
    <m/>
    <m/>
    <m/>
    <m/>
    <m/>
    <m/>
    <m/>
    <n v="0"/>
  </r>
  <r>
    <s v="Week 3 25 ACE vs MMC.xlsx"/>
    <s v="3"/>
    <d v="2025-04-28T00:00:00"/>
    <s v="Mickey Mouse Club"/>
    <s v="Aceholes"/>
    <s v="Raintree Back"/>
    <n v="4"/>
    <x v="17"/>
    <s v="0"/>
    <n v="6"/>
    <n v="6"/>
    <n v="9"/>
    <n v="6"/>
    <n v="6"/>
    <n v="5"/>
    <n v="6"/>
    <n v="6"/>
    <n v="7"/>
    <n v="57"/>
    <n v="20"/>
    <n v="37"/>
    <n v="0"/>
    <n v="1"/>
    <n v="0"/>
    <n v="1"/>
    <n v="1"/>
    <n v="1"/>
    <n v="0"/>
    <n v="1"/>
    <n v="1"/>
    <n v="1"/>
    <n v="2"/>
    <n v="1"/>
    <n v="2"/>
    <n v="0"/>
    <n v="2"/>
    <n v="1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Hack Squad"/>
    <s v="Blind Draw"/>
    <s v="Raintree Back"/>
    <n v="1"/>
    <x v="28"/>
    <s v="0"/>
    <n v="5"/>
    <n v="4"/>
    <n v="6"/>
    <n v="6"/>
    <n v="5"/>
    <n v="8"/>
    <n v="5"/>
    <n v="7"/>
    <n v="9"/>
    <n v="55"/>
    <n v="12.67"/>
    <n v="42"/>
    <n v="1"/>
    <n v="1"/>
    <n v="1"/>
    <n v="2"/>
    <n v="2"/>
    <n v="1"/>
    <n v="1"/>
    <n v="2"/>
    <n v="2"/>
    <n v="1"/>
    <n v="1"/>
    <n v="0"/>
    <n v="2"/>
    <n v="2"/>
    <n v="0"/>
    <n v="0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Hack Squad"/>
    <s v="Blind Draw"/>
    <s v="Raintree Back"/>
    <n v="2"/>
    <x v="31"/>
    <s v="0"/>
    <n v="7"/>
    <n v="6"/>
    <n v="7"/>
    <n v="8"/>
    <n v="5"/>
    <n v="6"/>
    <n v="5"/>
    <n v="8"/>
    <n v="9"/>
    <n v="61"/>
    <n v="17.09"/>
    <n v="44"/>
    <n v="2"/>
    <n v="2"/>
    <n v="2"/>
    <n v="2"/>
    <n v="2"/>
    <n v="2"/>
    <n v="1"/>
    <n v="2"/>
    <n v="2"/>
    <n v="0"/>
    <n v="0"/>
    <n v="0"/>
    <n v="0"/>
    <n v="2"/>
    <n v="2"/>
    <n v="0"/>
    <n v="0"/>
    <n v="0"/>
    <n v="0"/>
    <n v="4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Hack Squad"/>
    <s v="Blind Draw"/>
    <s v="Raintree Back"/>
    <n v="3"/>
    <x v="30"/>
    <s v="0"/>
    <n v="7"/>
    <n v="5"/>
    <n v="7"/>
    <n v="7"/>
    <n v="6"/>
    <n v="10"/>
    <n v="6"/>
    <n v="7"/>
    <n v="9"/>
    <n v="64"/>
    <n v="15.55"/>
    <n v="48"/>
    <n v="2"/>
    <n v="2"/>
    <n v="1"/>
    <n v="2"/>
    <n v="2"/>
    <n v="2"/>
    <n v="1"/>
    <n v="2"/>
    <n v="2"/>
    <n v="0"/>
    <n v="1"/>
    <n v="0"/>
    <n v="1"/>
    <n v="1"/>
    <n v="0"/>
    <n v="0"/>
    <n v="1"/>
    <n v="0"/>
    <n v="0"/>
    <n v="4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Hack Squad"/>
    <s v="Blind Draw"/>
    <s v="Raintree Back"/>
    <n v="4"/>
    <x v="51"/>
    <s v="0"/>
    <n v="6"/>
    <n v="5"/>
    <n v="5"/>
    <n v="5"/>
    <n v="5"/>
    <n v="7"/>
    <n v="4"/>
    <n v="4"/>
    <n v="7"/>
    <n v="48"/>
    <n v="9.52"/>
    <n v="38"/>
    <n v="1"/>
    <n v="1"/>
    <n v="1"/>
    <n v="1"/>
    <n v="1"/>
    <n v="1"/>
    <n v="1"/>
    <n v="2"/>
    <n v="1"/>
    <n v="0"/>
    <n v="0"/>
    <n v="1"/>
    <n v="2"/>
    <n v="1"/>
    <n v="0"/>
    <n v="1"/>
    <n v="2"/>
    <n v="0"/>
    <n v="1"/>
    <n v="8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Blind Draw"/>
    <s v="Hack Squad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1"/>
    <n v="2"/>
    <n v="0"/>
    <n v="0"/>
    <n v="2"/>
    <n v="2"/>
    <n v="1"/>
    <n v="2"/>
    <n v="2"/>
    <n v="13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Blind Draw"/>
    <s v="Hack Squad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2"/>
    <n v="2"/>
    <n v="0"/>
    <n v="0"/>
    <n v="2"/>
    <n v="2"/>
    <n v="2"/>
    <n v="2"/>
    <n v="16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Blind Draw"/>
    <s v="Hack Squad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2"/>
    <n v="1"/>
    <n v="1"/>
    <n v="2"/>
    <n v="2"/>
    <n v="1"/>
    <n v="2"/>
    <n v="2"/>
    <n v="16"/>
    <m/>
    <m/>
    <m/>
    <m/>
    <m/>
    <m/>
    <m/>
    <m/>
    <m/>
    <n v="0"/>
    <m/>
    <m/>
    <m/>
    <m/>
    <m/>
    <m/>
    <m/>
    <m/>
    <m/>
    <n v="0"/>
  </r>
  <r>
    <s v="Week 3 25 HS vs BD.xlsx"/>
    <s v="3"/>
    <d v="2025-04-28T00:00:00"/>
    <s v="Blind Draw"/>
    <s v="Hack Squad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1"/>
    <n v="0"/>
    <n v="1"/>
    <n v="2"/>
    <n v="1"/>
    <n v="0"/>
    <n v="2"/>
    <n v="1"/>
    <n v="12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Stymies"/>
    <s v="Who's Your Caddy?"/>
    <s v="Raintree Front"/>
    <n v="1"/>
    <x v="12"/>
    <s v="0"/>
    <n v="6"/>
    <n v="7"/>
    <n v="5"/>
    <n v="5"/>
    <n v="6"/>
    <n v="7"/>
    <n v="6"/>
    <n v="5"/>
    <n v="7"/>
    <n v="54"/>
    <n v="6.91"/>
    <n v="47"/>
    <n v="0"/>
    <n v="0"/>
    <n v="0"/>
    <n v="0"/>
    <n v="0"/>
    <n v="0"/>
    <n v="0"/>
    <n v="0"/>
    <n v="0"/>
    <n v="2"/>
    <n v="0"/>
    <n v="2"/>
    <n v="1"/>
    <n v="1"/>
    <n v="0"/>
    <n v="1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Stymies"/>
    <s v="Who's Your Caddy?"/>
    <s v="Raintree Front"/>
    <n v="2"/>
    <x v="13"/>
    <s v="0"/>
    <n v="7"/>
    <n v="6"/>
    <n v="8"/>
    <n v="5"/>
    <n v="5"/>
    <n v="5"/>
    <n v="6"/>
    <n v="3"/>
    <n v="4"/>
    <n v="49"/>
    <n v="7.3"/>
    <n v="42"/>
    <n v="0"/>
    <n v="0"/>
    <n v="0"/>
    <n v="0"/>
    <n v="0"/>
    <n v="0"/>
    <n v="0"/>
    <n v="0"/>
    <n v="0"/>
    <n v="2"/>
    <n v="0"/>
    <n v="0"/>
    <n v="1"/>
    <n v="2"/>
    <n v="1"/>
    <n v="2"/>
    <n v="0"/>
    <n v="2"/>
    <n v="2"/>
    <n v="12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Stymies"/>
    <s v="Who's Your Caddy?"/>
    <s v="Raintree Front"/>
    <n v="3"/>
    <x v="14"/>
    <s v="0"/>
    <n v="6"/>
    <n v="6"/>
    <n v="9"/>
    <n v="5"/>
    <n v="5"/>
    <n v="6"/>
    <n v="8"/>
    <n v="5"/>
    <n v="6"/>
    <n v="56"/>
    <n v="12.67"/>
    <n v="43"/>
    <n v="0"/>
    <n v="0"/>
    <n v="0"/>
    <n v="0"/>
    <n v="0"/>
    <n v="0"/>
    <n v="0"/>
    <n v="0"/>
    <n v="0"/>
    <n v="1"/>
    <n v="2"/>
    <n v="0"/>
    <n v="2"/>
    <n v="2"/>
    <n v="0"/>
    <n v="2"/>
    <n v="0"/>
    <n v="2"/>
    <n v="2"/>
    <n v="13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Stymies"/>
    <s v="Who's Your Caddy?"/>
    <s v="Raintree Front"/>
    <n v="4"/>
    <x v="15"/>
    <s v="0"/>
    <n v="8"/>
    <n v="5"/>
    <n v="6"/>
    <n v="5"/>
    <n v="6"/>
    <n v="7"/>
    <n v="9"/>
    <n v="4"/>
    <n v="6"/>
    <n v="56"/>
    <n v="16.7"/>
    <n v="39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0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Who's Your Caddy?"/>
    <s v="Stymies"/>
    <s v="Raintree Front"/>
    <n v="1"/>
    <x v="26"/>
    <s v="0"/>
    <n v="8"/>
    <n v="6"/>
    <n v="6"/>
    <n v="5"/>
    <n v="6"/>
    <n v="6"/>
    <n v="6"/>
    <n v="4"/>
    <n v="6"/>
    <n v="53"/>
    <n v="9.2200000000000006"/>
    <n v="44"/>
    <n v="1"/>
    <n v="0"/>
    <n v="0"/>
    <n v="0"/>
    <n v="0"/>
    <n v="1"/>
    <n v="0"/>
    <n v="0"/>
    <n v="0"/>
    <n v="0"/>
    <n v="2"/>
    <n v="0"/>
    <n v="1"/>
    <n v="1"/>
    <n v="2"/>
    <n v="1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Who's Your Caddy?"/>
    <s v="Stymies"/>
    <s v="Raintree Front"/>
    <n v="2"/>
    <x v="38"/>
    <s v="0"/>
    <n v="9"/>
    <n v="6"/>
    <n v="8"/>
    <n v="5"/>
    <n v="8"/>
    <n v="6"/>
    <n v="9"/>
    <n v="3"/>
    <n v="7"/>
    <n v="61"/>
    <n v="13.92"/>
    <n v="47"/>
    <n v="1"/>
    <n v="1"/>
    <n v="1"/>
    <n v="0"/>
    <n v="0"/>
    <n v="1"/>
    <n v="1"/>
    <n v="1"/>
    <n v="1"/>
    <n v="0"/>
    <n v="2"/>
    <n v="2"/>
    <n v="1"/>
    <n v="0"/>
    <n v="1"/>
    <n v="0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Who's Your Caddy?"/>
    <s v="Stymies"/>
    <s v="Raintree Front"/>
    <n v="3"/>
    <x v="27"/>
    <s v="0"/>
    <n v="7"/>
    <n v="7"/>
    <n v="7"/>
    <n v="6"/>
    <n v="8"/>
    <n v="6"/>
    <n v="9"/>
    <n v="4"/>
    <n v="8"/>
    <n v="62"/>
    <n v="14.21"/>
    <n v="48"/>
    <n v="1"/>
    <n v="0"/>
    <n v="0"/>
    <n v="0"/>
    <n v="0"/>
    <n v="1"/>
    <n v="0"/>
    <n v="0"/>
    <n v="0"/>
    <n v="1"/>
    <n v="0"/>
    <n v="2"/>
    <n v="0"/>
    <n v="0"/>
    <n v="2"/>
    <n v="0"/>
    <n v="2"/>
    <n v="0"/>
    <n v="0"/>
    <n v="7"/>
    <m/>
    <m/>
    <m/>
    <m/>
    <m/>
    <m/>
    <m/>
    <m/>
    <m/>
    <n v="0"/>
    <m/>
    <m/>
    <m/>
    <m/>
    <m/>
    <m/>
    <m/>
    <m/>
    <m/>
    <n v="0"/>
  </r>
  <r>
    <s v="Week 3 25 STY vs WYC.xlsx"/>
    <s v="3"/>
    <d v="2025-04-28T00:00:00"/>
    <s v="Who's Your Caddy?"/>
    <s v="Stymies"/>
    <s v="Raintree Front"/>
    <n v="4"/>
    <x v="25"/>
    <s v="0"/>
    <n v="9"/>
    <n v="10"/>
    <n v="9"/>
    <n v="6"/>
    <n v="9"/>
    <n v="9"/>
    <n v="10"/>
    <n v="8"/>
    <n v="8"/>
    <n v="78"/>
    <n v="20"/>
    <n v="58"/>
    <n v="1"/>
    <n v="0"/>
    <n v="1"/>
    <n v="0"/>
    <n v="0"/>
    <n v="1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The Four Puttz"/>
    <s v="Blind Draw"/>
    <s v="Raintree Front"/>
    <n v="1"/>
    <x v="45"/>
    <s v="0"/>
    <n v="6"/>
    <n v="7"/>
    <n v="5"/>
    <n v="4"/>
    <n v="5"/>
    <n v="6"/>
    <n v="7"/>
    <n v="3"/>
    <n v="6"/>
    <n v="49"/>
    <n v="4.42"/>
    <n v="45"/>
    <n v="1"/>
    <n v="0"/>
    <n v="1"/>
    <n v="0"/>
    <n v="0"/>
    <n v="1"/>
    <n v="0"/>
    <n v="0"/>
    <n v="1"/>
    <n v="1"/>
    <n v="0"/>
    <n v="1"/>
    <n v="0"/>
    <n v="0"/>
    <n v="1"/>
    <n v="0"/>
    <n v="1"/>
    <n v="0"/>
    <n v="0"/>
    <n v="4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The Four Puttz"/>
    <s v="Blind Draw"/>
    <s v="Raintree Front"/>
    <n v="2"/>
    <x v="21"/>
    <s v="0"/>
    <n v="5"/>
    <n v="7"/>
    <n v="7"/>
    <n v="5"/>
    <n v="6"/>
    <n v="6"/>
    <n v="10"/>
    <n v="7"/>
    <n v="6"/>
    <n v="59"/>
    <n v="7.3"/>
    <n v="52"/>
    <n v="1"/>
    <n v="1"/>
    <n v="1"/>
    <n v="0"/>
    <n v="0"/>
    <n v="1"/>
    <n v="1"/>
    <n v="1"/>
    <n v="1"/>
    <n v="2"/>
    <n v="0"/>
    <n v="0"/>
    <n v="0"/>
    <n v="0"/>
    <n v="1"/>
    <n v="0"/>
    <n v="0"/>
    <n v="0"/>
    <n v="0"/>
    <n v="3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The Four Puttz"/>
    <s v="Blind Draw"/>
    <s v="Raintree Front"/>
    <n v="3"/>
    <x v="22"/>
    <s v="0"/>
    <n v="6"/>
    <n v="5"/>
    <n v="7"/>
    <n v="5"/>
    <n v="6"/>
    <n v="3"/>
    <n v="6"/>
    <n v="5"/>
    <n v="5"/>
    <n v="48"/>
    <n v="12.1"/>
    <n v="36"/>
    <n v="2"/>
    <n v="1"/>
    <n v="2"/>
    <n v="1"/>
    <n v="1"/>
    <n v="2"/>
    <n v="1"/>
    <n v="1"/>
    <n v="1"/>
    <n v="2"/>
    <n v="2"/>
    <n v="0"/>
    <n v="0"/>
    <n v="0"/>
    <n v="2"/>
    <n v="1"/>
    <n v="0"/>
    <n v="1"/>
    <n v="2"/>
    <n v="10"/>
    <m/>
    <m/>
    <m/>
    <m/>
    <m/>
    <n v="1"/>
    <m/>
    <m/>
    <m/>
    <n v="1"/>
    <m/>
    <m/>
    <m/>
    <m/>
    <m/>
    <m/>
    <m/>
    <m/>
    <m/>
    <n v="0"/>
  </r>
  <r>
    <s v="Week 4 25 4P vs BD.xlsx"/>
    <s v="4"/>
    <d v="2025-05-05T00:00:00"/>
    <s v="The Four Puttz"/>
    <s v="Blind Draw"/>
    <s v="Raintree Front"/>
    <n v="4"/>
    <x v="23"/>
    <s v="0"/>
    <n v="6"/>
    <n v="6"/>
    <n v="8"/>
    <n v="6"/>
    <n v="8"/>
    <n v="6"/>
    <n v="9"/>
    <n v="5"/>
    <n v="7"/>
    <n v="61"/>
    <n v="14.59"/>
    <n v="46"/>
    <n v="2"/>
    <n v="1"/>
    <n v="2"/>
    <n v="1"/>
    <n v="1"/>
    <n v="2"/>
    <n v="2"/>
    <n v="2"/>
    <n v="2"/>
    <n v="2"/>
    <n v="1"/>
    <n v="0"/>
    <n v="0"/>
    <n v="0"/>
    <n v="2"/>
    <n v="0"/>
    <n v="1"/>
    <n v="0"/>
    <n v="0"/>
    <n v="6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Blind Draw"/>
    <s v="The Four Puttz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2"/>
    <n v="1"/>
    <n v="2"/>
    <n v="2"/>
    <n v="1"/>
    <n v="2"/>
    <n v="1"/>
    <n v="2"/>
    <n v="2"/>
    <n v="16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Blind Draw"/>
    <s v="The Four Puttz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2"/>
    <n v="2"/>
    <n v="2"/>
    <n v="1"/>
    <n v="2"/>
    <n v="2"/>
    <n v="2"/>
    <n v="2"/>
    <n v="17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Blind Draw"/>
    <s v="The Four Puttz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0"/>
    <n v="2"/>
    <n v="2"/>
    <n v="2"/>
    <n v="0"/>
    <n v="1"/>
    <n v="2"/>
    <n v="1"/>
    <n v="0"/>
    <n v="10"/>
    <m/>
    <m/>
    <m/>
    <m/>
    <m/>
    <m/>
    <m/>
    <m/>
    <m/>
    <n v="0"/>
    <m/>
    <m/>
    <m/>
    <m/>
    <m/>
    <m/>
    <m/>
    <m/>
    <m/>
    <n v="0"/>
  </r>
  <r>
    <s v="Week 4 25 4P vs BD.xlsx"/>
    <s v="4"/>
    <d v="2025-05-05T00:00:00"/>
    <s v="Blind Draw"/>
    <s v="The Four Puttz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2"/>
    <n v="2"/>
    <n v="2"/>
    <n v="0"/>
    <n v="2"/>
    <n v="1"/>
    <n v="2"/>
    <n v="2"/>
    <n v="14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Aceholes"/>
    <s v="Stymies"/>
    <s v="Raintree Front"/>
    <n v="1"/>
    <x v="1"/>
    <s v="0"/>
    <n v="5"/>
    <n v="6"/>
    <n v="4"/>
    <n v="3"/>
    <n v="4"/>
    <n v="4"/>
    <n v="5"/>
    <n v="3"/>
    <n v="5"/>
    <n v="39"/>
    <n v="4.8"/>
    <n v="34"/>
    <n v="0"/>
    <n v="0"/>
    <n v="0"/>
    <n v="0"/>
    <n v="0"/>
    <n v="0"/>
    <n v="0"/>
    <n v="0"/>
    <n v="0"/>
    <n v="0"/>
    <n v="1"/>
    <n v="2"/>
    <n v="1"/>
    <n v="2"/>
    <n v="1"/>
    <n v="2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Aceholes"/>
    <s v="Stymies"/>
    <s v="Raintree Front"/>
    <n v="2"/>
    <x v="2"/>
    <s v="0"/>
    <n v="4"/>
    <n v="5"/>
    <n v="5"/>
    <n v="3"/>
    <n v="4"/>
    <n v="4"/>
    <n v="6"/>
    <n v="3"/>
    <n v="5"/>
    <n v="39"/>
    <n v="6.72"/>
    <n v="32"/>
    <n v="0"/>
    <n v="0"/>
    <n v="0"/>
    <n v="0"/>
    <n v="0"/>
    <n v="0"/>
    <n v="0"/>
    <n v="0"/>
    <n v="0"/>
    <n v="2"/>
    <n v="2"/>
    <n v="1"/>
    <n v="0"/>
    <n v="2"/>
    <n v="0"/>
    <n v="0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Aceholes"/>
    <s v="Stymies"/>
    <s v="Raintree Front"/>
    <n v="3"/>
    <x v="3"/>
    <s v="0"/>
    <n v="7"/>
    <n v="7"/>
    <n v="7"/>
    <n v="6"/>
    <n v="7"/>
    <n v="6"/>
    <n v="6"/>
    <n v="6"/>
    <n v="7"/>
    <n v="59"/>
    <n v="13.63"/>
    <n v="45"/>
    <n v="0"/>
    <n v="0"/>
    <n v="0"/>
    <n v="0"/>
    <n v="0"/>
    <n v="1"/>
    <n v="0"/>
    <n v="0"/>
    <n v="0"/>
    <n v="0"/>
    <n v="1"/>
    <n v="0"/>
    <n v="0"/>
    <n v="1"/>
    <n v="2"/>
    <n v="2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Aceholes"/>
    <s v="Stymies"/>
    <s v="Raintree Front"/>
    <n v="4"/>
    <x v="41"/>
    <s v="0"/>
    <n v="6"/>
    <n v="9"/>
    <n v="7"/>
    <n v="4"/>
    <n v="6"/>
    <n v="7"/>
    <n v="8"/>
    <n v="3"/>
    <n v="6"/>
    <n v="56"/>
    <n v="17.28"/>
    <n v="39"/>
    <n v="0"/>
    <n v="0"/>
    <n v="0"/>
    <n v="0"/>
    <n v="0"/>
    <n v="0"/>
    <n v="0"/>
    <n v="0"/>
    <n v="0"/>
    <n v="1"/>
    <n v="0"/>
    <n v="0"/>
    <n v="2"/>
    <n v="1"/>
    <n v="0"/>
    <n v="2"/>
    <n v="2"/>
    <n v="2"/>
    <n v="1"/>
    <n v="11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Stymies"/>
    <s v="Aceholes"/>
    <s v="Raintree Front"/>
    <n v="1"/>
    <x v="12"/>
    <s v="0"/>
    <n v="5"/>
    <n v="6"/>
    <n v="8"/>
    <n v="3"/>
    <n v="6"/>
    <n v="5"/>
    <n v="10"/>
    <n v="6"/>
    <n v="6"/>
    <n v="55"/>
    <n v="6.91"/>
    <n v="48"/>
    <n v="1"/>
    <n v="0"/>
    <n v="0"/>
    <n v="0"/>
    <n v="0"/>
    <n v="1"/>
    <n v="0"/>
    <n v="0"/>
    <n v="0"/>
    <n v="2"/>
    <n v="1"/>
    <n v="0"/>
    <n v="1"/>
    <n v="0"/>
    <n v="1"/>
    <n v="0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Stymies"/>
    <s v="Aceholes"/>
    <s v="Raintree Front"/>
    <n v="2"/>
    <x v="13"/>
    <s v="0"/>
    <n v="6"/>
    <n v="6"/>
    <n v="5"/>
    <n v="2"/>
    <n v="8"/>
    <n v="4"/>
    <n v="5"/>
    <n v="6"/>
    <n v="5"/>
    <n v="47"/>
    <n v="8.83"/>
    <n v="38"/>
    <n v="1"/>
    <n v="0"/>
    <n v="0"/>
    <n v="0"/>
    <n v="0"/>
    <n v="1"/>
    <n v="0"/>
    <n v="0"/>
    <n v="0"/>
    <n v="0"/>
    <n v="0"/>
    <n v="1"/>
    <n v="2"/>
    <n v="0"/>
    <n v="2"/>
    <n v="2"/>
    <n v="0"/>
    <n v="1"/>
    <n v="0"/>
    <n v="8"/>
    <m/>
    <m/>
    <m/>
    <n v="1"/>
    <m/>
    <m/>
    <m/>
    <m/>
    <m/>
    <n v="1"/>
    <m/>
    <m/>
    <m/>
    <m/>
    <m/>
    <m/>
    <m/>
    <m/>
    <m/>
    <n v="0"/>
  </r>
  <r>
    <s v="Week 4 25 ACE vs STY.xlsx"/>
    <s v="4"/>
    <d v="2025-05-05T00:00:00"/>
    <s v="Stymies"/>
    <s v="Aceholes"/>
    <s v="Raintree Front"/>
    <n v="3"/>
    <x v="14"/>
    <s v="0"/>
    <n v="6"/>
    <n v="7"/>
    <n v="6"/>
    <n v="4"/>
    <n v="7"/>
    <n v="6"/>
    <n v="8"/>
    <n v="5"/>
    <n v="7"/>
    <n v="56"/>
    <n v="13.06"/>
    <n v="43"/>
    <n v="0"/>
    <n v="0"/>
    <n v="0"/>
    <n v="0"/>
    <n v="0"/>
    <n v="0"/>
    <n v="0"/>
    <n v="0"/>
    <n v="0"/>
    <n v="2"/>
    <n v="1"/>
    <n v="2"/>
    <n v="2"/>
    <n v="1"/>
    <n v="0"/>
    <n v="0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4 25 ACE vs STY.xlsx"/>
    <s v="4"/>
    <d v="2025-05-05T00:00:00"/>
    <s v="Stymies"/>
    <s v="Aceholes"/>
    <s v="Raintree Front"/>
    <n v="4"/>
    <x v="15"/>
    <s v="0"/>
    <n v="6"/>
    <n v="8"/>
    <n v="5"/>
    <n v="5"/>
    <n v="6"/>
    <n v="6"/>
    <n v="9"/>
    <n v="4"/>
    <n v="7"/>
    <n v="56"/>
    <n v="16.899999999999999"/>
    <n v="39"/>
    <n v="0"/>
    <n v="0"/>
    <n v="0"/>
    <n v="0"/>
    <n v="0"/>
    <n v="0"/>
    <n v="0"/>
    <n v="0"/>
    <n v="0"/>
    <n v="1"/>
    <n v="2"/>
    <n v="2"/>
    <n v="0"/>
    <n v="1"/>
    <n v="2"/>
    <n v="0"/>
    <n v="0"/>
    <n v="0"/>
    <n v="1"/>
    <n v="9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Metheads"/>
    <s v="Who's Your Caddy?"/>
    <s v="Raintree Back"/>
    <n v="1"/>
    <x v="8"/>
    <s v="0"/>
    <n v="5"/>
    <n v="6"/>
    <n v="5"/>
    <n v="6"/>
    <n v="6"/>
    <n v="6"/>
    <n v="3"/>
    <n v="4"/>
    <n v="6"/>
    <n v="47"/>
    <n v="4.03"/>
    <n v="43"/>
    <n v="0"/>
    <n v="0"/>
    <n v="0"/>
    <n v="0"/>
    <n v="0"/>
    <n v="0"/>
    <n v="0"/>
    <n v="0"/>
    <n v="0"/>
    <n v="1"/>
    <n v="1"/>
    <n v="1"/>
    <n v="0"/>
    <n v="0"/>
    <n v="2"/>
    <n v="2"/>
    <n v="0"/>
    <n v="2"/>
    <n v="2"/>
    <n v="11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Metheads"/>
    <s v="Who's Your Caddy?"/>
    <s v="Raintree Back"/>
    <n v="2"/>
    <x v="9"/>
    <s v="0"/>
    <n v="6"/>
    <n v="4"/>
    <n v="4"/>
    <n v="7"/>
    <n v="5"/>
    <n v="7"/>
    <n v="4"/>
    <n v="5"/>
    <n v="7"/>
    <n v="49"/>
    <n v="6"/>
    <n v="43"/>
    <n v="0"/>
    <n v="0"/>
    <n v="0"/>
    <n v="0"/>
    <n v="0"/>
    <n v="0"/>
    <n v="0"/>
    <n v="0"/>
    <n v="0"/>
    <n v="0"/>
    <n v="0"/>
    <n v="2"/>
    <n v="0"/>
    <n v="0"/>
    <n v="0"/>
    <n v="2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Metheads"/>
    <s v="Who's Your Caddy?"/>
    <s v="Raintree Back"/>
    <n v="3"/>
    <x v="11"/>
    <s v="0"/>
    <n v="6"/>
    <n v="2"/>
    <n v="5"/>
    <n v="7"/>
    <n v="5"/>
    <n v="5"/>
    <n v="5"/>
    <n v="5"/>
    <n v="6"/>
    <n v="46"/>
    <n v="8.26"/>
    <n v="38"/>
    <n v="0"/>
    <n v="0"/>
    <n v="0"/>
    <n v="0"/>
    <n v="0"/>
    <n v="0"/>
    <n v="0"/>
    <n v="0"/>
    <n v="0"/>
    <n v="1"/>
    <n v="2"/>
    <n v="2"/>
    <n v="0"/>
    <n v="2"/>
    <n v="2"/>
    <n v="0"/>
    <n v="2"/>
    <n v="2"/>
    <n v="2"/>
    <n v="15"/>
    <m/>
    <n v="1"/>
    <m/>
    <m/>
    <m/>
    <m/>
    <m/>
    <m/>
    <m/>
    <n v="1"/>
    <m/>
    <m/>
    <m/>
    <m/>
    <m/>
    <m/>
    <m/>
    <m/>
    <m/>
    <n v="0"/>
  </r>
  <r>
    <s v="Week 4 25 MET vs WYC.xlsx"/>
    <s v="4"/>
    <d v="2025-05-05T00:00:00"/>
    <s v="Metheads"/>
    <s v="Who's Your Caddy?"/>
    <s v="Raintree Back"/>
    <n v="4"/>
    <x v="40"/>
    <s v="0"/>
    <n v="4"/>
    <n v="4"/>
    <n v="4"/>
    <n v="7"/>
    <n v="7"/>
    <n v="7"/>
    <n v="4"/>
    <n v="6"/>
    <n v="6"/>
    <n v="49"/>
    <n v="13.44"/>
    <n v="36"/>
    <n v="0"/>
    <n v="0"/>
    <n v="0"/>
    <n v="0"/>
    <n v="0"/>
    <n v="0"/>
    <n v="0"/>
    <n v="0"/>
    <n v="0"/>
    <n v="2"/>
    <n v="2"/>
    <n v="2"/>
    <n v="0"/>
    <n v="2"/>
    <n v="1"/>
    <n v="2"/>
    <n v="0"/>
    <n v="2"/>
    <n v="2"/>
    <n v="15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Who's Your Caddy?"/>
    <s v="Metheads"/>
    <s v="Raintree Back"/>
    <n v="1"/>
    <x v="10"/>
    <s v="0"/>
    <n v="5"/>
    <n v="6"/>
    <n v="5"/>
    <n v="6"/>
    <n v="5"/>
    <n v="7"/>
    <n v="6"/>
    <n v="4"/>
    <n v="10"/>
    <n v="54"/>
    <n v="7.49"/>
    <n v="47"/>
    <n v="0"/>
    <n v="0"/>
    <n v="0"/>
    <n v="1"/>
    <n v="1"/>
    <n v="0"/>
    <n v="0"/>
    <n v="1"/>
    <n v="0"/>
    <n v="1"/>
    <n v="1"/>
    <n v="1"/>
    <n v="2"/>
    <n v="2"/>
    <n v="0"/>
    <n v="0"/>
    <n v="2"/>
    <n v="0"/>
    <n v="0"/>
    <n v="9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Who's Your Caddy?"/>
    <s v="Metheads"/>
    <s v="Raintree Back"/>
    <n v="2"/>
    <x v="26"/>
    <s v="0"/>
    <n v="5"/>
    <n v="3"/>
    <n v="5"/>
    <n v="6"/>
    <n v="5"/>
    <n v="6"/>
    <n v="5"/>
    <n v="6"/>
    <n v="6"/>
    <n v="47"/>
    <n v="9.2200000000000006"/>
    <n v="38"/>
    <n v="0"/>
    <n v="0"/>
    <n v="0"/>
    <n v="1"/>
    <n v="1"/>
    <n v="0"/>
    <n v="0"/>
    <n v="1"/>
    <n v="0"/>
    <n v="2"/>
    <n v="2"/>
    <n v="0"/>
    <n v="2"/>
    <n v="2"/>
    <n v="2"/>
    <n v="0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Who's Your Caddy?"/>
    <s v="Metheads"/>
    <s v="Raintree Back"/>
    <n v="3"/>
    <x v="27"/>
    <s v="0"/>
    <n v="6"/>
    <n v="5"/>
    <n v="7"/>
    <n v="7"/>
    <n v="7"/>
    <n v="9"/>
    <n v="4"/>
    <n v="8"/>
    <n v="10"/>
    <n v="63"/>
    <n v="14.21"/>
    <n v="49"/>
    <n v="0"/>
    <n v="1"/>
    <n v="0"/>
    <n v="1"/>
    <n v="1"/>
    <n v="1"/>
    <n v="0"/>
    <n v="1"/>
    <n v="1"/>
    <n v="1"/>
    <n v="0"/>
    <n v="0"/>
    <n v="2"/>
    <n v="0"/>
    <n v="0"/>
    <n v="2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4 25 MET vs WYC.xlsx"/>
    <s v="4"/>
    <d v="2025-05-05T00:00:00"/>
    <s v="Who's Your Caddy?"/>
    <s v="Metheads"/>
    <s v="Raintree Back"/>
    <n v="4"/>
    <x v="38"/>
    <s v="0"/>
    <n v="5"/>
    <n v="6"/>
    <n v="9"/>
    <n v="7"/>
    <n v="9"/>
    <n v="7"/>
    <n v="6"/>
    <n v="5"/>
    <n v="9"/>
    <n v="63"/>
    <n v="15.04"/>
    <n v="48"/>
    <n v="0"/>
    <n v="0"/>
    <n v="0"/>
    <n v="1"/>
    <n v="0"/>
    <n v="0"/>
    <n v="0"/>
    <n v="1"/>
    <n v="0"/>
    <n v="0"/>
    <n v="0"/>
    <n v="0"/>
    <n v="2"/>
    <n v="0"/>
    <n v="1"/>
    <n v="0"/>
    <n v="2"/>
    <n v="0"/>
    <n v="0"/>
    <n v="5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Mickey Mouse Club"/>
    <s v="Hack Squad"/>
    <s v="Raintree Back"/>
    <n v="1"/>
    <x v="16"/>
    <s v="0"/>
    <n v="6"/>
    <n v="4"/>
    <n v="6"/>
    <n v="7"/>
    <n v="5"/>
    <n v="6"/>
    <n v="5"/>
    <n v="5"/>
    <n v="6"/>
    <n v="50"/>
    <n v="11.33"/>
    <n v="39"/>
    <n v="1"/>
    <n v="1"/>
    <n v="1"/>
    <n v="2"/>
    <n v="1"/>
    <n v="1"/>
    <n v="1"/>
    <n v="2"/>
    <n v="1"/>
    <n v="0"/>
    <n v="1"/>
    <n v="0"/>
    <n v="1"/>
    <n v="2"/>
    <n v="1"/>
    <n v="0"/>
    <n v="2"/>
    <n v="2"/>
    <n v="2"/>
    <n v="11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Mickey Mouse Club"/>
    <s v="Hack Squad"/>
    <s v="Raintree Back"/>
    <n v="2"/>
    <x v="52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1"/>
    <n v="1"/>
    <n v="1"/>
    <n v="0"/>
    <n v="0"/>
    <n v="1"/>
    <n v="2"/>
    <n v="2"/>
    <n v="1"/>
    <n v="0"/>
    <n v="0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Mickey Mouse Club"/>
    <s v="Hack Squad"/>
    <s v="Raintree Back"/>
    <n v="3"/>
    <x v="19"/>
    <s v="0"/>
    <n v="6"/>
    <n v="4"/>
    <n v="6"/>
    <n v="8"/>
    <n v="8"/>
    <n v="7"/>
    <n v="7"/>
    <n v="7"/>
    <n v="7"/>
    <n v="60"/>
    <n v="16.7"/>
    <n v="43"/>
    <n v="0"/>
    <n v="0"/>
    <n v="0"/>
    <n v="1"/>
    <n v="1"/>
    <n v="0"/>
    <n v="0"/>
    <n v="1"/>
    <n v="1"/>
    <n v="2"/>
    <n v="2"/>
    <n v="0"/>
    <n v="0"/>
    <n v="0"/>
    <n v="2"/>
    <n v="0"/>
    <n v="2"/>
    <n v="1"/>
    <n v="1"/>
    <n v="10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Mickey Mouse Club"/>
    <s v="Hack Squad"/>
    <s v="Raintree Back"/>
    <n v="4"/>
    <x v="17"/>
    <s v="0"/>
    <n v="7"/>
    <n v="5"/>
    <n v="5"/>
    <n v="6"/>
    <n v="6"/>
    <n v="5"/>
    <n v="4"/>
    <n v="7"/>
    <n v="6"/>
    <n v="51"/>
    <n v="14.4"/>
    <n v="37"/>
    <n v="0"/>
    <n v="0"/>
    <n v="0"/>
    <n v="0"/>
    <n v="0"/>
    <n v="0"/>
    <n v="0"/>
    <n v="0"/>
    <n v="0"/>
    <n v="0"/>
    <n v="0"/>
    <n v="1"/>
    <n v="1"/>
    <n v="1"/>
    <n v="2"/>
    <n v="0"/>
    <n v="1"/>
    <n v="1"/>
    <n v="2"/>
    <n v="9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Hack Squad"/>
    <s v="Mickey Mouse Club"/>
    <s v="Raintree Back"/>
    <n v="1"/>
    <x v="47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2"/>
    <n v="1"/>
    <n v="2"/>
    <n v="1"/>
    <n v="0"/>
    <n v="1"/>
    <n v="2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Hack Squad"/>
    <s v="Mickey Mouse Club"/>
    <s v="Raintree Back"/>
    <n v="2"/>
    <x v="48"/>
    <s v="0"/>
    <n v="5"/>
    <n v="4"/>
    <n v="5"/>
    <n v="4"/>
    <n v="5"/>
    <n v="6"/>
    <n v="5"/>
    <n v="8"/>
    <n v="7"/>
    <n v="49"/>
    <n v="12.48"/>
    <n v="37"/>
    <n v="1"/>
    <n v="1"/>
    <n v="1"/>
    <n v="2"/>
    <n v="2"/>
    <n v="1"/>
    <n v="1"/>
    <n v="2"/>
    <n v="1"/>
    <n v="1"/>
    <n v="1"/>
    <n v="1"/>
    <n v="2"/>
    <n v="2"/>
    <n v="1"/>
    <n v="0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Hack Squad"/>
    <s v="Mickey Mouse Club"/>
    <s v="Raintree Back"/>
    <n v="3"/>
    <x v="28"/>
    <s v="0"/>
    <n v="7"/>
    <n v="7"/>
    <n v="5"/>
    <n v="6"/>
    <n v="6"/>
    <n v="8"/>
    <n v="4"/>
    <n v="7"/>
    <n v="6"/>
    <n v="56"/>
    <n v="12.67"/>
    <n v="43"/>
    <n v="0"/>
    <n v="0"/>
    <n v="0"/>
    <n v="0"/>
    <n v="0"/>
    <n v="0"/>
    <n v="0"/>
    <n v="0"/>
    <n v="0"/>
    <n v="0"/>
    <n v="0"/>
    <n v="2"/>
    <n v="2"/>
    <n v="2"/>
    <n v="0"/>
    <n v="2"/>
    <n v="0"/>
    <n v="1"/>
    <n v="1"/>
    <n v="10"/>
    <m/>
    <m/>
    <m/>
    <m/>
    <m/>
    <m/>
    <m/>
    <m/>
    <m/>
    <n v="0"/>
    <m/>
    <m/>
    <m/>
    <m/>
    <m/>
    <m/>
    <m/>
    <m/>
    <m/>
    <n v="0"/>
  </r>
  <r>
    <s v="Week 4 25 WYC vs HS_MCA.xlsx"/>
    <s v="4"/>
    <d v="2025-05-05T00:00:00"/>
    <s v="Hack Squad"/>
    <s v="Mickey Mouse Club"/>
    <s v="Raintree Back"/>
    <n v="4"/>
    <x v="31"/>
    <s v="0"/>
    <n v="6"/>
    <n v="4"/>
    <n v="5"/>
    <n v="7"/>
    <n v="7"/>
    <n v="10"/>
    <n v="3"/>
    <n v="8"/>
    <n v="6"/>
    <n v="56"/>
    <n v="17.28"/>
    <n v="39"/>
    <n v="0"/>
    <n v="0"/>
    <n v="0"/>
    <n v="1"/>
    <n v="1"/>
    <n v="0"/>
    <n v="0"/>
    <n v="1"/>
    <n v="0"/>
    <n v="2"/>
    <n v="2"/>
    <n v="1"/>
    <n v="1"/>
    <n v="1"/>
    <n v="0"/>
    <n v="2"/>
    <n v="1"/>
    <n v="1"/>
    <n v="0"/>
    <n v="11"/>
    <m/>
    <m/>
    <m/>
    <m/>
    <m/>
    <m/>
    <m/>
    <m/>
    <m/>
    <n v="0"/>
    <m/>
    <m/>
    <m/>
    <m/>
    <m/>
    <m/>
    <m/>
    <m/>
    <m/>
    <n v="0"/>
  </r>
  <r>
    <s v="Week 5 25 4P vs WYC_MCA.xlsx"/>
    <s v="5"/>
    <d v="2025-05-12T00:00:00"/>
    <s v="The Four Puttz"/>
    <s v="Who's Your Caddy?"/>
    <s v="Raintree Back"/>
    <n v="1"/>
    <x v="20"/>
    <s v="0"/>
    <n v="5"/>
    <n v="4"/>
    <n v="5"/>
    <n v="4"/>
    <n v="5"/>
    <n v="5"/>
    <n v="2"/>
    <n v="5"/>
    <n v="6"/>
    <n v="41"/>
    <n v="4.6100000000000003"/>
    <n v="36"/>
    <n v="0"/>
    <n v="0"/>
    <n v="0"/>
    <n v="0"/>
    <n v="0"/>
    <n v="0"/>
    <n v="0"/>
    <n v="0"/>
    <n v="0"/>
    <n v="1"/>
    <n v="2"/>
    <n v="2"/>
    <n v="1"/>
    <n v="0"/>
    <n v="2"/>
    <n v="2"/>
    <n v="0"/>
    <n v="2"/>
    <n v="2"/>
    <n v="14"/>
    <m/>
    <m/>
    <m/>
    <m/>
    <m/>
    <m/>
    <n v="1"/>
    <m/>
    <m/>
    <n v="1"/>
    <m/>
    <m/>
    <m/>
    <m/>
    <m/>
    <m/>
    <m/>
    <m/>
    <m/>
    <n v="0"/>
  </r>
  <r>
    <s v="Week 5 25 4P vs WYC_MCA.xlsx"/>
    <s v="5"/>
    <d v="2025-05-12T00:00:00"/>
    <s v="The Four Puttz"/>
    <s v="Who's Your Caddy?"/>
    <s v="Raintree Back"/>
    <n v="2"/>
    <x v="45"/>
    <s v="0"/>
    <n v="4"/>
    <n v="3"/>
    <n v="5"/>
    <n v="5"/>
    <n v="5"/>
    <n v="6"/>
    <n v="4"/>
    <n v="4"/>
    <n v="5"/>
    <n v="41"/>
    <n v="4.6100000000000003"/>
    <n v="36"/>
    <n v="0"/>
    <n v="0"/>
    <n v="0"/>
    <n v="0"/>
    <n v="0"/>
    <n v="0"/>
    <n v="0"/>
    <n v="0"/>
    <n v="0"/>
    <n v="0"/>
    <n v="2"/>
    <n v="1"/>
    <n v="0"/>
    <n v="0"/>
    <n v="2"/>
    <n v="0"/>
    <n v="2"/>
    <n v="1"/>
    <n v="2"/>
    <n v="10"/>
    <m/>
    <m/>
    <m/>
    <m/>
    <m/>
    <m/>
    <m/>
    <m/>
    <m/>
    <n v="0"/>
    <m/>
    <m/>
    <m/>
    <m/>
    <m/>
    <m/>
    <m/>
    <m/>
    <m/>
    <n v="0"/>
  </r>
  <r>
    <s v="Week 5 25 4P vs WYC_MCA.xlsx"/>
    <s v="5"/>
    <d v="2025-05-12T00:00:00"/>
    <s v="The Four Puttz"/>
    <s v="Who's Your Caddy?"/>
    <s v="Raintree Back"/>
    <n v="3"/>
    <x v="34"/>
    <s v="0"/>
    <n v="4"/>
    <n v="3"/>
    <n v="5"/>
    <n v="3"/>
    <n v="6"/>
    <n v="6"/>
    <n v="4"/>
    <n v="5"/>
    <n v="8"/>
    <n v="44"/>
    <n v="7.68"/>
    <n v="36"/>
    <n v="0"/>
    <n v="0"/>
    <n v="0"/>
    <n v="0"/>
    <n v="0"/>
    <n v="0"/>
    <n v="0"/>
    <n v="0"/>
    <n v="0"/>
    <n v="1"/>
    <n v="2"/>
    <n v="2"/>
    <n v="2"/>
    <n v="2"/>
    <n v="1"/>
    <n v="0"/>
    <n v="2"/>
    <n v="0"/>
    <n v="2"/>
    <n v="14"/>
    <m/>
    <m/>
    <m/>
    <n v="1"/>
    <m/>
    <m/>
    <m/>
    <m/>
    <m/>
    <n v="1"/>
    <m/>
    <m/>
    <m/>
    <m/>
    <m/>
    <m/>
    <m/>
    <m/>
    <m/>
    <n v="0"/>
  </r>
  <r>
    <s v="Week 5 25 4P vs WYC_MCA.xlsx"/>
    <s v="5"/>
    <d v="2025-05-12T00:00:00"/>
    <s v="The Four Puttz"/>
    <s v="Who's Your Caddy?"/>
    <s v="Raintree Back"/>
    <n v="4"/>
    <x v="22"/>
    <s v="0"/>
    <n v="4"/>
    <n v="4"/>
    <n v="7"/>
    <n v="7"/>
    <n v="5"/>
    <n v="9"/>
    <n v="4"/>
    <n v="6"/>
    <n v="9"/>
    <n v="55"/>
    <n v="11.71"/>
    <n v="43"/>
    <n v="0"/>
    <n v="0"/>
    <n v="0"/>
    <n v="0"/>
    <n v="0"/>
    <n v="0"/>
    <n v="0"/>
    <n v="0"/>
    <n v="0"/>
    <n v="2"/>
    <n v="1"/>
    <n v="0"/>
    <n v="0"/>
    <n v="0"/>
    <n v="2"/>
    <n v="2"/>
    <n v="0"/>
    <n v="0"/>
    <n v="2"/>
    <n v="9"/>
    <m/>
    <m/>
    <m/>
    <m/>
    <m/>
    <m/>
    <m/>
    <m/>
    <m/>
    <n v="0"/>
    <m/>
    <m/>
    <m/>
    <m/>
    <m/>
    <m/>
    <m/>
    <m/>
    <m/>
    <n v="0"/>
  </r>
  <r>
    <s v="Week 5 25 4P vs WYC_MCA.xlsx"/>
    <s v="5"/>
    <d v="2025-05-12T00:00:00"/>
    <s v="Who's Your Caddy?"/>
    <s v="The Four Puttz"/>
    <s v="Raintree Back"/>
    <n v="1"/>
    <x v="24"/>
    <s v="0"/>
    <n v="5"/>
    <n v="5"/>
    <n v="6"/>
    <n v="5"/>
    <n v="4"/>
    <n v="6"/>
    <n v="4"/>
    <n v="5"/>
    <n v="7"/>
    <n v="47"/>
    <n v="7.1"/>
    <n v="40"/>
    <n v="0"/>
    <n v="0"/>
    <n v="0"/>
    <n v="1"/>
    <n v="0"/>
    <n v="0"/>
    <n v="0"/>
    <n v="1"/>
    <n v="0"/>
    <n v="1"/>
    <n v="0"/>
    <n v="0"/>
    <n v="1"/>
    <n v="2"/>
    <n v="0"/>
    <n v="0"/>
    <n v="2"/>
    <n v="0"/>
    <n v="0"/>
    <n v="6"/>
    <m/>
    <m/>
    <m/>
    <m/>
    <m/>
    <m/>
    <m/>
    <m/>
    <m/>
    <n v="0"/>
    <m/>
    <m/>
    <m/>
    <m/>
    <m/>
    <m/>
    <m/>
    <m/>
    <m/>
    <n v="0"/>
  </r>
  <r>
    <s v="Week 5 25 4P vs WYC_MCA.xlsx"/>
    <s v="5"/>
    <d v="2025-05-12T00:00:00"/>
    <s v="Who's Your Caddy?"/>
    <s v="The Four Puttz"/>
    <s v="Raintree Back"/>
    <n v="2"/>
    <x v="26"/>
    <s v="0"/>
    <n v="3"/>
    <n v="5"/>
    <n v="5"/>
    <n v="5"/>
    <n v="4"/>
    <n v="10"/>
    <n v="2"/>
    <n v="8"/>
    <n v="6"/>
    <n v="48"/>
    <n v="9.02"/>
    <n v="39"/>
    <n v="0"/>
    <n v="0"/>
    <n v="0"/>
    <n v="1"/>
    <n v="1"/>
    <n v="0"/>
    <n v="0"/>
    <n v="1"/>
    <n v="1"/>
    <n v="2"/>
    <n v="0"/>
    <n v="1"/>
    <n v="2"/>
    <n v="2"/>
    <n v="0"/>
    <n v="2"/>
    <n v="0"/>
    <n v="1"/>
    <n v="0"/>
    <n v="10"/>
    <n v="1"/>
    <m/>
    <m/>
    <m/>
    <m/>
    <m/>
    <n v="1"/>
    <m/>
    <m/>
    <n v="2"/>
    <m/>
    <m/>
    <m/>
    <m/>
    <m/>
    <m/>
    <m/>
    <m/>
    <m/>
    <n v="0"/>
  </r>
  <r>
    <s v="Week 5 25 4P vs WYC_MCA.xlsx"/>
    <s v="5"/>
    <d v="2025-05-12T00:00:00"/>
    <s v="Who's Your Caddy?"/>
    <s v="The Four Puttz"/>
    <s v="Raintree Back"/>
    <n v="3"/>
    <x v="27"/>
    <s v="0"/>
    <n v="5"/>
    <n v="7"/>
    <n v="7"/>
    <n v="8"/>
    <n v="9"/>
    <n v="7"/>
    <n v="3"/>
    <n v="9"/>
    <n v="8"/>
    <n v="63"/>
    <n v="14.4"/>
    <n v="49"/>
    <n v="1"/>
    <n v="1"/>
    <n v="0"/>
    <n v="1"/>
    <n v="1"/>
    <n v="1"/>
    <n v="0"/>
    <n v="1"/>
    <n v="1"/>
    <n v="1"/>
    <n v="0"/>
    <n v="0"/>
    <n v="0"/>
    <n v="0"/>
    <n v="1"/>
    <n v="2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5 25 4P vs WYC_MCA.xlsx"/>
    <s v="5"/>
    <d v="2025-05-12T00:00:00"/>
    <s v="Who's Your Caddy?"/>
    <s v="The Four Puttz"/>
    <s v="Raintree Back"/>
    <n v="4"/>
    <x v="38"/>
    <s v="0"/>
    <n v="9"/>
    <n v="4"/>
    <n v="6"/>
    <n v="6"/>
    <n v="5"/>
    <n v="10"/>
    <n v="5"/>
    <n v="6"/>
    <n v="9"/>
    <n v="60"/>
    <n v="15.84"/>
    <n v="44"/>
    <n v="0"/>
    <n v="0"/>
    <n v="0"/>
    <n v="1"/>
    <n v="1"/>
    <n v="0"/>
    <n v="0"/>
    <n v="1"/>
    <n v="1"/>
    <n v="0"/>
    <n v="1"/>
    <n v="2"/>
    <n v="2"/>
    <n v="2"/>
    <n v="0"/>
    <n v="0"/>
    <n v="2"/>
    <n v="2"/>
    <n v="0"/>
    <n v="11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Aceholes"/>
    <s v="Metheads"/>
    <s v="Raintree Front"/>
    <n v="1"/>
    <x v="0"/>
    <s v="0"/>
    <n v="3"/>
    <n v="6"/>
    <n v="4"/>
    <n v="5"/>
    <n v="6"/>
    <n v="3"/>
    <n v="6"/>
    <n v="3"/>
    <n v="4"/>
    <n v="40"/>
    <n v="3.46"/>
    <n v="37"/>
    <n v="0"/>
    <n v="0"/>
    <n v="0"/>
    <n v="0"/>
    <n v="0"/>
    <n v="0"/>
    <n v="0"/>
    <n v="0"/>
    <n v="0"/>
    <n v="1"/>
    <n v="0"/>
    <n v="2"/>
    <n v="0"/>
    <n v="1"/>
    <n v="2"/>
    <n v="0"/>
    <n v="1"/>
    <n v="2"/>
    <n v="1"/>
    <n v="10"/>
    <n v="1"/>
    <m/>
    <m/>
    <m/>
    <m/>
    <n v="1"/>
    <m/>
    <m/>
    <m/>
    <n v="2"/>
    <m/>
    <m/>
    <m/>
    <m/>
    <m/>
    <m/>
    <m/>
    <m/>
    <m/>
    <n v="0"/>
  </r>
  <r>
    <s v="Week 5 25 ACE vs MET.xlsx"/>
    <s v="5"/>
    <d v="2025-05-12T00:00:00"/>
    <s v="Aceholes"/>
    <s v="Metheads"/>
    <s v="Raintree Front"/>
    <n v="2"/>
    <x v="1"/>
    <s v="0"/>
    <n v="5"/>
    <n v="5"/>
    <n v="6"/>
    <n v="4"/>
    <n v="5"/>
    <n v="4"/>
    <n v="6"/>
    <n v="2"/>
    <n v="5"/>
    <n v="42"/>
    <n v="4.42"/>
    <n v="38"/>
    <n v="0"/>
    <n v="0"/>
    <n v="0"/>
    <n v="0"/>
    <n v="0"/>
    <n v="0"/>
    <n v="0"/>
    <n v="0"/>
    <n v="0"/>
    <n v="1"/>
    <n v="1"/>
    <n v="0"/>
    <n v="2"/>
    <n v="2"/>
    <n v="2"/>
    <n v="2"/>
    <n v="2"/>
    <n v="1"/>
    <n v="2"/>
    <n v="15"/>
    <m/>
    <m/>
    <m/>
    <m/>
    <m/>
    <m/>
    <m/>
    <n v="1"/>
    <m/>
    <n v="1"/>
    <m/>
    <m/>
    <m/>
    <m/>
    <m/>
    <m/>
    <m/>
    <m/>
    <m/>
    <n v="0"/>
  </r>
  <r>
    <s v="Week 5 25 ACE vs MET.xlsx"/>
    <s v="5"/>
    <d v="2025-05-12T00:00:00"/>
    <s v="Aceholes"/>
    <s v="Metheads"/>
    <s v="Raintree Front"/>
    <n v="3"/>
    <x v="3"/>
    <s v="0"/>
    <n v="6"/>
    <n v="8"/>
    <n v="6"/>
    <n v="5"/>
    <n v="6"/>
    <n v="4"/>
    <n v="10"/>
    <n v="5"/>
    <n v="6"/>
    <n v="56"/>
    <n v="14.59"/>
    <n v="41"/>
    <n v="1"/>
    <n v="0"/>
    <n v="1"/>
    <n v="0"/>
    <n v="0"/>
    <n v="1"/>
    <n v="1"/>
    <n v="1"/>
    <n v="1"/>
    <n v="1"/>
    <n v="0"/>
    <n v="2"/>
    <n v="0"/>
    <n v="0"/>
    <n v="2"/>
    <n v="0"/>
    <n v="1"/>
    <n v="0"/>
    <n v="0"/>
    <n v="6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Aceholes"/>
    <s v="Metheads"/>
    <s v="Raintree Front"/>
    <n v="4"/>
    <x v="41"/>
    <s v="0"/>
    <n v="7"/>
    <n v="9"/>
    <n v="5"/>
    <n v="4"/>
    <n v="8"/>
    <n v="6"/>
    <n v="8"/>
    <n v="7"/>
    <n v="5"/>
    <n v="59"/>
    <n v="17.920000000000002"/>
    <n v="41"/>
    <n v="1"/>
    <n v="0"/>
    <n v="1"/>
    <n v="0"/>
    <n v="0"/>
    <n v="1"/>
    <n v="1"/>
    <n v="0"/>
    <n v="1"/>
    <n v="0"/>
    <n v="0"/>
    <n v="2"/>
    <n v="1"/>
    <n v="1"/>
    <n v="1"/>
    <n v="2"/>
    <n v="0"/>
    <n v="2"/>
    <n v="2"/>
    <n v="11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Metheads"/>
    <s v="Aceholes"/>
    <s v="Raintree Front"/>
    <n v="1"/>
    <x v="8"/>
    <s v="0"/>
    <n v="4"/>
    <n v="5"/>
    <n v="6"/>
    <n v="4"/>
    <n v="6"/>
    <n v="5"/>
    <n v="5"/>
    <n v="3"/>
    <n v="5"/>
    <n v="43"/>
    <n v="5.57"/>
    <n v="37"/>
    <n v="1"/>
    <n v="0"/>
    <n v="0"/>
    <n v="0"/>
    <n v="0"/>
    <n v="1"/>
    <n v="0"/>
    <n v="0"/>
    <n v="0"/>
    <n v="1"/>
    <n v="2"/>
    <n v="0"/>
    <n v="2"/>
    <n v="1"/>
    <n v="0"/>
    <n v="2"/>
    <n v="1"/>
    <n v="0"/>
    <n v="1"/>
    <n v="10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Metheads"/>
    <s v="Aceholes"/>
    <s v="Raintree Front"/>
    <n v="2"/>
    <x v="9"/>
    <s v="0"/>
    <n v="6"/>
    <n v="5"/>
    <n v="5"/>
    <n v="5"/>
    <n v="6"/>
    <n v="6"/>
    <n v="10"/>
    <n v="5"/>
    <n v="5"/>
    <n v="53"/>
    <n v="6.53"/>
    <n v="46"/>
    <n v="1"/>
    <n v="0"/>
    <n v="0"/>
    <n v="0"/>
    <n v="0"/>
    <n v="1"/>
    <n v="0"/>
    <n v="0"/>
    <n v="0"/>
    <n v="1"/>
    <n v="1"/>
    <n v="2"/>
    <n v="0"/>
    <n v="0"/>
    <n v="0"/>
    <n v="0"/>
    <n v="0"/>
    <n v="1"/>
    <n v="0"/>
    <n v="5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Metheads"/>
    <s v="Aceholes"/>
    <s v="Raintree Front"/>
    <n v="3"/>
    <x v="11"/>
    <s v="0"/>
    <n v="5"/>
    <n v="7"/>
    <n v="7"/>
    <n v="4"/>
    <n v="4"/>
    <n v="6"/>
    <n v="5"/>
    <n v="4"/>
    <n v="4"/>
    <n v="46"/>
    <n v="8.26"/>
    <n v="38"/>
    <n v="0"/>
    <n v="0"/>
    <n v="0"/>
    <n v="0"/>
    <n v="0"/>
    <n v="0"/>
    <n v="0"/>
    <n v="0"/>
    <n v="0"/>
    <n v="1"/>
    <n v="2"/>
    <n v="0"/>
    <n v="2"/>
    <n v="2"/>
    <n v="0"/>
    <n v="2"/>
    <n v="1"/>
    <n v="2"/>
    <n v="2"/>
    <n v="14"/>
    <m/>
    <m/>
    <m/>
    <m/>
    <m/>
    <m/>
    <m/>
    <m/>
    <m/>
    <n v="0"/>
    <m/>
    <m/>
    <m/>
    <m/>
    <m/>
    <m/>
    <m/>
    <m/>
    <m/>
    <n v="0"/>
  </r>
  <r>
    <s v="Week 5 25 ACE vs MET.xlsx"/>
    <s v="5"/>
    <d v="2025-05-12T00:00:00"/>
    <s v="Metheads"/>
    <s v="Aceholes"/>
    <s v="Raintree Front"/>
    <n v="4"/>
    <x v="40"/>
    <s v="0"/>
    <n v="5"/>
    <n v="8"/>
    <n v="7"/>
    <n v="4"/>
    <n v="8"/>
    <n v="5"/>
    <n v="8"/>
    <n v="4"/>
    <n v="6"/>
    <n v="55"/>
    <n v="12.96"/>
    <n v="42"/>
    <n v="0"/>
    <n v="0"/>
    <n v="0"/>
    <n v="0"/>
    <n v="0"/>
    <n v="0"/>
    <n v="0"/>
    <n v="0"/>
    <n v="0"/>
    <n v="2"/>
    <n v="2"/>
    <n v="0"/>
    <n v="1"/>
    <n v="1"/>
    <n v="1"/>
    <n v="0"/>
    <n v="2"/>
    <n v="0"/>
    <n v="0"/>
    <n v="9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Mickey Mouse Club"/>
    <s v="Blind Draw"/>
    <s v="Raintree Front"/>
    <n v="1"/>
    <x v="53"/>
    <s v="0"/>
    <n v="6"/>
    <n v="8"/>
    <n v="7"/>
    <n v="3"/>
    <n v="5"/>
    <n v="6"/>
    <n v="8"/>
    <n v="4"/>
    <n v="4"/>
    <n v="51"/>
    <n v="10.37"/>
    <n v="41"/>
    <n v="1"/>
    <n v="1"/>
    <n v="1"/>
    <n v="1"/>
    <n v="1"/>
    <n v="2"/>
    <n v="1"/>
    <n v="1"/>
    <n v="1"/>
    <n v="1"/>
    <n v="0"/>
    <n v="0"/>
    <n v="2"/>
    <n v="1"/>
    <n v="2"/>
    <n v="0"/>
    <n v="1"/>
    <n v="2"/>
    <n v="0"/>
    <n v="9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Mickey Mouse Club"/>
    <s v="Blind Draw"/>
    <s v="Raintree Front"/>
    <n v="2"/>
    <x v="48"/>
    <s v="0"/>
    <n v="6"/>
    <n v="6"/>
    <n v="5"/>
    <n v="5"/>
    <n v="8"/>
    <n v="7"/>
    <n v="8"/>
    <n v="5"/>
    <n v="7"/>
    <n v="57"/>
    <n v="11.9"/>
    <n v="45"/>
    <n v="2"/>
    <n v="1"/>
    <n v="2"/>
    <n v="1"/>
    <n v="1"/>
    <n v="2"/>
    <n v="1"/>
    <n v="1"/>
    <n v="1"/>
    <n v="2"/>
    <n v="1"/>
    <n v="2"/>
    <n v="0"/>
    <n v="0"/>
    <n v="1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Mickey Mouse Club"/>
    <s v="Blind Draw"/>
    <s v="Raintree Front"/>
    <n v="3"/>
    <x v="17"/>
    <s v="0"/>
    <n v="6"/>
    <n v="8"/>
    <n v="5"/>
    <n v="4"/>
    <n v="6"/>
    <n v="6"/>
    <n v="10"/>
    <n v="4"/>
    <n v="6"/>
    <n v="55"/>
    <n v="14.4"/>
    <n v="41"/>
    <n v="2"/>
    <n v="1"/>
    <n v="2"/>
    <n v="1"/>
    <n v="1"/>
    <n v="2"/>
    <n v="2"/>
    <n v="1"/>
    <n v="2"/>
    <n v="2"/>
    <n v="0"/>
    <n v="2"/>
    <n v="1"/>
    <n v="0"/>
    <n v="2"/>
    <n v="0"/>
    <n v="1"/>
    <n v="1"/>
    <n v="0"/>
    <n v="9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Mickey Mouse Club"/>
    <s v="Blind Draw"/>
    <s v="Raintree Front"/>
    <n v="4"/>
    <x v="19"/>
    <s v="0"/>
    <n v="6"/>
    <n v="7"/>
    <n v="6"/>
    <n v="6"/>
    <n v="6"/>
    <n v="6"/>
    <n v="7"/>
    <n v="5"/>
    <n v="9"/>
    <n v="58"/>
    <n v="16.7"/>
    <n v="41"/>
    <n v="2"/>
    <n v="2"/>
    <n v="2"/>
    <n v="2"/>
    <n v="1"/>
    <n v="2"/>
    <n v="2"/>
    <n v="2"/>
    <n v="2"/>
    <n v="2"/>
    <n v="1"/>
    <n v="1"/>
    <n v="0"/>
    <n v="0"/>
    <n v="2"/>
    <n v="1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Blind Draw"/>
    <s v="Mickey Mouse Club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2"/>
    <n v="2"/>
    <n v="0"/>
    <n v="1"/>
    <n v="0"/>
    <n v="2"/>
    <n v="1"/>
    <n v="0"/>
    <n v="2"/>
    <n v="11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Blind Draw"/>
    <s v="Mickey Mouse Club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0"/>
    <n v="2"/>
    <n v="2"/>
    <n v="1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Blind Draw"/>
    <s v="Mickey Mouse Club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2"/>
    <n v="0"/>
    <n v="1"/>
    <n v="2"/>
    <n v="0"/>
    <n v="2"/>
    <n v="1"/>
    <n v="1"/>
    <n v="2"/>
    <n v="11"/>
    <m/>
    <m/>
    <m/>
    <m/>
    <m/>
    <m/>
    <m/>
    <m/>
    <m/>
    <n v="0"/>
    <m/>
    <m/>
    <m/>
    <m/>
    <m/>
    <m/>
    <m/>
    <m/>
    <m/>
    <n v="0"/>
  </r>
  <r>
    <s v="Week 5 25 MMC vs BD.xlsx"/>
    <s v="5"/>
    <d v="2025-05-12T00:00:00"/>
    <s v="Blind Draw"/>
    <s v="Mickey Mouse Club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1"/>
    <n v="2"/>
    <n v="2"/>
    <n v="0"/>
    <n v="1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Stymies"/>
    <s v="Hack Squad"/>
    <s v="Raintree Back"/>
    <n v="1"/>
    <x v="12"/>
    <s v="0"/>
    <n v="5"/>
    <n v="4"/>
    <n v="5"/>
    <n v="4"/>
    <n v="4"/>
    <n v="6"/>
    <n v="3"/>
    <n v="5"/>
    <n v="7"/>
    <n v="43"/>
    <n v="7.1"/>
    <n v="36"/>
    <n v="0"/>
    <n v="0"/>
    <n v="0"/>
    <n v="0"/>
    <n v="0"/>
    <n v="0"/>
    <n v="0"/>
    <n v="0"/>
    <n v="0"/>
    <n v="1"/>
    <n v="0"/>
    <n v="2"/>
    <n v="2"/>
    <n v="2"/>
    <n v="1"/>
    <n v="2"/>
    <n v="2"/>
    <n v="1"/>
    <n v="2"/>
    <n v="15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Stymies"/>
    <s v="Hack Squad"/>
    <s v="Raintree Back"/>
    <n v="2"/>
    <x v="13"/>
    <s v="0"/>
    <n v="5"/>
    <n v="4"/>
    <n v="6"/>
    <n v="5"/>
    <n v="5"/>
    <n v="8"/>
    <n v="5"/>
    <n v="7"/>
    <n v="10"/>
    <n v="55"/>
    <n v="9.02"/>
    <n v="46"/>
    <n v="0"/>
    <n v="0"/>
    <n v="0"/>
    <n v="0"/>
    <n v="0"/>
    <n v="0"/>
    <n v="0"/>
    <n v="0"/>
    <n v="0"/>
    <n v="2"/>
    <n v="2"/>
    <n v="1"/>
    <n v="1"/>
    <n v="2"/>
    <n v="0"/>
    <n v="0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Stymies"/>
    <s v="Hack Squad"/>
    <s v="Raintree Back"/>
    <n v="3"/>
    <x v="14"/>
    <s v="0"/>
    <n v="5"/>
    <n v="5"/>
    <n v="6"/>
    <n v="6"/>
    <n v="4"/>
    <n v="7"/>
    <n v="4"/>
    <n v="6"/>
    <n v="10"/>
    <n v="53"/>
    <n v="13.44"/>
    <n v="40"/>
    <n v="0"/>
    <n v="0"/>
    <n v="0"/>
    <n v="0"/>
    <n v="0"/>
    <n v="0"/>
    <n v="0"/>
    <n v="0"/>
    <n v="0"/>
    <n v="0"/>
    <n v="1"/>
    <n v="2"/>
    <n v="0"/>
    <n v="2"/>
    <n v="2"/>
    <n v="2"/>
    <n v="0"/>
    <n v="0"/>
    <n v="2"/>
    <n v="11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Stymies"/>
    <s v="Hack Squad"/>
    <s v="Raintree Back"/>
    <n v="4"/>
    <x v="15"/>
    <s v="0"/>
    <n v="4"/>
    <n v="6"/>
    <n v="6"/>
    <n v="7"/>
    <n v="7"/>
    <n v="7"/>
    <n v="3"/>
    <n v="5"/>
    <n v="7"/>
    <n v="52"/>
    <n v="16.7"/>
    <n v="35"/>
    <n v="0"/>
    <n v="0"/>
    <n v="0"/>
    <n v="0"/>
    <n v="0"/>
    <n v="0"/>
    <n v="0"/>
    <n v="0"/>
    <n v="0"/>
    <n v="2"/>
    <n v="0"/>
    <n v="1"/>
    <n v="0"/>
    <n v="2"/>
    <n v="2"/>
    <n v="2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Hack Squad"/>
    <s v="Stymies"/>
    <s v="Raintree Back"/>
    <n v="1"/>
    <x v="28"/>
    <s v="0"/>
    <n v="5"/>
    <n v="4"/>
    <n v="7"/>
    <n v="8"/>
    <n v="8"/>
    <n v="7"/>
    <n v="4"/>
    <n v="7"/>
    <n v="8"/>
    <n v="58"/>
    <n v="12.67"/>
    <n v="45"/>
    <n v="0"/>
    <n v="1"/>
    <n v="0"/>
    <n v="1"/>
    <n v="1"/>
    <n v="1"/>
    <n v="0"/>
    <n v="1"/>
    <n v="1"/>
    <n v="1"/>
    <n v="2"/>
    <n v="0"/>
    <n v="0"/>
    <n v="0"/>
    <n v="1"/>
    <n v="0"/>
    <n v="0"/>
    <n v="1"/>
    <n v="0"/>
    <n v="5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Hack Squad"/>
    <s v="Stymies"/>
    <s v="Raintree Back"/>
    <n v="2"/>
    <x v="29"/>
    <s v="0"/>
    <n v="6"/>
    <n v="6"/>
    <n v="6"/>
    <n v="6"/>
    <n v="7"/>
    <n v="7"/>
    <n v="4"/>
    <n v="6"/>
    <n v="8"/>
    <n v="56"/>
    <n v="14.98"/>
    <n v="41"/>
    <n v="0"/>
    <n v="1"/>
    <n v="0"/>
    <n v="1"/>
    <n v="1"/>
    <n v="1"/>
    <n v="0"/>
    <n v="1"/>
    <n v="1"/>
    <n v="0"/>
    <n v="0"/>
    <n v="1"/>
    <n v="1"/>
    <n v="0"/>
    <n v="2"/>
    <n v="2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Hack Squad"/>
    <s v="Stymies"/>
    <s v="Raintree Back"/>
    <n v="3"/>
    <x v="30"/>
    <s v="0"/>
    <n v="4"/>
    <n v="5"/>
    <n v="8"/>
    <n v="5"/>
    <n v="7"/>
    <n v="9"/>
    <n v="5"/>
    <n v="6"/>
    <n v="9"/>
    <n v="58"/>
    <n v="15.55"/>
    <n v="42"/>
    <n v="0"/>
    <n v="0"/>
    <n v="0"/>
    <n v="1"/>
    <n v="0"/>
    <n v="0"/>
    <n v="0"/>
    <n v="1"/>
    <n v="0"/>
    <n v="2"/>
    <n v="1"/>
    <n v="0"/>
    <n v="2"/>
    <n v="0"/>
    <n v="0"/>
    <n v="0"/>
    <n v="2"/>
    <n v="2"/>
    <n v="0"/>
    <n v="9"/>
    <m/>
    <m/>
    <m/>
    <m/>
    <m/>
    <m/>
    <m/>
    <m/>
    <m/>
    <n v="0"/>
    <m/>
    <m/>
    <m/>
    <m/>
    <m/>
    <m/>
    <m/>
    <m/>
    <m/>
    <n v="0"/>
  </r>
  <r>
    <s v="Week 5 25 STY vs HS.xlsx"/>
    <s v="5"/>
    <d v="2025-05-12T00:00:00"/>
    <s v="Hack Squad"/>
    <s v="Stymies"/>
    <s v="Raintree Back"/>
    <n v="4"/>
    <x v="31"/>
    <s v="0"/>
    <n v="7"/>
    <n v="5"/>
    <n v="6"/>
    <n v="6"/>
    <n v="9"/>
    <n v="9"/>
    <n v="4"/>
    <n v="7"/>
    <n v="10"/>
    <n v="63"/>
    <n v="17.28"/>
    <n v="46"/>
    <n v="0"/>
    <n v="0"/>
    <n v="0"/>
    <n v="0"/>
    <n v="0"/>
    <n v="0"/>
    <n v="0"/>
    <n v="1"/>
    <n v="0"/>
    <n v="0"/>
    <n v="2"/>
    <n v="1"/>
    <n v="2"/>
    <n v="0"/>
    <n v="0"/>
    <n v="0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The Four Puttz"/>
    <s v="Stymies"/>
    <s v="Raintree Front"/>
    <n v="1"/>
    <x v="20"/>
    <s v="0"/>
    <n v="4"/>
    <n v="5"/>
    <n v="4"/>
    <n v="3"/>
    <n v="7"/>
    <n v="5"/>
    <n v="6"/>
    <n v="4"/>
    <n v="7"/>
    <n v="45"/>
    <n v="4.22"/>
    <n v="41"/>
    <n v="0"/>
    <n v="0"/>
    <n v="0"/>
    <n v="0"/>
    <n v="0"/>
    <n v="0"/>
    <n v="0"/>
    <n v="0"/>
    <n v="0"/>
    <n v="1"/>
    <n v="2"/>
    <n v="0"/>
    <n v="2"/>
    <n v="0"/>
    <n v="2"/>
    <n v="1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The Four Puttz"/>
    <s v="Stymies"/>
    <s v="Raintree Front"/>
    <n v="2"/>
    <x v="45"/>
    <s v="0"/>
    <n v="7"/>
    <n v="6"/>
    <n v="4"/>
    <n v="4"/>
    <n v="6"/>
    <n v="5"/>
    <n v="6"/>
    <n v="5"/>
    <n v="7"/>
    <n v="50"/>
    <n v="4.8"/>
    <n v="45"/>
    <n v="1"/>
    <n v="0"/>
    <n v="1"/>
    <n v="0"/>
    <n v="0"/>
    <n v="1"/>
    <n v="1"/>
    <n v="0"/>
    <n v="1"/>
    <n v="0"/>
    <n v="0"/>
    <n v="2"/>
    <n v="0"/>
    <n v="0"/>
    <n v="2"/>
    <n v="1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The Four Puttz"/>
    <s v="Stymies"/>
    <s v="Raintree Front"/>
    <n v="3"/>
    <x v="22"/>
    <s v="0"/>
    <n v="6"/>
    <n v="7"/>
    <n v="6"/>
    <n v="4"/>
    <n v="4"/>
    <n v="6"/>
    <n v="8"/>
    <n v="4"/>
    <n v="8"/>
    <n v="53"/>
    <n v="13.25"/>
    <n v="40"/>
    <n v="0"/>
    <n v="0"/>
    <n v="0"/>
    <n v="0"/>
    <n v="0"/>
    <n v="0"/>
    <n v="0"/>
    <n v="0"/>
    <n v="0"/>
    <n v="0"/>
    <n v="0"/>
    <n v="1"/>
    <n v="2"/>
    <n v="2"/>
    <n v="0"/>
    <n v="0"/>
    <n v="2"/>
    <n v="0"/>
    <n v="0"/>
    <n v="7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The Four Puttz"/>
    <s v="Stymies"/>
    <s v="Raintree Front"/>
    <n v="4"/>
    <x v="23"/>
    <s v="0"/>
    <n v="7"/>
    <n v="7"/>
    <n v="8"/>
    <n v="7"/>
    <n v="8"/>
    <n v="6"/>
    <n v="8"/>
    <n v="5"/>
    <n v="5"/>
    <n v="61"/>
    <n v="14.59"/>
    <n v="46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0"/>
    <n v="6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Stymies"/>
    <s v="The Four Puttz"/>
    <s v="Raintree Front"/>
    <n v="1"/>
    <x v="12"/>
    <s v="0"/>
    <n v="5"/>
    <n v="7"/>
    <n v="4"/>
    <n v="4"/>
    <n v="5"/>
    <n v="7"/>
    <n v="6"/>
    <n v="5"/>
    <n v="6"/>
    <n v="49"/>
    <n v="7.3"/>
    <n v="42"/>
    <n v="1"/>
    <n v="0"/>
    <n v="1"/>
    <n v="0"/>
    <n v="0"/>
    <n v="1"/>
    <n v="0"/>
    <n v="0"/>
    <n v="0"/>
    <n v="1"/>
    <n v="0"/>
    <n v="2"/>
    <n v="0"/>
    <n v="2"/>
    <n v="0"/>
    <n v="1"/>
    <n v="0"/>
    <n v="2"/>
    <n v="0"/>
    <n v="8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Stymies"/>
    <s v="The Four Puttz"/>
    <s v="Raintree Front"/>
    <n v="2"/>
    <x v="54"/>
    <s v="0"/>
    <n v="5"/>
    <n v="5"/>
    <n v="5"/>
    <n v="3"/>
    <n v="4"/>
    <n v="5"/>
    <n v="5"/>
    <n v="3"/>
    <n v="5"/>
    <n v="40"/>
    <n v="0"/>
    <n v="40"/>
    <n v="0"/>
    <n v="0"/>
    <n v="0"/>
    <n v="0"/>
    <n v="0"/>
    <n v="0"/>
    <n v="0"/>
    <n v="0"/>
    <n v="0"/>
    <n v="2"/>
    <n v="2"/>
    <n v="0"/>
    <n v="2"/>
    <n v="2"/>
    <n v="0"/>
    <n v="1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Stymies"/>
    <s v="The Four Puttz"/>
    <s v="Raintree Front"/>
    <n v="3"/>
    <x v="55"/>
    <s v="0"/>
    <n v="6"/>
    <n v="6"/>
    <n v="6"/>
    <n v="5"/>
    <n v="6"/>
    <n v="5"/>
    <n v="7"/>
    <n v="7"/>
    <n v="6"/>
    <n v="54"/>
    <n v="15.28"/>
    <n v="39"/>
    <n v="1"/>
    <n v="0"/>
    <n v="0"/>
    <n v="0"/>
    <n v="0"/>
    <n v="1"/>
    <n v="0"/>
    <n v="0"/>
    <n v="0"/>
    <n v="2"/>
    <n v="2"/>
    <n v="1"/>
    <n v="0"/>
    <n v="0"/>
    <n v="2"/>
    <n v="2"/>
    <n v="0"/>
    <n v="2"/>
    <n v="2"/>
    <n v="13"/>
    <m/>
    <m/>
    <m/>
    <m/>
    <m/>
    <m/>
    <m/>
    <m/>
    <m/>
    <n v="0"/>
    <m/>
    <m/>
    <m/>
    <m/>
    <m/>
    <m/>
    <m/>
    <m/>
    <m/>
    <n v="0"/>
  </r>
  <r>
    <s v="Week 6 25 4P vs STY_MCA.xlsx"/>
    <s v="6"/>
    <d v="2025-05-19T00:00:00"/>
    <s v="Stymies"/>
    <s v="The Four Puttz"/>
    <s v="Raintree Front"/>
    <n v="4"/>
    <x v="15"/>
    <s v="0"/>
    <n v="6"/>
    <n v="6"/>
    <n v="5"/>
    <n v="4"/>
    <n v="5"/>
    <n v="6"/>
    <n v="10"/>
    <n v="8"/>
    <n v="9"/>
    <n v="59"/>
    <n v="17.47"/>
    <n v="42"/>
    <n v="1"/>
    <n v="0"/>
    <n v="1"/>
    <n v="0"/>
    <n v="0"/>
    <n v="1"/>
    <n v="0"/>
    <n v="0"/>
    <n v="0"/>
    <n v="2"/>
    <n v="2"/>
    <n v="2"/>
    <n v="2"/>
    <n v="2"/>
    <n v="2"/>
    <n v="0"/>
    <n v="0"/>
    <n v="0"/>
    <n v="2"/>
    <n v="14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Aceholes"/>
    <s v="Hack Squad"/>
    <s v="Raintree Back"/>
    <n v="1"/>
    <x v="0"/>
    <s v="0"/>
    <n v="4"/>
    <n v="3"/>
    <n v="4"/>
    <n v="5"/>
    <n v="5"/>
    <n v="5"/>
    <n v="3"/>
    <n v="5"/>
    <n v="7"/>
    <n v="41"/>
    <n v="3.26"/>
    <n v="38"/>
    <n v="0"/>
    <n v="0"/>
    <n v="0"/>
    <n v="0"/>
    <n v="0"/>
    <n v="0"/>
    <n v="0"/>
    <n v="0"/>
    <n v="0"/>
    <n v="2"/>
    <n v="2"/>
    <n v="2"/>
    <n v="1"/>
    <n v="2"/>
    <n v="2"/>
    <n v="1"/>
    <n v="1"/>
    <n v="2"/>
    <n v="2"/>
    <n v="17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Aceholes"/>
    <s v="Hack Squad"/>
    <s v="Raintree Back"/>
    <n v="2"/>
    <x v="1"/>
    <s v="0"/>
    <n v="5"/>
    <n v="3"/>
    <n v="5"/>
    <n v="5"/>
    <n v="4"/>
    <n v="5"/>
    <n v="3"/>
    <n v="4"/>
    <n v="6"/>
    <n v="40"/>
    <n v="4.42"/>
    <n v="36"/>
    <n v="0"/>
    <n v="0"/>
    <n v="0"/>
    <n v="0"/>
    <n v="0"/>
    <n v="0"/>
    <n v="0"/>
    <n v="0"/>
    <n v="0"/>
    <n v="1"/>
    <n v="2"/>
    <n v="2"/>
    <n v="0"/>
    <n v="2"/>
    <n v="2"/>
    <n v="1"/>
    <n v="1"/>
    <n v="2"/>
    <n v="2"/>
    <n v="15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Aceholes"/>
    <s v="Hack Squad"/>
    <s v="Raintree Back"/>
    <n v="3"/>
    <x v="2"/>
    <s v="0"/>
    <n v="4"/>
    <n v="5"/>
    <n v="5"/>
    <n v="7"/>
    <n v="7"/>
    <n v="8"/>
    <n v="4"/>
    <n v="4"/>
    <n v="7"/>
    <n v="51"/>
    <n v="5.38"/>
    <n v="46"/>
    <n v="0"/>
    <n v="0"/>
    <n v="0"/>
    <n v="0"/>
    <n v="0"/>
    <n v="0"/>
    <n v="0"/>
    <n v="0"/>
    <n v="0"/>
    <n v="1"/>
    <n v="2"/>
    <n v="0"/>
    <n v="0"/>
    <n v="1"/>
    <n v="2"/>
    <n v="0"/>
    <n v="0"/>
    <n v="0"/>
    <n v="0"/>
    <n v="6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Aceholes"/>
    <s v="Hack Squad"/>
    <s v="Raintree Back"/>
    <n v="4"/>
    <x v="3"/>
    <s v="0"/>
    <n v="7"/>
    <n v="4"/>
    <n v="5"/>
    <n v="8"/>
    <n v="4"/>
    <n v="5"/>
    <n v="4"/>
    <n v="5"/>
    <n v="7"/>
    <n v="49"/>
    <n v="15.74"/>
    <n v="33"/>
    <n v="0"/>
    <n v="0"/>
    <n v="0"/>
    <n v="0"/>
    <n v="0"/>
    <n v="0"/>
    <n v="0"/>
    <n v="0"/>
    <n v="0"/>
    <n v="0"/>
    <n v="2"/>
    <n v="2"/>
    <n v="0"/>
    <n v="2"/>
    <n v="2"/>
    <n v="2"/>
    <n v="2"/>
    <n v="2"/>
    <n v="2"/>
    <n v="16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Hack Squad"/>
    <s v="Aceholes"/>
    <s v="Raintree Back"/>
    <n v="1"/>
    <x v="28"/>
    <s v="0"/>
    <n v="9"/>
    <n v="6"/>
    <n v="6"/>
    <n v="7"/>
    <n v="7"/>
    <n v="8"/>
    <n v="4"/>
    <n v="7"/>
    <n v="10"/>
    <n v="64"/>
    <n v="14.4"/>
    <n v="50"/>
    <n v="1"/>
    <n v="1"/>
    <n v="1"/>
    <n v="2"/>
    <n v="1"/>
    <n v="1"/>
    <n v="1"/>
    <n v="2"/>
    <n v="1"/>
    <n v="0"/>
    <n v="0"/>
    <n v="0"/>
    <n v="1"/>
    <n v="0"/>
    <n v="0"/>
    <n v="1"/>
    <n v="1"/>
    <n v="0"/>
    <n v="0"/>
    <n v="3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Hack Squad"/>
    <s v="Aceholes"/>
    <s v="Raintree Back"/>
    <n v="2"/>
    <x v="29"/>
    <s v="0"/>
    <n v="6"/>
    <n v="7"/>
    <n v="7"/>
    <n v="6"/>
    <n v="7"/>
    <n v="8"/>
    <n v="4"/>
    <n v="6"/>
    <n v="8"/>
    <n v="59"/>
    <n v="15.17"/>
    <n v="44"/>
    <n v="1"/>
    <n v="1"/>
    <n v="1"/>
    <n v="2"/>
    <n v="1"/>
    <n v="1"/>
    <n v="1"/>
    <n v="2"/>
    <n v="1"/>
    <n v="1"/>
    <n v="0"/>
    <n v="0"/>
    <n v="2"/>
    <n v="0"/>
    <n v="0"/>
    <n v="1"/>
    <n v="1"/>
    <n v="0"/>
    <n v="0"/>
    <n v="5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Hack Squad"/>
    <s v="Aceholes"/>
    <s v="Raintree Back"/>
    <n v="3"/>
    <x v="30"/>
    <s v="0"/>
    <n v="5"/>
    <n v="7"/>
    <n v="5"/>
    <n v="8"/>
    <n v="8"/>
    <n v="10"/>
    <n v="4"/>
    <n v="5"/>
    <n v="6"/>
    <n v="58"/>
    <n v="16.7"/>
    <n v="41"/>
    <n v="1"/>
    <n v="1"/>
    <n v="1"/>
    <n v="2"/>
    <n v="1"/>
    <n v="1"/>
    <n v="1"/>
    <n v="2"/>
    <n v="1"/>
    <n v="1"/>
    <n v="0"/>
    <n v="2"/>
    <n v="2"/>
    <n v="1"/>
    <n v="0"/>
    <n v="2"/>
    <n v="2"/>
    <n v="2"/>
    <n v="2"/>
    <n v="14"/>
    <m/>
    <m/>
    <m/>
    <m/>
    <m/>
    <m/>
    <m/>
    <m/>
    <m/>
    <n v="0"/>
    <m/>
    <m/>
    <m/>
    <m/>
    <m/>
    <m/>
    <m/>
    <m/>
    <m/>
    <n v="0"/>
  </r>
  <r>
    <s v="Week 6 25 ACE vs HS.xlsx"/>
    <s v="6"/>
    <d v="2025-05-19T00:00:00"/>
    <s v="Hack Squad"/>
    <s v="Aceholes"/>
    <s v="Raintree Back"/>
    <n v="4"/>
    <x v="31"/>
    <s v="0"/>
    <n v="6"/>
    <n v="6"/>
    <n v="6"/>
    <n v="8"/>
    <n v="6"/>
    <n v="10"/>
    <n v="6"/>
    <n v="9"/>
    <n v="9"/>
    <n v="66"/>
    <n v="19.2"/>
    <n v="47"/>
    <n v="0"/>
    <n v="0"/>
    <n v="0"/>
    <n v="1"/>
    <n v="1"/>
    <n v="0"/>
    <n v="0"/>
    <n v="1"/>
    <n v="0"/>
    <n v="2"/>
    <n v="0"/>
    <n v="0"/>
    <n v="2"/>
    <n v="0"/>
    <n v="0"/>
    <n v="0"/>
    <n v="0"/>
    <n v="0"/>
    <n v="0"/>
    <n v="4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Metheads"/>
    <s v="Blind Draw"/>
    <s v="Raintree Back"/>
    <n v="1"/>
    <x v="8"/>
    <s v="0"/>
    <n v="4"/>
    <n v="5"/>
    <n v="5"/>
    <n v="5"/>
    <n v="5"/>
    <n v="5"/>
    <n v="3"/>
    <n v="5"/>
    <n v="8"/>
    <n v="45"/>
    <n v="5.95"/>
    <n v="39"/>
    <n v="0"/>
    <n v="1"/>
    <n v="0"/>
    <n v="1"/>
    <n v="1"/>
    <n v="1"/>
    <n v="0"/>
    <n v="1"/>
    <n v="1"/>
    <n v="1"/>
    <n v="0"/>
    <n v="0"/>
    <n v="2"/>
    <n v="1"/>
    <n v="2"/>
    <n v="1"/>
    <n v="2"/>
    <n v="0"/>
    <n v="0"/>
    <n v="9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Metheads"/>
    <s v="Blind Draw"/>
    <s v="Raintree Back"/>
    <n v="2"/>
    <x v="9"/>
    <s v="0"/>
    <n v="6"/>
    <n v="4"/>
    <n v="5"/>
    <n v="5"/>
    <n v="5"/>
    <n v="5"/>
    <n v="4"/>
    <n v="5"/>
    <n v="8"/>
    <n v="47"/>
    <n v="6.53"/>
    <n v="40"/>
    <n v="1"/>
    <n v="1"/>
    <n v="0"/>
    <n v="1"/>
    <n v="1"/>
    <n v="1"/>
    <n v="0"/>
    <n v="1"/>
    <n v="1"/>
    <n v="0"/>
    <n v="1"/>
    <n v="0"/>
    <n v="2"/>
    <n v="1"/>
    <n v="2"/>
    <n v="0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Metheads"/>
    <s v="Blind Draw"/>
    <s v="Raintree Back"/>
    <n v="3"/>
    <x v="11"/>
    <s v="0"/>
    <n v="5"/>
    <n v="4"/>
    <n v="5"/>
    <n v="5"/>
    <n v="5"/>
    <n v="5"/>
    <n v="4"/>
    <n v="4"/>
    <n v="9"/>
    <n v="46"/>
    <n v="8.26"/>
    <n v="38"/>
    <n v="1"/>
    <n v="1"/>
    <n v="1"/>
    <n v="1"/>
    <n v="1"/>
    <n v="1"/>
    <n v="0"/>
    <n v="1"/>
    <n v="1"/>
    <n v="1"/>
    <n v="1"/>
    <n v="1"/>
    <n v="2"/>
    <n v="1"/>
    <n v="2"/>
    <n v="0"/>
    <n v="2"/>
    <n v="0"/>
    <n v="1"/>
    <n v="11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Metheads"/>
    <s v="Blind Draw"/>
    <s v="Raintree Back"/>
    <n v="4"/>
    <x v="32"/>
    <s v="0"/>
    <n v="4"/>
    <n v="5"/>
    <n v="5"/>
    <n v="5"/>
    <n v="6"/>
    <n v="7"/>
    <n v="4"/>
    <n v="6"/>
    <n v="6"/>
    <n v="48"/>
    <n v="9.52"/>
    <n v="38"/>
    <n v="1"/>
    <n v="1"/>
    <n v="1"/>
    <n v="1"/>
    <n v="1"/>
    <n v="1"/>
    <n v="1"/>
    <n v="2"/>
    <n v="1"/>
    <n v="2"/>
    <n v="0"/>
    <n v="1"/>
    <n v="2"/>
    <n v="0"/>
    <n v="0"/>
    <n v="1"/>
    <n v="2"/>
    <n v="1"/>
    <n v="1"/>
    <n v="10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Blind Draw"/>
    <s v="Metheads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2"/>
    <n v="2"/>
    <n v="0"/>
    <n v="1"/>
    <n v="0"/>
    <n v="1"/>
    <n v="0"/>
    <n v="2"/>
    <n v="2"/>
    <n v="11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Blind Draw"/>
    <s v="Metheads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1"/>
    <n v="2"/>
    <n v="0"/>
    <n v="1"/>
    <n v="0"/>
    <n v="2"/>
    <n v="0"/>
    <n v="2"/>
    <n v="2"/>
    <n v="12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Blind Draw"/>
    <s v="Metheads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1"/>
    <n v="1"/>
    <n v="0"/>
    <n v="1"/>
    <n v="0"/>
    <n v="2"/>
    <n v="0"/>
    <n v="2"/>
    <n v="1"/>
    <n v="9"/>
    <m/>
    <m/>
    <m/>
    <m/>
    <m/>
    <m/>
    <m/>
    <m/>
    <m/>
    <n v="0"/>
    <m/>
    <m/>
    <m/>
    <m/>
    <m/>
    <m/>
    <m/>
    <m/>
    <m/>
    <n v="0"/>
  </r>
  <r>
    <s v="Week 6 25 MET vs BD_MCA.xlsx"/>
    <s v="6"/>
    <d v="2025-05-19T00:00:00"/>
    <s v="Blind Draw"/>
    <s v="Metheads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2"/>
    <n v="1"/>
    <n v="0"/>
    <n v="2"/>
    <n v="2"/>
    <n v="1"/>
    <n v="0"/>
    <n v="1"/>
    <n v="1"/>
    <n v="10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Mickey Mouse Club"/>
    <s v="Who's Your Caddy?"/>
    <s v="Raintree Front"/>
    <n v="1"/>
    <x v="16"/>
    <s v="0"/>
    <n v="5"/>
    <n v="6"/>
    <n v="5"/>
    <n v="4"/>
    <n v="6"/>
    <n v="5"/>
    <n v="9"/>
    <n v="4"/>
    <n v="5"/>
    <n v="49"/>
    <n v="10.94"/>
    <n v="38"/>
    <n v="1"/>
    <n v="0"/>
    <n v="1"/>
    <n v="0"/>
    <n v="0"/>
    <n v="1"/>
    <n v="0"/>
    <n v="0"/>
    <n v="1"/>
    <n v="2"/>
    <n v="2"/>
    <n v="2"/>
    <n v="1"/>
    <n v="0"/>
    <n v="2"/>
    <n v="0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Mickey Mouse Club"/>
    <s v="Who's Your Caddy?"/>
    <s v="Raintree Front"/>
    <n v="2"/>
    <x v="48"/>
    <s v="0"/>
    <n v="6"/>
    <n v="7"/>
    <n v="3"/>
    <n v="5"/>
    <n v="5"/>
    <n v="6"/>
    <n v="6"/>
    <n v="6"/>
    <n v="5"/>
    <n v="49"/>
    <n v="11.9"/>
    <n v="37"/>
    <n v="0"/>
    <n v="0"/>
    <n v="0"/>
    <n v="0"/>
    <n v="0"/>
    <n v="1"/>
    <n v="0"/>
    <n v="0"/>
    <n v="0"/>
    <n v="2"/>
    <n v="0"/>
    <n v="2"/>
    <n v="0"/>
    <n v="1"/>
    <n v="1"/>
    <n v="2"/>
    <n v="0"/>
    <n v="2"/>
    <n v="2"/>
    <n v="12"/>
    <m/>
    <m/>
    <n v="1"/>
    <m/>
    <m/>
    <m/>
    <m/>
    <m/>
    <m/>
    <n v="1"/>
    <m/>
    <m/>
    <m/>
    <m/>
    <m/>
    <m/>
    <m/>
    <m/>
    <m/>
    <n v="0"/>
  </r>
  <r>
    <s v="Week 6 25 MMC vs WYC_MCA.xlsx"/>
    <s v="6"/>
    <d v="2025-05-19T00:00:00"/>
    <s v="Mickey Mouse Club"/>
    <s v="Who's Your Caddy?"/>
    <s v="Raintree Front"/>
    <n v="3"/>
    <x v="17"/>
    <s v="0"/>
    <n v="6"/>
    <n v="6"/>
    <n v="4"/>
    <n v="5"/>
    <n v="7"/>
    <n v="6"/>
    <n v="10"/>
    <n v="6"/>
    <n v="6"/>
    <n v="56"/>
    <n v="14.4"/>
    <n v="42"/>
    <n v="0"/>
    <n v="0"/>
    <n v="0"/>
    <n v="0"/>
    <n v="0"/>
    <n v="0"/>
    <n v="0"/>
    <n v="0"/>
    <n v="0"/>
    <n v="2"/>
    <n v="2"/>
    <n v="2"/>
    <n v="2"/>
    <n v="0"/>
    <n v="0"/>
    <n v="0"/>
    <n v="0"/>
    <n v="1"/>
    <n v="2"/>
    <n v="11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Mickey Mouse Club"/>
    <s v="Who's Your Caddy?"/>
    <s v="Raintree Front"/>
    <n v="4"/>
    <x v="18"/>
    <s v="0"/>
    <n v="5"/>
    <n v="8"/>
    <n v="5"/>
    <n v="4"/>
    <n v="5"/>
    <n v="6"/>
    <n v="6"/>
    <n v="5"/>
    <n v="9"/>
    <n v="53"/>
    <n v="15.36"/>
    <n v="38"/>
    <n v="0"/>
    <n v="0"/>
    <n v="0"/>
    <n v="0"/>
    <n v="0"/>
    <n v="0"/>
    <n v="0"/>
    <n v="0"/>
    <n v="0"/>
    <n v="2"/>
    <n v="0"/>
    <n v="0"/>
    <n v="1"/>
    <n v="2"/>
    <n v="1"/>
    <n v="2"/>
    <n v="0"/>
    <n v="0"/>
    <n v="0"/>
    <n v="8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Who's Your Caddy?"/>
    <s v="Mickey Mouse Club"/>
    <s v="Raintree Front"/>
    <n v="1"/>
    <x v="24"/>
    <s v="0"/>
    <n v="6"/>
    <n v="7"/>
    <n v="6"/>
    <n v="4"/>
    <n v="5"/>
    <n v="6"/>
    <n v="7"/>
    <n v="6"/>
    <n v="8"/>
    <n v="55"/>
    <n v="7.1"/>
    <n v="48"/>
    <n v="0"/>
    <n v="0"/>
    <n v="0"/>
    <n v="0"/>
    <n v="0"/>
    <n v="0"/>
    <n v="0"/>
    <n v="0"/>
    <n v="0"/>
    <n v="0"/>
    <n v="0"/>
    <n v="0"/>
    <n v="1"/>
    <n v="2"/>
    <n v="0"/>
    <n v="2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Who's Your Caddy?"/>
    <s v="Mickey Mouse Club"/>
    <s v="Raintree Front"/>
    <n v="2"/>
    <x v="56"/>
    <s v="0"/>
    <n v="7"/>
    <n v="6"/>
    <n v="6"/>
    <n v="4"/>
    <n v="5"/>
    <n v="5"/>
    <n v="7"/>
    <n v="4"/>
    <n v="6"/>
    <n v="50"/>
    <n v="10.56"/>
    <n v="39"/>
    <n v="0"/>
    <n v="0"/>
    <n v="0"/>
    <n v="0"/>
    <n v="0"/>
    <n v="0"/>
    <n v="0"/>
    <n v="0"/>
    <n v="0"/>
    <n v="0"/>
    <n v="2"/>
    <n v="0"/>
    <n v="2"/>
    <n v="1"/>
    <n v="1"/>
    <n v="0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Who's Your Caddy?"/>
    <s v="Mickey Mouse Club"/>
    <s v="Raintree Front"/>
    <n v="3"/>
    <x v="27"/>
    <s v="0"/>
    <n v="7"/>
    <n v="7"/>
    <n v="8"/>
    <n v="6"/>
    <n v="6"/>
    <n v="6"/>
    <n v="9"/>
    <n v="3"/>
    <n v="6"/>
    <n v="58"/>
    <n v="14.98"/>
    <n v="43"/>
    <n v="0"/>
    <n v="0"/>
    <n v="0"/>
    <n v="0"/>
    <n v="0"/>
    <n v="1"/>
    <n v="0"/>
    <n v="0"/>
    <n v="0"/>
    <n v="0"/>
    <n v="0"/>
    <n v="0"/>
    <n v="0"/>
    <n v="2"/>
    <n v="2"/>
    <n v="2"/>
    <n v="2"/>
    <n v="1"/>
    <n v="0"/>
    <n v="9"/>
    <m/>
    <m/>
    <m/>
    <m/>
    <m/>
    <m/>
    <m/>
    <m/>
    <m/>
    <n v="0"/>
    <m/>
    <m/>
    <m/>
    <m/>
    <m/>
    <m/>
    <m/>
    <m/>
    <m/>
    <n v="0"/>
  </r>
  <r>
    <s v="Week 6 25 MMC vs WYC_MCA.xlsx"/>
    <s v="6"/>
    <d v="2025-05-19T00:00:00"/>
    <s v="Who's Your Caddy?"/>
    <s v="Mickey Mouse Club"/>
    <s v="Raintree Front"/>
    <n v="4"/>
    <x v="38"/>
    <s v="0"/>
    <n v="7"/>
    <n v="6"/>
    <n v="4"/>
    <n v="4"/>
    <n v="6"/>
    <n v="6"/>
    <n v="7"/>
    <n v="4"/>
    <n v="7"/>
    <n v="51"/>
    <n v="15.84"/>
    <n v="35"/>
    <n v="0"/>
    <n v="0"/>
    <n v="0"/>
    <n v="0"/>
    <n v="0"/>
    <n v="0"/>
    <n v="0"/>
    <n v="0"/>
    <n v="0"/>
    <n v="0"/>
    <n v="2"/>
    <n v="2"/>
    <n v="1"/>
    <n v="0"/>
    <n v="1"/>
    <n v="0"/>
    <n v="2"/>
    <n v="2"/>
    <n v="2"/>
    <n v="12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The Four Puttz"/>
    <s v="Hack Squad"/>
    <s v="Raintree Front"/>
    <n v="1"/>
    <x v="20"/>
    <s v="0"/>
    <n v="5"/>
    <n v="5"/>
    <n v="5"/>
    <n v="4"/>
    <n v="6"/>
    <n v="7"/>
    <n v="8"/>
    <n v="4"/>
    <n v="6"/>
    <n v="50"/>
    <n v="4.22"/>
    <n v="46"/>
    <n v="0"/>
    <n v="0"/>
    <n v="0"/>
    <n v="0"/>
    <n v="0"/>
    <n v="0"/>
    <n v="0"/>
    <n v="0"/>
    <n v="0"/>
    <n v="0"/>
    <n v="1"/>
    <n v="2"/>
    <n v="2"/>
    <n v="0"/>
    <n v="0"/>
    <n v="0"/>
    <n v="1"/>
    <n v="1"/>
    <n v="0"/>
    <n v="7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The Four Puttz"/>
    <s v="Hack Squad"/>
    <s v="Raintree Front"/>
    <n v="2"/>
    <x v="21"/>
    <s v="0"/>
    <n v="4"/>
    <n v="7"/>
    <n v="5"/>
    <n v="4"/>
    <n v="5"/>
    <n v="6"/>
    <n v="9"/>
    <n v="3"/>
    <n v="3"/>
    <n v="46"/>
    <n v="7.3"/>
    <n v="39"/>
    <n v="0"/>
    <n v="0"/>
    <n v="0"/>
    <n v="0"/>
    <n v="0"/>
    <n v="0"/>
    <n v="0"/>
    <n v="0"/>
    <n v="0"/>
    <n v="2"/>
    <n v="0"/>
    <n v="2"/>
    <n v="1"/>
    <n v="2"/>
    <n v="0"/>
    <n v="0"/>
    <n v="2"/>
    <n v="2"/>
    <n v="2"/>
    <n v="13"/>
    <m/>
    <m/>
    <m/>
    <m/>
    <m/>
    <m/>
    <m/>
    <m/>
    <n v="1"/>
    <n v="1"/>
    <m/>
    <m/>
    <m/>
    <m/>
    <m/>
    <m/>
    <m/>
    <m/>
    <m/>
    <n v="0"/>
  </r>
  <r>
    <s v="Week 7 25 4P vs HS.xlsx"/>
    <s v="7"/>
    <d v="2025-06-02T00:00:00"/>
    <s v="The Four Puttz"/>
    <s v="Hack Squad"/>
    <s v="Raintree Front"/>
    <n v="3"/>
    <x v="22"/>
    <s v="0"/>
    <n v="6"/>
    <n v="5"/>
    <n v="5"/>
    <n v="5"/>
    <n v="5"/>
    <n v="8"/>
    <n v="7"/>
    <n v="6"/>
    <n v="5"/>
    <n v="52"/>
    <n v="13.44"/>
    <n v="39"/>
    <n v="0"/>
    <n v="0"/>
    <n v="0"/>
    <n v="0"/>
    <n v="0"/>
    <n v="0"/>
    <n v="0"/>
    <n v="0"/>
    <n v="0"/>
    <n v="0"/>
    <n v="2"/>
    <n v="1"/>
    <n v="0"/>
    <n v="2"/>
    <n v="0"/>
    <n v="2"/>
    <n v="0"/>
    <n v="1"/>
    <n v="0"/>
    <n v="8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The Four Puttz"/>
    <s v="Hack Squad"/>
    <s v="Raintree Front"/>
    <n v="4"/>
    <x v="23"/>
    <s v="0"/>
    <n v="6"/>
    <n v="7"/>
    <n v="7"/>
    <n v="4"/>
    <n v="6"/>
    <n v="7"/>
    <n v="6"/>
    <n v="5"/>
    <n v="5"/>
    <n v="53"/>
    <n v="14.59"/>
    <n v="38"/>
    <n v="0"/>
    <n v="0"/>
    <n v="0"/>
    <n v="0"/>
    <n v="0"/>
    <n v="0"/>
    <n v="0"/>
    <n v="0"/>
    <n v="0"/>
    <n v="0"/>
    <n v="2"/>
    <n v="0"/>
    <n v="2"/>
    <n v="0"/>
    <n v="0"/>
    <n v="0"/>
    <n v="0"/>
    <n v="1"/>
    <n v="0"/>
    <n v="5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Hack Squad"/>
    <s v="The Four Puttz"/>
    <s v="Raintree Front"/>
    <n v="1"/>
    <x v="49"/>
    <s v="0"/>
    <n v="5"/>
    <n v="6"/>
    <n v="7"/>
    <n v="6"/>
    <n v="5"/>
    <n v="6"/>
    <n v="7"/>
    <n v="5"/>
    <n v="7"/>
    <n v="54"/>
    <n v="11.52"/>
    <n v="42"/>
    <n v="1"/>
    <n v="1"/>
    <n v="1"/>
    <n v="0"/>
    <n v="0"/>
    <n v="1"/>
    <n v="1"/>
    <n v="1"/>
    <n v="1"/>
    <n v="2"/>
    <n v="1"/>
    <n v="0"/>
    <n v="0"/>
    <n v="2"/>
    <n v="2"/>
    <n v="2"/>
    <n v="1"/>
    <n v="1"/>
    <n v="2"/>
    <n v="13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Hack Squad"/>
    <s v="The Four Puttz"/>
    <s v="Raintree Front"/>
    <n v="2"/>
    <x v="29"/>
    <s v="0"/>
    <n v="8"/>
    <n v="6"/>
    <n v="9"/>
    <n v="5"/>
    <n v="6"/>
    <n v="6"/>
    <n v="8"/>
    <n v="6"/>
    <n v="7"/>
    <n v="61"/>
    <n v="15.17"/>
    <n v="46"/>
    <n v="1"/>
    <n v="1"/>
    <n v="1"/>
    <n v="1"/>
    <n v="0"/>
    <n v="1"/>
    <n v="1"/>
    <n v="1"/>
    <n v="1"/>
    <n v="0"/>
    <n v="2"/>
    <n v="0"/>
    <n v="1"/>
    <n v="0"/>
    <n v="2"/>
    <n v="2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Hack Squad"/>
    <s v="The Four Puttz"/>
    <s v="Raintree Front"/>
    <n v="3"/>
    <x v="28"/>
    <s v="0"/>
    <n v="6"/>
    <n v="7"/>
    <n v="5"/>
    <n v="4"/>
    <n v="7"/>
    <n v="6"/>
    <n v="8"/>
    <n v="5"/>
    <n v="5"/>
    <n v="53"/>
    <n v="15.36"/>
    <n v="38"/>
    <n v="1"/>
    <n v="0"/>
    <n v="0"/>
    <n v="0"/>
    <n v="0"/>
    <n v="1"/>
    <n v="0"/>
    <n v="0"/>
    <n v="0"/>
    <n v="2"/>
    <n v="0"/>
    <n v="1"/>
    <n v="2"/>
    <n v="0"/>
    <n v="2"/>
    <n v="0"/>
    <n v="2"/>
    <n v="1"/>
    <n v="2"/>
    <n v="12"/>
    <m/>
    <m/>
    <m/>
    <m/>
    <m/>
    <m/>
    <m/>
    <m/>
    <m/>
    <n v="0"/>
    <m/>
    <m/>
    <m/>
    <m/>
    <m/>
    <m/>
    <m/>
    <m/>
    <m/>
    <n v="0"/>
  </r>
  <r>
    <s v="Week 7 25 4P vs HS.xlsx"/>
    <s v="7"/>
    <d v="2025-06-02T00:00:00"/>
    <s v="Hack Squad"/>
    <s v="The Four Puttz"/>
    <s v="Raintree Front"/>
    <n v="4"/>
    <x v="31"/>
    <s v="0"/>
    <n v="6"/>
    <n v="9"/>
    <n v="6"/>
    <n v="5"/>
    <n v="5"/>
    <n v="6"/>
    <n v="6"/>
    <n v="4"/>
    <n v="6"/>
    <n v="53"/>
    <n v="19.2"/>
    <n v="34"/>
    <n v="1"/>
    <n v="0"/>
    <n v="1"/>
    <n v="0"/>
    <n v="0"/>
    <n v="1"/>
    <n v="1"/>
    <n v="0"/>
    <n v="1"/>
    <n v="2"/>
    <n v="0"/>
    <n v="2"/>
    <n v="0"/>
    <n v="2"/>
    <n v="2"/>
    <n v="2"/>
    <n v="2"/>
    <n v="1"/>
    <n v="2"/>
    <n v="15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Aceholes"/>
    <s v="Who's Your Caddy?"/>
    <s v="Raintree Back"/>
    <n v="1"/>
    <x v="0"/>
    <s v="0"/>
    <n v="5"/>
    <n v="3"/>
    <n v="4"/>
    <n v="4"/>
    <n v="3"/>
    <n v="5"/>
    <n v="4"/>
    <n v="5"/>
    <n v="6"/>
    <n v="39"/>
    <n v="3.26"/>
    <n v="36"/>
    <n v="0"/>
    <n v="0"/>
    <n v="0"/>
    <n v="0"/>
    <n v="0"/>
    <n v="0"/>
    <n v="0"/>
    <n v="0"/>
    <n v="0"/>
    <n v="1"/>
    <n v="1"/>
    <n v="2"/>
    <n v="1"/>
    <n v="1"/>
    <n v="2"/>
    <n v="0"/>
    <n v="0"/>
    <n v="2"/>
    <n v="2"/>
    <n v="12"/>
    <m/>
    <m/>
    <m/>
    <m/>
    <n v="1"/>
    <m/>
    <m/>
    <m/>
    <m/>
    <n v="1"/>
    <m/>
    <m/>
    <m/>
    <m/>
    <m/>
    <m/>
    <m/>
    <m/>
    <m/>
    <n v="0"/>
  </r>
  <r>
    <s v="Week 7 25 ACE vs WYC.xlsx"/>
    <s v="7"/>
    <d v="2025-06-02T00:00:00"/>
    <s v="Aceholes"/>
    <s v="Who's Your Caddy?"/>
    <s v="Raintree Back"/>
    <n v="2"/>
    <x v="1"/>
    <s v="0"/>
    <n v="3"/>
    <n v="4"/>
    <n v="6"/>
    <n v="4"/>
    <n v="6"/>
    <n v="6"/>
    <n v="3"/>
    <n v="4"/>
    <n v="5"/>
    <n v="41"/>
    <n v="4.03"/>
    <n v="37"/>
    <n v="0"/>
    <n v="0"/>
    <n v="0"/>
    <n v="0"/>
    <n v="0"/>
    <n v="0"/>
    <n v="0"/>
    <n v="0"/>
    <n v="0"/>
    <n v="1"/>
    <n v="2"/>
    <n v="0"/>
    <n v="0"/>
    <n v="0"/>
    <n v="2"/>
    <n v="1"/>
    <n v="0"/>
    <n v="2"/>
    <n v="0"/>
    <n v="8"/>
    <n v="1"/>
    <m/>
    <m/>
    <m/>
    <m/>
    <m/>
    <m/>
    <m/>
    <m/>
    <n v="1"/>
    <m/>
    <m/>
    <m/>
    <m/>
    <m/>
    <m/>
    <m/>
    <m/>
    <m/>
    <n v="0"/>
  </r>
  <r>
    <s v="Week 7 25 ACE vs WYC.xlsx"/>
    <s v="7"/>
    <d v="2025-06-02T00:00:00"/>
    <s v="Aceholes"/>
    <s v="Who's Your Caddy?"/>
    <s v="Raintree Back"/>
    <n v="3"/>
    <x v="2"/>
    <s v="0"/>
    <n v="5"/>
    <n v="5"/>
    <n v="6"/>
    <n v="5"/>
    <n v="4"/>
    <n v="5"/>
    <n v="3"/>
    <n v="6"/>
    <n v="7"/>
    <n v="46"/>
    <n v="5.38"/>
    <n v="41"/>
    <n v="0"/>
    <n v="0"/>
    <n v="0"/>
    <n v="0"/>
    <n v="0"/>
    <n v="0"/>
    <n v="0"/>
    <n v="0"/>
    <n v="0"/>
    <n v="1"/>
    <n v="0"/>
    <n v="1"/>
    <n v="0"/>
    <n v="2"/>
    <n v="2"/>
    <n v="2"/>
    <n v="0"/>
    <n v="2"/>
    <n v="1"/>
    <n v="11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Aceholes"/>
    <s v="Who's Your Caddy?"/>
    <s v="Raintree Back"/>
    <n v="4"/>
    <x v="3"/>
    <s v="0"/>
    <n v="6"/>
    <n v="5"/>
    <n v="7"/>
    <n v="7"/>
    <n v="7"/>
    <n v="7"/>
    <n v="5"/>
    <n v="5"/>
    <n v="6"/>
    <n v="55"/>
    <n v="14.98"/>
    <n v="4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0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Who's Your Caddy?"/>
    <s v="Aceholes"/>
    <s v="Raintree Back"/>
    <n v="1"/>
    <x v="24"/>
    <s v="0"/>
    <n v="5"/>
    <n v="3"/>
    <n v="5"/>
    <n v="5"/>
    <n v="4"/>
    <n v="7"/>
    <n v="3"/>
    <n v="5"/>
    <n v="8"/>
    <n v="45"/>
    <n v="7.49"/>
    <n v="38"/>
    <n v="0"/>
    <n v="0"/>
    <n v="0"/>
    <n v="1"/>
    <n v="1"/>
    <n v="0"/>
    <n v="0"/>
    <n v="1"/>
    <n v="1"/>
    <n v="1"/>
    <n v="1"/>
    <n v="0"/>
    <n v="1"/>
    <n v="1"/>
    <n v="0"/>
    <n v="2"/>
    <n v="2"/>
    <n v="0"/>
    <n v="0"/>
    <n v="8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Who's Your Caddy?"/>
    <s v="Aceholes"/>
    <s v="Raintree Back"/>
    <n v="2"/>
    <x v="38"/>
    <s v="0"/>
    <n v="4"/>
    <n v="7"/>
    <n v="6"/>
    <n v="5"/>
    <n v="5"/>
    <n v="8"/>
    <n v="4"/>
    <n v="5"/>
    <n v="7"/>
    <n v="51"/>
    <n v="15.55"/>
    <n v="35"/>
    <n v="1"/>
    <n v="1"/>
    <n v="1"/>
    <n v="2"/>
    <n v="2"/>
    <n v="1"/>
    <n v="1"/>
    <n v="2"/>
    <n v="1"/>
    <n v="1"/>
    <n v="0"/>
    <n v="2"/>
    <n v="2"/>
    <n v="2"/>
    <n v="0"/>
    <n v="1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Who's Your Caddy?"/>
    <s v="Aceholes"/>
    <s v="Raintree Back"/>
    <n v="3"/>
    <x v="27"/>
    <s v="0"/>
    <n v="6"/>
    <n v="5"/>
    <n v="7"/>
    <n v="6"/>
    <n v="7"/>
    <n v="7"/>
    <n v="5"/>
    <n v="5"/>
    <n v="9"/>
    <n v="57"/>
    <n v="16.13"/>
    <n v="41"/>
    <n v="1"/>
    <n v="1"/>
    <n v="1"/>
    <n v="2"/>
    <n v="1"/>
    <n v="1"/>
    <n v="1"/>
    <n v="2"/>
    <n v="1"/>
    <n v="1"/>
    <n v="2"/>
    <n v="1"/>
    <n v="2"/>
    <n v="0"/>
    <n v="0"/>
    <n v="0"/>
    <n v="2"/>
    <n v="0"/>
    <n v="1"/>
    <n v="9"/>
    <m/>
    <m/>
    <m/>
    <m/>
    <m/>
    <m/>
    <m/>
    <m/>
    <m/>
    <n v="0"/>
    <m/>
    <m/>
    <m/>
    <m/>
    <m/>
    <m/>
    <m/>
    <m/>
    <m/>
    <n v="0"/>
  </r>
  <r>
    <s v="Week 7 25 ACE vs WYC.xlsx"/>
    <s v="7"/>
    <d v="2025-06-02T00:00:00"/>
    <s v="Who's Your Caddy?"/>
    <s v="Aceholes"/>
    <s v="Raintree Back"/>
    <n v="4"/>
    <x v="25"/>
    <s v="0"/>
    <n v="9"/>
    <n v="7"/>
    <n v="8"/>
    <n v="9"/>
    <n v="9"/>
    <n v="10"/>
    <n v="6"/>
    <n v="8"/>
    <n v="10"/>
    <n v="76"/>
    <n v="20"/>
    <n v="56"/>
    <n v="0"/>
    <n v="0"/>
    <n v="0"/>
    <n v="1"/>
    <n v="1"/>
    <n v="1"/>
    <n v="0"/>
    <n v="1"/>
    <n v="1"/>
    <n v="0"/>
    <n v="0"/>
    <n v="0"/>
    <n v="0"/>
    <n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ickey Mouse Club"/>
    <s v="Metheads"/>
    <s v="Raintree Front"/>
    <n v="1"/>
    <x v="16"/>
    <s v="0"/>
    <n v="7"/>
    <n v="8"/>
    <n v="6"/>
    <n v="4"/>
    <n v="8"/>
    <n v="7"/>
    <n v="9"/>
    <n v="6"/>
    <n v="6"/>
    <n v="61"/>
    <n v="10.75"/>
    <n v="50"/>
    <n v="1"/>
    <n v="0"/>
    <n v="1"/>
    <n v="0"/>
    <n v="0"/>
    <n v="1"/>
    <n v="0"/>
    <n v="0"/>
    <n v="1"/>
    <n v="0"/>
    <n v="0"/>
    <n v="2"/>
    <n v="0"/>
    <n v="0"/>
    <n v="0"/>
    <n v="0"/>
    <n v="0"/>
    <n v="1"/>
    <n v="0"/>
    <n v="3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ickey Mouse Club"/>
    <s v="Metheads"/>
    <s v="Raintree Front"/>
    <n v="2"/>
    <x v="18"/>
    <s v="0"/>
    <n v="6"/>
    <n v="5"/>
    <n v="5"/>
    <n v="4"/>
    <n v="5"/>
    <n v="4"/>
    <n v="7"/>
    <n v="4"/>
    <n v="5"/>
    <n v="45"/>
    <n v="8.64"/>
    <n v="36"/>
    <n v="1"/>
    <n v="0"/>
    <n v="0"/>
    <n v="0"/>
    <n v="0"/>
    <n v="1"/>
    <n v="0"/>
    <n v="0"/>
    <n v="0"/>
    <n v="1"/>
    <n v="1"/>
    <n v="1"/>
    <n v="1"/>
    <n v="1"/>
    <n v="2"/>
    <n v="1"/>
    <n v="2"/>
    <n v="0"/>
    <n v="2"/>
    <n v="12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ickey Mouse Club"/>
    <s v="Metheads"/>
    <s v="Raintree Front"/>
    <n v="3"/>
    <x v="17"/>
    <s v="0"/>
    <n v="8"/>
    <n v="7"/>
    <n v="6"/>
    <n v="4"/>
    <n v="7"/>
    <n v="4"/>
    <n v="5"/>
    <n v="4"/>
    <n v="6"/>
    <n v="51"/>
    <n v="16.32"/>
    <n v="35"/>
    <n v="1"/>
    <n v="1"/>
    <n v="1"/>
    <n v="1"/>
    <n v="0"/>
    <n v="1"/>
    <n v="1"/>
    <n v="1"/>
    <n v="1"/>
    <n v="0"/>
    <n v="2"/>
    <n v="0"/>
    <n v="2"/>
    <n v="0"/>
    <n v="2"/>
    <n v="2"/>
    <n v="2"/>
    <n v="1"/>
    <n v="2"/>
    <n v="13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ickey Mouse Club"/>
    <s v="Metheads"/>
    <s v="Raintree Front"/>
    <n v="4"/>
    <x v="19"/>
    <s v="0"/>
    <n v="6"/>
    <n v="8"/>
    <n v="5"/>
    <n v="5"/>
    <n v="4"/>
    <n v="8"/>
    <n v="8"/>
    <n v="5"/>
    <n v="6"/>
    <n v="55"/>
    <n v="18.43"/>
    <n v="37"/>
    <n v="1"/>
    <n v="0"/>
    <n v="1"/>
    <n v="0"/>
    <n v="0"/>
    <n v="1"/>
    <n v="1"/>
    <n v="1"/>
    <n v="1"/>
    <n v="2"/>
    <n v="0"/>
    <n v="2"/>
    <n v="2"/>
    <n v="2"/>
    <n v="1"/>
    <n v="0"/>
    <n v="2"/>
    <n v="2"/>
    <n v="2"/>
    <n v="15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etheads"/>
    <s v="Mickey Mouse Club"/>
    <s v="Raintree Front"/>
    <n v="1"/>
    <x v="9"/>
    <s v="0"/>
    <n v="4"/>
    <n v="6"/>
    <n v="6"/>
    <n v="3"/>
    <n v="4"/>
    <n v="5"/>
    <n v="8"/>
    <n v="5"/>
    <n v="5"/>
    <n v="46"/>
    <n v="6.53"/>
    <n v="39"/>
    <n v="0"/>
    <n v="0"/>
    <n v="0"/>
    <n v="0"/>
    <n v="0"/>
    <n v="0"/>
    <n v="0"/>
    <n v="0"/>
    <n v="0"/>
    <n v="2"/>
    <n v="2"/>
    <n v="0"/>
    <n v="2"/>
    <n v="2"/>
    <n v="2"/>
    <n v="2"/>
    <n v="2"/>
    <n v="1"/>
    <n v="2"/>
    <n v="17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etheads"/>
    <s v="Mickey Mouse Club"/>
    <s v="Raintree Front"/>
    <n v="2"/>
    <x v="8"/>
    <s v="0"/>
    <n v="5"/>
    <n v="5"/>
    <n v="5"/>
    <n v="4"/>
    <n v="5"/>
    <n v="5"/>
    <n v="7"/>
    <n v="5"/>
    <n v="3"/>
    <n v="44"/>
    <n v="6.72"/>
    <n v="37"/>
    <n v="0"/>
    <n v="0"/>
    <n v="0"/>
    <n v="0"/>
    <n v="0"/>
    <n v="0"/>
    <n v="0"/>
    <n v="0"/>
    <n v="0"/>
    <n v="1"/>
    <n v="1"/>
    <n v="1"/>
    <n v="1"/>
    <n v="1"/>
    <n v="0"/>
    <n v="1"/>
    <n v="0"/>
    <n v="2"/>
    <n v="0"/>
    <n v="8"/>
    <m/>
    <m/>
    <m/>
    <m/>
    <m/>
    <m/>
    <m/>
    <m/>
    <n v="1"/>
    <n v="1"/>
    <m/>
    <m/>
    <m/>
    <m/>
    <m/>
    <m/>
    <m/>
    <m/>
    <m/>
    <n v="0"/>
  </r>
  <r>
    <s v="Week 7 25 MMC vs MET.xlsx"/>
    <s v="7"/>
    <d v="2025-06-02T00:00:00"/>
    <s v="Metheads"/>
    <s v="Mickey Mouse Club"/>
    <s v="Raintree Front"/>
    <n v="3"/>
    <x v="11"/>
    <s v="0"/>
    <n v="5"/>
    <n v="7"/>
    <n v="4"/>
    <n v="4"/>
    <n v="6"/>
    <n v="7"/>
    <n v="6"/>
    <n v="4"/>
    <n v="5"/>
    <n v="48"/>
    <n v="8.26"/>
    <n v="40"/>
    <n v="0"/>
    <n v="0"/>
    <n v="0"/>
    <n v="0"/>
    <n v="0"/>
    <n v="0"/>
    <n v="0"/>
    <n v="0"/>
    <n v="0"/>
    <n v="2"/>
    <n v="0"/>
    <n v="2"/>
    <n v="0"/>
    <n v="2"/>
    <n v="0"/>
    <n v="0"/>
    <n v="0"/>
    <n v="1"/>
    <n v="0"/>
    <n v="7"/>
    <m/>
    <m/>
    <m/>
    <m/>
    <m/>
    <m/>
    <m/>
    <m/>
    <m/>
    <n v="0"/>
    <m/>
    <m/>
    <m/>
    <m/>
    <m/>
    <m/>
    <m/>
    <m/>
    <m/>
    <n v="0"/>
  </r>
  <r>
    <s v="Week 7 25 MMC vs MET.xlsx"/>
    <s v="7"/>
    <d v="2025-06-02T00:00:00"/>
    <s v="Metheads"/>
    <s v="Mickey Mouse Club"/>
    <s v="Raintree Front"/>
    <n v="4"/>
    <x v="57"/>
    <s v="0"/>
    <n v="6"/>
    <n v="6"/>
    <n v="7"/>
    <n v="6"/>
    <n v="5"/>
    <n v="7"/>
    <n v="6"/>
    <n v="5"/>
    <n v="7"/>
    <n v="55"/>
    <n v="12.1"/>
    <n v="43"/>
    <n v="0"/>
    <n v="0"/>
    <n v="0"/>
    <n v="0"/>
    <n v="0"/>
    <n v="0"/>
    <n v="0"/>
    <n v="0"/>
    <n v="0"/>
    <n v="0"/>
    <n v="2"/>
    <n v="0"/>
    <n v="0"/>
    <n v="0"/>
    <n v="1"/>
    <n v="2"/>
    <n v="0"/>
    <n v="0"/>
    <n v="0"/>
    <n v="5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Stymies"/>
    <s v="Blind Draw"/>
    <s v="Raintree Back"/>
    <n v="1"/>
    <x v="10"/>
    <s v="0"/>
    <n v="4"/>
    <n v="4"/>
    <n v="5"/>
    <n v="6"/>
    <n v="6"/>
    <n v="6"/>
    <n v="4"/>
    <n v="6"/>
    <n v="5"/>
    <n v="46"/>
    <n v="7.49"/>
    <n v="39"/>
    <n v="1"/>
    <n v="1"/>
    <n v="0"/>
    <n v="1"/>
    <n v="1"/>
    <n v="1"/>
    <n v="0"/>
    <n v="1"/>
    <n v="1"/>
    <n v="2"/>
    <n v="1"/>
    <n v="0"/>
    <n v="1"/>
    <n v="0"/>
    <n v="1"/>
    <n v="0"/>
    <n v="1"/>
    <n v="2"/>
    <n v="0"/>
    <n v="8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Stymies"/>
    <s v="Blind Draw"/>
    <s v="Raintree Back"/>
    <n v="2"/>
    <x v="13"/>
    <s v="0"/>
    <n v="5"/>
    <n v="3"/>
    <n v="5"/>
    <n v="5"/>
    <n v="8"/>
    <n v="6"/>
    <n v="3"/>
    <n v="5"/>
    <n v="7"/>
    <n v="47"/>
    <n v="9.02"/>
    <n v="38"/>
    <n v="1"/>
    <n v="1"/>
    <n v="1"/>
    <n v="1"/>
    <n v="1"/>
    <n v="1"/>
    <n v="1"/>
    <n v="1"/>
    <n v="1"/>
    <n v="1"/>
    <n v="2"/>
    <n v="1"/>
    <n v="2"/>
    <n v="0"/>
    <n v="1"/>
    <n v="2"/>
    <n v="2"/>
    <n v="0"/>
    <n v="1"/>
    <n v="12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Stymies"/>
    <s v="Blind Draw"/>
    <s v="Raintree Back"/>
    <n v="3"/>
    <x v="14"/>
    <s v="0"/>
    <n v="6"/>
    <n v="5"/>
    <n v="5"/>
    <n v="6"/>
    <n v="5"/>
    <n v="10"/>
    <n v="4"/>
    <n v="7"/>
    <n v="8"/>
    <n v="56"/>
    <n v="14.4"/>
    <n v="42"/>
    <n v="1"/>
    <n v="1"/>
    <n v="1"/>
    <n v="2"/>
    <n v="2"/>
    <n v="2"/>
    <n v="1"/>
    <n v="2"/>
    <n v="2"/>
    <n v="0"/>
    <n v="0"/>
    <n v="1"/>
    <n v="2"/>
    <n v="2"/>
    <n v="0"/>
    <n v="1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Stymies"/>
    <s v="Blind Draw"/>
    <s v="Raintree Back"/>
    <n v="4"/>
    <x v="15"/>
    <s v="0"/>
    <n v="5"/>
    <n v="4"/>
    <n v="5"/>
    <n v="9"/>
    <n v="8"/>
    <n v="6"/>
    <n v="4"/>
    <n v="7"/>
    <n v="8"/>
    <n v="56"/>
    <n v="18.43"/>
    <n v="38"/>
    <n v="2"/>
    <n v="2"/>
    <n v="2"/>
    <n v="2"/>
    <n v="2"/>
    <n v="2"/>
    <n v="2"/>
    <n v="2"/>
    <n v="2"/>
    <n v="2"/>
    <n v="2"/>
    <n v="2"/>
    <n v="0"/>
    <n v="0"/>
    <n v="2"/>
    <n v="2"/>
    <n v="1"/>
    <n v="0"/>
    <n v="1"/>
    <n v="12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Blind Draw"/>
    <s v="Stymies"/>
    <s v="Raintree Back"/>
    <n v="1"/>
    <x v="4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1"/>
    <n v="2"/>
    <n v="1"/>
    <n v="2"/>
    <n v="1"/>
    <n v="2"/>
    <n v="1"/>
    <n v="0"/>
    <n v="2"/>
    <n v="12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Blind Draw"/>
    <s v="Stymies"/>
    <s v="Raintree Back"/>
    <n v="2"/>
    <x v="6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1"/>
    <n v="0"/>
    <n v="1"/>
    <n v="0"/>
    <n v="2"/>
    <n v="1"/>
    <n v="0"/>
    <n v="0"/>
    <n v="2"/>
    <n v="1"/>
    <n v="8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Blind Draw"/>
    <s v="Stymies"/>
    <s v="Raintree Back"/>
    <n v="3"/>
    <x v="7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2"/>
    <n v="2"/>
    <n v="1"/>
    <n v="0"/>
    <n v="0"/>
    <n v="2"/>
    <n v="1"/>
    <n v="1"/>
    <n v="2"/>
    <n v="2"/>
    <n v="13"/>
    <m/>
    <m/>
    <m/>
    <m/>
    <m/>
    <m/>
    <m/>
    <m/>
    <m/>
    <n v="0"/>
    <m/>
    <m/>
    <m/>
    <m/>
    <m/>
    <m/>
    <m/>
    <m/>
    <m/>
    <n v="0"/>
  </r>
  <r>
    <s v="Week 7 25 STY vs BD.xlsx"/>
    <s v="7"/>
    <d v="2025-06-02T00:00:00"/>
    <s v="Blind Draw"/>
    <s v="Stymies"/>
    <s v="Raintree Back"/>
    <n v="4"/>
    <x v="5"/>
    <s v="0"/>
    <n v="4"/>
    <n v="3"/>
    <n v="4"/>
    <n v="5"/>
    <n v="4"/>
    <n v="5"/>
    <n v="3"/>
    <n v="5"/>
    <n v="5"/>
    <n v="38"/>
    <n v="0"/>
    <n v="38"/>
    <n v="0"/>
    <n v="0"/>
    <n v="0"/>
    <n v="0"/>
    <n v="0"/>
    <n v="0"/>
    <n v="0"/>
    <n v="0"/>
    <n v="0"/>
    <n v="0"/>
    <n v="0"/>
    <n v="0"/>
    <n v="2"/>
    <n v="2"/>
    <n v="0"/>
    <n v="0"/>
    <n v="1"/>
    <n v="2"/>
    <n v="1"/>
    <n v="8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Aceholes"/>
    <s v="The Four Puttz"/>
    <s v="Raintree Front"/>
    <n v="1"/>
    <x v="0"/>
    <s v="0"/>
    <n v="5"/>
    <n v="5"/>
    <n v="4"/>
    <n v="4"/>
    <n v="4"/>
    <n v="4"/>
    <n v="6"/>
    <n v="3"/>
    <n v="5"/>
    <n v="40"/>
    <n v="3.07"/>
    <n v="37"/>
    <n v="0"/>
    <n v="0"/>
    <n v="0"/>
    <n v="0"/>
    <n v="0"/>
    <n v="0"/>
    <n v="0"/>
    <n v="0"/>
    <n v="0"/>
    <n v="1"/>
    <n v="2"/>
    <n v="2"/>
    <n v="1"/>
    <n v="2"/>
    <n v="0"/>
    <n v="1"/>
    <n v="1"/>
    <n v="0"/>
    <n v="2"/>
    <n v="12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Aceholes"/>
    <s v="The Four Puttz"/>
    <s v="Raintree Front"/>
    <n v="2"/>
    <x v="1"/>
    <s v="0"/>
    <n v="5"/>
    <n v="4"/>
    <n v="6"/>
    <n v="4"/>
    <n v="4"/>
    <n v="4"/>
    <n v="6"/>
    <n v="3"/>
    <n v="6"/>
    <n v="42"/>
    <n v="3.84"/>
    <n v="38"/>
    <n v="0"/>
    <n v="0"/>
    <n v="0"/>
    <n v="0"/>
    <n v="0"/>
    <n v="0"/>
    <n v="0"/>
    <n v="0"/>
    <n v="0"/>
    <n v="2"/>
    <n v="2"/>
    <n v="1"/>
    <n v="1"/>
    <n v="2"/>
    <n v="0"/>
    <n v="0"/>
    <n v="1"/>
    <n v="0"/>
    <n v="1"/>
    <n v="10"/>
    <m/>
    <n v="1"/>
    <m/>
    <m/>
    <m/>
    <m/>
    <m/>
    <m/>
    <m/>
    <n v="1"/>
    <m/>
    <m/>
    <m/>
    <m/>
    <m/>
    <m/>
    <m/>
    <m/>
    <m/>
    <n v="0"/>
  </r>
  <r>
    <s v="Week 9 25 ACE vs 4P.xlsx"/>
    <s v="9"/>
    <d v="2025-06-16T00:00:00"/>
    <s v="Aceholes"/>
    <s v="The Four Puttz"/>
    <s v="Raintree Front"/>
    <n v="3"/>
    <x v="2"/>
    <s v="0"/>
    <n v="5"/>
    <n v="8"/>
    <n v="5"/>
    <n v="5"/>
    <n v="4"/>
    <n v="4"/>
    <n v="7"/>
    <n v="4"/>
    <n v="5"/>
    <n v="47"/>
    <n v="5.57"/>
    <n v="41"/>
    <n v="0"/>
    <n v="0"/>
    <n v="0"/>
    <n v="0"/>
    <n v="0"/>
    <n v="0"/>
    <n v="0"/>
    <n v="0"/>
    <n v="0"/>
    <n v="0"/>
    <n v="0"/>
    <n v="0"/>
    <n v="0"/>
    <n v="2"/>
    <n v="2"/>
    <n v="0"/>
    <n v="0"/>
    <n v="2"/>
    <n v="0"/>
    <n v="6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Aceholes"/>
    <s v="The Four Puttz"/>
    <s v="Raintree Front"/>
    <n v="4"/>
    <x v="3"/>
    <s v="0"/>
    <n v="7"/>
    <n v="6"/>
    <n v="7"/>
    <n v="5"/>
    <n v="7"/>
    <n v="6"/>
    <n v="9"/>
    <n v="7"/>
    <n v="7"/>
    <n v="61"/>
    <n v="15.94"/>
    <n v="45"/>
    <n v="0"/>
    <n v="0"/>
    <n v="0"/>
    <n v="0"/>
    <n v="0"/>
    <n v="1"/>
    <n v="0"/>
    <n v="0"/>
    <n v="0"/>
    <n v="2"/>
    <n v="2"/>
    <n v="0"/>
    <n v="0"/>
    <n v="1"/>
    <n v="2"/>
    <n v="0"/>
    <n v="0"/>
    <n v="0"/>
    <n v="0"/>
    <n v="7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The Four Puttz"/>
    <s v="Aceholes"/>
    <s v="Raintree Front"/>
    <n v="1"/>
    <x v="20"/>
    <s v="0"/>
    <n v="5"/>
    <n v="6"/>
    <n v="5"/>
    <n v="4"/>
    <n v="6"/>
    <n v="4"/>
    <n v="6"/>
    <n v="3"/>
    <n v="4"/>
    <n v="43"/>
    <n v="4.22"/>
    <n v="39"/>
    <n v="0"/>
    <n v="0"/>
    <n v="0"/>
    <n v="0"/>
    <n v="0"/>
    <n v="1"/>
    <n v="0"/>
    <n v="0"/>
    <n v="0"/>
    <n v="1"/>
    <n v="0"/>
    <n v="0"/>
    <n v="1"/>
    <n v="0"/>
    <n v="2"/>
    <n v="1"/>
    <n v="1"/>
    <n v="2"/>
    <n v="0"/>
    <n v="8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The Four Puttz"/>
    <s v="Aceholes"/>
    <s v="Raintree Front"/>
    <n v="2"/>
    <x v="45"/>
    <s v="0"/>
    <n v="6"/>
    <n v="6"/>
    <n v="6"/>
    <n v="4"/>
    <n v="5"/>
    <n v="4"/>
    <n v="5"/>
    <n v="3"/>
    <n v="4"/>
    <n v="43"/>
    <n v="4.8"/>
    <n v="38"/>
    <n v="0"/>
    <n v="0"/>
    <n v="0"/>
    <n v="0"/>
    <n v="0"/>
    <n v="1"/>
    <n v="0"/>
    <n v="0"/>
    <n v="0"/>
    <n v="0"/>
    <n v="0"/>
    <n v="1"/>
    <n v="1"/>
    <n v="0"/>
    <n v="2"/>
    <n v="2"/>
    <n v="1"/>
    <n v="2"/>
    <n v="1"/>
    <n v="10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The Four Puttz"/>
    <s v="Aceholes"/>
    <s v="Raintree Front"/>
    <n v="3"/>
    <x v="22"/>
    <s v="0"/>
    <n v="5"/>
    <n v="6"/>
    <n v="4"/>
    <n v="5"/>
    <n v="8"/>
    <n v="6"/>
    <n v="7"/>
    <n v="4"/>
    <n v="9"/>
    <n v="54"/>
    <n v="13.63"/>
    <n v="40"/>
    <n v="1"/>
    <n v="1"/>
    <n v="1"/>
    <n v="1"/>
    <n v="0"/>
    <n v="1"/>
    <n v="1"/>
    <n v="1"/>
    <n v="1"/>
    <n v="2"/>
    <n v="2"/>
    <n v="2"/>
    <n v="2"/>
    <n v="0"/>
    <n v="0"/>
    <n v="2"/>
    <n v="2"/>
    <n v="0"/>
    <n v="2"/>
    <n v="14"/>
    <m/>
    <m/>
    <m/>
    <m/>
    <m/>
    <m/>
    <m/>
    <m/>
    <m/>
    <n v="0"/>
    <m/>
    <m/>
    <m/>
    <m/>
    <m/>
    <m/>
    <m/>
    <m/>
    <m/>
    <n v="0"/>
  </r>
  <r>
    <s v="Week 9 25 ACE vs 4P.xlsx"/>
    <s v="9"/>
    <d v="2025-06-16T00:00:00"/>
    <s v="The Four Puttz"/>
    <s v="Aceholes"/>
    <s v="Raintree Front"/>
    <n v="4"/>
    <x v="23"/>
    <s v="0"/>
    <n v="8"/>
    <n v="7"/>
    <n v="6"/>
    <n v="4"/>
    <n v="7"/>
    <n v="6"/>
    <n v="6"/>
    <n v="5"/>
    <n v="5"/>
    <n v="54"/>
    <n v="14.59"/>
    <n v="39"/>
    <n v="0"/>
    <n v="0"/>
    <n v="0"/>
    <n v="0"/>
    <n v="0"/>
    <n v="0"/>
    <n v="0"/>
    <n v="0"/>
    <n v="0"/>
    <n v="0"/>
    <n v="0"/>
    <n v="2"/>
    <n v="2"/>
    <n v="1"/>
    <n v="0"/>
    <n v="2"/>
    <n v="2"/>
    <n v="2"/>
    <n v="2"/>
    <n v="13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Metheads"/>
    <s v="Hack Squad"/>
    <s v="Raintree Back"/>
    <n v="1"/>
    <x v="9"/>
    <s v="0"/>
    <n v="5"/>
    <n v="3"/>
    <n v="5"/>
    <n v="5"/>
    <n v="4"/>
    <n v="7"/>
    <n v="3"/>
    <n v="6"/>
    <n v="7"/>
    <n v="45"/>
    <n v="6.72"/>
    <n v="38"/>
    <n v="1"/>
    <n v="1"/>
    <n v="0"/>
    <n v="1"/>
    <n v="1"/>
    <n v="1"/>
    <n v="0"/>
    <n v="1"/>
    <n v="1"/>
    <n v="1"/>
    <n v="2"/>
    <n v="0"/>
    <n v="2"/>
    <n v="2"/>
    <n v="0"/>
    <n v="1"/>
    <n v="1"/>
    <n v="1"/>
    <n v="2"/>
    <n v="12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Metheads"/>
    <s v="Hack Squad"/>
    <s v="Raintree Back"/>
    <n v="2"/>
    <x v="8"/>
    <s v="0"/>
    <n v="5"/>
    <n v="4"/>
    <n v="5"/>
    <n v="5"/>
    <n v="4"/>
    <n v="6"/>
    <n v="4"/>
    <n v="5"/>
    <n v="8"/>
    <n v="46"/>
    <n v="7.87"/>
    <n v="38"/>
    <n v="0"/>
    <n v="0"/>
    <n v="0"/>
    <n v="0"/>
    <n v="0"/>
    <n v="0"/>
    <n v="0"/>
    <n v="0"/>
    <n v="0"/>
    <n v="1"/>
    <n v="1"/>
    <n v="2"/>
    <n v="1"/>
    <n v="1"/>
    <n v="0"/>
    <n v="2"/>
    <n v="1"/>
    <n v="2"/>
    <n v="2"/>
    <n v="13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Metheads"/>
    <s v="Hack Squad"/>
    <s v="Raintree Back"/>
    <n v="3"/>
    <x v="57"/>
    <s v="0"/>
    <n v="8"/>
    <n v="4"/>
    <n v="5"/>
    <n v="6"/>
    <n v="5"/>
    <n v="6"/>
    <n v="3"/>
    <n v="5"/>
    <n v="8"/>
    <n v="50"/>
    <n v="12.1"/>
    <n v="38"/>
    <n v="0"/>
    <n v="0"/>
    <n v="0"/>
    <n v="0"/>
    <n v="0"/>
    <n v="0"/>
    <n v="0"/>
    <n v="0"/>
    <n v="0"/>
    <n v="0"/>
    <n v="2"/>
    <n v="2"/>
    <n v="1"/>
    <n v="2"/>
    <n v="2"/>
    <n v="2"/>
    <n v="0"/>
    <n v="0"/>
    <n v="2"/>
    <n v="13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Metheads"/>
    <s v="Hack Squad"/>
    <s v="Raintree Back"/>
    <n v="4"/>
    <x v="32"/>
    <s v="0"/>
    <n v="3"/>
    <n v="4"/>
    <n v="5"/>
    <n v="8"/>
    <n v="5"/>
    <n v="6"/>
    <n v="4"/>
    <n v="5"/>
    <n v="7"/>
    <n v="47"/>
    <n v="9.56"/>
    <n v="37"/>
    <n v="0"/>
    <n v="0"/>
    <n v="0"/>
    <n v="0"/>
    <n v="0"/>
    <n v="0"/>
    <n v="0"/>
    <n v="0"/>
    <n v="0"/>
    <n v="2"/>
    <n v="1"/>
    <n v="1"/>
    <n v="0"/>
    <n v="1"/>
    <n v="2"/>
    <n v="0"/>
    <n v="2"/>
    <n v="0"/>
    <n v="2"/>
    <n v="11"/>
    <n v="1"/>
    <m/>
    <m/>
    <m/>
    <m/>
    <m/>
    <m/>
    <m/>
    <m/>
    <n v="1"/>
    <m/>
    <m/>
    <m/>
    <m/>
    <m/>
    <m/>
    <m/>
    <m/>
    <m/>
    <n v="0"/>
  </r>
  <r>
    <s v="Week 9 25 MET vs HS_MCA.xlsx"/>
    <s v="9"/>
    <d v="2025-06-16T00:00:00"/>
    <s v="Hack Squad"/>
    <s v="Metheads"/>
    <s v="Raintree Back"/>
    <n v="1"/>
    <x v="47"/>
    <s v="0"/>
    <n v="4"/>
    <n v="3"/>
    <n v="4"/>
    <n v="5"/>
    <n v="5"/>
    <n v="5"/>
    <n v="3"/>
    <n v="5"/>
    <n v="6"/>
    <n v="40"/>
    <n v="0"/>
    <n v="40"/>
    <n v="0"/>
    <n v="0"/>
    <n v="0"/>
    <n v="0"/>
    <n v="0"/>
    <n v="0"/>
    <n v="0"/>
    <n v="0"/>
    <n v="0"/>
    <n v="1"/>
    <n v="0"/>
    <n v="2"/>
    <n v="0"/>
    <n v="0"/>
    <n v="2"/>
    <n v="1"/>
    <n v="1"/>
    <n v="1"/>
    <n v="0"/>
    <n v="8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Hack Squad"/>
    <s v="Metheads"/>
    <s v="Raintree Back"/>
    <n v="2"/>
    <x v="28"/>
    <s v="0"/>
    <n v="6"/>
    <n v="5"/>
    <n v="7"/>
    <n v="6"/>
    <n v="5"/>
    <n v="6"/>
    <n v="6"/>
    <n v="6"/>
    <n v="10"/>
    <n v="57"/>
    <n v="15.55"/>
    <n v="41"/>
    <n v="1"/>
    <n v="1"/>
    <n v="1"/>
    <n v="1"/>
    <n v="1"/>
    <n v="1"/>
    <n v="0"/>
    <n v="1"/>
    <n v="1"/>
    <n v="1"/>
    <n v="1"/>
    <n v="0"/>
    <n v="1"/>
    <n v="1"/>
    <n v="2"/>
    <n v="0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Hack Squad"/>
    <s v="Metheads"/>
    <s v="Raintree Back"/>
    <n v="3"/>
    <x v="30"/>
    <s v="0"/>
    <n v="6"/>
    <n v="6"/>
    <n v="7"/>
    <n v="7"/>
    <n v="7"/>
    <n v="9"/>
    <n v="5"/>
    <n v="5"/>
    <n v="6"/>
    <n v="58"/>
    <n v="16.7"/>
    <n v="41"/>
    <n v="0"/>
    <n v="0"/>
    <n v="0"/>
    <n v="1"/>
    <n v="1"/>
    <n v="1"/>
    <n v="0"/>
    <n v="1"/>
    <n v="1"/>
    <n v="2"/>
    <n v="0"/>
    <n v="0"/>
    <n v="1"/>
    <n v="0"/>
    <n v="0"/>
    <n v="0"/>
    <n v="2"/>
    <n v="2"/>
    <n v="0"/>
    <n v="7"/>
    <m/>
    <m/>
    <m/>
    <m/>
    <m/>
    <m/>
    <m/>
    <m/>
    <m/>
    <n v="0"/>
    <m/>
    <m/>
    <m/>
    <m/>
    <m/>
    <m/>
    <m/>
    <m/>
    <m/>
    <n v="0"/>
  </r>
  <r>
    <s v="Week 9 25 MET vs HS_MCA.xlsx"/>
    <s v="9"/>
    <d v="2025-06-16T00:00:00"/>
    <s v="Hack Squad"/>
    <s v="Metheads"/>
    <s v="Raintree Back"/>
    <n v="4"/>
    <x v="31"/>
    <s v="0"/>
    <n v="7"/>
    <n v="5"/>
    <n v="6"/>
    <n v="7"/>
    <n v="6"/>
    <n v="9"/>
    <n v="4"/>
    <n v="7"/>
    <n v="7"/>
    <n v="58"/>
    <n v="18.239999999999998"/>
    <n v="40"/>
    <n v="1"/>
    <n v="1"/>
    <n v="1"/>
    <n v="1"/>
    <n v="1"/>
    <n v="1"/>
    <n v="1"/>
    <n v="1"/>
    <n v="1"/>
    <n v="0"/>
    <n v="1"/>
    <n v="1"/>
    <n v="2"/>
    <n v="1"/>
    <n v="0"/>
    <n v="2"/>
    <n v="0"/>
    <n v="2"/>
    <n v="0"/>
    <n v="9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Stymies"/>
    <s v="Mickey Mouse Club"/>
    <s v="Raintree Back"/>
    <n v="1"/>
    <x v="12"/>
    <s v="0"/>
    <n v="5"/>
    <n v="4"/>
    <n v="4"/>
    <n v="6"/>
    <n v="5"/>
    <n v="5"/>
    <n v="4"/>
    <n v="5"/>
    <n v="5"/>
    <n v="43"/>
    <n v="8.64"/>
    <n v="34"/>
    <n v="0"/>
    <n v="0"/>
    <n v="0"/>
    <n v="0"/>
    <n v="0"/>
    <n v="0"/>
    <n v="0"/>
    <n v="0"/>
    <n v="0"/>
    <n v="2"/>
    <n v="0"/>
    <n v="2"/>
    <n v="1"/>
    <n v="0"/>
    <n v="2"/>
    <n v="1"/>
    <n v="1"/>
    <n v="2"/>
    <n v="2"/>
    <n v="13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Stymies"/>
    <s v="Mickey Mouse Club"/>
    <s v="Raintree Back"/>
    <n v="2"/>
    <x v="13"/>
    <s v="0"/>
    <n v="5"/>
    <n v="5"/>
    <n v="5"/>
    <n v="5"/>
    <n v="4"/>
    <n v="6"/>
    <n v="4"/>
    <n v="4"/>
    <n v="7"/>
    <n v="45"/>
    <n v="9.6"/>
    <n v="35"/>
    <n v="0"/>
    <n v="0"/>
    <n v="0"/>
    <n v="0"/>
    <n v="0"/>
    <n v="0"/>
    <n v="0"/>
    <n v="0"/>
    <n v="0"/>
    <n v="1"/>
    <n v="1"/>
    <n v="2"/>
    <n v="0"/>
    <n v="2"/>
    <n v="1"/>
    <n v="2"/>
    <n v="1"/>
    <n v="0"/>
    <n v="2"/>
    <n v="12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Stymies"/>
    <s v="Mickey Mouse Club"/>
    <s v="Raintree Back"/>
    <n v="3"/>
    <x v="14"/>
    <s v="0"/>
    <n v="6"/>
    <n v="5"/>
    <n v="6"/>
    <n v="6"/>
    <n v="5"/>
    <n v="9"/>
    <n v="4"/>
    <n v="6"/>
    <n v="7"/>
    <n v="54"/>
    <n v="14.4"/>
    <n v="40"/>
    <n v="0"/>
    <n v="0"/>
    <n v="0"/>
    <n v="0"/>
    <n v="0"/>
    <n v="0"/>
    <n v="0"/>
    <n v="0"/>
    <n v="0"/>
    <n v="1"/>
    <n v="1"/>
    <n v="1"/>
    <n v="2"/>
    <n v="2"/>
    <n v="0"/>
    <n v="1"/>
    <n v="0"/>
    <n v="1"/>
    <n v="0"/>
    <n v="9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Stymies"/>
    <s v="Mickey Mouse Club"/>
    <s v="Raintree Back"/>
    <n v="4"/>
    <x v="15"/>
    <s v="0"/>
    <n v="5"/>
    <n v="5"/>
    <n v="6"/>
    <n v="9"/>
    <n v="5"/>
    <n v="9"/>
    <n v="3"/>
    <n v="6"/>
    <n v="7"/>
    <n v="55"/>
    <n v="18.05"/>
    <n v="37"/>
    <n v="0"/>
    <n v="0"/>
    <n v="0"/>
    <n v="0"/>
    <n v="0"/>
    <n v="0"/>
    <n v="0"/>
    <n v="0"/>
    <n v="0"/>
    <n v="2"/>
    <n v="1"/>
    <n v="0"/>
    <n v="0"/>
    <n v="2"/>
    <n v="0"/>
    <n v="2"/>
    <n v="1"/>
    <n v="2"/>
    <n v="2"/>
    <n v="12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Mickey Mouse Club"/>
    <s v="Stymies"/>
    <s v="Raintree Back"/>
    <n v="1"/>
    <x v="18"/>
    <s v="0"/>
    <n v="7"/>
    <n v="3"/>
    <n v="5"/>
    <n v="6"/>
    <n v="4"/>
    <n v="7"/>
    <n v="4"/>
    <n v="5"/>
    <n v="7"/>
    <n v="48"/>
    <n v="8.64"/>
    <n v="39"/>
    <n v="0"/>
    <n v="0"/>
    <n v="0"/>
    <n v="0"/>
    <n v="0"/>
    <n v="0"/>
    <n v="0"/>
    <n v="0"/>
    <n v="0"/>
    <n v="0"/>
    <n v="2"/>
    <n v="0"/>
    <n v="1"/>
    <n v="2"/>
    <n v="0"/>
    <n v="1"/>
    <n v="1"/>
    <n v="0"/>
    <n v="0"/>
    <n v="7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Mickey Mouse Club"/>
    <s v="Stymies"/>
    <s v="Raintree Back"/>
    <n v="2"/>
    <x v="16"/>
    <s v="0"/>
    <n v="5"/>
    <n v="5"/>
    <n v="8"/>
    <n v="5"/>
    <n v="5"/>
    <n v="6"/>
    <n v="5"/>
    <n v="5"/>
    <n v="6"/>
    <n v="50"/>
    <n v="11.33"/>
    <n v="39"/>
    <n v="0"/>
    <n v="0"/>
    <n v="0"/>
    <n v="1"/>
    <n v="0"/>
    <n v="0"/>
    <n v="0"/>
    <n v="1"/>
    <n v="0"/>
    <n v="1"/>
    <n v="1"/>
    <n v="0"/>
    <n v="2"/>
    <n v="0"/>
    <n v="1"/>
    <n v="0"/>
    <n v="1"/>
    <n v="2"/>
    <n v="0"/>
    <n v="8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Mickey Mouse Club"/>
    <s v="Stymies"/>
    <s v="Raintree Back"/>
    <n v="3"/>
    <x v="17"/>
    <s v="0"/>
    <n v="6"/>
    <n v="5"/>
    <n v="6"/>
    <n v="8"/>
    <n v="6"/>
    <n v="7"/>
    <n v="4"/>
    <n v="6"/>
    <n v="7"/>
    <n v="55"/>
    <n v="15.68"/>
    <n v="39"/>
    <n v="0"/>
    <n v="0"/>
    <n v="0"/>
    <n v="0"/>
    <n v="0"/>
    <n v="0"/>
    <n v="0"/>
    <n v="1"/>
    <n v="0"/>
    <n v="1"/>
    <n v="1"/>
    <n v="1"/>
    <n v="0"/>
    <n v="0"/>
    <n v="2"/>
    <n v="1"/>
    <n v="2"/>
    <n v="1"/>
    <n v="2"/>
    <n v="11"/>
    <m/>
    <m/>
    <m/>
    <m/>
    <m/>
    <m/>
    <m/>
    <m/>
    <m/>
    <n v="0"/>
    <m/>
    <m/>
    <m/>
    <m/>
    <m/>
    <m/>
    <m/>
    <m/>
    <m/>
    <n v="0"/>
  </r>
  <r>
    <s v="Week 9 25 STY vs MMC_MCA.xlsx"/>
    <s v="9"/>
    <d v="2025-06-16T00:00:00"/>
    <s v="Mickey Mouse Club"/>
    <s v="Stymies"/>
    <s v="Raintree Back"/>
    <n v="4"/>
    <x v="19"/>
    <s v="0"/>
    <n v="7"/>
    <n v="5"/>
    <n v="5"/>
    <n v="7"/>
    <n v="9"/>
    <n v="8"/>
    <n v="4"/>
    <n v="7"/>
    <n v="8"/>
    <n v="60"/>
    <n v="18.62"/>
    <n v="41"/>
    <n v="0"/>
    <n v="0"/>
    <n v="0"/>
    <n v="0"/>
    <n v="0"/>
    <n v="0"/>
    <n v="0"/>
    <n v="1"/>
    <n v="0"/>
    <n v="0"/>
    <n v="1"/>
    <n v="2"/>
    <n v="2"/>
    <n v="0"/>
    <n v="2"/>
    <n v="0"/>
    <n v="1"/>
    <n v="0"/>
    <n v="0"/>
    <n v="8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Who's Your Caddy?"/>
    <s v="Blind Draw"/>
    <s v="Raintree Front"/>
    <n v="1"/>
    <x v="24"/>
    <s v="0"/>
    <n v="5"/>
    <n v="6"/>
    <n v="5"/>
    <n v="3"/>
    <n v="5"/>
    <n v="5"/>
    <n v="7"/>
    <n v="4"/>
    <n v="6"/>
    <n v="46"/>
    <n v="7.68"/>
    <n v="38"/>
    <n v="1"/>
    <n v="1"/>
    <n v="1"/>
    <n v="1"/>
    <n v="0"/>
    <n v="1"/>
    <n v="1"/>
    <n v="1"/>
    <n v="1"/>
    <n v="2"/>
    <n v="1"/>
    <n v="1"/>
    <n v="2"/>
    <n v="0"/>
    <n v="2"/>
    <n v="0"/>
    <n v="1"/>
    <n v="0"/>
    <n v="1"/>
    <n v="10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Who's Your Caddy?"/>
    <s v="Blind Draw"/>
    <s v="Raintree Front"/>
    <n v="2"/>
    <x v="26"/>
    <s v="0"/>
    <n v="7"/>
    <n v="7"/>
    <n v="5"/>
    <n v="4"/>
    <n v="5"/>
    <n v="6"/>
    <n v="8"/>
    <n v="6"/>
    <n v="6"/>
    <n v="54"/>
    <n v="9.02"/>
    <n v="45"/>
    <n v="1"/>
    <n v="1"/>
    <n v="1"/>
    <n v="1"/>
    <n v="1"/>
    <n v="1"/>
    <n v="1"/>
    <n v="1"/>
    <n v="1"/>
    <n v="0"/>
    <n v="0"/>
    <n v="1"/>
    <n v="1"/>
    <n v="1"/>
    <n v="1"/>
    <n v="0"/>
    <n v="0"/>
    <n v="0"/>
    <n v="0"/>
    <n v="4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Who's Your Caddy?"/>
    <s v="Blind Draw"/>
    <s v="Raintree Front"/>
    <n v="3"/>
    <x v="27"/>
    <s v="0"/>
    <n v="6"/>
    <n v="7"/>
    <n v="5"/>
    <n v="5"/>
    <n v="5"/>
    <n v="5"/>
    <n v="6"/>
    <n v="4"/>
    <n v="6"/>
    <n v="49"/>
    <n v="16.7"/>
    <n v="32"/>
    <n v="2"/>
    <n v="2"/>
    <n v="2"/>
    <n v="2"/>
    <n v="1"/>
    <n v="2"/>
    <n v="2"/>
    <n v="2"/>
    <n v="2"/>
    <n v="2"/>
    <n v="1"/>
    <n v="2"/>
    <n v="1"/>
    <n v="1"/>
    <n v="2"/>
    <n v="2"/>
    <n v="2"/>
    <n v="1"/>
    <n v="2"/>
    <n v="16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Who's Your Caddy?"/>
    <s v="Blind Draw"/>
    <s v="Raintree Front"/>
    <n v="4"/>
    <x v="25"/>
    <s v="0"/>
    <n v="8"/>
    <n v="9"/>
    <n v="7"/>
    <n v="5"/>
    <n v="7"/>
    <n v="8"/>
    <n v="9"/>
    <n v="7"/>
    <n v="9"/>
    <n v="69"/>
    <n v="20"/>
    <n v="49"/>
    <n v="3"/>
    <n v="2"/>
    <n v="2"/>
    <n v="2"/>
    <n v="2"/>
    <n v="3"/>
    <n v="2"/>
    <n v="2"/>
    <n v="2"/>
    <n v="1"/>
    <n v="0"/>
    <n v="0"/>
    <n v="1"/>
    <n v="0"/>
    <n v="1"/>
    <n v="0"/>
    <n v="0"/>
    <n v="0"/>
    <n v="0"/>
    <n v="3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Blind Draw"/>
    <s v="Who's Your Caddy?"/>
    <s v="Raintree Front"/>
    <n v="1"/>
    <x v="4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1"/>
    <n v="0"/>
    <n v="2"/>
    <n v="0"/>
    <n v="2"/>
    <n v="1"/>
    <n v="2"/>
    <n v="1"/>
    <n v="10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Blind Draw"/>
    <s v="Who's Your Caddy?"/>
    <s v="Raintree Front"/>
    <n v="2"/>
    <x v="6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2"/>
    <n v="2"/>
    <n v="1"/>
    <n v="1"/>
    <n v="1"/>
    <n v="1"/>
    <n v="2"/>
    <n v="2"/>
    <n v="2"/>
    <n v="2"/>
    <n v="16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Blind Draw"/>
    <s v="Who's Your Caddy?"/>
    <s v="Raintree Front"/>
    <n v="3"/>
    <x v="7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0"/>
    <n v="1"/>
    <n v="0"/>
    <n v="1"/>
    <n v="1"/>
    <n v="0"/>
    <n v="0"/>
    <n v="0"/>
    <n v="1"/>
    <n v="0"/>
    <n v="4"/>
    <m/>
    <m/>
    <m/>
    <m/>
    <m/>
    <m/>
    <m/>
    <m/>
    <m/>
    <n v="0"/>
    <m/>
    <m/>
    <m/>
    <m/>
    <m/>
    <m/>
    <m/>
    <m/>
    <m/>
    <n v="0"/>
  </r>
  <r>
    <s v="Week 9 25 WYC vs BD_MCA.xlsx"/>
    <s v="9"/>
    <d v="2025-06-16T00:00:00"/>
    <s v="Blind Draw"/>
    <s v="Who's Your Caddy?"/>
    <s v="Raintree Front"/>
    <n v="4"/>
    <x v="5"/>
    <s v="0"/>
    <n v="5"/>
    <n v="5"/>
    <n v="4"/>
    <n v="3"/>
    <n v="4"/>
    <n v="5"/>
    <n v="5"/>
    <n v="3"/>
    <n v="4"/>
    <n v="38"/>
    <n v="0"/>
    <n v="38"/>
    <n v="0"/>
    <n v="0"/>
    <n v="0"/>
    <n v="0"/>
    <n v="0"/>
    <n v="0"/>
    <n v="0"/>
    <n v="0"/>
    <n v="0"/>
    <n v="1"/>
    <n v="2"/>
    <n v="2"/>
    <n v="1"/>
    <n v="2"/>
    <n v="1"/>
    <n v="2"/>
    <n v="2"/>
    <n v="2"/>
    <n v="2"/>
    <n v="17"/>
    <m/>
    <m/>
    <m/>
    <m/>
    <m/>
    <m/>
    <m/>
    <m/>
    <m/>
    <n v="0"/>
    <m/>
    <m/>
    <m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513414-E7B5-40A2-9B71-7B7C2D7EB880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7:B29" firstHeaderRow="1" firstDataRow="1" firstDataCol="1"/>
  <pivotFields count="61">
    <pivotField showAll="0"/>
    <pivotField showAll="0"/>
    <pivotField numFmtId="14" showAll="0"/>
    <pivotField showAll="0"/>
    <pivotField showAll="0"/>
    <pivotField showAll="0"/>
    <pivotField showAll="0"/>
    <pivotField axis="axisRow" showAll="0" measureFilter="1" sortType="descending">
      <items count="189">
        <item m="1" x="112"/>
        <item m="1" x="173"/>
        <item m="1" x="150"/>
        <item m="1" x="111"/>
        <item m="1" x="168"/>
        <item x="11"/>
        <item m="1" x="154"/>
        <item m="1" x="163"/>
        <item m="1" x="138"/>
        <item m="1" x="70"/>
        <item m="1" x="174"/>
        <item m="1" x="105"/>
        <item m="1" x="165"/>
        <item m="1" x="118"/>
        <item m="1" x="129"/>
        <item m="1" x="110"/>
        <item x="8"/>
        <item m="1" x="126"/>
        <item m="1" x="152"/>
        <item m="1" x="133"/>
        <item m="1" x="144"/>
        <item m="1" x="106"/>
        <item m="1" x="178"/>
        <item m="1" x="147"/>
        <item m="1" x="96"/>
        <item m="1" x="139"/>
        <item m="1" x="175"/>
        <item m="1" x="145"/>
        <item m="1" x="108"/>
        <item x="23"/>
        <item m="1" x="166"/>
        <item x="9"/>
        <item m="1" x="101"/>
        <item m="1" x="89"/>
        <item m="1" x="146"/>
        <item m="1" x="187"/>
        <item m="1" x="140"/>
        <item m="1" x="113"/>
        <item m="1" x="185"/>
        <item m="1" x="162"/>
        <item m="1" x="177"/>
        <item m="1" x="107"/>
        <item m="1" x="172"/>
        <item m="1" x="124"/>
        <item m="1" x="158"/>
        <item m="1" x="142"/>
        <item m="1" x="119"/>
        <item m="1" x="149"/>
        <item m="1" x="102"/>
        <item m="1" x="164"/>
        <item m="1" x="121"/>
        <item m="1" x="160"/>
        <item m="1" x="180"/>
        <item m="1" x="157"/>
        <item x="21"/>
        <item x="57"/>
        <item m="1" x="141"/>
        <item m="1" x="103"/>
        <item x="20"/>
        <item x="16"/>
        <item m="1" x="135"/>
        <item m="1" x="171"/>
        <item m="1" x="156"/>
        <item m="1" x="85"/>
        <item m="1" x="109"/>
        <item m="1" x="117"/>
        <item m="1" x="151"/>
        <item x="45"/>
        <item m="1" x="143"/>
        <item x="48"/>
        <item m="1" x="183"/>
        <item x="2"/>
        <item m="1" x="179"/>
        <item x="41"/>
        <item m="1" x="186"/>
        <item m="1" x="155"/>
        <item m="1" x="94"/>
        <item x="28"/>
        <item m="1" x="71"/>
        <item m="1" x="131"/>
        <item m="1" x="90"/>
        <item m="1" x="68"/>
        <item m="1" x="161"/>
        <item m="1" x="87"/>
        <item m="1" x="67"/>
        <item m="1" x="128"/>
        <item m="1" x="114"/>
        <item m="1" x="125"/>
        <item x="14"/>
        <item x="15"/>
        <item m="1" x="120"/>
        <item m="1" x="122"/>
        <item x="31"/>
        <item m="1" x="137"/>
        <item x="30"/>
        <item m="1" x="169"/>
        <item m="1" x="132"/>
        <item m="1" x="182"/>
        <item m="1" x="148"/>
        <item m="1" x="176"/>
        <item x="13"/>
        <item m="1" x="61"/>
        <item x="3"/>
        <item x="29"/>
        <item m="1" x="134"/>
        <item m="1" x="95"/>
        <item m="1" x="115"/>
        <item m="1" x="127"/>
        <item m="1" x="92"/>
        <item m="1" x="123"/>
        <item m="1" x="136"/>
        <item m="1" x="167"/>
        <item x="56"/>
        <item x="55"/>
        <item m="1" x="88"/>
        <item n="Lenarz, Robert - Gold Tees" m="1" x="159"/>
        <item m="1" x="184"/>
        <item n="Lenarz, Robert - Gold Tees2" m="1" x="181"/>
        <item x="44"/>
        <item m="1" x="100"/>
        <item m="1" x="104"/>
        <item m="1" x="79"/>
        <item m="1" x="170"/>
        <item m="1" x="73"/>
        <item m="1" x="116"/>
        <item x="49"/>
        <item x="0"/>
        <item x="12"/>
        <item m="1" x="91"/>
        <item x="10"/>
        <item m="1" x="86"/>
        <item x="22"/>
        <item m="1" x="93"/>
        <item x="1"/>
        <item m="1" x="130"/>
        <item x="27"/>
        <item m="1" x="59"/>
        <item x="47"/>
        <item m="1" x="72"/>
        <item x="43"/>
        <item m="1" x="98"/>
        <item m="1" x="153"/>
        <item m="1" x="97"/>
        <item m="1" x="75"/>
        <item x="40"/>
        <item m="1" x="99"/>
        <item x="26"/>
        <item x="24"/>
        <item m="1" x="77"/>
        <item m="1" x="78"/>
        <item m="1" x="80"/>
        <item m="1" x="81"/>
        <item m="1" x="82"/>
        <item m="1" x="83"/>
        <item m="1" x="84"/>
        <item x="19"/>
        <item x="4"/>
        <item x="6"/>
        <item x="7"/>
        <item x="5"/>
        <item x="53"/>
        <item m="1" x="76"/>
        <item x="38"/>
        <item m="1" x="69"/>
        <item x="54"/>
        <item x="42"/>
        <item m="1" x="74"/>
        <item x="39"/>
        <item x="33"/>
        <item x="34"/>
        <item m="1" x="66"/>
        <item x="25"/>
        <item m="1" x="64"/>
        <item m="1" x="65"/>
        <item x="17"/>
        <item x="18"/>
        <item m="1" x="62"/>
        <item m="1" x="63"/>
        <item x="50"/>
        <item x="51"/>
        <item x="52"/>
        <item x="32"/>
        <item x="35"/>
        <item x="36"/>
        <item x="37"/>
        <item m="1" x="60"/>
        <item x="46"/>
        <item m="1" x="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2">
    <i>
      <x v="133"/>
    </i>
    <i>
      <x v="58"/>
    </i>
    <i>
      <x v="126"/>
    </i>
    <i>
      <x v="71"/>
    </i>
    <i>
      <x v="169"/>
    </i>
    <i>
      <x v="146"/>
    </i>
    <i>
      <x v="5"/>
    </i>
    <i>
      <x v="100"/>
    </i>
    <i>
      <x v="181"/>
    </i>
    <i>
      <x v="129"/>
    </i>
    <i>
      <x v="69"/>
    </i>
    <i>
      <x v="94"/>
    </i>
    <i>
      <x v="175"/>
    </i>
    <i>
      <x v="92"/>
    </i>
    <i>
      <x v="102"/>
    </i>
    <i>
      <x v="29"/>
    </i>
    <i>
      <x v="16"/>
    </i>
    <i>
      <x v="54"/>
    </i>
    <i>
      <x v="59"/>
    </i>
    <i>
      <x v="131"/>
    </i>
    <i>
      <x v="77"/>
    </i>
    <i t="grand">
      <x/>
    </i>
  </rowItems>
  <colItems count="1">
    <i/>
  </colItems>
  <dataFields count="1">
    <dataField name="Sum of Tot_Birds" fld="50" baseField="0" baseItem="0"/>
  </dataFields>
  <formats count="61">
    <format dxfId="670">
      <pivotArea outline="0" collapsedLevelsAreSubtotals="1" fieldPosition="0"/>
    </format>
    <format dxfId="669">
      <pivotArea dataOnly="0" labelOnly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68">
      <pivotArea dataOnly="0" labelOnly="1" grandRow="1" outline="0" fieldPosition="0"/>
    </format>
    <format dxfId="667">
      <pivotArea outline="0" collapsedLevelsAreSubtotals="1" fieldPosition="0"/>
    </format>
    <format dxfId="666">
      <pivotArea dataOnly="0" labelOnly="1" outline="0" axis="axisValues" fieldPosition="0"/>
    </format>
    <format dxfId="665">
      <pivotArea collapsedLevelsAreSubtotals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64">
      <pivotArea dataOnly="0" labelOnly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63">
      <pivotArea dataOnly="0" labelOnly="1" fieldPosition="0">
        <references count="1">
          <reference field="7" count="1">
            <x v="17"/>
          </reference>
        </references>
      </pivotArea>
    </format>
    <format dxfId="662">
      <pivotArea dataOnly="0" labelOnly="1" fieldPosition="0">
        <references count="1">
          <reference field="7" count="1">
            <x v="51"/>
          </reference>
        </references>
      </pivotArea>
    </format>
    <format dxfId="661">
      <pivotArea dataOnly="0" labelOnly="1" fieldPosition="0">
        <references count="1">
          <reference field="7" count="1">
            <x v="14"/>
          </reference>
        </references>
      </pivotArea>
    </format>
    <format dxfId="660">
      <pivotArea dataOnly="0" labelOnly="1" fieldPosition="0">
        <references count="1">
          <reference field="7" count="1">
            <x v="22"/>
          </reference>
        </references>
      </pivotArea>
    </format>
    <format dxfId="659">
      <pivotArea dataOnly="0" labelOnly="1" fieldPosition="0">
        <references count="1">
          <reference field="7" count="10">
            <x v="5"/>
            <x v="14"/>
            <x v="17"/>
            <x v="22"/>
            <x v="23"/>
            <x v="31"/>
            <x v="43"/>
            <x v="53"/>
            <x v="55"/>
            <x v="67"/>
          </reference>
        </references>
      </pivotArea>
    </format>
    <format dxfId="658">
      <pivotArea dataOnly="0" fieldPosition="0">
        <references count="1">
          <reference field="7" count="3">
            <x v="36"/>
            <x v="51"/>
            <x v="62"/>
          </reference>
        </references>
      </pivotArea>
    </format>
    <format dxfId="657">
      <pivotArea dataOnly="0" labelOnly="1" fieldPosition="0">
        <references count="1">
          <reference field="7" count="3">
            <x v="36"/>
            <x v="51"/>
            <x v="62"/>
          </reference>
        </references>
      </pivotArea>
    </format>
    <format dxfId="656">
      <pivotArea dataOnly="0" labelOnly="1" fieldPosition="0">
        <references count="1">
          <reference field="7" count="1">
            <x v="55"/>
          </reference>
        </references>
      </pivotArea>
    </format>
    <format dxfId="655">
      <pivotArea outline="0" collapsedLevelsAreSubtotals="1" fieldPosition="0"/>
    </format>
    <format dxfId="654">
      <pivotArea dataOnly="0" labelOnly="1" fieldPosition="0">
        <references count="1">
          <reference field="7" count="19">
            <x v="5"/>
            <x v="6"/>
            <x v="13"/>
            <x v="14"/>
            <x v="16"/>
            <x v="17"/>
            <x v="22"/>
            <x v="23"/>
            <x v="28"/>
            <x v="31"/>
            <x v="36"/>
            <x v="43"/>
            <x v="44"/>
            <x v="51"/>
            <x v="53"/>
            <x v="55"/>
            <x v="58"/>
            <x v="62"/>
            <x v="67"/>
          </reference>
        </references>
      </pivotArea>
    </format>
    <format dxfId="653">
      <pivotArea dataOnly="0" labelOnly="1" grandRow="1" outline="0" fieldPosition="0"/>
    </format>
    <format dxfId="652">
      <pivotArea dataOnly="0" labelOnly="1" fieldPosition="0">
        <references count="1">
          <reference field="7" count="12">
            <x v="5"/>
            <x v="11"/>
            <x v="14"/>
            <x v="22"/>
            <x v="23"/>
            <x v="31"/>
            <x v="43"/>
            <x v="53"/>
            <x v="55"/>
            <x v="67"/>
            <x v="70"/>
            <x v="71"/>
          </reference>
        </references>
      </pivotArea>
    </format>
    <format dxfId="651">
      <pivotArea dataOnly="0" labelOnly="1" fieldPosition="0">
        <references count="1">
          <reference field="7" count="1">
            <x v="5"/>
          </reference>
        </references>
      </pivotArea>
    </format>
    <format dxfId="650">
      <pivotArea dataOnly="0" labelOnly="1" fieldPosition="0">
        <references count="1">
          <reference field="7" count="1">
            <x v="70"/>
          </reference>
        </references>
      </pivotArea>
    </format>
    <format dxfId="649">
      <pivotArea type="all" dataOnly="0" outline="0" fieldPosition="0"/>
    </format>
    <format dxfId="648">
      <pivotArea outline="0" collapsedLevelsAreSubtotals="1" fieldPosition="0"/>
    </format>
    <format dxfId="647">
      <pivotArea field="7" type="button" dataOnly="0" labelOnly="1" outline="0" axis="axisRow" fieldPosition="0"/>
    </format>
    <format dxfId="646">
      <pivotArea dataOnly="0" labelOnly="1" fieldPosition="0">
        <references count="1">
          <reference field="7" count="23">
            <x v="5"/>
            <x v="6"/>
            <x v="11"/>
            <x v="13"/>
            <x v="14"/>
            <x v="16"/>
            <x v="17"/>
            <x v="22"/>
            <x v="23"/>
            <x v="28"/>
            <x v="31"/>
            <x v="36"/>
            <x v="43"/>
            <x v="44"/>
            <x v="51"/>
            <x v="53"/>
            <x v="55"/>
            <x v="58"/>
            <x v="62"/>
            <x v="64"/>
            <x v="67"/>
            <x v="70"/>
            <x v="71"/>
          </reference>
        </references>
      </pivotArea>
    </format>
    <format dxfId="645">
      <pivotArea dataOnly="0" labelOnly="1" grandRow="1" outline="0" fieldPosition="0"/>
    </format>
    <format dxfId="644">
      <pivotArea dataOnly="0" labelOnly="1" outline="0" axis="axisValues" fieldPosition="0"/>
    </format>
    <format dxfId="643">
      <pivotArea type="all" dataOnly="0" outline="0" fieldPosition="0"/>
    </format>
    <format dxfId="642">
      <pivotArea outline="0" collapsedLevelsAreSubtotals="1" fieldPosition="0"/>
    </format>
    <format dxfId="641">
      <pivotArea field="7" type="button" dataOnly="0" labelOnly="1" outline="0" axis="axisRow" fieldPosition="0"/>
    </format>
    <format dxfId="640">
      <pivotArea dataOnly="0" labelOnly="1" fieldPosition="0">
        <references count="1">
          <reference field="7" count="23">
            <x v="5"/>
            <x v="6"/>
            <x v="11"/>
            <x v="13"/>
            <x v="14"/>
            <x v="16"/>
            <x v="17"/>
            <x v="22"/>
            <x v="23"/>
            <x v="28"/>
            <x v="31"/>
            <x v="36"/>
            <x v="43"/>
            <x v="44"/>
            <x v="51"/>
            <x v="53"/>
            <x v="55"/>
            <x v="58"/>
            <x v="62"/>
            <x v="64"/>
            <x v="67"/>
            <x v="70"/>
            <x v="71"/>
          </reference>
        </references>
      </pivotArea>
    </format>
    <format dxfId="639">
      <pivotArea dataOnly="0" labelOnly="1" grandRow="1" outline="0" fieldPosition="0"/>
    </format>
    <format dxfId="638">
      <pivotArea dataOnly="0" labelOnly="1" outline="0" axis="axisValues" fieldPosition="0"/>
    </format>
    <format dxfId="637">
      <pivotArea collapsedLevelsAreSubtotals="1" fieldPosition="0">
        <references count="1">
          <reference field="7" count="5">
            <x v="61"/>
            <x v="62"/>
            <x v="82"/>
            <x v="85"/>
            <x v="99"/>
          </reference>
        </references>
      </pivotArea>
    </format>
    <format dxfId="636">
      <pivotArea dataOnly="0" labelOnly="1" fieldPosition="0">
        <references count="1">
          <reference field="7" count="5">
            <x v="61"/>
            <x v="62"/>
            <x v="82"/>
            <x v="85"/>
            <x v="99"/>
          </reference>
        </references>
      </pivotArea>
    </format>
    <format dxfId="635">
      <pivotArea dataOnly="0" labelOnly="1" fieldPosition="0">
        <references count="1">
          <reference field="7" count="1">
            <x v="82"/>
          </reference>
        </references>
      </pivotArea>
    </format>
    <format dxfId="634">
      <pivotArea dataOnly="0" labelOnly="1" fieldPosition="0">
        <references count="1">
          <reference field="7" count="11">
            <x v="13"/>
            <x v="16"/>
            <x v="36"/>
            <x v="55"/>
            <x v="61"/>
            <x v="62"/>
            <x v="70"/>
            <x v="82"/>
            <x v="85"/>
            <x v="89"/>
            <x v="109"/>
          </reference>
        </references>
      </pivotArea>
    </format>
    <format dxfId="633">
      <pivotArea collapsedLevelsAreSubtotals="1" fieldPosition="0">
        <references count="1">
          <reference field="7" count="8">
            <x v="16"/>
            <x v="43"/>
            <x v="61"/>
            <x v="62"/>
            <x v="70"/>
            <x v="82"/>
            <x v="89"/>
            <x v="109"/>
          </reference>
        </references>
      </pivotArea>
    </format>
    <format dxfId="632">
      <pivotArea dataOnly="0" labelOnly="1" fieldPosition="0">
        <references count="1">
          <reference field="7" count="1">
            <x v="85"/>
          </reference>
        </references>
      </pivotArea>
    </format>
    <format dxfId="631">
      <pivotArea collapsedLevelsAreSubtotals="1" fieldPosition="0">
        <references count="1">
          <reference field="7" count="22">
            <x v="5"/>
            <x v="9"/>
            <x v="13"/>
            <x v="16"/>
            <x v="29"/>
            <x v="31"/>
            <x v="36"/>
            <x v="43"/>
            <x v="55"/>
            <x v="58"/>
            <x v="61"/>
            <x v="62"/>
            <x v="66"/>
            <x v="70"/>
            <x v="71"/>
            <x v="74"/>
            <x v="75"/>
            <x v="82"/>
            <x v="85"/>
            <x v="89"/>
            <x v="90"/>
            <x v="109"/>
          </reference>
        </references>
      </pivotArea>
    </format>
    <format dxfId="630">
      <pivotArea dataOnly="0" labelOnly="1" fieldPosition="0">
        <references count="1">
          <reference field="7" count="22">
            <x v="5"/>
            <x v="9"/>
            <x v="13"/>
            <x v="16"/>
            <x v="29"/>
            <x v="31"/>
            <x v="36"/>
            <x v="43"/>
            <x v="55"/>
            <x v="58"/>
            <x v="61"/>
            <x v="62"/>
            <x v="66"/>
            <x v="70"/>
            <x v="71"/>
            <x v="74"/>
            <x v="75"/>
            <x v="82"/>
            <x v="85"/>
            <x v="89"/>
            <x v="90"/>
            <x v="109"/>
          </reference>
        </references>
      </pivotArea>
    </format>
    <format dxfId="629">
      <pivotArea dataOnly="0" labelOnly="1" fieldPosition="0">
        <references count="1">
          <reference field="7" count="1">
            <x v="109"/>
          </reference>
        </references>
      </pivotArea>
    </format>
    <format dxfId="628">
      <pivotArea dataOnly="0" labelOnly="1" fieldPosition="0">
        <references count="1">
          <reference field="7" count="1">
            <x v="66"/>
          </reference>
        </references>
      </pivotArea>
    </format>
    <format dxfId="627">
      <pivotArea dataOnly="0" labelOnly="1" fieldPosition="0">
        <references count="1">
          <reference field="7" count="1">
            <x v="29"/>
          </reference>
        </references>
      </pivotArea>
    </format>
    <format dxfId="626">
      <pivotArea dataOnly="0" labelOnly="1" fieldPosition="0">
        <references count="1">
          <reference field="7" count="1">
            <x v="78"/>
          </reference>
        </references>
      </pivotArea>
    </format>
    <format dxfId="625">
      <pivotArea collapsedLevelsAreSubtotals="1" fieldPosition="0">
        <references count="1">
          <reference field="7" count="5">
            <x v="36"/>
            <x v="62"/>
            <x v="66"/>
            <x v="70"/>
            <x v="109"/>
          </reference>
        </references>
      </pivotArea>
    </format>
    <format dxfId="624">
      <pivotArea dataOnly="0" labelOnly="1" fieldPosition="0">
        <references count="1">
          <reference field="7" count="5">
            <x v="36"/>
            <x v="62"/>
            <x v="66"/>
            <x v="70"/>
            <x v="109"/>
          </reference>
        </references>
      </pivotArea>
    </format>
    <format dxfId="623">
      <pivotArea dataOnly="0" labelOnly="1" fieldPosition="0">
        <references count="1">
          <reference field="7" count="1">
            <x v="120"/>
          </reference>
        </references>
      </pivotArea>
    </format>
    <format dxfId="622">
      <pivotArea dataOnly="0" labelOnly="1" fieldPosition="0">
        <references count="1">
          <reference field="7" count="1">
            <x v="89"/>
          </reference>
        </references>
      </pivotArea>
    </format>
    <format dxfId="621">
      <pivotArea collapsedLevelsAreSubtotals="1" fieldPosition="0">
        <references count="1">
          <reference field="7" count="6">
            <x v="5"/>
            <x v="9"/>
            <x v="13"/>
            <x v="16"/>
            <x v="29"/>
            <x v="31"/>
          </reference>
        </references>
      </pivotArea>
    </format>
    <format dxfId="620">
      <pivotArea dataOnly="0" labelOnly="1" fieldPosition="0">
        <references count="1">
          <reference field="7" count="6">
            <x v="5"/>
            <x v="9"/>
            <x v="13"/>
            <x v="16"/>
            <x v="29"/>
            <x v="31"/>
          </reference>
        </references>
      </pivotArea>
    </format>
    <format dxfId="619">
      <pivotArea dataOnly="0" labelOnly="1" fieldPosition="0">
        <references count="1">
          <reference field="7" count="1">
            <x v="61"/>
          </reference>
        </references>
      </pivotArea>
    </format>
    <format dxfId="618">
      <pivotArea dataOnly="0" labelOnly="1" fieldPosition="0">
        <references count="1">
          <reference field="7" count="1">
            <x v="73"/>
          </reference>
        </references>
      </pivotArea>
    </format>
    <format dxfId="617">
      <pivotArea dataOnly="0" labelOnly="1" fieldPosition="0">
        <references count="1">
          <reference field="7" count="1">
            <x v="90"/>
          </reference>
        </references>
      </pivotArea>
    </format>
    <format dxfId="616">
      <pivotArea collapsedLevelsAreSubtotals="1" fieldPosition="0">
        <references count="1">
          <reference field="7" count="8">
            <x v="16"/>
            <x v="29"/>
            <x v="36"/>
            <x v="62"/>
            <x v="66"/>
            <x v="70"/>
            <x v="109"/>
            <x v="123"/>
          </reference>
        </references>
      </pivotArea>
    </format>
    <format dxfId="615">
      <pivotArea dataOnly="0" labelOnly="1" fieldPosition="0">
        <references count="1">
          <reference field="7" count="8">
            <x v="16"/>
            <x v="29"/>
            <x v="36"/>
            <x v="62"/>
            <x v="66"/>
            <x v="70"/>
            <x v="109"/>
            <x v="123"/>
          </reference>
        </references>
      </pivotArea>
    </format>
    <format dxfId="614">
      <pivotArea dataOnly="0" labelOnly="1" fieldPosition="0">
        <references count="1">
          <reference field="7" count="1">
            <x v="56"/>
          </reference>
        </references>
      </pivotArea>
    </format>
    <format dxfId="613">
      <pivotArea dataOnly="0" labelOnly="1" fieldPosition="0">
        <references count="1">
          <reference field="7" count="1">
            <x v="117"/>
          </reference>
        </references>
      </pivotArea>
    </format>
    <format dxfId="612">
      <pivotArea dataOnly="0" labelOnly="1" fieldPosition="0">
        <references count="1">
          <reference field="7" count="1">
            <x v="86"/>
          </reference>
        </references>
      </pivotArea>
    </format>
    <format dxfId="611">
      <pivotArea dataOnly="0" labelOnly="1" fieldPosition="0">
        <references count="1">
          <reference field="7" count="1">
            <x v="123"/>
          </reference>
        </references>
      </pivotArea>
    </format>
    <format dxfId="610">
      <pivotArea dataOnly="0" labelOnly="1" fieldPosition="0">
        <references count="1">
          <reference field="7" count="1">
            <x v="33"/>
          </reference>
        </references>
      </pivotArea>
    </format>
  </formats>
  <pivotTableStyleInfo name="PivotStyleLight16" showRowHeaders="1" showColHeaders="1" showRowStripes="0" showColStripes="0" showLastColumn="1"/>
  <filters count="1">
    <filter fld="7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4CA80-459C-4538-AE2E-D6736444016C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7:B10" firstHeaderRow="1" firstDataRow="1" firstDataCol="1"/>
  <pivotFields count="61">
    <pivotField showAll="0"/>
    <pivotField showAll="0"/>
    <pivotField numFmtId="14" showAll="0"/>
    <pivotField showAll="0"/>
    <pivotField showAll="0"/>
    <pivotField showAll="0"/>
    <pivotField showAll="0"/>
    <pivotField axis="axisRow" showAll="0" measureFilter="1">
      <items count="189">
        <item m="1" x="112"/>
        <item m="1" x="173"/>
        <item m="1" x="150"/>
        <item m="1" x="111"/>
        <item m="1" x="168"/>
        <item x="11"/>
        <item m="1" x="154"/>
        <item m="1" x="163"/>
        <item m="1" x="138"/>
        <item m="1" x="70"/>
        <item m="1" x="174"/>
        <item m="1" x="105"/>
        <item m="1" x="165"/>
        <item m="1" x="118"/>
        <item m="1" x="129"/>
        <item m="1" x="110"/>
        <item x="8"/>
        <item m="1" x="126"/>
        <item m="1" x="152"/>
        <item m="1" x="133"/>
        <item m="1" x="144"/>
        <item m="1" x="106"/>
        <item m="1" x="178"/>
        <item m="1" x="147"/>
        <item m="1" x="96"/>
        <item m="1" x="139"/>
        <item m="1" x="175"/>
        <item m="1" x="145"/>
        <item m="1" x="108"/>
        <item x="23"/>
        <item m="1" x="166"/>
        <item x="9"/>
        <item m="1" x="101"/>
        <item m="1" x="89"/>
        <item m="1" x="146"/>
        <item m="1" x="187"/>
        <item m="1" x="140"/>
        <item m="1" x="113"/>
        <item m="1" x="185"/>
        <item m="1" x="162"/>
        <item m="1" x="177"/>
        <item m="1" x="107"/>
        <item m="1" x="172"/>
        <item m="1" x="124"/>
        <item m="1" x="158"/>
        <item m="1" x="142"/>
        <item m="1" x="119"/>
        <item m="1" x="149"/>
        <item m="1" x="102"/>
        <item m="1" x="164"/>
        <item m="1" x="121"/>
        <item m="1" x="160"/>
        <item m="1" x="180"/>
        <item m="1" x="157"/>
        <item x="21"/>
        <item x="57"/>
        <item m="1" x="141"/>
        <item m="1" x="103"/>
        <item x="20"/>
        <item x="16"/>
        <item m="1" x="135"/>
        <item m="1" x="171"/>
        <item m="1" x="156"/>
        <item m="1" x="85"/>
        <item m="1" x="109"/>
        <item m="1" x="117"/>
        <item m="1" x="151"/>
        <item x="45"/>
        <item m="1" x="143"/>
        <item x="48"/>
        <item m="1" x="183"/>
        <item x="2"/>
        <item m="1" x="179"/>
        <item x="41"/>
        <item m="1" x="186"/>
        <item m="1" x="155"/>
        <item m="1" x="94"/>
        <item x="28"/>
        <item m="1" x="71"/>
        <item m="1" x="131"/>
        <item m="1" x="90"/>
        <item m="1" x="68"/>
        <item m="1" x="161"/>
        <item m="1" x="87"/>
        <item m="1" x="67"/>
        <item m="1" x="128"/>
        <item m="1" x="114"/>
        <item m="1" x="125"/>
        <item x="14"/>
        <item x="15"/>
        <item m="1" x="120"/>
        <item m="1" x="122"/>
        <item x="31"/>
        <item m="1" x="137"/>
        <item x="30"/>
        <item m="1" x="169"/>
        <item m="1" x="132"/>
        <item m="1" x="182"/>
        <item m="1" x="148"/>
        <item m="1" x="176"/>
        <item x="13"/>
        <item m="1" x="61"/>
        <item x="3"/>
        <item x="29"/>
        <item m="1" x="134"/>
        <item m="1" x="95"/>
        <item m="1" x="115"/>
        <item m="1" x="127"/>
        <item m="1" x="92"/>
        <item m="1" x="123"/>
        <item m="1" x="136"/>
        <item m="1" x="167"/>
        <item x="56"/>
        <item x="55"/>
        <item m="1" x="88"/>
        <item m="1" x="159"/>
        <item m="1" x="184"/>
        <item m="1" x="181"/>
        <item x="44"/>
        <item m="1" x="100"/>
        <item m="1" x="104"/>
        <item m="1" x="79"/>
        <item m="1" x="170"/>
        <item m="1" x="73"/>
        <item m="1" x="116"/>
        <item x="49"/>
        <item x="0"/>
        <item x="12"/>
        <item m="1" x="91"/>
        <item x="10"/>
        <item m="1" x="86"/>
        <item x="22"/>
        <item m="1" x="93"/>
        <item x="1"/>
        <item m="1" x="130"/>
        <item x="27"/>
        <item m="1" x="59"/>
        <item x="47"/>
        <item m="1" x="72"/>
        <item x="43"/>
        <item m="1" x="98"/>
        <item m="1" x="153"/>
        <item m="1" x="97"/>
        <item m="1" x="75"/>
        <item x="40"/>
        <item m="1" x="99"/>
        <item x="26"/>
        <item x="24"/>
        <item m="1" x="77"/>
        <item m="1" x="78"/>
        <item m="1" x="80"/>
        <item m="1" x="81"/>
        <item m="1" x="82"/>
        <item m="1" x="83"/>
        <item m="1" x="84"/>
        <item x="19"/>
        <item x="4"/>
        <item x="6"/>
        <item x="7"/>
        <item x="5"/>
        <item x="53"/>
        <item m="1" x="76"/>
        <item x="38"/>
        <item m="1" x="69"/>
        <item x="54"/>
        <item x="42"/>
        <item m="1" x="74"/>
        <item x="39"/>
        <item x="33"/>
        <item x="34"/>
        <item m="1" x="66"/>
        <item x="25"/>
        <item m="1" x="64"/>
        <item m="1" x="65"/>
        <item x="17"/>
        <item x="18"/>
        <item m="1" x="62"/>
        <item m="1" x="63"/>
        <item x="50"/>
        <item x="51"/>
        <item x="52"/>
        <item x="32"/>
        <item x="35"/>
        <item x="36"/>
        <item x="37"/>
        <item m="1" x="60"/>
        <item x="46"/>
        <item m="1" x="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3">
    <i>
      <x v="16"/>
    </i>
    <i>
      <x v="169"/>
    </i>
    <i t="grand">
      <x/>
    </i>
  </rowItems>
  <colItems count="1">
    <i/>
  </colItems>
  <dataFields count="1">
    <dataField name="Sum of Tot_Eagles" fld="60" baseField="0" baseItem="0"/>
  </dataFields>
  <formats count="33">
    <format dxfId="609">
      <pivotArea outline="0" collapsedLevelsAreSubtotals="1" fieldPosition="0"/>
    </format>
    <format dxfId="608">
      <pivotArea dataOnly="0" labelOnly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07">
      <pivotArea dataOnly="0" labelOnly="1" grandRow="1" outline="0" fieldPosition="0"/>
    </format>
    <format dxfId="606">
      <pivotArea outline="0" collapsedLevelsAreSubtotals="1" fieldPosition="0"/>
    </format>
    <format dxfId="605">
      <pivotArea dataOnly="0" labelOnly="1" outline="0" axis="axisValues" fieldPosition="0"/>
    </format>
    <format dxfId="604">
      <pivotArea collapsedLevelsAreSubtotals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03">
      <pivotArea dataOnly="0" labelOnly="1" fieldPosition="0">
        <references count="1">
          <reference field="7" count="9">
            <x v="6"/>
            <x v="13"/>
            <x v="16"/>
            <x v="28"/>
            <x v="36"/>
            <x v="43"/>
            <x v="44"/>
            <x v="58"/>
            <x v="62"/>
          </reference>
        </references>
      </pivotArea>
    </format>
    <format dxfId="602">
      <pivotArea dataOnly="0" labelOnly="1" fieldPosition="0">
        <references count="1">
          <reference field="7" count="1">
            <x v="17"/>
          </reference>
        </references>
      </pivotArea>
    </format>
    <format dxfId="601">
      <pivotArea dataOnly="0" labelOnly="1" fieldPosition="0">
        <references count="1">
          <reference field="7" count="1">
            <x v="51"/>
          </reference>
        </references>
      </pivotArea>
    </format>
    <format dxfId="600">
      <pivotArea dataOnly="0" labelOnly="1" fieldPosition="0">
        <references count="1">
          <reference field="7" count="1">
            <x v="14"/>
          </reference>
        </references>
      </pivotArea>
    </format>
    <format dxfId="599">
      <pivotArea dataOnly="0" labelOnly="1" fieldPosition="0">
        <references count="1">
          <reference field="7" count="1">
            <x v="22"/>
          </reference>
        </references>
      </pivotArea>
    </format>
    <format dxfId="598">
      <pivotArea dataOnly="0" labelOnly="1" fieldPosition="0">
        <references count="1">
          <reference field="7" count="10">
            <x v="5"/>
            <x v="14"/>
            <x v="17"/>
            <x v="22"/>
            <x v="23"/>
            <x v="31"/>
            <x v="43"/>
            <x v="53"/>
            <x v="55"/>
            <x v="67"/>
          </reference>
        </references>
      </pivotArea>
    </format>
    <format dxfId="597">
      <pivotArea dataOnly="0" fieldPosition="0">
        <references count="1">
          <reference field="7" count="3">
            <x v="36"/>
            <x v="51"/>
            <x v="62"/>
          </reference>
        </references>
      </pivotArea>
    </format>
    <format dxfId="596">
      <pivotArea dataOnly="0" labelOnly="1" fieldPosition="0">
        <references count="1">
          <reference field="7" count="3">
            <x v="36"/>
            <x v="51"/>
            <x v="62"/>
          </reference>
        </references>
      </pivotArea>
    </format>
    <format dxfId="595">
      <pivotArea dataOnly="0" labelOnly="1" fieldPosition="0">
        <references count="1">
          <reference field="7" count="1">
            <x v="55"/>
          </reference>
        </references>
      </pivotArea>
    </format>
    <format dxfId="594">
      <pivotArea outline="0" collapsedLevelsAreSubtotals="1" fieldPosition="0"/>
    </format>
    <format dxfId="593">
      <pivotArea dataOnly="0" labelOnly="1" fieldPosition="0">
        <references count="1">
          <reference field="7" count="19">
            <x v="5"/>
            <x v="6"/>
            <x v="13"/>
            <x v="14"/>
            <x v="16"/>
            <x v="17"/>
            <x v="22"/>
            <x v="23"/>
            <x v="28"/>
            <x v="31"/>
            <x v="36"/>
            <x v="43"/>
            <x v="44"/>
            <x v="51"/>
            <x v="53"/>
            <x v="55"/>
            <x v="58"/>
            <x v="62"/>
            <x v="67"/>
          </reference>
        </references>
      </pivotArea>
    </format>
    <format dxfId="592">
      <pivotArea dataOnly="0" labelOnly="1" grandRow="1" outline="0" fieldPosition="0"/>
    </format>
    <format dxfId="591">
      <pivotArea dataOnly="0" labelOnly="1" fieldPosition="0">
        <references count="1">
          <reference field="7" count="12">
            <x v="5"/>
            <x v="11"/>
            <x v="14"/>
            <x v="22"/>
            <x v="23"/>
            <x v="31"/>
            <x v="43"/>
            <x v="53"/>
            <x v="55"/>
            <x v="67"/>
            <x v="70"/>
            <x v="71"/>
          </reference>
        </references>
      </pivotArea>
    </format>
    <format dxfId="590">
      <pivotArea dataOnly="0" labelOnly="1" fieldPosition="0">
        <references count="1">
          <reference field="7" count="1">
            <x v="5"/>
          </reference>
        </references>
      </pivotArea>
    </format>
    <format dxfId="589">
      <pivotArea dataOnly="0" labelOnly="1" fieldPosition="0">
        <references count="1">
          <reference field="7" count="1">
            <x v="70"/>
          </reference>
        </references>
      </pivotArea>
    </format>
    <format dxfId="588">
      <pivotArea type="all" dataOnly="0" outline="0" fieldPosition="0"/>
    </format>
    <format dxfId="587">
      <pivotArea outline="0" collapsedLevelsAreSubtotals="1" fieldPosition="0"/>
    </format>
    <format dxfId="586">
      <pivotArea field="7" type="button" dataOnly="0" labelOnly="1" outline="0" axis="axisRow" fieldPosition="0"/>
    </format>
    <format dxfId="585">
      <pivotArea dataOnly="0" labelOnly="1" fieldPosition="0">
        <references count="1">
          <reference field="7" count="1">
            <x v="57"/>
          </reference>
        </references>
      </pivotArea>
    </format>
    <format dxfId="584">
      <pivotArea dataOnly="0" labelOnly="1" grandRow="1" outline="0" fieldPosition="0"/>
    </format>
    <format dxfId="583">
      <pivotArea dataOnly="0" labelOnly="1" outline="0" axis="axisValues" fieldPosition="0"/>
    </format>
    <format dxfId="582">
      <pivotArea type="all" dataOnly="0" outline="0" fieldPosition="0"/>
    </format>
    <format dxfId="581">
      <pivotArea outline="0" collapsedLevelsAreSubtotals="1" fieldPosition="0"/>
    </format>
    <format dxfId="580">
      <pivotArea field="7" type="button" dataOnly="0" labelOnly="1" outline="0" axis="axisRow" fieldPosition="0"/>
    </format>
    <format dxfId="579">
      <pivotArea dataOnly="0" labelOnly="1" fieldPosition="0">
        <references count="1">
          <reference field="7" count="1">
            <x v="57"/>
          </reference>
        </references>
      </pivotArea>
    </format>
    <format dxfId="578">
      <pivotArea dataOnly="0" labelOnly="1" grandRow="1" outline="0" fieldPosition="0"/>
    </format>
    <format dxfId="577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7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DBE2D-A4A4-4B9E-AAFC-87086C16F903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7:A66" firstHeaderRow="1" firstDataRow="1" firstDataCol="1"/>
  <pivotFields count="61">
    <pivotField showAll="0"/>
    <pivotField showAll="0"/>
    <pivotField numFmtId="14" showAll="0"/>
    <pivotField showAll="0"/>
    <pivotField showAll="0"/>
    <pivotField showAll="0"/>
    <pivotField showAll="0"/>
    <pivotField axis="axisRow" showAll="0">
      <items count="189">
        <item m="1" x="112"/>
        <item m="1" x="173"/>
        <item m="1" x="150"/>
        <item m="1" x="111"/>
        <item m="1" x="168"/>
        <item x="11"/>
        <item m="1" x="154"/>
        <item m="1" x="163"/>
        <item m="1" x="138"/>
        <item m="1" x="70"/>
        <item m="1" x="117"/>
        <item m="1" x="174"/>
        <item m="1" x="105"/>
        <item m="1" x="165"/>
        <item m="1" x="118"/>
        <item m="1" x="129"/>
        <item m="1" x="110"/>
        <item x="8"/>
        <item m="1" x="126"/>
        <item m="1" x="152"/>
        <item m="1" x="133"/>
        <item m="1" x="151"/>
        <item m="1" x="144"/>
        <item m="1" x="106"/>
        <item m="1" x="178"/>
        <item m="1" x="147"/>
        <item m="1" x="96"/>
        <item m="1" x="139"/>
        <item m="1" x="175"/>
        <item m="1" x="145"/>
        <item m="1" x="108"/>
        <item x="23"/>
        <item m="1" x="166"/>
        <item m="1" x="109"/>
        <item x="9"/>
        <item m="1" x="101"/>
        <item m="1" x="89"/>
        <item m="1" x="146"/>
        <item m="1" x="187"/>
        <item m="1" x="140"/>
        <item m="1" x="113"/>
        <item m="1" x="185"/>
        <item m="1" x="162"/>
        <item m="1" x="177"/>
        <item m="1" x="107"/>
        <item m="1" x="172"/>
        <item m="1" x="124"/>
        <item m="1" x="158"/>
        <item m="1" x="142"/>
        <item m="1" x="119"/>
        <item m="1" x="149"/>
        <item m="1" x="102"/>
        <item m="1" x="164"/>
        <item m="1" x="121"/>
        <item m="1" x="160"/>
        <item m="1" x="180"/>
        <item m="1" x="157"/>
        <item x="21"/>
        <item x="57"/>
        <item m="1" x="141"/>
        <item m="1" x="103"/>
        <item x="20"/>
        <item x="16"/>
        <item m="1" x="135"/>
        <item m="1" x="171"/>
        <item m="1" x="156"/>
        <item x="45"/>
        <item m="1" x="85"/>
        <item m="1" x="143"/>
        <item x="48"/>
        <item m="1" x="183"/>
        <item x="2"/>
        <item m="1" x="179"/>
        <item x="41"/>
        <item m="1" x="186"/>
        <item m="1" x="155"/>
        <item m="1" x="94"/>
        <item x="28"/>
        <item m="1" x="71"/>
        <item m="1" x="131"/>
        <item m="1" x="90"/>
        <item m="1" x="68"/>
        <item m="1" x="161"/>
        <item m="1" x="87"/>
        <item m="1" x="67"/>
        <item m="1" x="128"/>
        <item m="1" x="114"/>
        <item m="1" x="125"/>
        <item x="14"/>
        <item x="15"/>
        <item m="1" x="120"/>
        <item m="1" x="122"/>
        <item x="31"/>
        <item m="1" x="137"/>
        <item x="30"/>
        <item m="1" x="169"/>
        <item m="1" x="132"/>
        <item m="1" x="182"/>
        <item m="1" x="148"/>
        <item m="1" x="176"/>
        <item x="13"/>
        <item m="1" x="61"/>
        <item x="3"/>
        <item x="29"/>
        <item m="1" x="134"/>
        <item m="1" x="95"/>
        <item m="1" x="115"/>
        <item m="1" x="127"/>
        <item m="1" x="92"/>
        <item m="1" x="123"/>
        <item m="1" x="136"/>
        <item m="1" x="167"/>
        <item x="56"/>
        <item x="55"/>
        <item m="1" x="88"/>
        <item m="1" x="159"/>
        <item m="1" x="184"/>
        <item m="1" x="181"/>
        <item x="44"/>
        <item m="1" x="100"/>
        <item m="1" x="104"/>
        <item m="1" x="79"/>
        <item m="1" x="170"/>
        <item m="1" x="73"/>
        <item m="1" x="116"/>
        <item x="49"/>
        <item x="0"/>
        <item x="12"/>
        <item m="1" x="91"/>
        <item x="10"/>
        <item m="1" x="86"/>
        <item x="22"/>
        <item m="1" x="93"/>
        <item x="1"/>
        <item m="1" x="130"/>
        <item x="27"/>
        <item m="1" x="59"/>
        <item x="47"/>
        <item m="1" x="72"/>
        <item x="43"/>
        <item m="1" x="98"/>
        <item m="1" x="153"/>
        <item m="1" x="97"/>
        <item m="1" x="75"/>
        <item x="40"/>
        <item m="1" x="99"/>
        <item x="26"/>
        <item x="24"/>
        <item m="1" x="77"/>
        <item m="1" x="78"/>
        <item m="1" x="80"/>
        <item m="1" x="81"/>
        <item m="1" x="82"/>
        <item m="1" x="83"/>
        <item m="1" x="84"/>
        <item x="19"/>
        <item x="4"/>
        <item x="6"/>
        <item x="7"/>
        <item x="5"/>
        <item x="53"/>
        <item m="1" x="76"/>
        <item x="38"/>
        <item m="1" x="69"/>
        <item x="54"/>
        <item x="42"/>
        <item m="1" x="74"/>
        <item x="39"/>
        <item x="33"/>
        <item x="34"/>
        <item m="1" x="66"/>
        <item x="25"/>
        <item m="1" x="64"/>
        <item m="1" x="65"/>
        <item x="17"/>
        <item x="18"/>
        <item m="1" x="62"/>
        <item m="1" x="63"/>
        <item x="50"/>
        <item x="51"/>
        <item x="52"/>
        <item x="32"/>
        <item x="35"/>
        <item x="36"/>
        <item x="37"/>
        <item m="1" x="60"/>
        <item x="46"/>
        <item m="1" x="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9">
    <i>
      <x v="5"/>
    </i>
    <i>
      <x v="17"/>
    </i>
    <i>
      <x v="31"/>
    </i>
    <i>
      <x v="34"/>
    </i>
    <i>
      <x v="57"/>
    </i>
    <i>
      <x v="58"/>
    </i>
    <i>
      <x v="61"/>
    </i>
    <i>
      <x v="62"/>
    </i>
    <i>
      <x v="66"/>
    </i>
    <i>
      <x v="69"/>
    </i>
    <i>
      <x v="71"/>
    </i>
    <i>
      <x v="73"/>
    </i>
    <i>
      <x v="77"/>
    </i>
    <i>
      <x v="88"/>
    </i>
    <i>
      <x v="89"/>
    </i>
    <i>
      <x v="92"/>
    </i>
    <i>
      <x v="94"/>
    </i>
    <i>
      <x v="100"/>
    </i>
    <i>
      <x v="102"/>
    </i>
    <i>
      <x v="103"/>
    </i>
    <i>
      <x v="112"/>
    </i>
    <i>
      <x v="113"/>
    </i>
    <i>
      <x v="118"/>
    </i>
    <i>
      <x v="125"/>
    </i>
    <i>
      <x v="126"/>
    </i>
    <i>
      <x v="127"/>
    </i>
    <i>
      <x v="129"/>
    </i>
    <i>
      <x v="131"/>
    </i>
    <i>
      <x v="133"/>
    </i>
    <i>
      <x v="135"/>
    </i>
    <i>
      <x v="137"/>
    </i>
    <i>
      <x v="139"/>
    </i>
    <i>
      <x v="144"/>
    </i>
    <i>
      <x v="146"/>
    </i>
    <i>
      <x v="147"/>
    </i>
    <i>
      <x v="155"/>
    </i>
    <i>
      <x v="156"/>
    </i>
    <i>
      <x v="157"/>
    </i>
    <i>
      <x v="158"/>
    </i>
    <i>
      <x v="159"/>
    </i>
    <i>
      <x v="160"/>
    </i>
    <i>
      <x v="162"/>
    </i>
    <i>
      <x v="164"/>
    </i>
    <i>
      <x v="165"/>
    </i>
    <i>
      <x v="167"/>
    </i>
    <i>
      <x v="168"/>
    </i>
    <i>
      <x v="169"/>
    </i>
    <i>
      <x v="171"/>
    </i>
    <i>
      <x v="174"/>
    </i>
    <i>
      <x v="175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C7CEC-1AB2-4B3B-A151-FAE1D078C7E5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8:A67" firstHeaderRow="1" firstDataRow="1" firstDataCol="1"/>
  <pivotFields count="61">
    <pivotField showAll="0"/>
    <pivotField showAll="0"/>
    <pivotField numFmtId="14" showAll="0"/>
    <pivotField showAll="0"/>
    <pivotField showAll="0"/>
    <pivotField showAll="0"/>
    <pivotField showAll="0"/>
    <pivotField axis="axisRow" showAll="0" sortType="ascending">
      <items count="189">
        <item x="36"/>
        <item x="3"/>
        <item m="1" x="112"/>
        <item m="1" x="95"/>
        <item m="1" x="173"/>
        <item m="1" x="94"/>
        <item m="1" x="150"/>
        <item x="1"/>
        <item m="1" x="111"/>
        <item m="1" x="60"/>
        <item m="1" x="67"/>
        <item m="1" x="168"/>
        <item m="1" x="123"/>
        <item m="1" x="81"/>
        <item m="1" x="82"/>
        <item m="1" x="83"/>
        <item m="1" x="84"/>
        <item x="35"/>
        <item x="4"/>
        <item x="6"/>
        <item x="7"/>
        <item x="5"/>
        <item m="1" x="97"/>
        <item x="47"/>
        <item x="52"/>
        <item x="54"/>
        <item x="42"/>
        <item x="37"/>
        <item x="24"/>
        <item x="11"/>
        <item m="1" x="183"/>
        <item m="1" x="186"/>
        <item m="1" x="154"/>
        <item m="1" x="163"/>
        <item m="1" x="93"/>
        <item x="28"/>
        <item m="1" x="138"/>
        <item m="1" x="70"/>
        <item m="1" x="117"/>
        <item m="1" x="174"/>
        <item m="1" x="155"/>
        <item m="1" x="105"/>
        <item m="1" x="169"/>
        <item m="1" x="132"/>
        <item m="1" x="182"/>
        <item m="1" x="148"/>
        <item m="1" x="165"/>
        <item m="1" x="65"/>
        <item x="18"/>
        <item m="1" x="170"/>
        <item x="34"/>
        <item m="1" x="118"/>
        <item m="1" x="134"/>
        <item m="1" x="129"/>
        <item m="1" x="110"/>
        <item x="30"/>
        <item x="8"/>
        <item m="1" x="87"/>
        <item m="1" x="126"/>
        <item x="46"/>
        <item m="1" x="152"/>
        <item m="1" x="133"/>
        <item x="38"/>
        <item m="1" x="151"/>
        <item m="1" x="127"/>
        <item m="1" x="116"/>
        <item m="1" x="144"/>
        <item m="1" x="106"/>
        <item x="13"/>
        <item m="1" x="75"/>
        <item m="1" x="72"/>
        <item x="41"/>
        <item m="1" x="178"/>
        <item m="1" x="88"/>
        <item m="1" x="179"/>
        <item m="1" x="147"/>
        <item x="48"/>
        <item m="1" x="63"/>
        <item m="1" x="73"/>
        <item x="56"/>
        <item m="1" x="143"/>
        <item m="1" x="74"/>
        <item m="1" x="96"/>
        <item x="19"/>
        <item m="1" x="125"/>
        <item m="1" x="139"/>
        <item x="12"/>
        <item m="1" x="98"/>
        <item m="1" x="120"/>
        <item m="1" x="175"/>
        <item m="1" x="145"/>
        <item m="1" x="108"/>
        <item x="23"/>
        <item m="1" x="66"/>
        <item x="25"/>
        <item m="1" x="166"/>
        <item m="1" x="114"/>
        <item m="1" x="109"/>
        <item x="9"/>
        <item m="1" x="176"/>
        <item m="1" x="101"/>
        <item m="1" x="78"/>
        <item m="1" x="130"/>
        <item x="55"/>
        <item m="1" x="89"/>
        <item m="1" x="146"/>
        <item x="14"/>
        <item m="1" x="187"/>
        <item m="1" x="140"/>
        <item x="0"/>
        <item m="1" x="131"/>
        <item m="1" x="113"/>
        <item x="27"/>
        <item m="1" x="185"/>
        <item m="1" x="162"/>
        <item m="1" x="177"/>
        <item x="15"/>
        <item m="1" x="107"/>
        <item x="40"/>
        <item m="1" x="184"/>
        <item m="1" x="181"/>
        <item m="1" x="159"/>
        <item m="1" x="59"/>
        <item m="1" x="172"/>
        <item m="1" x="124"/>
        <item m="1" x="69"/>
        <item m="1" x="158"/>
        <item m="1" x="142"/>
        <item m="1" x="77"/>
        <item m="1" x="161"/>
        <item m="1" x="119"/>
        <item m="1" x="61"/>
        <item m="1" x="149"/>
        <item x="32"/>
        <item x="31"/>
        <item m="1" x="76"/>
        <item m="1" x="71"/>
        <item m="1" x="102"/>
        <item m="1" x="90"/>
        <item m="1" x="164"/>
        <item x="53"/>
        <item x="2"/>
        <item x="43"/>
        <item m="1" x="153"/>
        <item m="1" x="80"/>
        <item m="1" x="121"/>
        <item x="49"/>
        <item x="33"/>
        <item m="1" x="160"/>
        <item m="1" x="68"/>
        <item m="1" x="180"/>
        <item x="26"/>
        <item m="1" x="128"/>
        <item m="1" x="157"/>
        <item m="1" x="86"/>
        <item x="21"/>
        <item x="51"/>
        <item m="1" x="62"/>
        <item m="1" x="79"/>
        <item x="22"/>
        <item m="1" x="104"/>
        <item x="57"/>
        <item x="50"/>
        <item m="1" x="141"/>
        <item m="1" x="103"/>
        <item x="20"/>
        <item x="44"/>
        <item m="1" x="58"/>
        <item m="1" x="64"/>
        <item x="17"/>
        <item m="1" x="92"/>
        <item m="1" x="115"/>
        <item m="1" x="122"/>
        <item x="16"/>
        <item m="1" x="99"/>
        <item m="1" x="91"/>
        <item m="1" x="135"/>
        <item m="1" x="167"/>
        <item m="1" x="136"/>
        <item m="1" x="100"/>
        <item x="39"/>
        <item m="1" x="137"/>
        <item x="29"/>
        <item m="1" x="171"/>
        <item x="10"/>
        <item m="1" x="156"/>
        <item x="45"/>
        <item m="1"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9">
    <i>
      <x/>
    </i>
    <i>
      <x v="1"/>
    </i>
    <i>
      <x v="7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5"/>
    </i>
    <i>
      <x v="48"/>
    </i>
    <i>
      <x v="50"/>
    </i>
    <i>
      <x v="55"/>
    </i>
    <i>
      <x v="56"/>
    </i>
    <i>
      <x v="59"/>
    </i>
    <i>
      <x v="62"/>
    </i>
    <i>
      <x v="68"/>
    </i>
    <i>
      <x v="71"/>
    </i>
    <i>
      <x v="76"/>
    </i>
    <i>
      <x v="79"/>
    </i>
    <i>
      <x v="83"/>
    </i>
    <i>
      <x v="86"/>
    </i>
    <i>
      <x v="92"/>
    </i>
    <i>
      <x v="94"/>
    </i>
    <i>
      <x v="98"/>
    </i>
    <i>
      <x v="103"/>
    </i>
    <i>
      <x v="106"/>
    </i>
    <i>
      <x v="109"/>
    </i>
    <i>
      <x v="112"/>
    </i>
    <i>
      <x v="116"/>
    </i>
    <i>
      <x v="118"/>
    </i>
    <i>
      <x v="133"/>
    </i>
    <i>
      <x v="134"/>
    </i>
    <i>
      <x v="140"/>
    </i>
    <i>
      <x v="141"/>
    </i>
    <i>
      <x v="142"/>
    </i>
    <i>
      <x v="146"/>
    </i>
    <i>
      <x v="147"/>
    </i>
    <i>
      <x v="151"/>
    </i>
    <i>
      <x v="155"/>
    </i>
    <i>
      <x v="156"/>
    </i>
    <i>
      <x v="159"/>
    </i>
    <i>
      <x v="161"/>
    </i>
    <i>
      <x v="162"/>
    </i>
    <i>
      <x v="165"/>
    </i>
    <i>
      <x v="166"/>
    </i>
    <i>
      <x v="169"/>
    </i>
    <i>
      <x v="173"/>
    </i>
    <i>
      <x v="180"/>
    </i>
    <i>
      <x v="182"/>
    </i>
    <i>
      <x v="184"/>
    </i>
    <i>
      <x v="186"/>
    </i>
    <i t="grand">
      <x/>
    </i>
  </rowItems>
  <colItems count="1">
    <i/>
  </colItems>
  <formats count="1">
    <format dxfId="563">
      <pivotArea dataOnly="0" labelOnly="1" fieldPosition="0">
        <references count="1">
          <reference field="7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4FF0184-7F3A-459A-9FF4-5477769B43A0}" autoFormatId="16" applyNumberFormats="0" applyBorderFormats="0" applyFontFormats="0" applyPatternFormats="0" applyAlignmentFormats="0" applyWidthHeightFormats="0">
  <queryTableRefresh nextId="28">
    <queryTableFields count="8">
      <queryTableField id="1" name="SeasonKey" tableColumnId="1"/>
      <queryTableField id="2" name="SettingKey" tableColumnId="2"/>
      <queryTableField id="3" name="SettingValue" tableColumnId="3"/>
      <queryTableField id="4" name="ValueType" tableColumnId="4"/>
      <queryTableField id="5" name="EffectiveFrom" tableColumnId="5"/>
      <queryTableField id="6" name="EffectiveTo" tableColumnId="6"/>
      <queryTableField id="7" name="Source" tableColumnId="7"/>
      <queryTableField id="8" name="Notes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0D2F63C0-B858-4F80-95AF-4EC0B510AC5D}" autoFormatId="16" applyNumberFormats="0" applyBorderFormats="0" applyFontFormats="0" applyPatternFormats="0" applyAlignmentFormats="0" applyWidthHeightFormats="0">
  <queryTableRefresh nextId="15">
    <queryTableFields count="8">
      <queryTableField id="1" name="SettingName" tableColumnId="1"/>
      <queryTableField id="2" name="SettingValue" tableColumnId="2"/>
      <queryTableField id="3" name="ValueType" tableColumnId="3"/>
      <queryTableField id="4" name="Section" tableColumnId="4"/>
      <queryTableField id="5" name="Description" tableColumnId="5"/>
      <queryTableField id="6" name="AppliesTo" tableColumnId="6"/>
      <queryTableField id="7" name="EditableBySecretary" tableColumnId="7"/>
      <queryTableField id="8" name="Note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AA209991-C1AF-4911-BDE0-585BE560772F}" autoFormatId="16" applyNumberFormats="0" applyBorderFormats="0" applyFontFormats="0" applyPatternFormats="0" applyAlignmentFormats="0" applyWidthHeightFormats="0">
  <queryTableRefresh nextId="10">
    <queryTableFields count="8">
      <queryTableField id="1" name="SettingName" tableColumnId="1"/>
      <queryTableField id="2" name="SettingValue" tableColumnId="2"/>
      <queryTableField id="3" name="ValueType" tableColumnId="3"/>
      <queryTableField id="4" name="Section" tableColumnId="4"/>
      <queryTableField id="5" name="Description" tableColumnId="5"/>
      <queryTableField id="6" name="AppliesTo" tableColumnId="6"/>
      <queryTableField id="7" name="EditableBySecretary" tableColumnId="7"/>
      <queryTableField id="8" name="Note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0" xr16:uid="{AAB06FC6-27E6-462E-9A65-CD1BDBD4E603}" autoFormatId="16" applyNumberFormats="0" applyBorderFormats="0" applyFontFormats="0" applyPatternFormats="0" applyAlignmentFormats="0" applyWidthHeightFormats="0">
  <queryTableRefresh nextId="28">
    <queryTableFields count="12">
      <queryTableField id="1" name="SeasonYear" tableColumnId="1"/>
      <queryTableField id="2" name="MatchWeek" tableColumnId="2"/>
      <queryTableField id="11" name="MatchDate" tableColumnId="11"/>
      <queryTableField id="4" name="Player" tableColumnId="4"/>
      <queryTableField id="12" name="PlayerKey" tableColumnId="12"/>
      <queryTableField id="16" name="Gross" tableColumnId="3"/>
      <queryTableField id="17" name="Net" tableColumnId="5"/>
      <queryTableField id="18" name="PointsTotal" tableColumnId="6"/>
      <queryTableField id="19" name="BirdiesTotal" tableColumnId="7"/>
      <queryTableField id="20" name="EaglesTotal" tableColumnId="8"/>
      <queryTableField id="21" name="DoubleEaglesTotal" tableColumnId="9"/>
      <queryTableField id="13" name="ExclScore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8" xr16:uid="{46A314CD-7884-4EE7-9794-912F48242A32}" autoFormatId="16" applyNumberFormats="0" applyBorderFormats="0" applyFontFormats="0" applyPatternFormats="0" applyAlignmentFormats="0" applyWidthHeightFormats="0">
  <queryTableRefresh nextId="12">
    <queryTableFields count="1">
      <queryTableField id="11" name="Summary_New__Team_Stats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446965D3-9E1B-4AA9-A55E-E060073CD2A9}" autoFormatId="16" applyNumberFormats="0" applyBorderFormats="0" applyFontFormats="0" applyPatternFormats="0" applyAlignmentFormats="0" applyWidthHeightFormats="0">
  <queryTableRefresh nextId="31">
    <queryTableFields count="15">
      <queryTableField id="1" name="SeasonYear" tableColumnId="1"/>
      <queryTableField id="2" name="Player" tableColumnId="2"/>
      <queryTableField id="13" name="PlayerKey" tableColumnId="13"/>
      <queryTableField id="27" name="AsOfMatchWeek" tableColumnId="10"/>
      <queryTableField id="28" name="AsOfMatchDate" tableColumnId="11"/>
      <queryTableField id="3" name="RoundsPlayed" tableColumnId="3"/>
      <queryTableField id="6" name="TotalPoints" tableColumnId="6"/>
      <queryTableField id="7" name="AvgPoints" tableColumnId="7"/>
      <queryTableField id="4" name="AvgGross" tableColumnId="4"/>
      <queryTableField id="5" name="AvgNet" tableColumnId="5"/>
      <queryTableField id="8" name="LowGross" tableColumnId="8"/>
      <queryTableField id="9" name="LowNet" tableColumnId="9"/>
      <queryTableField id="24" name="TotBirdies" tableColumnId="19"/>
      <queryTableField id="25" name="TotEagles" tableColumnId="20"/>
      <queryTableField id="26" name="TotDoubleEagles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431E2F5E-6F7B-485F-A779-A50E060AAFCF}" autoFormatId="16" applyNumberFormats="0" applyBorderFormats="0" applyFontFormats="0" applyPatternFormats="0" applyAlignmentFormats="0" applyWidthHeightFormats="0">
  <queryTableRefresh nextId="24">
    <queryTableFields count="21">
      <queryTableField id="1" name="SeasonYear" tableColumnId="1"/>
      <queryTableField id="2" name="MatchWeek" tableColumnId="2"/>
      <queryTableField id="3" name="MatchDate" tableColumnId="3"/>
      <queryTableField id="4" name="Team" tableColumnId="4"/>
      <queryTableField id="5" name="Opponent" tableColumnId="5"/>
      <queryTableField id="6" name="Player" tableColumnId="6"/>
      <queryTableField id="13" name="PlayerKey" tableColumnId="13"/>
      <queryTableField id="7" name="PositionPlayed" tableColumnId="7"/>
      <queryTableField id="8" name="Side" tableColumnId="8"/>
      <queryTableField id="9" name="Course" tableColumnId="9"/>
      <queryTableField id="10" name="MatchCompletedInd" tableColumnId="10"/>
      <queryTableField id="12" name="ForfeitFlag" tableColumnId="12"/>
      <queryTableField id="14" name="BlindDrawType" tableColumnId="14"/>
      <queryTableField id="16" name="ReportingCaptainApproved" tableColumnId="15"/>
      <queryTableField id="17" name="OpposingCaptainApproved" tableColumnId="16"/>
      <queryTableField id="18" name="IsCorrection" tableColumnId="17"/>
      <queryTableField id="19" name="CorrectionReason" tableColumnId="18"/>
      <queryTableField id="20" name="CorrectionEnteredBy" tableColumnId="19"/>
      <queryTableField id="21" name="CorrectionDate" tableColumnId="20"/>
      <queryTableField id="22" name="CaptainReapproved" tableColumnId="21"/>
      <queryTableField id="23" name="ApprovalStatus" tableColumnId="2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E7AFCF38-FBC8-41BC-AEF1-6F886EA7CE84}" autoFormatId="16" applyNumberFormats="0" applyBorderFormats="0" applyFontFormats="0" applyPatternFormats="0" applyAlignmentFormats="0" applyWidthHeightFormats="0">
  <queryTableRefresh nextId="22">
    <queryTableFields count="8">
      <queryTableField id="20" name="SeasonYear" tableColumnId="5"/>
      <queryTableField id="1" name="Player" tableColumnId="1"/>
      <queryTableField id="9" name="PlayerKey" tableColumnId="9"/>
      <queryTableField id="2" name="EstablishedHcp" tableColumnId="2"/>
      <queryTableField id="3" name="Handicap" tableColumnId="3"/>
      <queryTableField id="10" name="HandicapCalcBasis" tableColumnId="10"/>
      <queryTableField id="11" name="HandicapRounds" tableColumnId="11"/>
      <queryTableField id="7" name="SeasonRoundsPlayed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CEBBA1A8-A304-447E-B9AF-2857BC5DB89B}" autoFormatId="16" applyNumberFormats="0" applyBorderFormats="0" applyFontFormats="0" applyPatternFormats="0" applyAlignmentFormats="0" applyWidthHeightFormats="0">
  <queryTableRefresh nextId="17">
    <queryTableFields count="11">
      <queryTableField id="10" name="SeasonYear" tableColumnId="10"/>
      <queryTableField id="1" name="Player" tableColumnId="1"/>
      <queryTableField id="11" name="PlayerKey" tableColumnId="11"/>
      <queryTableField id="2" name="Team" tableColumnId="2"/>
      <queryTableField id="3" name="ActiveStatus" tableColumnId="3"/>
      <queryTableField id="4" name="IsCaptain" tableColumnId="4"/>
      <queryTableField id="5" name="Tee" tableColumnId="5"/>
      <queryTableField id="6" name="RosterStartDate" tableColumnId="6"/>
      <queryTableField id="7" name="RosterEndDate" tableColumnId="7"/>
      <queryTableField id="9" name="PlayerPhone" tableColumnId="9"/>
      <queryTableField id="8" name="PlayerEmail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9" xr16:uid="{848B650B-8A1B-45B4-8220-990B19FCD642}" autoFormatId="16" applyNumberFormats="0" applyBorderFormats="0" applyFontFormats="0" applyPatternFormats="0" applyAlignmentFormats="0" applyWidthHeightFormats="0">
  <queryTableRefresh nextId="28">
    <queryTableFields count="11">
      <queryTableField id="1" name="SeasonYear" tableColumnId="1"/>
      <queryTableField id="2" name="Team" tableColumnId="2"/>
      <queryTableField id="12" name="TeamKey" tableColumnId="12"/>
      <queryTableField id="13" name="Captain" tableColumnId="13"/>
      <queryTableField id="16" name="TeamPoints" tableColumnId="16"/>
      <queryTableField id="17" name="TeamWins" tableColumnId="17"/>
      <queryTableField id="18" name="TeamLosses" tableColumnId="18"/>
      <queryTableField id="19" name="TeamTies" tableColumnId="19"/>
      <queryTableField id="9" name="LowTeamNet" tableColumnId="9"/>
      <queryTableField id="10" name="HighTeamPoints" tableColumnId="10"/>
      <queryTableField id="11" name="CurrentlyInPlayoffs" tableColumnId="1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8F5BF8E2-5895-4E0F-83F1-D22FD8F9D3C8}" autoFormatId="16" applyNumberFormats="0" applyBorderFormats="0" applyFontFormats="0" applyPatternFormats="0" applyAlignmentFormats="0" applyWidthHeightFormats="0">
  <queryTableRefresh nextId="8">
    <queryTableFields count="7">
      <queryTableField id="1" name="LeagueName" tableColumnId="1"/>
      <queryTableField id="2" name="SeasonYear" tableColumnId="2"/>
      <queryTableField id="3" name="MatchWeek" tableColumnId="3"/>
      <queryTableField id="4" name="MatchDate" tableColumnId="4"/>
      <queryTableField id="5" name="SeasonRoundsPlanned" tableColumnId="5"/>
      <queryTableField id="6" name="Eligibility_MinPctRounds" tableColumnId="6"/>
      <queryTableField id="7" name="SeasonStatus" tableColumnId="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69624673-F8FC-4499-8935-BEF7AAB706A4}" autoFormatId="16" applyNumberFormats="0" applyBorderFormats="0" applyFontFormats="0" applyPatternFormats="0" applyAlignmentFormats="0" applyWidthHeightFormats="0">
  <queryTableRefresh nextId="33">
    <queryTableFields count="21">
      <queryTableField id="1" name="SourceFile" tableColumnId="1"/>
      <queryTableField id="19" name="SeasonYear" tableColumnId="18"/>
      <queryTableField id="27" name="MatchWeek" tableColumnId="22"/>
      <queryTableField id="28" name="MatchDate" tableColumnId="23"/>
      <queryTableField id="29" name="IndivMatchKey" tableColumnId="24"/>
      <queryTableField id="4" name="Side" tableColumnId="4"/>
      <queryTableField id="5" name="Team" tableColumnId="5"/>
      <queryTableField id="21" name="TeamKey" tableColumnId="20"/>
      <queryTableField id="6" name="Opponent" tableColumnId="6"/>
      <queryTableField id="7" name="Position" tableColumnId="7"/>
      <queryTableField id="8" name="Player" tableColumnId="8"/>
      <queryTableField id="22" name="PlayerKey" tableColumnId="21"/>
      <queryTableField id="9" name="Hole" tableColumnId="9"/>
      <queryTableField id="12" name="Score" tableColumnId="12"/>
      <queryTableField id="10" name="Par" tableColumnId="10"/>
      <queryTableField id="11" name="Hcp" tableColumnId="11"/>
      <queryTableField id="13" name="NetScore" tableColumnId="13"/>
      <queryTableField id="14" name="Bird" tableColumnId="14"/>
      <queryTableField id="15" name="Eagle" tableColumnId="15"/>
      <queryTableField id="16" name="DoubleEagle" tableColumnId="16"/>
      <queryTableField id="17" name="Points" tableColumnId="17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EB983B4-AAD9-429A-B067-0F2A53B15CB0}" autoFormatId="16" applyNumberFormats="0" applyBorderFormats="0" applyFontFormats="0" applyPatternFormats="0" applyAlignmentFormats="0" applyWidthHeightFormats="0">
  <queryTableRefresh nextId="49">
    <queryTableFields count="21">
      <queryTableField id="21" name="SourceFile" tableColumnId="6"/>
      <queryTableField id="39" name="SeasonYear" tableColumnId="18"/>
      <queryTableField id="35" name="MatchWeek" tableColumnId="1"/>
      <queryTableField id="36" name="MatchDate" tableColumnId="2"/>
      <queryTableField id="45" name="IndivMatchKey" tableColumnId="21"/>
      <queryTableField id="22" name="Side" tableColumnId="7"/>
      <queryTableField id="3" name="Team" tableColumnId="3"/>
      <queryTableField id="46" name="TeamKey" tableColumnId="22"/>
      <queryTableField id="4" name="Opponent" tableColumnId="4"/>
      <queryTableField id="23" name="Position" tableColumnId="8"/>
      <queryTableField id="5" name="Player" tableColumnId="5"/>
      <queryTableField id="43" name="PlayerKey" tableColumnId="20"/>
      <queryTableField id="10" name="Gross" tableColumnId="10"/>
      <queryTableField id="24" name="Hdcp" tableColumnId="9"/>
      <queryTableField id="11" name="Net" tableColumnId="11"/>
      <queryTableField id="25" name="BirdiesTotal" tableColumnId="12"/>
      <queryTableField id="26" name="EaglesTotal" tableColumnId="13"/>
      <queryTableField id="27" name="DoubleEaglesTotal" tableColumnId="14"/>
      <queryTableField id="28" name="NetPoints" tableColumnId="15"/>
      <queryTableField id="29" name="PointsTotal" tableColumnId="16"/>
      <queryTableField id="30" name="ExclScore" tableColumnId="17"/>
    </queryTableFields>
    <queryTableDeletedFields count="3">
      <deletedField name="Eagle7"/>
      <deletedField name="Eagle8"/>
      <deletedField name="Eagle9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A0B99A07-2FB3-43A2-BA1A-44F26FFA26FD}" autoFormatId="16" applyNumberFormats="0" applyBorderFormats="0" applyFontFormats="0" applyPatternFormats="0" applyAlignmentFormats="0" applyWidthHeightFormats="0">
  <queryTableRefresh nextId="162">
    <queryTableFields count="161">
      <queryTableField id="1" name="SourceFile" tableColumnId="1"/>
      <queryTableField id="2" name="Week" tableColumnId="2"/>
      <queryTableField id="3" name="Date" tableColumnId="3"/>
      <queryTableField id="4" name="Side" tableColumnId="4"/>
      <queryTableField id="5" name="Team" tableColumnId="5"/>
      <queryTableField id="6" name="Opponent" tableColumnId="6"/>
      <queryTableField id="7" name="Position" tableColumnId="7"/>
      <queryTableField id="8" name="Player" tableColumnId="8"/>
      <queryTableField id="9" name="Gross" tableColumnId="9"/>
      <queryTableField id="10" name="Hdcp" tableColumnId="10"/>
      <queryTableField id="11" name="Net" tableColumnId="11"/>
      <queryTableField id="12" name="PointsNet" tableColumnId="12"/>
      <queryTableField id="13" name="PointsTot" tableColumnId="13"/>
      <queryTableField id="14" name="Tot_Birdies" tableColumnId="14"/>
      <queryTableField id="15" name="Tot_Eagles" tableColumnId="15"/>
      <queryTableField id="16" name="Tot_DoubleEagles" tableColumnId="16"/>
      <queryTableField id="17" name="ExclScore" tableColumnId="17"/>
      <queryTableField id="18" name="Score_01" tableColumnId="18"/>
      <queryTableField id="19" name="Score_02" tableColumnId="19"/>
      <queryTableField id="20" name="Score_03" tableColumnId="20"/>
      <queryTableField id="21" name="Score_04" tableColumnId="21"/>
      <queryTableField id="22" name="Score_05" tableColumnId="22"/>
      <queryTableField id="23" name="Score_06" tableColumnId="23"/>
      <queryTableField id="24" name="Score_07" tableColumnId="24"/>
      <queryTableField id="25" name="Score_08" tableColumnId="25"/>
      <queryTableField id="26" name="Score_09" tableColumnId="26"/>
      <queryTableField id="27" name="Score_10" tableColumnId="27"/>
      <queryTableField id="28" name="Score_11" tableColumnId="28"/>
      <queryTableField id="29" name="Score_12" tableColumnId="29"/>
      <queryTableField id="30" name="Score_13" tableColumnId="30"/>
      <queryTableField id="31" name="Score_14" tableColumnId="31"/>
      <queryTableField id="32" name="Score_15" tableColumnId="32"/>
      <queryTableField id="33" name="Score_16" tableColumnId="33"/>
      <queryTableField id="34" name="Score_17" tableColumnId="34"/>
      <queryTableField id="35" name="Score_18" tableColumnId="35"/>
      <queryTableField id="36" name="Par_01" tableColumnId="36"/>
      <queryTableField id="37" name="Par_02" tableColumnId="37"/>
      <queryTableField id="38" name="Par_03" tableColumnId="38"/>
      <queryTableField id="39" name="Par_04" tableColumnId="39"/>
      <queryTableField id="40" name="Par_05" tableColumnId="40"/>
      <queryTableField id="41" name="Par_06" tableColumnId="41"/>
      <queryTableField id="42" name="Par_07" tableColumnId="42"/>
      <queryTableField id="43" name="Par_08" tableColumnId="43"/>
      <queryTableField id="44" name="Par_09" tableColumnId="44"/>
      <queryTableField id="45" name="Par_10" tableColumnId="45"/>
      <queryTableField id="46" name="Par_11" tableColumnId="46"/>
      <queryTableField id="47" name="Par_12" tableColumnId="47"/>
      <queryTableField id="48" name="Par_13" tableColumnId="48"/>
      <queryTableField id="49" name="Par_14" tableColumnId="49"/>
      <queryTableField id="50" name="Par_15" tableColumnId="50"/>
      <queryTableField id="51" name="Par_16" tableColumnId="51"/>
      <queryTableField id="52" name="Par_17" tableColumnId="52"/>
      <queryTableField id="53" name="Par_18" tableColumnId="53"/>
      <queryTableField id="54" name="Hcp_01" tableColumnId="54"/>
      <queryTableField id="55" name="Hcp_02" tableColumnId="55"/>
      <queryTableField id="56" name="Hcp_03" tableColumnId="56"/>
      <queryTableField id="57" name="Hcp_04" tableColumnId="57"/>
      <queryTableField id="58" name="Hcp_05" tableColumnId="58"/>
      <queryTableField id="59" name="Hcp_06" tableColumnId="59"/>
      <queryTableField id="60" name="Hcp_07" tableColumnId="60"/>
      <queryTableField id="61" name="Hcp_08" tableColumnId="61"/>
      <queryTableField id="62" name="Hcp_09" tableColumnId="62"/>
      <queryTableField id="63" name="Hcp_10" tableColumnId="63"/>
      <queryTableField id="64" name="Hcp_11" tableColumnId="64"/>
      <queryTableField id="65" name="Hcp_12" tableColumnId="65"/>
      <queryTableField id="66" name="Hcp_13" tableColumnId="66"/>
      <queryTableField id="67" name="Hcp_14" tableColumnId="67"/>
      <queryTableField id="68" name="Hcp_15" tableColumnId="68"/>
      <queryTableField id="69" name="Hcp_16" tableColumnId="69"/>
      <queryTableField id="70" name="Hcp_17" tableColumnId="70"/>
      <queryTableField id="71" name="Hcp_18" tableColumnId="71"/>
      <queryTableField id="72" name="Bird_01" tableColumnId="72"/>
      <queryTableField id="73" name="Bird_02" tableColumnId="73"/>
      <queryTableField id="74" name="Bird_03" tableColumnId="74"/>
      <queryTableField id="75" name="Bird_04" tableColumnId="75"/>
      <queryTableField id="76" name="Bird_05" tableColumnId="76"/>
      <queryTableField id="77" name="Bird_06" tableColumnId="77"/>
      <queryTableField id="78" name="Bird_07" tableColumnId="78"/>
      <queryTableField id="79" name="Bird_08" tableColumnId="79"/>
      <queryTableField id="80" name="Bird_09" tableColumnId="80"/>
      <queryTableField id="81" name="Bird_10" tableColumnId="81"/>
      <queryTableField id="82" name="Bird_11" tableColumnId="82"/>
      <queryTableField id="83" name="Bird_12" tableColumnId="83"/>
      <queryTableField id="84" name="Bird_13" tableColumnId="84"/>
      <queryTableField id="85" name="Bird_14" tableColumnId="85"/>
      <queryTableField id="86" name="Bird_15" tableColumnId="86"/>
      <queryTableField id="87" name="Bird_16" tableColumnId="87"/>
      <queryTableField id="88" name="Bird_17" tableColumnId="88"/>
      <queryTableField id="89" name="Bird_18" tableColumnId="89"/>
      <queryTableField id="90" name="Eagle_01" tableColumnId="90"/>
      <queryTableField id="91" name="Eagle_02" tableColumnId="91"/>
      <queryTableField id="92" name="Eagle_03" tableColumnId="92"/>
      <queryTableField id="93" name="Eagle_04" tableColumnId="93"/>
      <queryTableField id="94" name="Eagle_05" tableColumnId="94"/>
      <queryTableField id="95" name="Eagle_06" tableColumnId="95"/>
      <queryTableField id="96" name="Eagle_07" tableColumnId="96"/>
      <queryTableField id="97" name="Eagle_08" tableColumnId="97"/>
      <queryTableField id="98" name="Eagle_09" tableColumnId="98"/>
      <queryTableField id="99" name="Eagle_10" tableColumnId="99"/>
      <queryTableField id="100" name="Eagle_11" tableColumnId="100"/>
      <queryTableField id="101" name="Eagle_12" tableColumnId="101"/>
      <queryTableField id="102" name="Eagle_13" tableColumnId="102"/>
      <queryTableField id="103" name="Eagle_14" tableColumnId="103"/>
      <queryTableField id="104" name="Eagle_15" tableColumnId="104"/>
      <queryTableField id="105" name="Eagle_16" tableColumnId="105"/>
      <queryTableField id="106" name="Eagle_17" tableColumnId="106"/>
      <queryTableField id="107" name="Eagle_18" tableColumnId="107"/>
      <queryTableField id="108" name="DoubleEagle_01" tableColumnId="108"/>
      <queryTableField id="109" name="DoubleEagle_02" tableColumnId="109"/>
      <queryTableField id="110" name="DoubleEagle_03" tableColumnId="110"/>
      <queryTableField id="111" name="DoubleEagle_04" tableColumnId="111"/>
      <queryTableField id="112" name="DoubleEagle_05" tableColumnId="112"/>
      <queryTableField id="113" name="DoubleEagle_06" tableColumnId="113"/>
      <queryTableField id="114" name="DoubleEagle_07" tableColumnId="114"/>
      <queryTableField id="115" name="DoubleEagle_08" tableColumnId="115"/>
      <queryTableField id="116" name="DoubleEagle_09" tableColumnId="116"/>
      <queryTableField id="117" name="DoubleEagle_10" tableColumnId="117"/>
      <queryTableField id="118" name="DoubleEagle_11" tableColumnId="118"/>
      <queryTableField id="119" name="DoubleEagle_12" tableColumnId="119"/>
      <queryTableField id="120" name="DoubleEagle_13" tableColumnId="120"/>
      <queryTableField id="121" name="DoubleEagle_14" tableColumnId="121"/>
      <queryTableField id="122" name="DoubleEagle_15" tableColumnId="122"/>
      <queryTableField id="123" name="DoubleEagle_16" tableColumnId="123"/>
      <queryTableField id="124" name="DoubleEagle_17" tableColumnId="124"/>
      <queryTableField id="125" name="DoubleEagle_18" tableColumnId="125"/>
      <queryTableField id="126" name="NetScore_01" tableColumnId="126"/>
      <queryTableField id="127" name="NetScore_02" tableColumnId="127"/>
      <queryTableField id="128" name="NetScore_03" tableColumnId="128"/>
      <queryTableField id="129" name="NetScore_04" tableColumnId="129"/>
      <queryTableField id="130" name="NetScore_05" tableColumnId="130"/>
      <queryTableField id="131" name="NetScore_06" tableColumnId="131"/>
      <queryTableField id="132" name="NetScore_07" tableColumnId="132"/>
      <queryTableField id="133" name="NetScore_08" tableColumnId="133"/>
      <queryTableField id="134" name="NetScore_09" tableColumnId="134"/>
      <queryTableField id="135" name="NetScore_10" tableColumnId="135"/>
      <queryTableField id="136" name="NetScore_11" tableColumnId="136"/>
      <queryTableField id="137" name="NetScore_12" tableColumnId="137"/>
      <queryTableField id="138" name="NetScore_13" tableColumnId="138"/>
      <queryTableField id="139" name="NetScore_14" tableColumnId="139"/>
      <queryTableField id="140" name="NetScore_15" tableColumnId="140"/>
      <queryTableField id="141" name="NetScore_16" tableColumnId="141"/>
      <queryTableField id="142" name="NetScore_17" tableColumnId="142"/>
      <queryTableField id="143" name="NetScore_18" tableColumnId="143"/>
      <queryTableField id="144" name="Points_01" tableColumnId="144"/>
      <queryTableField id="145" name="Points_02" tableColumnId="145"/>
      <queryTableField id="146" name="Points_03" tableColumnId="146"/>
      <queryTableField id="147" name="Points_04" tableColumnId="147"/>
      <queryTableField id="148" name="Points_05" tableColumnId="148"/>
      <queryTableField id="149" name="Points_06" tableColumnId="149"/>
      <queryTableField id="150" name="Points_07" tableColumnId="150"/>
      <queryTableField id="151" name="Points_08" tableColumnId="151"/>
      <queryTableField id="152" name="Points_09" tableColumnId="152"/>
      <queryTableField id="153" name="Points_10" tableColumnId="153"/>
      <queryTableField id="154" name="Points_11" tableColumnId="154"/>
      <queryTableField id="155" name="Points_12" tableColumnId="155"/>
      <queryTableField id="156" name="Points_13" tableColumnId="156"/>
      <queryTableField id="157" name="Points_14" tableColumnId="157"/>
      <queryTableField id="158" name="Points_15" tableColumnId="158"/>
      <queryTableField id="159" name="Points_16" tableColumnId="159"/>
      <queryTableField id="160" name="Points_17" tableColumnId="160"/>
      <queryTableField id="161" name="Points_18" tableColumnId="16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7" xr16:uid="{6FF19640-C684-4DD1-BC13-BD71C2A700B8}" autoFormatId="16" applyNumberFormats="0" applyBorderFormats="0" applyFontFormats="0" applyPatternFormats="0" applyAlignmentFormats="0" applyWidthHeightFormats="0">
  <queryTableRefresh nextId="32">
    <queryTableFields count="12">
      <queryTableField id="22" name="SourceFile" tableColumnId="1"/>
      <queryTableField id="23" name="Year" tableColumnId="7"/>
      <queryTableField id="2" name="Week" tableColumnId="2"/>
      <queryTableField id="3" name="Date" tableColumnId="3"/>
      <queryTableField id="6" name="Side" tableColumnId="6"/>
      <queryTableField id="4" name="Team" tableColumnId="4"/>
      <queryTableField id="5" name="Opponent" tableColumnId="5"/>
      <queryTableField id="24" name="TmNet" tableColumnId="8"/>
      <queryTableField id="25" name="TmNetPoints" tableColumnId="9"/>
      <queryTableField id="26" name="TmTotPoints" tableColumnId="10"/>
      <queryTableField id="27" name="MatchCompleted" tableColumnId="11"/>
      <queryTableField id="28" name="ForfeitFlag" tableColumnId="1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24A76975-E1CF-4A62-AD90-7FD22A82A887}" autoFormatId="16" applyNumberFormats="0" applyBorderFormats="0" applyFontFormats="0" applyPatternFormats="0" applyAlignmentFormats="0" applyWidthHeightFormats="0">
  <queryTableRefresh nextId="32">
    <queryTableFields count="14">
      <queryTableField id="10" name="SourceFile" tableColumnId="7"/>
      <queryTableField id="24" name="SeasonYear" tableColumnId="19"/>
      <queryTableField id="11" name="Year" tableColumnId="8"/>
      <queryTableField id="26" name="MatchWeek" tableColumnId="20"/>
      <queryTableField id="27" name="MatchDate" tableColumnId="21"/>
      <queryTableField id="3" name="Team" tableColumnId="3"/>
      <queryTableField id="4" name="Opponent" tableColumnId="4"/>
      <queryTableField id="5" name="TeamKey" tableColumnId="5"/>
      <queryTableField id="28" name="TeamMatchKey" tableColumnId="22"/>
      <queryTableField id="19" name="TmNet" tableColumnId="14"/>
      <queryTableField id="20" name="TmNetPoints" tableColumnId="15"/>
      <queryTableField id="21" name="TmTotPoints" tableColumnId="16"/>
      <queryTableField id="22" name="MatchCompletedTeam" tableColumnId="17"/>
      <queryTableField id="23" name="ForfeitFlag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BBF464A-D365-4F7A-A3B1-4103EB039802}" name="qry_Static_Season_Config" displayName="qry_Static_Season_Config" ref="A1:H46" tableType="queryTable" totalsRowShown="0">
  <autoFilter ref="A1:H46" xr:uid="{CBBF464A-D365-4F7A-A3B1-4103EB039802}">
    <filterColumn colId="1">
      <filters>
        <filter val="SeasonStatus"/>
      </filters>
    </filterColumn>
  </autoFilter>
  <tableColumns count="8">
    <tableColumn id="1" xr3:uid="{2CD0B32D-13D9-4B33-8838-ED1B2EA4B7C6}" uniqueName="1" name="SeasonKey" queryTableFieldId="1"/>
    <tableColumn id="2" xr3:uid="{045567C3-6446-4188-B085-8661F88105E4}" uniqueName="2" name="SettingKey" queryTableFieldId="2"/>
    <tableColumn id="3" xr3:uid="{CE3C7393-8114-4105-BCEC-FC710A7D3041}" uniqueName="3" name="SettingValue" queryTableFieldId="3" dataDxfId="74"/>
    <tableColumn id="4" xr3:uid="{39AE105B-3E46-46A8-B302-CED2193FBA1E}" uniqueName="4" name="ValueType" queryTableFieldId="4"/>
    <tableColumn id="5" xr3:uid="{B1EF99AC-881E-4AF6-87B0-FF405F873421}" uniqueName="5" name="EffectiveFrom" queryTableFieldId="5" dataDxfId="73"/>
    <tableColumn id="6" xr3:uid="{27BDA861-B423-4248-9A9B-82818074F8DE}" uniqueName="6" name="EffectiveTo" queryTableFieldId="6" dataDxfId="72"/>
    <tableColumn id="7" xr3:uid="{23E5C719-4C32-477C-AADC-FF519122A722}" uniqueName="7" name="Source" queryTableFieldId="7"/>
    <tableColumn id="8" xr3:uid="{2FA50FB6-A870-4E67-8EE5-DBAFC48E7AA2}" uniqueName="8" name="Notes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AA554FD-F3E0-409B-9AC9-48616A62A8FD}" name="qry_Settings_System" displayName="qry_Settings_System" ref="A1:H24" tableType="queryTable" totalsRowShown="0">
  <autoFilter ref="A1:H24" xr:uid="{FAA554FD-F3E0-409B-9AC9-48616A62A8FD}"/>
  <tableColumns count="8">
    <tableColumn id="1" xr3:uid="{EB3E0484-9726-4A45-91B5-F762A7298E6A}" uniqueName="1" name="SettingName" queryTableFieldId="1"/>
    <tableColumn id="2" xr3:uid="{9A5876E3-1C39-49A5-A630-4820F8D2489E}" uniqueName="2" name="SettingValue" queryTableFieldId="2"/>
    <tableColumn id="3" xr3:uid="{75700DBB-5421-4CB5-8E35-B4F0D4AFAE4D}" uniqueName="3" name="ValueType" queryTableFieldId="3"/>
    <tableColumn id="4" xr3:uid="{5D5B95C1-BD1C-4E53-960D-A7C20B3E5624}" uniqueName="4" name="Section" queryTableFieldId="4"/>
    <tableColumn id="5" xr3:uid="{5FC23526-7628-43A4-AF4B-CE4778041D48}" uniqueName="5" name="Description" queryTableFieldId="5"/>
    <tableColumn id="6" xr3:uid="{072A19E5-55A2-46AB-B4DC-7C16A73EB86D}" uniqueName="6" name="AppliesTo" queryTableFieldId="6"/>
    <tableColumn id="7" xr3:uid="{9C4C8905-FCF4-459A-9B20-3D6288BB683F}" uniqueName="7" name="EditableBySecretary" queryTableFieldId="7"/>
    <tableColumn id="8" xr3:uid="{70F6C486-6935-4DF0-9429-B8072E47102D}" uniqueName="8" name="Notes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C635648-9F08-415F-A37A-6A71D2B7209E}" name="Settings_System" displayName="Settings_System" ref="A1:H24" tableType="queryTable" totalsRowShown="0">
  <autoFilter ref="A1:H24" xr:uid="{5C635648-9F08-415F-A37A-6A71D2B7209E}"/>
  <sortState xmlns:xlrd2="http://schemas.microsoft.com/office/spreadsheetml/2017/richdata2" ref="A2:H24">
    <sortCondition ref="D2:D24"/>
  </sortState>
  <tableColumns count="8">
    <tableColumn id="1" xr3:uid="{B88B7D1A-B943-4894-ABF3-555E605BD626}" uniqueName="1" name="SettingName" queryTableFieldId="1" dataDxfId="719"/>
    <tableColumn id="2" xr3:uid="{A89C3484-9D57-49D9-93F1-484278681D98}" uniqueName="2" name="SettingValue" queryTableFieldId="2" dataDxfId="71"/>
    <tableColumn id="3" xr3:uid="{3DBE3A4D-E397-45ED-BE74-170D397AAE85}" uniqueName="3" name="ValueType" queryTableFieldId="3"/>
    <tableColumn id="4" xr3:uid="{247CFDE3-173B-4EB3-B2BF-3B58C526EFFD}" uniqueName="4" name="Section" queryTableFieldId="4"/>
    <tableColumn id="5" xr3:uid="{756FBFDE-F7CE-4A77-8DFC-3882A0607CB2}" uniqueName="5" name="Description" queryTableFieldId="5"/>
    <tableColumn id="6" xr3:uid="{10B905AD-6EE4-43CE-9723-947A41A7CB14}" uniqueName="6" name="AppliesTo" queryTableFieldId="6" dataDxfId="70"/>
    <tableColumn id="7" xr3:uid="{ECC3AC4F-6CFC-4029-8551-B5ABD0B51FFD}" uniqueName="7" name="EditableBySecretary" queryTableFieldId="7"/>
    <tableColumn id="8" xr3:uid="{2E9DADE0-69F3-43E5-B28B-6E814FA2C8A1}" uniqueName="8" name="Note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E4C4D22-8FBA-40DF-9C2F-89743B290A3B}" name="Static_Season_Config" displayName="Static_Season_Config" ref="A1:H46" totalsRowShown="0" headerRowDxfId="718" dataDxfId="716" headerRowBorderDxfId="717">
  <autoFilter ref="A1:H46" xr:uid="{CE4C4D22-8FBA-40DF-9C2F-89743B290A3B}"/>
  <sortState xmlns:xlrd2="http://schemas.microsoft.com/office/spreadsheetml/2017/richdata2" ref="A2:K46">
    <sortCondition ref="J2:J46"/>
    <sortCondition ref="K2:K46"/>
  </sortState>
  <tableColumns count="8">
    <tableColumn id="8" xr3:uid="{F75FB206-31CE-4F6D-924D-03E6289056F0}" name="SeasonKey" dataDxfId="715"/>
    <tableColumn id="1" xr3:uid="{4BA0866B-C6A2-4000-8A93-308135C23398}" name="SettingKey" dataDxfId="714"/>
    <tableColumn id="2" xr3:uid="{B7165EAC-51D1-49F3-9D82-06E7E42B6924}" name="SettingValue" dataDxfId="713"/>
    <tableColumn id="3" xr3:uid="{F68564AA-32D5-494D-A68D-1A30D3C3BACD}" name="ValueType" dataDxfId="712"/>
    <tableColumn id="6" xr3:uid="{F4E841C8-185F-4255-984E-5C624B4653A5}" name="EffectiveFrom" dataDxfId="711"/>
    <tableColumn id="7" xr3:uid="{C3FB9AED-8370-4372-8D81-9C76A049B96E}" name="EffectiveTo" dataDxfId="710"/>
    <tableColumn id="4" xr3:uid="{5EDFB7CF-FB34-4362-98F2-34B1C5CD8D9C}" name="Source" dataDxfId="709"/>
    <tableColumn id="5" xr3:uid="{EB093824-3527-4098-AF52-15C9CBE55A3E}" name="Notes" dataDxfId="70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5A257F-E00F-4ED4-8A3D-C8BE53CA2CA4}" name="PQ_Folders" displayName="PQ_Folders" ref="D1:E5" totalsRowShown="0" headerRowDxfId="707" dataDxfId="706">
  <autoFilter ref="D1:E5" xr:uid="{86DC7D14-5852-44EA-851B-588ECBA6602C}"/>
  <tableColumns count="2">
    <tableColumn id="1" xr3:uid="{731B205A-C1AD-4C7B-8FA2-C9EE103240E8}" name="Name" dataDxfId="705"/>
    <tableColumn id="2" xr3:uid="{A88306AB-2D6D-4AAB-993E-CF1C697B465E}" name="Value" dataDxfId="70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4ADF099-1A68-4C86-8664-D7225CAB4644}" name="Summary_New__Weekly_Stats" displayName="Summary_New__Weekly_Stats" ref="A1:L9" tableType="queryTable" totalsRowShown="0">
  <autoFilter ref="A1:L9" xr:uid="{94ADF099-1A68-4C86-8664-D7225CAB4644}"/>
  <tableColumns count="12">
    <tableColumn id="1" xr3:uid="{D3BC786C-DA5D-4B4C-BE12-07F7FA950C39}" uniqueName="1" name="SeasonYear" queryTableFieldId="1"/>
    <tableColumn id="2" xr3:uid="{B62C0FE8-7DFD-4986-AA39-80D04FB0323E}" uniqueName="2" name="MatchWeek" queryTableFieldId="2"/>
    <tableColumn id="11" xr3:uid="{A82FAB36-E072-4F64-83B6-5253C2B93FCE}" uniqueName="11" name="MatchDate" queryTableFieldId="11" dataDxfId="69"/>
    <tableColumn id="4" xr3:uid="{E2C49E5B-2242-4CFE-B145-F6E403B30110}" uniqueName="4" name="Player" queryTableFieldId="4"/>
    <tableColumn id="12" xr3:uid="{329335F7-ABE9-4EAD-A412-886687A79C9D}" uniqueName="12" name="PlayerKey" queryTableFieldId="12"/>
    <tableColumn id="3" xr3:uid="{813338CE-F524-4CD2-92B6-F7E3DE5D548A}" uniqueName="3" name="Gross" queryTableFieldId="16"/>
    <tableColumn id="5" xr3:uid="{832D622F-0C11-4C9B-A56E-D0631A01FA58}" uniqueName="5" name="Net" queryTableFieldId="17"/>
    <tableColumn id="6" xr3:uid="{9005E888-7AE4-451A-95DC-93FA1211DB7C}" uniqueName="6" name="PointsTotal" queryTableFieldId="18"/>
    <tableColumn id="7" xr3:uid="{455B63E1-F58F-408E-82AD-E5DA58C6EB3F}" uniqueName="7" name="BirdiesTotal" queryTableFieldId="19"/>
    <tableColumn id="8" xr3:uid="{BF447C47-C536-4174-B401-4CE6DFC10C96}" uniqueName="8" name="EaglesTotal" queryTableFieldId="20"/>
    <tableColumn id="9" xr3:uid="{AC55F5BA-EAEB-4406-BC23-E9C973A2C087}" uniqueName="9" name="DoubleEaglesTotal" queryTableFieldId="21"/>
    <tableColumn id="13" xr3:uid="{FFAFF02C-831A-47E9-A203-6B214BA459B9}" uniqueName="13" name="ExclScore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A06A36-8326-4891-93F5-1C9509ED92E2}" name="Summary_New__Team_Stats" displayName="Summary_New__Team_Stats" ref="A1:A2" tableType="queryTable" totalsRowShown="0">
  <autoFilter ref="A1:A2" xr:uid="{A4A06A36-8326-4891-93F5-1C9509ED92E2}"/>
  <tableColumns count="1">
    <tableColumn id="11" xr3:uid="{956796B2-8B0E-43BF-98E8-9210BE8AC7FF}" uniqueName="11" name="Summary_New__Team_Stats" queryTableFieldId="11" dataDxfId="70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3E7EBE0-378B-43E4-9547-80D62CFD11C7}" name="Summary_New__Player_Stats" displayName="Summary_New__Player_Stats" ref="A1:O9" tableType="queryTable" totalsRowShown="0">
  <autoFilter ref="A1:O9" xr:uid="{53E7EBE0-378B-43E4-9547-80D62CFD11C7}"/>
  <tableColumns count="15">
    <tableColumn id="1" xr3:uid="{8AB25700-C630-4324-80FC-7BD756926EE8}" uniqueName="1" name="SeasonYear" queryTableFieldId="1"/>
    <tableColumn id="2" xr3:uid="{9EE4C940-43CA-4B2B-8826-033F5D09E9D0}" uniqueName="2" name="Player" queryTableFieldId="2"/>
    <tableColumn id="13" xr3:uid="{09CABD12-B4CD-4998-9680-CF0C9EA65E27}" uniqueName="13" name="PlayerKey" queryTableFieldId="13"/>
    <tableColumn id="10" xr3:uid="{603687B8-A5C7-4387-B6A0-B345F61E3252}" uniqueName="10" name="AsOfMatchWeek" queryTableFieldId="27"/>
    <tableColumn id="11" xr3:uid="{723C3D0D-38AB-4DA2-A720-615F34B7A356}" uniqueName="11" name="AsOfMatchDate" queryTableFieldId="28" dataDxfId="68"/>
    <tableColumn id="3" xr3:uid="{D822032C-7134-4083-97DD-50F6312AFA58}" uniqueName="3" name="RoundsPlayed" queryTableFieldId="3"/>
    <tableColumn id="6" xr3:uid="{F356D27C-1251-4EFC-A130-DE4E586DC333}" uniqueName="6" name="TotalPoints" queryTableFieldId="6"/>
    <tableColumn id="7" xr3:uid="{18BFBE85-B98D-4F2D-80AD-A1A590545A51}" uniqueName="7" name="AvgPoints" queryTableFieldId="7"/>
    <tableColumn id="4" xr3:uid="{BF336BBA-2471-4034-9696-4EBE7F8141CC}" uniqueName="4" name="AvgGross" queryTableFieldId="4"/>
    <tableColumn id="5" xr3:uid="{29C8BB80-E002-4A4F-B2A0-9D4E6C4FAD94}" uniqueName="5" name="AvgNet" queryTableFieldId="5"/>
    <tableColumn id="8" xr3:uid="{68BA2B8F-FFD7-4939-A08D-0A0F7CAE11E8}" uniqueName="8" name="LowGross" queryTableFieldId="8"/>
    <tableColumn id="9" xr3:uid="{3773AB32-C8AF-491C-B0E6-169D556E0418}" uniqueName="9" name="LowNet" queryTableFieldId="9"/>
    <tableColumn id="19" xr3:uid="{E58A1A2E-DE51-4342-834A-A7AAD51D2EA9}" uniqueName="19" name="TotBirdies" queryTableFieldId="24"/>
    <tableColumn id="20" xr3:uid="{9AA13E4F-0E20-402A-B315-C26D40338764}" uniqueName="20" name="TotEagles" queryTableFieldId="25"/>
    <tableColumn id="21" xr3:uid="{6254C822-3563-4C20-9640-DB970DD1B58E}" uniqueName="21" name="TotDoubleEagles" queryTableFieldId="2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8F27C80-DD0C-4B44-9742-C75F3B1EA0A1}" name="Summary_New__Matches" displayName="Summary_New__Matches" ref="A1:U9" tableType="queryTable" totalsRowShown="0">
  <autoFilter ref="A1:U9" xr:uid="{98F27C80-DD0C-4B44-9742-C75F3B1EA0A1}"/>
  <tableColumns count="21">
    <tableColumn id="1" xr3:uid="{77DF23D2-C94B-4FB3-BDE8-2CF672A3C9A2}" uniqueName="1" name="SeasonYear" queryTableFieldId="1"/>
    <tableColumn id="2" xr3:uid="{508FADA6-1411-41B5-BC5F-8CDEB708DF90}" uniqueName="2" name="MatchWeek" queryTableFieldId="2"/>
    <tableColumn id="3" xr3:uid="{BC5DB5FE-CE61-4B1D-B194-ECA6B6FD83E7}" uniqueName="3" name="MatchDate" queryTableFieldId="3" dataDxfId="67"/>
    <tableColumn id="4" xr3:uid="{24411341-441E-46C7-B896-066CDCF90D4D}" uniqueName="4" name="Team" queryTableFieldId="4"/>
    <tableColumn id="5" xr3:uid="{7F0EDFCC-58EA-471B-A0A3-8AEDFCF738E4}" uniqueName="5" name="Opponent" queryTableFieldId="5"/>
    <tableColumn id="6" xr3:uid="{67B253F2-276C-435A-B823-10A3D839561B}" uniqueName="6" name="Player" queryTableFieldId="6"/>
    <tableColumn id="13" xr3:uid="{601DB8BA-58C9-4B78-A2E6-732B2EC706BE}" uniqueName="13" name="PlayerKey" queryTableFieldId="13"/>
    <tableColumn id="7" xr3:uid="{24AA0AEA-0CFD-44C4-AC00-5B1B5635F700}" uniqueName="7" name="PositionPlayed" queryTableFieldId="7"/>
    <tableColumn id="8" xr3:uid="{FBA57EAF-C82F-4908-A972-F8F19F6A12FE}" uniqueName="8" name="Side" queryTableFieldId="8"/>
    <tableColumn id="9" xr3:uid="{810F0901-BAB4-4AAC-AABC-1789B3B87795}" uniqueName="9" name="Course" queryTableFieldId="9"/>
    <tableColumn id="10" xr3:uid="{66A8C6FD-0A2C-4DDD-A3E5-73A5CFE88C6E}" uniqueName="10" name="MatchCompletedInd" queryTableFieldId="10"/>
    <tableColumn id="12" xr3:uid="{02FB6095-93A3-4C28-9C77-03777B431A0B}" uniqueName="12" name="ForfeitFlag" queryTableFieldId="12"/>
    <tableColumn id="14" xr3:uid="{05D37B92-08D4-45A8-8E18-359F78A59E66}" uniqueName="14" name="BlindDrawType" queryTableFieldId="14"/>
    <tableColumn id="15" xr3:uid="{08AC2C7D-D8EE-4BA9-82DF-07C8E2861CFF}" uniqueName="15" name="ReportingCaptainApproved" queryTableFieldId="16"/>
    <tableColumn id="16" xr3:uid="{C3E6618E-E426-4E85-A21F-29891D2E84E9}" uniqueName="16" name="OpposingCaptainApproved" queryTableFieldId="17"/>
    <tableColumn id="17" xr3:uid="{46889872-B369-4486-9B54-E34A1E7C7C02}" uniqueName="17" name="IsCorrection" queryTableFieldId="18"/>
    <tableColumn id="18" xr3:uid="{508CAB7C-857B-4EBD-A46F-C1C7926285EA}" uniqueName="18" name="CorrectionReason" queryTableFieldId="19"/>
    <tableColumn id="19" xr3:uid="{F9DA3EE6-52F5-4939-A5F6-08B06F212820}" uniqueName="19" name="CorrectionEnteredBy" queryTableFieldId="20"/>
    <tableColumn id="20" xr3:uid="{E08F80EB-F74B-45B6-B298-2EF4CAA3B2D8}" uniqueName="20" name="CorrectionDate" queryTableFieldId="21" dataDxfId="66"/>
    <tableColumn id="21" xr3:uid="{E2203FC5-C365-49C1-B80F-3D07CFA5E7A1}" uniqueName="21" name="CaptainReapproved" queryTableFieldId="22"/>
    <tableColumn id="22" xr3:uid="{5F2520C0-B589-4866-BFF1-4DDF7F78A474}" uniqueName="22" name="ApprovalStatus" queryTableField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3C1C011-57A5-4472-9B9D-2DF4FA2E4D6A}" name="Summary_New__Handicaps" displayName="Summary_New__Handicaps" ref="A1:H2" tableType="queryTable" insertRow="1" totalsRowShown="0">
  <autoFilter ref="A1:H2" xr:uid="{93C1C011-57A5-4472-9B9D-2DF4FA2E4D6A}"/>
  <tableColumns count="8">
    <tableColumn id="5" xr3:uid="{A6E380D7-1ADD-4573-9792-AC5D457EAC4D}" uniqueName="5" name="SeasonYear" queryTableFieldId="20"/>
    <tableColumn id="1" xr3:uid="{3F999450-EDF3-4B56-B072-CBA6E71F5672}" uniqueName="1" name="Player" queryTableFieldId="1"/>
    <tableColumn id="9" xr3:uid="{669AB0B5-D123-421B-95CE-A2B0B7071572}" uniqueName="9" name="PlayerKey" queryTableFieldId="9"/>
    <tableColumn id="2" xr3:uid="{CEC66CB3-CA9A-41F8-86DB-B05313128E42}" uniqueName="2" name="EstablishedHcp" queryTableFieldId="2"/>
    <tableColumn id="3" xr3:uid="{1D9D0F48-91A0-45F0-9CE9-9CD0F77122BA}" uniqueName="3" name="Handicap" queryTableFieldId="3"/>
    <tableColumn id="10" xr3:uid="{C0C7339C-E305-466C-A6FD-71F54ADDA7C1}" uniqueName="10" name="HandicapCalcBasis" queryTableFieldId="10"/>
    <tableColumn id="11" xr3:uid="{4CA053FA-737E-43EE-B473-8CD398DABBB6}" uniqueName="11" name="HandicapRounds" queryTableFieldId="11"/>
    <tableColumn id="7" xr3:uid="{97DEAC6E-01B7-491D-ADCE-E0D82F6DE853}" uniqueName="7" name="SeasonRoundsPlayed" queryTableField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ECB0B9-C48A-414F-86FA-276A9EB04C31}" name="Summary_New__Players" displayName="Summary_New__Players" ref="A1:K9" tableType="queryTable" totalsRowShown="0">
  <autoFilter ref="A1:K9" xr:uid="{1EECB0B9-C48A-414F-86FA-276A9EB04C31}"/>
  <tableColumns count="11">
    <tableColumn id="10" xr3:uid="{1F8E316D-84DF-4D00-86DC-E210553DF212}" uniqueName="10" name="SeasonYear" queryTableFieldId="10"/>
    <tableColumn id="1" xr3:uid="{04ED56FE-BC52-42B3-8247-4BC4A1F34E0A}" uniqueName="1" name="Player" queryTableFieldId="1"/>
    <tableColumn id="11" xr3:uid="{ADEEDBE5-518C-48AA-BD0F-951CB0CCEF05}" uniqueName="11" name="PlayerKey" queryTableFieldId="11"/>
    <tableColumn id="2" xr3:uid="{3A13B6A1-0013-43A5-AD80-75E7A0C091C2}" uniqueName="2" name="Team" queryTableFieldId="2"/>
    <tableColumn id="3" xr3:uid="{EB116A7E-4FC0-4A4D-8D81-9BDBEAF42D3E}" uniqueName="3" name="ActiveStatus" queryTableFieldId="3"/>
    <tableColumn id="4" xr3:uid="{55DF8638-C891-42E8-B7EC-2A01AD972DB8}" uniqueName="4" name="IsCaptain" queryTableFieldId="4"/>
    <tableColumn id="5" xr3:uid="{8DEB100A-439F-4007-B5F5-BF2666339697}" uniqueName="5" name="Tee" queryTableFieldId="5"/>
    <tableColumn id="6" xr3:uid="{728D9FBE-AEB6-4ABA-A506-DE6D7C3DFBC6}" uniqueName="6" name="RosterStartDate" queryTableFieldId="6" dataDxfId="65"/>
    <tableColumn id="7" xr3:uid="{A9111FA9-47D9-494B-9276-681B14737EA4}" uniqueName="7" name="RosterEndDate" queryTableFieldId="7" dataDxfId="64"/>
    <tableColumn id="9" xr3:uid="{C116CB87-2B40-457F-AEE1-777FE6CF7A6D}" uniqueName="9" name="PlayerPhone" queryTableFieldId="9"/>
    <tableColumn id="8" xr3:uid="{9557566F-BC88-4660-92CC-DD439FA83E78}" uniqueName="8" name="PlayerEmail" queryTableFieldId="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DEE290B-3628-437C-8D9B-F56E44F2EDFD}" name="Summary_New__Teams" displayName="Summary_New__Teams" ref="A1:K3" tableType="queryTable" totalsRowShown="0">
  <autoFilter ref="A1:K3" xr:uid="{8DEE290B-3628-437C-8D9B-F56E44F2EDFD}"/>
  <tableColumns count="11">
    <tableColumn id="1" xr3:uid="{C26EBA4D-AF31-4865-960A-7453C5D6DD6E}" uniqueName="1" name="SeasonYear" queryTableFieldId="1"/>
    <tableColumn id="2" xr3:uid="{B8634B66-1212-436B-A338-5C45E46800F4}" uniqueName="2" name="Team" queryTableFieldId="2"/>
    <tableColumn id="12" xr3:uid="{4104D2C1-B585-432A-ACD3-99981E2C63C0}" uniqueName="12" name="TeamKey" queryTableFieldId="12"/>
    <tableColumn id="13" xr3:uid="{4C4B19FE-8069-452F-8B58-EFB514BBC536}" uniqueName="13" name="Captain" queryTableFieldId="13"/>
    <tableColumn id="16" xr3:uid="{5A84076B-1024-44EC-8374-D1F3792BBC3B}" uniqueName="16" name="TeamPoints" queryTableFieldId="16"/>
    <tableColumn id="17" xr3:uid="{8BB71CEE-6FCD-47DF-806D-17416FE32B64}" uniqueName="17" name="TeamWins" queryTableFieldId="17"/>
    <tableColumn id="18" xr3:uid="{A8FEF2B8-961A-4CC6-BB03-1AA42C5F1C36}" uniqueName="18" name="TeamLosses" queryTableFieldId="18"/>
    <tableColumn id="19" xr3:uid="{A6FC1DF1-48EE-4069-8186-E03769EF02A6}" uniqueName="19" name="TeamTies" queryTableFieldId="19"/>
    <tableColumn id="9" xr3:uid="{349D3848-E2EB-437B-91B8-477B79DB0CB9}" uniqueName="9" name="LowTeamNet" queryTableFieldId="9"/>
    <tableColumn id="10" xr3:uid="{B9D5DC43-034A-4E38-807C-AAF3ABDE42C1}" uniqueName="10" name="HighTeamPoints" queryTableFieldId="10"/>
    <tableColumn id="11" xr3:uid="{18FC473C-0AF8-429A-8A96-42838A0814F1}" uniqueName="11" name="CurrentlyInPlayoffs" queryTableFieldId="1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B1CBB53-A97C-425B-825F-E82064EFB06A}" name="Summary_New__Season" displayName="Summary_New__Season" ref="A1:G2" tableType="queryTable" totalsRowShown="0">
  <autoFilter ref="A1:G2" xr:uid="{2B1CBB53-A97C-425B-825F-E82064EFB06A}"/>
  <tableColumns count="7">
    <tableColumn id="1" xr3:uid="{81CF093D-2F86-4217-9FC4-9C3A0B786996}" uniqueName="1" name="LeagueName" queryTableFieldId="1" dataDxfId="702"/>
    <tableColumn id="2" xr3:uid="{EFF3CA1F-37F9-4189-8132-29EB5074F7F1}" uniqueName="2" name="SeasonYear" queryTableFieldId="2"/>
    <tableColumn id="3" xr3:uid="{CAF5C557-2E9C-4C6E-8ED1-B1BD6DF1DD06}" uniqueName="3" name="MatchWeek" queryTableFieldId="3"/>
    <tableColumn id="4" xr3:uid="{3102E857-25AA-46E8-B4F4-A1E0E25AC886}" uniqueName="4" name="MatchDate" queryTableFieldId="4" dataDxfId="63"/>
    <tableColumn id="5" xr3:uid="{51549DAF-2683-4B10-BA6B-2CBD682E5AA2}" uniqueName="5" name="SeasonRoundsPlanned" queryTableFieldId="5"/>
    <tableColumn id="6" xr3:uid="{7AA7D0C8-8545-4DA7-B47C-A422E8067683}" uniqueName="6" name="Eligibility_MinPctRounds" queryTableFieldId="6"/>
    <tableColumn id="7" xr3:uid="{2253860D-9A8C-4F08-AAAB-D84204CE337C}" uniqueName="7" name="SeasonStatus" queryTableFieldId="7" dataDxfId="70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998B1F-6965-449F-8E9D-4CDF5A312996}" name="Indiv_Results_Holes_1" displayName="Indiv_Results_Holes_1" ref="A1:U146" tableType="queryTable" totalsRowCount="1">
  <autoFilter ref="A1:U145" xr:uid="{8E998B1F-6965-449F-8E9D-4CDF5A312996}"/>
  <tableColumns count="21">
    <tableColumn id="1" xr3:uid="{9564F370-0E4D-4450-B19B-1515A1950F76}" uniqueName="1" name="SourceFile" queryTableFieldId="1" dataDxfId="62"/>
    <tableColumn id="18" xr3:uid="{E15C5436-D956-4B06-A7DD-D06F2717BE27}" uniqueName="18" name="SeasonYear" queryTableFieldId="19"/>
    <tableColumn id="22" xr3:uid="{24F83C6C-4D35-4AB1-8C3C-B6A95EAD0909}" uniqueName="22" name="MatchWeek" queryTableFieldId="27" dataDxfId="61"/>
    <tableColumn id="23" xr3:uid="{1FC07FC5-4FD5-427A-BA10-14830954807E}" uniqueName="23" name="MatchDate" queryTableFieldId="28" dataDxfId="60"/>
    <tableColumn id="24" xr3:uid="{C12E5356-4969-4358-9F55-AAA56122B417}" uniqueName="24" name="IndivMatchKey" queryTableFieldId="29"/>
    <tableColumn id="4" xr3:uid="{53E3E1CA-E8AA-423E-96AB-1093AFC23A69}" uniqueName="4" name="Side" queryTableFieldId="4" dataDxfId="59"/>
    <tableColumn id="5" xr3:uid="{1DEFA910-6D01-40ED-9F22-B57CA6043582}" uniqueName="5" name="Team" queryTableFieldId="5" dataDxfId="58"/>
    <tableColumn id="20" xr3:uid="{007FCBD9-1DA2-42F7-9834-A5E7E808143A}" uniqueName="20" name="TeamKey" queryTableFieldId="21"/>
    <tableColumn id="6" xr3:uid="{34696E08-ADBA-488C-A310-95F971E9E932}" uniqueName="6" name="Opponent" queryTableFieldId="6" dataDxfId="57"/>
    <tableColumn id="7" xr3:uid="{300D80DB-E15B-404E-8438-CEE35C515EEF}" uniqueName="7" name="Position" queryTableFieldId="7" dataDxfId="56"/>
    <tableColumn id="8" xr3:uid="{A7243E54-8FB5-4726-846C-4CE9E1816BCB}" uniqueName="8" name="Player" queryTableFieldId="8" dataDxfId="55"/>
    <tableColumn id="21" xr3:uid="{C69CB9B1-5B52-4E11-BBE3-6EB4903030BF}" uniqueName="21" name="PlayerKey" queryTableFieldId="22"/>
    <tableColumn id="9" xr3:uid="{6617B548-3E3D-4909-AAA5-34463672D3AC}" uniqueName="9" name="Hole" queryTableFieldId="9"/>
    <tableColumn id="12" xr3:uid="{B6EAF80C-DD00-4EED-B7E7-CC425BE4B2D2}" uniqueName="12" name="Score" queryTableFieldId="12"/>
    <tableColumn id="10" xr3:uid="{DEF2A5F4-9732-4660-BBA3-1D32A7C5968B}" uniqueName="10" name="Par" queryTableFieldId="10"/>
    <tableColumn id="11" xr3:uid="{5A4A2BB8-0794-40B2-B497-AC3896976B83}" uniqueName="11" name="Hcp" queryTableFieldId="11"/>
    <tableColumn id="13" xr3:uid="{EC034CD7-40B1-4F9D-B9E5-64A6C5033EEA}" uniqueName="13" name="NetScore" queryTableFieldId="13"/>
    <tableColumn id="14" xr3:uid="{E95968DB-0A26-4BC7-8CE4-4E0D216EF5CE}" uniqueName="14" name="Bird" queryTableFieldId="14"/>
    <tableColumn id="15" xr3:uid="{879FB018-1A91-474D-9B3B-F44F338FA34B}" uniqueName="15" name="Eagle" queryTableFieldId="15"/>
    <tableColumn id="16" xr3:uid="{F0CE58FC-78F5-49D0-97FA-3CD4D3DAB135}" uniqueName="16" name="DoubleEagle" queryTableFieldId="16"/>
    <tableColumn id="17" xr3:uid="{6CB082B3-2D45-4AC0-A44B-78F2C9EC4E97}" uniqueName="17" name="Points" queryTableFieldId="1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6CE9F15-24AA-4207-8570-65E199FE3B6F}" name="Indiv_Results_Staging" displayName="Indiv_Results_Staging" ref="A1:U9" tableType="queryTable" totalsRowShown="0">
  <autoFilter ref="A1:U9" xr:uid="{86CE9F15-24AA-4207-8570-65E199FE3B6F}"/>
  <tableColumns count="21">
    <tableColumn id="6" xr3:uid="{8F63F9CE-B653-4F92-9225-1E69B5A772E6}" uniqueName="6" name="SourceFile" queryTableFieldId="21"/>
    <tableColumn id="18" xr3:uid="{28F6F1D7-5452-43F7-82D8-BE1F02610800}" uniqueName="18" name="SeasonYear" queryTableFieldId="39"/>
    <tableColumn id="1" xr3:uid="{8F8C85AB-9B8D-4FF5-BB0C-F0CA1AC014F2}" uniqueName="1" name="MatchWeek" queryTableFieldId="35"/>
    <tableColumn id="2" xr3:uid="{C87CCF86-5F53-4894-844B-F25AEE00C6F1}" uniqueName="2" name="MatchDate" queryTableFieldId="36" dataDxfId="54"/>
    <tableColumn id="21" xr3:uid="{50AC4A4D-8808-4B90-BD64-33FF11AD7125}" uniqueName="21" name="IndivMatchKey" queryTableFieldId="45"/>
    <tableColumn id="7" xr3:uid="{6212CDF0-7BF9-4032-9ABA-25DA7E114C79}" uniqueName="7" name="Side" queryTableFieldId="22"/>
    <tableColumn id="3" xr3:uid="{B9E56C5C-AF61-4930-8471-7F1B44C40AEE}" uniqueName="3" name="Team" queryTableFieldId="3"/>
    <tableColumn id="22" xr3:uid="{F6AC8D55-8DF4-49E9-A373-FDA278E0DBAA}" uniqueName="22" name="TeamKey" queryTableFieldId="46"/>
    <tableColumn id="4" xr3:uid="{2EAF0C97-9B48-4446-B89C-26F3D9DF0513}" uniqueName="4" name="Opponent" queryTableFieldId="4"/>
    <tableColumn id="8" xr3:uid="{9F08CE17-FB6A-4548-B264-6611E2C04FFA}" uniqueName="8" name="Position" queryTableFieldId="23"/>
    <tableColumn id="5" xr3:uid="{0EAC61F3-703C-4AD2-8DF0-541F862C8CDE}" uniqueName="5" name="Player" queryTableFieldId="5"/>
    <tableColumn id="20" xr3:uid="{5B929738-C2DD-4CD6-A38E-BDF66D942388}" uniqueName="20" name="PlayerKey" queryTableFieldId="43"/>
    <tableColumn id="10" xr3:uid="{F87AA6CC-0B5C-4177-B7D2-E23A611849AE}" uniqueName="10" name="Gross" queryTableFieldId="10"/>
    <tableColumn id="9" xr3:uid="{838D08B0-4C12-454F-AC57-4FA731D82E49}" uniqueName="9" name="Hdcp" queryTableFieldId="24"/>
    <tableColumn id="11" xr3:uid="{9E2C2E2C-376E-421E-861D-29B53EE30D85}" uniqueName="11" name="Net" queryTableFieldId="11"/>
    <tableColumn id="12" xr3:uid="{7D36A481-D9CE-4EAC-86E2-E86DFE05D4E8}" uniqueName="12" name="BirdiesTotal" queryTableFieldId="25"/>
    <tableColumn id="13" xr3:uid="{190D5DCB-F1E4-4963-BAF8-46B13573176C}" uniqueName="13" name="EaglesTotal" queryTableFieldId="26"/>
    <tableColumn id="14" xr3:uid="{B06FA80A-3A20-45D7-AB8F-52DF9A99897F}" uniqueName="14" name="DoubleEaglesTotal" queryTableFieldId="27"/>
    <tableColumn id="15" xr3:uid="{7601250D-9ADA-47E8-8408-D96792D6C2AF}" uniqueName="15" name="NetPoints" queryTableFieldId="28"/>
    <tableColumn id="16" xr3:uid="{8B7C605F-ADEA-4504-935F-D90805E1498A}" uniqueName="16" name="PointsTotal" queryTableFieldId="29"/>
    <tableColumn id="17" xr3:uid="{9038C5A7-0947-40D7-83A5-03EFA5A8B7AA}" uniqueName="17" name="ExclScore" queryTableFieldId="3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D40A577-8286-4748-9621-95364DB36821}" name="Upload_Indiv_Raw" displayName="Upload_Indiv_Raw" ref="A1:FE9" tableType="queryTable" totalsRowShown="0">
  <autoFilter ref="A1:FE9" xr:uid="{9D40A577-8286-4748-9621-95364DB36821}"/>
  <tableColumns count="161">
    <tableColumn id="1" xr3:uid="{64400AB0-C1F7-4C44-87A9-EAC746DD596A}" uniqueName="1" name="SourceFile" queryTableFieldId="1" dataDxfId="53"/>
    <tableColumn id="2" xr3:uid="{946933A6-1A8E-4825-ADF3-15B447A52F5D}" uniqueName="2" name="Week" queryTableFieldId="2" dataDxfId="52"/>
    <tableColumn id="3" xr3:uid="{4D673A1D-11D3-4316-BD73-60264A4DBD9B}" uniqueName="3" name="Date" queryTableFieldId="3" dataDxfId="51"/>
    <tableColumn id="4" xr3:uid="{E8A49498-BF1F-4459-9624-B75069C2E8D6}" uniqueName="4" name="Side" queryTableFieldId="4" dataDxfId="50"/>
    <tableColumn id="5" xr3:uid="{EAA41177-2FB4-484B-9B66-378559FCE683}" uniqueName="5" name="Team" queryTableFieldId="5" dataDxfId="49"/>
    <tableColumn id="6" xr3:uid="{5C439FBB-4319-4011-85F3-B54603AA41E5}" uniqueName="6" name="Opponent" queryTableFieldId="6" dataDxfId="48"/>
    <tableColumn id="7" xr3:uid="{963EA4AF-61A4-41F5-B78E-E38B213669D7}" uniqueName="7" name="Position" queryTableFieldId="7" dataDxfId="47"/>
    <tableColumn id="8" xr3:uid="{656D177B-797D-4DDF-8082-3076DDD680E6}" uniqueName="8" name="Player" queryTableFieldId="8" dataDxfId="46"/>
    <tableColumn id="9" xr3:uid="{C798B417-6E62-4C45-922E-0EBD252A2165}" uniqueName="9" name="Gross" queryTableFieldId="9" dataDxfId="45"/>
    <tableColumn id="10" xr3:uid="{CE28E92E-AA9A-4B52-A5F5-CB55E88080FD}" uniqueName="10" name="Hdcp" queryTableFieldId="10" dataDxfId="44"/>
    <tableColumn id="11" xr3:uid="{D7B08364-AF39-456F-885C-054F9B4D2B48}" uniqueName="11" name="Net" queryTableFieldId="11" dataDxfId="43"/>
    <tableColumn id="12" xr3:uid="{9B2B11C5-41DB-431D-A2F2-E854567E43D5}" uniqueName="12" name="PointsNet" queryTableFieldId="12" dataDxfId="42"/>
    <tableColumn id="13" xr3:uid="{8AD51F0B-DF83-42AE-AF26-65F6ED5A795A}" uniqueName="13" name="PointsTot" queryTableFieldId="13" dataDxfId="41"/>
    <tableColumn id="14" xr3:uid="{B606C3BB-1A64-48C7-A291-1DF1D6EDF3EF}" uniqueName="14" name="Tot_Birdies" queryTableFieldId="14"/>
    <tableColumn id="15" xr3:uid="{9C7B8766-663B-4365-9845-00E966B1FE81}" uniqueName="15" name="Tot_Eagles" queryTableFieldId="15"/>
    <tableColumn id="16" xr3:uid="{05010768-EF9C-4433-B9B0-C53B52F2B359}" uniqueName="16" name="Tot_DoubleEagles" queryTableFieldId="16"/>
    <tableColumn id="17" xr3:uid="{3E3AF9A9-1981-4FB6-A867-D2DDBAB34646}" uniqueName="17" name="ExclScore" queryTableFieldId="17" dataDxfId="40"/>
    <tableColumn id="18" xr3:uid="{C200A570-A4BF-4FD3-BC3A-48961C1E72F3}" uniqueName="18" name="Score_01" queryTableFieldId="18" dataDxfId="39"/>
    <tableColumn id="19" xr3:uid="{243CE503-7A24-424B-895A-99FF209A7DEF}" uniqueName="19" name="Score_02" queryTableFieldId="19" dataDxfId="38"/>
    <tableColumn id="20" xr3:uid="{16F3064F-4396-4459-9D96-3B7EC3E27B04}" uniqueName="20" name="Score_03" queryTableFieldId="20" dataDxfId="37"/>
    <tableColumn id="21" xr3:uid="{1FCB35FB-C93C-4DAA-91D8-518D096E9503}" uniqueName="21" name="Score_04" queryTableFieldId="21" dataDxfId="36"/>
    <tableColumn id="22" xr3:uid="{4E8FF824-E4E8-4BAA-9933-E8BA544A85BC}" uniqueName="22" name="Score_05" queryTableFieldId="22" dataDxfId="35"/>
    <tableColumn id="23" xr3:uid="{874218E1-4260-49F9-88FF-992FF06E9C82}" uniqueName="23" name="Score_06" queryTableFieldId="23" dataDxfId="34"/>
    <tableColumn id="24" xr3:uid="{F2FD984B-3999-4866-967F-8D8A60EB9D9D}" uniqueName="24" name="Score_07" queryTableFieldId="24" dataDxfId="33"/>
    <tableColumn id="25" xr3:uid="{52819C6C-40CC-4FB1-8944-7A3CBD54061E}" uniqueName="25" name="Score_08" queryTableFieldId="25" dataDxfId="32"/>
    <tableColumn id="26" xr3:uid="{9BE2A687-BBF3-4C65-B972-A8D3FDF0F72F}" uniqueName="26" name="Score_09" queryTableFieldId="26" dataDxfId="31"/>
    <tableColumn id="27" xr3:uid="{77A5A524-A48A-4C50-A4CD-13373B33EB85}" uniqueName="27" name="Score_10" queryTableFieldId="27"/>
    <tableColumn id="28" xr3:uid="{B6ABAF80-67D8-48CE-BCFB-6943DDB8624D}" uniqueName="28" name="Score_11" queryTableFieldId="28"/>
    <tableColumn id="29" xr3:uid="{4AD37015-AE4B-404F-821A-E7EC295AAEE4}" uniqueName="29" name="Score_12" queryTableFieldId="29"/>
    <tableColumn id="30" xr3:uid="{26EE3C9B-DF15-43D7-B404-8A45D514495C}" uniqueName="30" name="Score_13" queryTableFieldId="30"/>
    <tableColumn id="31" xr3:uid="{13EA11CF-D4E1-41AF-802B-9A38302FBB45}" uniqueName="31" name="Score_14" queryTableFieldId="31"/>
    <tableColumn id="32" xr3:uid="{7E4B6CC2-9086-4CC0-8E4D-E7F48900DFA1}" uniqueName="32" name="Score_15" queryTableFieldId="32"/>
    <tableColumn id="33" xr3:uid="{DA627644-FDB5-4426-9E95-DC467D496C51}" uniqueName="33" name="Score_16" queryTableFieldId="33"/>
    <tableColumn id="34" xr3:uid="{24AE3AD8-BC3A-4D88-AA22-EDBA9D652C18}" uniqueName="34" name="Score_17" queryTableFieldId="34"/>
    <tableColumn id="35" xr3:uid="{94B48008-675B-47A2-B145-80D40F820AFE}" uniqueName="35" name="Score_18" queryTableFieldId="35"/>
    <tableColumn id="36" xr3:uid="{EF8FB0B8-6571-48E6-92DF-67955142A903}" uniqueName="36" name="Par_01" queryTableFieldId="36"/>
    <tableColumn id="37" xr3:uid="{B0661C3A-2A84-42F1-859D-505B3CCFC004}" uniqueName="37" name="Par_02" queryTableFieldId="37"/>
    <tableColumn id="38" xr3:uid="{B0A39D28-DC35-4B5B-8B76-9CCDCF88EDEE}" uniqueName="38" name="Par_03" queryTableFieldId="38"/>
    <tableColumn id="39" xr3:uid="{72E618E7-8BEC-45CD-9FA8-1080EC441A90}" uniqueName="39" name="Par_04" queryTableFieldId="39"/>
    <tableColumn id="40" xr3:uid="{595C5C64-FACF-4023-BFCD-3D33395D4DF4}" uniqueName="40" name="Par_05" queryTableFieldId="40"/>
    <tableColumn id="41" xr3:uid="{A19A60A2-F118-4256-B69B-5CCD09364F47}" uniqueName="41" name="Par_06" queryTableFieldId="41"/>
    <tableColumn id="42" xr3:uid="{A78167F8-1ABF-44AC-93AA-293FB8CA23A0}" uniqueName="42" name="Par_07" queryTableFieldId="42"/>
    <tableColumn id="43" xr3:uid="{AE96765D-FF1D-449A-BF9F-6025D9DE0B83}" uniqueName="43" name="Par_08" queryTableFieldId="43"/>
    <tableColumn id="44" xr3:uid="{7A3661ED-F740-4C9E-BE5B-CBCD6A2D34C9}" uniqueName="44" name="Par_09" queryTableFieldId="44"/>
    <tableColumn id="45" xr3:uid="{7EF699FA-EBED-4A30-9201-B55DEFAA9ECD}" uniqueName="45" name="Par_10" queryTableFieldId="45"/>
    <tableColumn id="46" xr3:uid="{090E42A1-F5BA-4000-AE38-8FBBD61A7CD5}" uniqueName="46" name="Par_11" queryTableFieldId="46"/>
    <tableColumn id="47" xr3:uid="{A96211FB-BA92-4515-A821-61B7FC82CAF9}" uniqueName="47" name="Par_12" queryTableFieldId="47"/>
    <tableColumn id="48" xr3:uid="{78499ADE-AF66-4298-8DD4-A15247F09AEB}" uniqueName="48" name="Par_13" queryTableFieldId="48"/>
    <tableColumn id="49" xr3:uid="{C1B81867-0219-4A99-89A1-B838DB467362}" uniqueName="49" name="Par_14" queryTableFieldId="49"/>
    <tableColumn id="50" xr3:uid="{71A1FA8A-38CD-4CB6-8222-E80E0CA0050C}" uniqueName="50" name="Par_15" queryTableFieldId="50"/>
    <tableColumn id="51" xr3:uid="{0B2DC3ED-9070-4C71-BAB4-BC9509E6EDB3}" uniqueName="51" name="Par_16" queryTableFieldId="51"/>
    <tableColumn id="52" xr3:uid="{64060D5A-3812-4CB8-AF1B-E9D1EF86DC02}" uniqueName="52" name="Par_17" queryTableFieldId="52"/>
    <tableColumn id="53" xr3:uid="{54E9EBA1-A27F-41C4-887C-F7E6FB8D611A}" uniqueName="53" name="Par_18" queryTableFieldId="53"/>
    <tableColumn id="54" xr3:uid="{322663FE-D6AE-44A9-9FD8-624D086B0691}" uniqueName="54" name="Hcp_01" queryTableFieldId="54"/>
    <tableColumn id="55" xr3:uid="{2AA81F81-DEE3-4096-81C1-22C4F22C756D}" uniqueName="55" name="Hcp_02" queryTableFieldId="55"/>
    <tableColumn id="56" xr3:uid="{0E385445-EDCC-4C9C-B21C-F759D17A609F}" uniqueName="56" name="Hcp_03" queryTableFieldId="56"/>
    <tableColumn id="57" xr3:uid="{ACA617B2-D553-41AF-9176-285123F77144}" uniqueName="57" name="Hcp_04" queryTableFieldId="57"/>
    <tableColumn id="58" xr3:uid="{A2F5B068-453A-42AB-90F6-720A04B498FC}" uniqueName="58" name="Hcp_05" queryTableFieldId="58"/>
    <tableColumn id="59" xr3:uid="{EE52C70B-1BD2-40FB-A1DD-062A3C781AF9}" uniqueName="59" name="Hcp_06" queryTableFieldId="59"/>
    <tableColumn id="60" xr3:uid="{BE705CB6-52A4-46BB-A4E1-6EEE59982797}" uniqueName="60" name="Hcp_07" queryTableFieldId="60"/>
    <tableColumn id="61" xr3:uid="{F1DE8D89-A26B-49DE-B077-DB2EBDA9B6B5}" uniqueName="61" name="Hcp_08" queryTableFieldId="61"/>
    <tableColumn id="62" xr3:uid="{CCADC039-28A8-45D9-8A0F-AB16BD908ADF}" uniqueName="62" name="Hcp_09" queryTableFieldId="62"/>
    <tableColumn id="63" xr3:uid="{B0F4978D-B85D-40A8-A954-94FF38C83ECF}" uniqueName="63" name="Hcp_10" queryTableFieldId="63"/>
    <tableColumn id="64" xr3:uid="{9167A036-A6A1-492E-BF70-5A5553FEC3D9}" uniqueName="64" name="Hcp_11" queryTableFieldId="64"/>
    <tableColumn id="65" xr3:uid="{F232D6F3-5A7E-4EF2-A7A4-F48BB3E2E62E}" uniqueName="65" name="Hcp_12" queryTableFieldId="65"/>
    <tableColumn id="66" xr3:uid="{84DB92B5-E928-46FF-BB13-B17E15694AF8}" uniqueName="66" name="Hcp_13" queryTableFieldId="66"/>
    <tableColumn id="67" xr3:uid="{B6336B08-B6FF-410E-92C5-D9EE031D640A}" uniqueName="67" name="Hcp_14" queryTableFieldId="67"/>
    <tableColumn id="68" xr3:uid="{AD8446C9-6C77-4BB1-8B8A-727C4F5FC2D5}" uniqueName="68" name="Hcp_15" queryTableFieldId="68"/>
    <tableColumn id="69" xr3:uid="{985C6BC3-C47E-4076-A883-4EDD743FAF53}" uniqueName="69" name="Hcp_16" queryTableFieldId="69"/>
    <tableColumn id="70" xr3:uid="{63167B3D-25D8-423C-B7E9-D81D5A8D2FD4}" uniqueName="70" name="Hcp_17" queryTableFieldId="70"/>
    <tableColumn id="71" xr3:uid="{C3D67973-96FE-47A7-A3B4-8E5E29E2AD34}" uniqueName="71" name="Hcp_18" queryTableFieldId="71"/>
    <tableColumn id="72" xr3:uid="{C242A571-E4B4-44F2-A573-1D8316A72C2B}" uniqueName="72" name="Bird_01" queryTableFieldId="72" dataDxfId="30"/>
    <tableColumn id="73" xr3:uid="{B8CBD06E-F5A7-4F5E-94E0-1A01E509C06A}" uniqueName="73" name="Bird_02" queryTableFieldId="73" dataDxfId="29"/>
    <tableColumn id="74" xr3:uid="{48C24BC7-B2B8-408D-8916-7D648F8A844E}" uniqueName="74" name="Bird_03" queryTableFieldId="74" dataDxfId="28"/>
    <tableColumn id="75" xr3:uid="{B0AD1D4A-1D04-4B36-BE8C-8C62A73E7F99}" uniqueName="75" name="Bird_04" queryTableFieldId="75" dataDxfId="27"/>
    <tableColumn id="76" xr3:uid="{246C4CA1-823F-488A-B243-45992005153F}" uniqueName="76" name="Bird_05" queryTableFieldId="76" dataDxfId="26"/>
    <tableColumn id="77" xr3:uid="{8137727C-C6FF-429B-8CFD-EAE2B704039D}" uniqueName="77" name="Bird_06" queryTableFieldId="77" dataDxfId="25"/>
    <tableColumn id="78" xr3:uid="{C9F50EF2-885D-40B2-89D2-3A6F53DCBA8D}" uniqueName="78" name="Bird_07" queryTableFieldId="78" dataDxfId="24"/>
    <tableColumn id="79" xr3:uid="{97588DF7-0760-49AB-AA36-B736873FC06D}" uniqueName="79" name="Bird_08" queryTableFieldId="79" dataDxfId="23"/>
    <tableColumn id="80" xr3:uid="{1EA8D6F2-57CD-4BCD-83F0-318AF4EB5AD8}" uniqueName="80" name="Bird_09" queryTableFieldId="80" dataDxfId="22"/>
    <tableColumn id="81" xr3:uid="{D1D215DB-48FC-4784-8425-5C8DD958F36E}" uniqueName="81" name="Bird_10" queryTableFieldId="81"/>
    <tableColumn id="82" xr3:uid="{62396371-C292-491D-A6C7-165B48A12377}" uniqueName="82" name="Bird_11" queryTableFieldId="82"/>
    <tableColumn id="83" xr3:uid="{61D1AFA4-41A0-453B-8A79-B97B4944F651}" uniqueName="83" name="Bird_12" queryTableFieldId="83"/>
    <tableColumn id="84" xr3:uid="{F11A18B9-DE16-4ADD-A3CB-FC0C9D53B9ED}" uniqueName="84" name="Bird_13" queryTableFieldId="84"/>
    <tableColumn id="85" xr3:uid="{6C08F8C4-C708-4636-9916-946D058FD59F}" uniqueName="85" name="Bird_14" queryTableFieldId="85"/>
    <tableColumn id="86" xr3:uid="{EAFF8EC1-1EB1-4CE9-BAD8-3312ACA8DFE0}" uniqueName="86" name="Bird_15" queryTableFieldId="86"/>
    <tableColumn id="87" xr3:uid="{34544F2C-F64F-4A6F-BC50-C82A0AE58B2C}" uniqueName="87" name="Bird_16" queryTableFieldId="87"/>
    <tableColumn id="88" xr3:uid="{101B43CA-B632-411F-B3D7-92D66AAC4C7A}" uniqueName="88" name="Bird_17" queryTableFieldId="88"/>
    <tableColumn id="89" xr3:uid="{94509726-6EFD-405B-94CF-1D877D33591E}" uniqueName="89" name="Bird_18" queryTableFieldId="89"/>
    <tableColumn id="90" xr3:uid="{9A6AD39C-BEBC-4A08-8B0D-92483BF512ED}" uniqueName="90" name="Eagle_01" queryTableFieldId="90" dataDxfId="21"/>
    <tableColumn id="91" xr3:uid="{1B8302F7-3BEC-451B-9D92-81F5187CCDAC}" uniqueName="91" name="Eagle_02" queryTableFieldId="91" dataDxfId="20"/>
    <tableColumn id="92" xr3:uid="{38223121-84BF-4FAB-8648-96774CB064FF}" uniqueName="92" name="Eagle_03" queryTableFieldId="92" dataDxfId="19"/>
    <tableColumn id="93" xr3:uid="{DC94CE43-B7BC-4E45-B74A-685CB597918D}" uniqueName="93" name="Eagle_04" queryTableFieldId="93" dataDxfId="18"/>
    <tableColumn id="94" xr3:uid="{6EB35BFE-DBC8-46CC-950A-9D3C73A7C9CA}" uniqueName="94" name="Eagle_05" queryTableFieldId="94" dataDxfId="17"/>
    <tableColumn id="95" xr3:uid="{D53D34AF-763E-4C52-861B-64AF5739433B}" uniqueName="95" name="Eagle_06" queryTableFieldId="95" dataDxfId="16"/>
    <tableColumn id="96" xr3:uid="{4B60EC3D-1563-43B7-A395-BFBB74FC623B}" uniqueName="96" name="Eagle_07" queryTableFieldId="96" dataDxfId="15"/>
    <tableColumn id="97" xr3:uid="{7E33B445-319A-4F7C-B74D-BC17F2C807AA}" uniqueName="97" name="Eagle_08" queryTableFieldId="97" dataDxfId="14"/>
    <tableColumn id="98" xr3:uid="{22B6B857-E1E0-48A7-8660-7473FE3E08B2}" uniqueName="98" name="Eagle_09" queryTableFieldId="98" dataDxfId="13"/>
    <tableColumn id="99" xr3:uid="{6290C2B8-8489-45EA-B5D3-9F008B3B4F91}" uniqueName="99" name="Eagle_10" queryTableFieldId="99"/>
    <tableColumn id="100" xr3:uid="{2076CFCA-8809-4C7A-B433-FE10D2620A6C}" uniqueName="100" name="Eagle_11" queryTableFieldId="100"/>
    <tableColumn id="101" xr3:uid="{88E8B248-FE03-4507-90BF-036590A04A20}" uniqueName="101" name="Eagle_12" queryTableFieldId="101"/>
    <tableColumn id="102" xr3:uid="{76F6009D-FF9F-497D-8A7F-B76B1FCD5630}" uniqueName="102" name="Eagle_13" queryTableFieldId="102"/>
    <tableColumn id="103" xr3:uid="{A5DAD8AA-9639-4096-AA54-80DD94C0710C}" uniqueName="103" name="Eagle_14" queryTableFieldId="103"/>
    <tableColumn id="104" xr3:uid="{1BC32E22-AE61-4C93-B5CC-B6471AAF7918}" uniqueName="104" name="Eagle_15" queryTableFieldId="104"/>
    <tableColumn id="105" xr3:uid="{FF3727FE-B4E9-4959-BEAB-78CC089C9360}" uniqueName="105" name="Eagle_16" queryTableFieldId="105"/>
    <tableColumn id="106" xr3:uid="{DF91ACEA-DACB-4D2C-AE89-CAAE2960C7A3}" uniqueName="106" name="Eagle_17" queryTableFieldId="106"/>
    <tableColumn id="107" xr3:uid="{714D49DC-160C-49AE-9B18-3B9D97E52B53}" uniqueName="107" name="Eagle_18" queryTableFieldId="107"/>
    <tableColumn id="108" xr3:uid="{FB17AA58-4184-47B6-9F50-AD568C43A2D9}" uniqueName="108" name="DoubleEagle_01" queryTableFieldId="108"/>
    <tableColumn id="109" xr3:uid="{8D6AB957-F4C9-448F-8713-E1449E3B5B2A}" uniqueName="109" name="DoubleEagle_02" queryTableFieldId="109"/>
    <tableColumn id="110" xr3:uid="{FF57B803-9660-4D20-996B-0B10F39F5167}" uniqueName="110" name="DoubleEagle_03" queryTableFieldId="110"/>
    <tableColumn id="111" xr3:uid="{26342484-B385-4C45-AB62-74230531E039}" uniqueName="111" name="DoubleEagle_04" queryTableFieldId="111"/>
    <tableColumn id="112" xr3:uid="{77BE2D88-735E-499B-A4A7-DE98099E8830}" uniqueName="112" name="DoubleEagle_05" queryTableFieldId="112"/>
    <tableColumn id="113" xr3:uid="{82D8D713-855A-4E58-AAB0-41AA5B3DC88C}" uniqueName="113" name="DoubleEagle_06" queryTableFieldId="113"/>
    <tableColumn id="114" xr3:uid="{4D3C3419-79C2-4FE3-9570-6598ED0451D5}" uniqueName="114" name="DoubleEagle_07" queryTableFieldId="114"/>
    <tableColumn id="115" xr3:uid="{D02F22B4-092D-4EE0-A506-36693CBE2259}" uniqueName="115" name="DoubleEagle_08" queryTableFieldId="115"/>
    <tableColumn id="116" xr3:uid="{55CC07C5-E6DC-4E63-98F8-189C773FDE25}" uniqueName="116" name="DoubleEagle_09" queryTableFieldId="116"/>
    <tableColumn id="117" xr3:uid="{3DE56374-D79F-4F15-ACAD-8AD57E152A0E}" uniqueName="117" name="DoubleEagle_10" queryTableFieldId="117"/>
    <tableColumn id="118" xr3:uid="{1212DE8D-5239-4D2F-8D07-8FE32CB3032A}" uniqueName="118" name="DoubleEagle_11" queryTableFieldId="118"/>
    <tableColumn id="119" xr3:uid="{A7478F4E-1E23-4F9B-B76F-F15BD9500EB5}" uniqueName="119" name="DoubleEagle_12" queryTableFieldId="119"/>
    <tableColumn id="120" xr3:uid="{CCB071F2-A88C-4721-8407-28887B6E4977}" uniqueName="120" name="DoubleEagle_13" queryTableFieldId="120"/>
    <tableColumn id="121" xr3:uid="{48CE8B61-786E-468E-A16B-3A2A1E6F7864}" uniqueName="121" name="DoubleEagle_14" queryTableFieldId="121"/>
    <tableColumn id="122" xr3:uid="{32B7DC02-A654-4925-9EBA-AA0F334FAB3E}" uniqueName="122" name="DoubleEagle_15" queryTableFieldId="122"/>
    <tableColumn id="123" xr3:uid="{4ABE98AC-F6B0-4078-92AB-FA8E0625CD01}" uniqueName="123" name="DoubleEagle_16" queryTableFieldId="123"/>
    <tableColumn id="124" xr3:uid="{798BA04A-C10A-4C85-9101-0C7BFBE54545}" uniqueName="124" name="DoubleEagle_17" queryTableFieldId="124"/>
    <tableColumn id="125" xr3:uid="{1675583E-D84F-4737-88AF-6C4BA74018B5}" uniqueName="125" name="DoubleEagle_18" queryTableFieldId="125"/>
    <tableColumn id="126" xr3:uid="{F6CA981E-566B-427D-AB91-8C48508F134D}" uniqueName="126" name="NetScore_01" queryTableFieldId="126"/>
    <tableColumn id="127" xr3:uid="{3FB1F4F7-9B01-4B5F-926B-35E220B9819E}" uniqueName="127" name="NetScore_02" queryTableFieldId="127"/>
    <tableColumn id="128" xr3:uid="{76920AAD-FED4-49DE-91E5-08F23FBDCCFD}" uniqueName="128" name="NetScore_03" queryTableFieldId="128"/>
    <tableColumn id="129" xr3:uid="{31670039-6CB9-4AAE-B3A9-126976CEA5AE}" uniqueName="129" name="NetScore_04" queryTableFieldId="129"/>
    <tableColumn id="130" xr3:uid="{4CDFE9E1-FE20-4177-A6D8-CA125904E767}" uniqueName="130" name="NetScore_05" queryTableFieldId="130"/>
    <tableColumn id="131" xr3:uid="{1835ED1D-3AB6-4379-B43F-9655F9C59CAA}" uniqueName="131" name="NetScore_06" queryTableFieldId="131"/>
    <tableColumn id="132" xr3:uid="{32883090-9656-4359-AF40-8F05AAA7606A}" uniqueName="132" name="NetScore_07" queryTableFieldId="132"/>
    <tableColumn id="133" xr3:uid="{CE3283BB-BBB1-45F2-A4E1-9AF7093B29C6}" uniqueName="133" name="NetScore_08" queryTableFieldId="133"/>
    <tableColumn id="134" xr3:uid="{2C56FEE8-F6AC-420A-A166-92D56DF27673}" uniqueName="134" name="NetScore_09" queryTableFieldId="134"/>
    <tableColumn id="135" xr3:uid="{AB6C5DA0-4215-4BDE-9266-66FAAF451AE6}" uniqueName="135" name="NetScore_10" queryTableFieldId="135"/>
    <tableColumn id="136" xr3:uid="{7DD78D5C-89AA-4ED4-BCE9-54E9B26D433C}" uniqueName="136" name="NetScore_11" queryTableFieldId="136"/>
    <tableColumn id="137" xr3:uid="{6E1CA803-2137-49FE-8F0E-FBF4D51348AF}" uniqueName="137" name="NetScore_12" queryTableFieldId="137"/>
    <tableColumn id="138" xr3:uid="{A49F9488-7ECE-4B68-B858-2F4E8546DC85}" uniqueName="138" name="NetScore_13" queryTableFieldId="138"/>
    <tableColumn id="139" xr3:uid="{20BCAE78-6B35-4FE2-9C7B-C1DCDA5998BA}" uniqueName="139" name="NetScore_14" queryTableFieldId="139"/>
    <tableColumn id="140" xr3:uid="{773DED88-B06A-4D82-B39E-B332A054AADD}" uniqueName="140" name="NetScore_15" queryTableFieldId="140"/>
    <tableColumn id="141" xr3:uid="{33333786-89FC-49CF-B13D-69432EDFD2B4}" uniqueName="141" name="NetScore_16" queryTableFieldId="141"/>
    <tableColumn id="142" xr3:uid="{24422B4E-DB55-4ADC-A4BA-735E539C4344}" uniqueName="142" name="NetScore_17" queryTableFieldId="142"/>
    <tableColumn id="143" xr3:uid="{107FBEF7-DF43-4943-A9A4-1FB8F43D7F49}" uniqueName="143" name="NetScore_18" queryTableFieldId="143"/>
    <tableColumn id="144" xr3:uid="{EC7ECF49-8E20-4766-82AA-A3A971D146F6}" uniqueName="144" name="Points_01" queryTableFieldId="144" dataDxfId="12"/>
    <tableColumn id="145" xr3:uid="{22D3112B-94DA-4BEC-9185-C68660915C0D}" uniqueName="145" name="Points_02" queryTableFieldId="145" dataDxfId="11"/>
    <tableColumn id="146" xr3:uid="{0FCEA9AF-13EF-4B28-8B34-5147ABFA1B7B}" uniqueName="146" name="Points_03" queryTableFieldId="146" dataDxfId="10"/>
    <tableColumn id="147" xr3:uid="{83132349-0CCF-47B9-8252-4851C96DA786}" uniqueName="147" name="Points_04" queryTableFieldId="147" dataDxfId="9"/>
    <tableColumn id="148" xr3:uid="{EB576996-7D46-4CC8-AB49-BB5550EBCC78}" uniqueName="148" name="Points_05" queryTableFieldId="148" dataDxfId="8"/>
    <tableColumn id="149" xr3:uid="{4B149093-390D-4534-B177-552B6C078324}" uniqueName="149" name="Points_06" queryTableFieldId="149" dataDxfId="7"/>
    <tableColumn id="150" xr3:uid="{4A690A30-F074-48F8-A3B6-21510E60C59C}" uniqueName="150" name="Points_07" queryTableFieldId="150" dataDxfId="6"/>
    <tableColumn id="151" xr3:uid="{886BCD7D-C1EF-4595-8975-63C57E6F07B5}" uniqueName="151" name="Points_08" queryTableFieldId="151" dataDxfId="5"/>
    <tableColumn id="152" xr3:uid="{5AA10B6F-5299-40DD-9756-0C00DBD8E77D}" uniqueName="152" name="Points_09" queryTableFieldId="152" dataDxfId="4"/>
    <tableColumn id="153" xr3:uid="{94A998CA-161F-432F-B615-BE722EA0940A}" uniqueName="153" name="Points_10" queryTableFieldId="153"/>
    <tableColumn id="154" xr3:uid="{74922010-D78C-4875-A8F1-11423FA9DC73}" uniqueName="154" name="Points_11" queryTableFieldId="154"/>
    <tableColumn id="155" xr3:uid="{16268F4E-27D3-4E47-B581-FF346FFB9A02}" uniqueName="155" name="Points_12" queryTableFieldId="155"/>
    <tableColumn id="156" xr3:uid="{1B097F04-6305-4F8D-8F3E-5816F7F43910}" uniqueName="156" name="Points_13" queryTableFieldId="156"/>
    <tableColumn id="157" xr3:uid="{B93F3758-F9E7-4A98-B9D0-A193AD978842}" uniqueName="157" name="Points_14" queryTableFieldId="157"/>
    <tableColumn id="158" xr3:uid="{2AEB36EA-A49E-43B0-AD33-9EFDCCCDC9A1}" uniqueName="158" name="Points_15" queryTableFieldId="158"/>
    <tableColumn id="159" xr3:uid="{71393E30-085E-4051-A4A4-5FF7AC8CA6F4}" uniqueName="159" name="Points_16" queryTableFieldId="159"/>
    <tableColumn id="160" xr3:uid="{DE6C7DEF-29E1-4636-9782-02D900869509}" uniqueName="160" name="Points_17" queryTableFieldId="160"/>
    <tableColumn id="161" xr3:uid="{929A780D-7223-4484-9750-2EE6CDE60F32}" uniqueName="161" name="Points_18" queryTableFieldId="16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7000CEC-D2C1-4021-9439-B29389171431}" name="Indiv_Results_Holes" displayName="Indiv_Results_Holes" ref="A1:Q2" insertRow="1" totalsRowShown="0">
  <autoFilter ref="A1:Q2" xr:uid="{E7000CEC-D2C1-4021-9439-B29389171431}"/>
  <tableColumns count="17">
    <tableColumn id="1" xr3:uid="{FE90852F-00F1-43BC-A42A-DCE375E9E371}" name="SourceFile"/>
    <tableColumn id="2" xr3:uid="{5BF20CFA-60E1-4E9F-A5AF-039D7C2CFBEF}" name="Week"/>
    <tableColumn id="3" xr3:uid="{04BBCF6E-FB4D-495D-9EBD-ED831421A1B1}" name="Date"/>
    <tableColumn id="4" xr3:uid="{E4230F7F-402F-4AFC-8070-55F1493DAF0D}" name="Side"/>
    <tableColumn id="5" xr3:uid="{B3A99690-62EE-436E-B7F4-A386A93C4812}" name="Team"/>
    <tableColumn id="6" xr3:uid="{EE9F7142-6BE5-493C-824F-E279D82CB5AA}" name="Opponent"/>
    <tableColumn id="7" xr3:uid="{2EF1C213-1A95-4C17-9F16-42520DABC8AA}" name="Position"/>
    <tableColumn id="8" xr3:uid="{08D57BCB-2737-4C20-8FCC-29D9E3E2792F}" name="Player"/>
    <tableColumn id="9" xr3:uid="{2A167EE4-5F7A-4424-B9BA-FBBC852A2F68}" name="Hole"/>
    <tableColumn id="10" xr3:uid="{CE0413D1-37EF-45BB-A233-8AF95BC9BCE7}" name="Score"/>
    <tableColumn id="11" xr3:uid="{03811123-A0FF-4F82-9F1D-123F03DF591F}" name="NetScore"/>
    <tableColumn id="12" xr3:uid="{23B2A7CF-8E4C-49BE-9BD3-0BCB22ED22C0}" name="Par"/>
    <tableColumn id="13" xr3:uid="{263BF919-6F8E-4BB0-A89C-1E1A3859928F}" name="Hcp"/>
    <tableColumn id="14" xr3:uid="{9AD4C59F-B40F-4DC0-8F70-23F28419FA0D}" name="Bird"/>
    <tableColumn id="15" xr3:uid="{56F6EC28-7034-4CAD-A10F-F6EA03F11E40}" name="Eagle"/>
    <tableColumn id="16" xr3:uid="{45AE0B1D-C721-46A4-AC3A-E6F85DC70E32}" name="DoubleEagle"/>
    <tableColumn id="17" xr3:uid="{F0884F73-85AC-4DC7-8369-31FD7B22CF67}" name="Points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4B5A12-8E1B-423B-9B21-378E997CC50A}" name="Upload_Team_Raw" displayName="Upload_Team_Raw" ref="A1:L3" tableType="queryTable" totalsRowShown="0">
  <autoFilter ref="A1:L3" xr:uid="{784B5A12-8E1B-423B-9B21-378E997CC50A}"/>
  <tableColumns count="12">
    <tableColumn id="1" xr3:uid="{D80B3033-289A-41AB-9B21-EC98D4AC1C53}" uniqueName="1" name="SourceFile" queryTableFieldId="22" dataDxfId="3"/>
    <tableColumn id="7" xr3:uid="{4F86565B-C982-4EC1-AE26-92EF92D6E601}" uniqueName="7" name="Year" queryTableFieldId="23" dataDxfId="2"/>
    <tableColumn id="2" xr3:uid="{22BC94AF-B92F-4CDE-979A-24C3ABFDB194}" uniqueName="2" name="Week" queryTableFieldId="2"/>
    <tableColumn id="3" xr3:uid="{0BB463A2-3E93-4B6F-8FF8-3E2215AF8983}" uniqueName="3" name="Date" queryTableFieldId="3" dataDxfId="1"/>
    <tableColumn id="6" xr3:uid="{59B0277A-EE18-44FC-BDFE-B9C3AFC4BA7D}" uniqueName="6" name="Side" queryTableFieldId="6"/>
    <tableColumn id="4" xr3:uid="{0DC96C07-9A73-47E2-996A-A9E2EC20F06D}" uniqueName="4" name="Team" queryTableFieldId="4"/>
    <tableColumn id="5" xr3:uid="{1C656D2E-D5F5-4549-8A08-87E7AAA4B430}" uniqueName="5" name="Opponent" queryTableFieldId="5"/>
    <tableColumn id="8" xr3:uid="{B2EF5342-16A3-4D8E-BA4C-7ACC6746B6D3}" uniqueName="8" name="TmNet" queryTableFieldId="24"/>
    <tableColumn id="9" xr3:uid="{5CF4D2B0-2BC7-4685-AE30-D13F38407B5A}" uniqueName="9" name="TmNetPoints" queryTableFieldId="25"/>
    <tableColumn id="10" xr3:uid="{433F8A42-803D-4A20-B120-996A2CB9EA58}" uniqueName="10" name="TmTotPoints" queryTableFieldId="26"/>
    <tableColumn id="11" xr3:uid="{DBD27FE1-694E-4172-B969-5DF17F2006D0}" uniqueName="11" name="MatchCompleted" queryTableFieldId="27"/>
    <tableColumn id="12" xr3:uid="{C4F56FC2-B022-4BCE-A0A3-7F23643390DC}" uniqueName="12" name="ForfeitFlag" queryTableFieldId="2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DAD43D9-3CB4-4527-807C-FC3A20B59241}" name="Team_Results_Staging" displayName="Team_Results_Staging" ref="A1:N3" tableType="queryTable" totalsRowShown="0">
  <autoFilter ref="A1:N3" xr:uid="{FDAD43D9-3CB4-4527-807C-FC3A20B59241}"/>
  <tableColumns count="14">
    <tableColumn id="7" xr3:uid="{D0967576-734C-466C-9106-4B5C61D5AF85}" uniqueName="7" name="SourceFile" queryTableFieldId="10"/>
    <tableColumn id="19" xr3:uid="{616F62F1-3623-4AD6-A8A1-11805BCA8818}" uniqueName="19" name="SeasonYear" queryTableFieldId="24"/>
    <tableColumn id="8" xr3:uid="{E713EEC8-6906-4A8A-A5FA-5AC49B9278B0}" uniqueName="8" name="Year" queryTableFieldId="11"/>
    <tableColumn id="20" xr3:uid="{0FEC2DA3-16D0-4A26-93C3-F551F65D59AC}" uniqueName="20" name="MatchWeek" queryTableFieldId="26"/>
    <tableColumn id="21" xr3:uid="{EEA47CE2-CAAD-442F-A75A-F021AE294C71}" uniqueName="21" name="MatchDate" queryTableFieldId="27" dataDxfId="0"/>
    <tableColumn id="3" xr3:uid="{D652B612-7A31-45D0-B33B-2765E2537CB4}" uniqueName="3" name="Team" queryTableFieldId="3"/>
    <tableColumn id="4" xr3:uid="{8014F181-C2D8-457F-BC4E-0D7A31738125}" uniqueName="4" name="Opponent" queryTableFieldId="4"/>
    <tableColumn id="5" xr3:uid="{05A20694-573D-49F8-BEB6-83A71795BC10}" uniqueName="5" name="TeamKey" queryTableFieldId="5"/>
    <tableColumn id="22" xr3:uid="{C9E9E35E-AA2E-4E76-AD18-20297FBA5439}" uniqueName="22" name="TeamMatchKey" queryTableFieldId="28"/>
    <tableColumn id="14" xr3:uid="{30BCCCE4-02D2-42D1-81B4-261240A5F5E4}" uniqueName="14" name="TmNet" queryTableFieldId="19"/>
    <tableColumn id="15" xr3:uid="{17FFA660-C34E-45DD-8E37-375D7E5F028F}" uniqueName="15" name="TmNetPoints" queryTableFieldId="20"/>
    <tableColumn id="16" xr3:uid="{5FD5D526-D877-4BD1-92B2-59DE9F749340}" uniqueName="16" name="TmTotPoints" queryTableFieldId="21"/>
    <tableColumn id="17" xr3:uid="{32E0FFEC-AFC1-49F7-AFB9-B29746D7DA63}" uniqueName="17" name="MatchCompletedTeam" queryTableFieldId="22"/>
    <tableColumn id="18" xr3:uid="{F1FDD190-F1FD-47FF-8C7A-A051937A09D8}" uniqueName="18" name="ForfeitFlag" queryTableFieldId="2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E10B983-2668-4133-A09B-9DB49129483E}" name="Summary" displayName="Summary" ref="A6:AD92" totalsRowShown="0">
  <autoFilter ref="A6:AD92" xr:uid="{0E10B983-2668-4133-A09B-9DB49129483E}"/>
  <tableColumns count="30">
    <tableColumn id="1" xr3:uid="{380C6B35-2B6A-423F-AA31-78E27ADA7E84}" name="range" dataDxfId="700"/>
    <tableColumn id="2" xr3:uid="{45506399-84E0-4C58-B2F6-1A0958AD872A}" name="ref" dataDxfId="699">
      <calculatedColumnFormula>B6+8</calculatedColumnFormula>
    </tableColumn>
    <tableColumn id="3" xr3:uid="{01910F98-9C95-4A19-994D-D506014D35DD}" name="id" dataDxfId="698">
      <calculatedColumnFormula>IFERROR(VLOOKUP($D7, leagueroster, 2, FALSE), 0)</calculatedColumnFormula>
    </tableColumn>
    <tableColumn id="4" xr3:uid="{F29CDD6F-8D9F-4932-A5C8-4DD9FD8820D6}" name="Team / Player" dataDxfId="697">
      <calculatedColumnFormula>INDEX(INDIRECT($A7), $B7, 1)</calculatedColumnFormula>
    </tableColumn>
    <tableColumn id="5" xr3:uid="{8D493829-9A36-46B8-8BFF-291AE0BE1BC8}" name="Season_x000a_Rounds" dataDxfId="696">
      <calculatedColumnFormula>IF($D7&lt;&gt;"", COUNTIF($AP7:$BH7,"&lt;&gt;0"), "")</calculatedColumnFormula>
    </tableColumn>
    <tableColumn id="6" xr3:uid="{3F02A6EE-0170-4AEB-A167-C9CE6CF835F5}" name="Hdcp_x000a_Rounds" dataDxfId="695">
      <calculatedColumnFormula>IF(D7&lt;&gt;"",COUNT($H7:$Q7),"")</calculatedColumnFormula>
    </tableColumn>
    <tableColumn id="7" xr3:uid="{E15806E4-3A57-4204-ADAF-AE4C0FD4E3B8}" name="HDCP" dataDxfId="694">
      <calculatedColumnFormula>IF($D7&lt;&gt;"",INDEX($IA7:$IK7,1,MATCH($F7,$IA$6:$IK$6,0)), "")</calculatedColumnFormula>
    </tableColumn>
    <tableColumn id="8" xr3:uid="{B0FA1E19-7296-49BD-9A78-A8AA418F65CB}" name="1" dataDxfId="693">
      <calculatedColumnFormula array="1">IFERROR(_xlfn.SINGLE(INDEX($AF7:$BH7, , SUMPRODUCT(LARGE((($AF7:$BH7&lt;&gt;0)*($BJ7:$CL7&lt;&gt;1)*($AF$5:$BH$5)), H$6)))), "")</calculatedColumnFormula>
    </tableColumn>
    <tableColumn id="9" xr3:uid="{64B26150-D348-4929-B97E-528B942CBFDD}" name="2" dataDxfId="692">
      <calculatedColumnFormula array="1">IFERROR(_xlfn.SINGLE(INDEX($AF7:$BH7, , SUMPRODUCT(LARGE((($AF7:$BH7&lt;&gt;0)*($BJ7:$CL7&lt;&gt;1)*($AF$5:$BH$5)), I$6)))), "")</calculatedColumnFormula>
    </tableColumn>
    <tableColumn id="10" xr3:uid="{86D519B2-517E-41FF-A414-7C210D7A1BE9}" name="3" dataDxfId="691">
      <calculatedColumnFormula array="1">IFERROR(_xlfn.SINGLE(INDEX($AF7:$BH7, , SUMPRODUCT(LARGE((($AF7:$BH7&lt;&gt;0)*($BJ7:$CL7&lt;&gt;1)*($AF$5:$BH$5)), J$6)))), "")</calculatedColumnFormula>
    </tableColumn>
    <tableColumn id="11" xr3:uid="{F5392BFE-93D8-47CD-B97C-7F43C18EF271}" name="4" dataDxfId="690">
      <calculatedColumnFormula array="1">IFERROR(_xlfn.SINGLE(INDEX($AF7:$BH7, , SUMPRODUCT(LARGE((($AF7:$BH7&lt;&gt;0)*($BJ7:$CL7&lt;&gt;1)*($AF$5:$BH$5)), K$6)))), "")</calculatedColumnFormula>
    </tableColumn>
    <tableColumn id="12" xr3:uid="{98B09E81-9B48-4F66-9BF9-01356F1059AC}" name="5" dataDxfId="689">
      <calculatedColumnFormula array="1">IFERROR(_xlfn.SINGLE(INDEX($AF7:$BH7, , SUMPRODUCT(LARGE((($AF7:$BH7&lt;&gt;0)*($BJ7:$CL7&lt;&gt;1)*($AF$5:$BH$5)), L$6)))), "")</calculatedColumnFormula>
    </tableColumn>
    <tableColumn id="13" xr3:uid="{EB568ED8-0600-4BB3-91CA-88F46D579DF8}" name="6" dataDxfId="688">
      <calculatedColumnFormula array="1">IFERROR(_xlfn.SINGLE(INDEX($AF7:$BH7, , SUMPRODUCT(LARGE((($AF7:$BH7&lt;&gt;0)*($BJ7:$CL7&lt;&gt;1)*($AF$5:$BH$5)), M$6)))), "")</calculatedColumnFormula>
    </tableColumn>
    <tableColumn id="14" xr3:uid="{3C979084-D999-4A31-BF8A-3CE0785395E2}" name="7" dataDxfId="687">
      <calculatedColumnFormula array="1">IFERROR(_xlfn.SINGLE(INDEX($AF7:$BH7, , SUMPRODUCT(LARGE((($AF7:$BH7&lt;&gt;0)*($BJ7:$CL7&lt;&gt;1)*($AF$5:$BH$5)), N$6)))), "")</calculatedColumnFormula>
    </tableColumn>
    <tableColumn id="15" xr3:uid="{9BC02420-D33A-4090-A7B3-42B536AB9F00}" name="8" dataDxfId="686">
      <calculatedColumnFormula array="1">IFERROR(_xlfn.SINGLE(INDEX($AF7:$BH7, , SUMPRODUCT(LARGE((($AF7:$BH7&lt;&gt;0)*($BJ7:$CL7&lt;&gt;1)*($AF$5:$BH$5)), O$6)))), "")</calculatedColumnFormula>
    </tableColumn>
    <tableColumn id="16" xr3:uid="{B6D2C548-F532-4154-98FB-B2BAF57530CD}" name="9" dataDxfId="685">
      <calculatedColumnFormula array="1">IFERROR(_xlfn.SINGLE(INDEX($AF7:$BH7, , SUMPRODUCT(LARGE((($AF7:$BH7&lt;&gt;0)*($BJ7:$CL7&lt;&gt;1)*($AF$5:$BH$5)), P$6)))), "")</calculatedColumnFormula>
    </tableColumn>
    <tableColumn id="17" xr3:uid="{DE33F5B2-9374-4E41-9E9A-018120139C81}" name="10" dataDxfId="684">
      <calculatedColumnFormula array="1">IFERROR(_xlfn.SINGLE(INDEX($AF7:$BH7, , SUMPRODUCT(LARGE((($AF7:$BH7&lt;&gt;0)*($BJ7:$CL7&lt;&gt;1)*($AF$5:$BH$5)), Q$6)))), "")</calculatedColumnFormula>
    </tableColumn>
    <tableColumn id="18" xr3:uid="{D78A684B-EDF3-4DFA-BF0E-659CA0CF4193}" name="Season Avg" dataDxfId="683"/>
    <tableColumn id="19" xr3:uid="{9ED157F7-1CDA-4AAB-83E7-833159D128C0}" name="hdcp avg" dataDxfId="682">
      <calculatedColumnFormula>IF(COUNT($H7:$Q7)&lt;5,"-",AVERAGE(SMALL($H7:$Q7,1),SMALL($H7:$Q7,2),SMALL($H7:$Q7,3),SMALL($H7:$Q7,4),SMALL($H7:$Q7,5)))</calculatedColumnFormula>
    </tableColumn>
    <tableColumn id="20" xr3:uid="{D6FF5213-AC8A-4A46-9328-E8EA21735BC6}" name="Avg Gross" dataDxfId="681">
      <calculatedColumnFormula>IF($D7&lt;&gt;"", IFERROR(IF($E7&gt;=qualifier, SUMIF($BT7:$CL7,0,$AP7:$BH7)/$E7, TEXT(SUMIF($BT7:$CL7,0,$AP7:$BH7)/$E7, "0.00")&amp;"*"), "-"), "")</calculatedColumnFormula>
    </tableColumn>
    <tableColumn id="21" xr3:uid="{372846B3-D876-4960-AD15-E3F0DB1A38EB}" name="Avg Net" dataDxfId="680">
      <calculatedColumnFormula>IF($D7&lt;&gt;"", IFERROR(IF($E7&gt;=qualifier, SUMIF($BT7:$CL7,0,$CN7:$DF7)/$E7, TEXT(SUMIF($BT7:$CL7,0,$CN7:$DF7)/$E7, "0.00")&amp;"*"), "-"), "")</calculatedColumnFormula>
    </tableColumn>
    <tableColumn id="22" xr3:uid="{B0DCE0AC-412C-4F24-9655-AC02D11DE0F9}" name="Low Gross" dataDxfId="679">
      <calculatedColumnFormula>IF(AND($D7&lt;&gt;"", $E7&lt;&gt;0), _xlfn.MINIFS($AP7:$BH7,$BT7:$CL7,0,$AP7:$BH7,"&lt;&gt;0"), "")</calculatedColumnFormula>
    </tableColumn>
    <tableColumn id="23" xr3:uid="{D02F8860-55AC-482F-AE40-CA2D41142C54}" name="Low Net" dataDxfId="678">
      <calculatedColumnFormula>IF(AND($D7&lt;&gt;"", $E7&lt;&gt;0), _xlfn.MINIFS($CN7:$DF7,$BT7:$CL7,0), "")</calculatedColumnFormula>
    </tableColumn>
    <tableColumn id="24" xr3:uid="{F1CCB896-CBF1-4DF9-AF70-DF7636B7E47E}" name="Total Pts" dataDxfId="677">
      <calculatedColumnFormula>IF($D7&lt;&gt;"", SUM($DH7:$DZ7),  "")</calculatedColumnFormula>
    </tableColumn>
    <tableColumn id="25" xr3:uid="{F42EE10C-C864-4E5C-B166-9E9A8DF6A489}" name="Avg Pts" dataDxfId="676">
      <calculatedColumnFormula>IF($D7&lt;&gt;"", IFERROR(IF($E7&gt;=qualifier, AVERAGE($DH7:$DZ7), TEXT(AVERAGE($DH7:$DZ7), "0.00")&amp;"*"), "-"), "")</calculatedColumnFormula>
    </tableColumn>
    <tableColumn id="26" xr3:uid="{8789C3DE-B998-408A-A072-AC8591379D4D}" name="Total Birdies" dataDxfId="675">
      <calculatedColumnFormula>IF($D7&lt;&gt;"", SUM($EB7:$ET7),  "")</calculatedColumnFormula>
    </tableColumn>
    <tableColumn id="27" xr3:uid="{AEE35AB4-43D3-42AF-93A0-BCFDF1304084}" name="Total Eagles" dataDxfId="674">
      <calculatedColumnFormula>IF($D7&lt;&gt;"", SUM($EV7:$FN7),  "")</calculatedColumnFormula>
    </tableColumn>
    <tableColumn id="28" xr3:uid="{56A64E3A-FD28-41B9-BC9C-2AA069CF308F}" name="W-L-D" dataDxfId="673">
      <calculatedColumnFormula>IF($D7&lt;&gt;"", COUNTIF($FP7:$GH7, "w")&amp;"-"&amp;COUNTIF($FP7:$GH7, "l")&amp;"-"&amp;COUNTIF($FP7:$GH7, "t"),  "")</calculatedColumnFormula>
    </tableColumn>
    <tableColumn id="29" xr3:uid="{87AC833F-F80E-45F2-8785-7CDCD658D35A}" name="phone" dataDxfId="672">
      <calculatedColumnFormula>IF($D7&lt;&gt;"", INDEX(INDIRECT($A7), $B7+1, 1), "")</calculatedColumnFormula>
    </tableColumn>
    <tableColumn id="30" xr3:uid="{9981A572-9CCC-4DFC-A4A7-B9DF8889F8EE}" name="email" dataDxfId="671">
      <calculatedColumnFormula>IF($D7&lt;&gt;"", INDEX(INDIRECT($A7), $B7+2, 1), "")</calculatedColumnFormula>
    </tableColumn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350A94-D53B-476D-8B56-098D00A9C38E}" name="PriorScores" displayName="PriorScores" ref="A1:K124" totalsRowShown="0" headerRowDxfId="576" dataDxfId="575">
  <autoFilter ref="A1:K124" xr:uid="{76350A94-D53B-476D-8B56-098D00A9C38E}"/>
  <tableColumns count="11">
    <tableColumn id="1" xr3:uid="{1448D25C-9156-4942-B042-07937A1EC940}" name="Team / Player" dataDxfId="574"/>
    <tableColumn id="2" xr3:uid="{DE0F2068-3606-4703-9B79-E9BF7B5DF85D}" name="1" dataDxfId="573"/>
    <tableColumn id="3" xr3:uid="{E87F2929-DD8D-4C19-A83B-AA67E4B0C8BD}" name="2" dataDxfId="572"/>
    <tableColumn id="4" xr3:uid="{B719C127-2688-4B7E-BE6F-C0986B9EC135}" name="3" dataDxfId="571"/>
    <tableColumn id="5" xr3:uid="{CF838B47-3909-481C-9776-FB35B5F254CF}" name="4" dataDxfId="570"/>
    <tableColumn id="6" xr3:uid="{13429A7D-EF56-4203-B08C-C91E7A773434}" name="5" dataDxfId="569"/>
    <tableColumn id="7" xr3:uid="{5EB581D2-ECD1-49FE-89AF-8DB29BD20395}" name="6" dataDxfId="568"/>
    <tableColumn id="8" xr3:uid="{F1661D99-6022-43B0-92F3-994728ECCC38}" name="7" dataDxfId="567"/>
    <tableColumn id="9" xr3:uid="{9C192AD1-253E-4BBC-BAD3-0B781C2CF2D3}" name="8" dataDxfId="566"/>
    <tableColumn id="10" xr3:uid="{CDB3F3F5-EB14-4862-B11B-73129BA1FF8D}" name="9"/>
    <tableColumn id="11" xr3:uid="{35B92072-FE9F-405D-805F-FDCFA9B54FAF}" name="1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D57F8-03F8-432E-97F2-728850900927}" name="Upload_Indiv" displayName="Upload_Indiv" ref="A1:BI529" totalsRowShown="0">
  <autoFilter ref="A1:BI529" xr:uid="{70F9C0D2-398C-4191-8460-E4DF6ED37956}"/>
  <tableColumns count="61">
    <tableColumn id="1" xr3:uid="{D0683B0F-A17A-4606-86A7-31A1AFF4BE79}" name="Source.Name"/>
    <tableColumn id="2" xr3:uid="{43C97F9B-E254-4A4B-B275-8C99FC9BF0D2}" name="Week"/>
    <tableColumn id="3" xr3:uid="{44B45095-FE06-428D-8EB9-40F81061CAC6}" name="Date" dataDxfId="565"/>
    <tableColumn id="4" xr3:uid="{62014954-0325-4A4D-AB4E-21B865CAC10D}" name="Team"/>
    <tableColumn id="5" xr3:uid="{1F251D14-E089-4A75-844D-798FBE33FA0F}" name="Opponent"/>
    <tableColumn id="6" xr3:uid="{F4BB489C-0FFE-4211-ACCD-B1C5837AD244}" name="Side"/>
    <tableColumn id="7" xr3:uid="{50368FB6-AF99-424C-9378-59C127D4CDFA}" name="Position"/>
    <tableColumn id="8" xr3:uid="{F2ABF6AB-71D2-48C6-967C-EB8012E04261}" name="Player"/>
    <tableColumn id="9" xr3:uid="{8FF0EF9E-4BBF-4D25-88A3-A92DB0B487A0}" name="Excl Score"/>
    <tableColumn id="10" xr3:uid="{352F2DF5-B64D-4399-9A44-19324F17FEC5}" name="Score1"/>
    <tableColumn id="11" xr3:uid="{EDA409BE-3397-4556-83D2-1E711B84B558}" name="Score2"/>
    <tableColumn id="12" xr3:uid="{305E8AA1-8BBA-4069-8BAE-F71D2F58496D}" name="Score3"/>
    <tableColumn id="13" xr3:uid="{98098141-B9D2-49FD-9E46-86ED5FF6B3F6}" name="Score4"/>
    <tableColumn id="14" xr3:uid="{D12138E5-B337-46E9-BD17-1DC2B776C4FE}" name="Score5"/>
    <tableColumn id="15" xr3:uid="{EAB1F9F6-0ED4-4CB6-9046-47E5967C1907}" name="Score6"/>
    <tableColumn id="16" xr3:uid="{B9D75699-DCDC-4738-8B68-694EB216FC5C}" name="Score7"/>
    <tableColumn id="17" xr3:uid="{4E9E10DD-79AF-4675-9691-E75D8E31AF22}" name="Score8"/>
    <tableColumn id="18" xr3:uid="{10D76814-E7D0-45A8-A5DA-7CA460D4A917}" name="Score9"/>
    <tableColumn id="19" xr3:uid="{18458926-3903-4417-A2F1-6891E53CC1C5}" name="Gross"/>
    <tableColumn id="20" xr3:uid="{D52A1593-0BF2-485E-897D-181218AD4965}" name="Hdcp"/>
    <tableColumn id="21" xr3:uid="{8C4D7054-9E9B-4583-B391-03D82E750531}" name="Net"/>
    <tableColumn id="22" xr3:uid="{CFC7EEB9-CA69-4D0F-9927-55D01E2D8012}" name="Strokes1"/>
    <tableColumn id="23" xr3:uid="{0F94E026-B21B-4A7D-9B10-35308C34D6E1}" name="Strokes2"/>
    <tableColumn id="24" xr3:uid="{8DF48F3E-1A5D-428C-851F-41504983AAED}" name="Strokes3"/>
    <tableColumn id="25" xr3:uid="{F9EAA865-FF3F-4F22-BCF4-E38A34FD1392}" name="Strokes4"/>
    <tableColumn id="26" xr3:uid="{72128AD2-DAC0-490D-BAC6-B742B5B819C8}" name="Strokes5"/>
    <tableColumn id="27" xr3:uid="{3C81AE6A-732D-48BC-B247-FDCA7AE15D2F}" name="Strokes6"/>
    <tableColumn id="28" xr3:uid="{B0EA88AF-E198-477A-8542-8FD0CA096510}" name="Strokes7"/>
    <tableColumn id="29" xr3:uid="{535F6E80-1B36-43EA-990B-FF06002F15AD}" name="Strokes8"/>
    <tableColumn id="30" xr3:uid="{5DE43ED4-CBDC-4CDA-8362-336492A83FB2}" name="Strokes9"/>
    <tableColumn id="31" xr3:uid="{745B6482-4486-44D3-9518-8C0D92D44C0E}" name="Points1"/>
    <tableColumn id="32" xr3:uid="{7C269F5E-4DC4-420A-8F3F-C1CBAC26B43B}" name="Points2"/>
    <tableColumn id="33" xr3:uid="{DA93E05F-5E9D-4391-A268-58DAA4E34E45}" name="Points3"/>
    <tableColumn id="34" xr3:uid="{7A40C804-9243-48AB-BAE3-87DB7052EDDD}" name="Points4"/>
    <tableColumn id="35" xr3:uid="{DABC667B-330F-4E20-B26B-4F3453C6417C}" name="Points5"/>
    <tableColumn id="36" xr3:uid="{654FDBEE-3AA8-4B2D-826C-55C59F766753}" name="Points6"/>
    <tableColumn id="37" xr3:uid="{7BCD80C0-62C6-4D40-A36C-987E94136802}" name="Points7"/>
    <tableColumn id="38" xr3:uid="{FFCD4DAD-6C33-46BD-A584-D18FB84BBBBC}" name="Points8"/>
    <tableColumn id="39" xr3:uid="{30BACF86-A910-4B86-A210-1AD35579D8EA}" name="Points9"/>
    <tableColumn id="40" xr3:uid="{EB099D15-84D0-48D2-9918-BFEA83077AF6}" name="PointsNet"/>
    <tableColumn id="41" xr3:uid="{17A94F23-35B8-4101-BE1E-DF775164A8CF}" name="PointsTot"/>
    <tableColumn id="42" xr3:uid="{66E997C7-B28B-45C8-A26E-6D9E16C3F356}" name="Bird1"/>
    <tableColumn id="43" xr3:uid="{CEC8F859-7FAA-474A-9B33-969D9F6BCB95}" name="Bird2"/>
    <tableColumn id="44" xr3:uid="{F0E19B30-3385-407B-86C4-9AEC37A85351}" name="Bird3"/>
    <tableColumn id="45" xr3:uid="{07B8BC15-8A7F-4E8B-9F4B-E0BC524A7A34}" name="Bird4"/>
    <tableColumn id="46" xr3:uid="{0917EFC0-19FA-400D-885C-31D69D5EABF5}" name="Bird5"/>
    <tableColumn id="47" xr3:uid="{E495A289-BC1E-418D-B8F7-0B7817B122C9}" name="Bird6"/>
    <tableColumn id="48" xr3:uid="{B1A8FCBF-FC8E-4B42-8054-2CC5BC2D4AB8}" name="Bird7"/>
    <tableColumn id="49" xr3:uid="{DB01594A-AB73-42AA-B6EE-22C6686DC0CB}" name="Bird8"/>
    <tableColumn id="50" xr3:uid="{121B25EF-0568-4628-8410-F26E01E6DDC6}" name="Bird9"/>
    <tableColumn id="60" xr3:uid="{F32B9782-C437-4886-86AF-BAD72657354C}" name="Tot_Birds">
      <calculatedColumnFormula>SUM(Upload_Indiv[[#This Row],[Bird1]:[Bird9]])</calculatedColumnFormula>
    </tableColumn>
    <tableColumn id="51" xr3:uid="{FF1A995E-8B99-40EF-B7D1-FAFEC1424994}" name="Eagle1"/>
    <tableColumn id="52" xr3:uid="{C83CED84-B42E-4635-A3CB-170A423308FE}" name="Eagle2"/>
    <tableColumn id="53" xr3:uid="{2049F3CE-590A-4065-8AC7-C0AB2CAC0FB2}" name="Eagle3"/>
    <tableColumn id="54" xr3:uid="{1819CFEF-45F6-4C38-8CA2-DF71C9120072}" name="Eagle4"/>
    <tableColumn id="55" xr3:uid="{B438B702-8726-416F-A9CB-FB03BB4304D2}" name="Eagle5"/>
    <tableColumn id="56" xr3:uid="{1C93FF02-763A-43F8-9E8E-E49FD9E61DFB}" name="Eagle6"/>
    <tableColumn id="57" xr3:uid="{60A081B2-0EC4-46C6-8549-1D854CA41537}" name="Eagle7"/>
    <tableColumn id="58" xr3:uid="{C7785DA1-115F-4806-83C7-8E041DA45C6E}" name="Eagle8"/>
    <tableColumn id="59" xr3:uid="{40990991-9E02-4EF9-AF8B-AFBE274BE20C}" name="Eagle9"/>
    <tableColumn id="61" xr3:uid="{F2C7E0EF-CDA5-4972-9543-413AAF3EA03B}" name="Tot_Eagles">
      <calculatedColumnFormula>SUM(Upload_Indiv[[#This Row],[Eagle1]:[Eagle9]])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F03D53-AFE6-45E3-9BF8-478EDC4FE664}" name="Upload_Team" displayName="Upload_Team" ref="A1:I133" totalsRowShown="0">
  <autoFilter ref="A1:I133" xr:uid="{0CF03D53-AFE6-45E3-9BF8-478EDC4FE664}"/>
  <tableColumns count="9">
    <tableColumn id="1" xr3:uid="{A9F2EC04-A12D-47B0-8F85-32CD8886D12A}" name="Source.Name"/>
    <tableColumn id="2" xr3:uid="{853A69C9-7028-42B6-BAA0-28BAD6A4C435}" name="Week"/>
    <tableColumn id="3" xr3:uid="{25B0B206-B418-40A8-848B-32FC875A0D2B}" name="Date" dataDxfId="564"/>
    <tableColumn id="4" xr3:uid="{6D2DEAD2-7FB0-4C94-9743-A4CCC6997137}" name="Team"/>
    <tableColumn id="5" xr3:uid="{539BD0F1-CEB7-431C-AD93-ECE7537A1DB5}" name="Opponent"/>
    <tableColumn id="6" xr3:uid="{B7824A0D-EB6B-45E3-A0C4-20B46399B9EF}" name="Side"/>
    <tableColumn id="7" xr3:uid="{DCEAD12A-2068-4F49-BA4C-A84231E64CBB}" name="Tm Net"/>
    <tableColumn id="8" xr3:uid="{7F48BF14-6D8D-4F62-89D2-1381978F050C}" name="Tm Net Points"/>
    <tableColumn id="9" xr3:uid="{BF367C65-D8A1-45F0-AE23-EF11321B8DAB}" name="Tm Tot Point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mailto:raymond.fryan@timkensteel.com" TargetMode="External"/><Relationship Id="rId13" Type="http://schemas.openxmlformats.org/officeDocument/2006/relationships/hyperlink" Target="mailto:dpreising@wayne-dalton.com" TargetMode="External"/><Relationship Id="rId18" Type="http://schemas.openxmlformats.org/officeDocument/2006/relationships/hyperlink" Target="mailto:cmavery92@gmail.com" TargetMode="External"/><Relationship Id="rId3" Type="http://schemas.openxmlformats.org/officeDocument/2006/relationships/hyperlink" Target="mailto:40ronin@gmail.com" TargetMode="External"/><Relationship Id="rId7" Type="http://schemas.openxmlformats.org/officeDocument/2006/relationships/hyperlink" Target="mailto:dethoma3@aol.com" TargetMode="External"/><Relationship Id="rId12" Type="http://schemas.openxmlformats.org/officeDocument/2006/relationships/hyperlink" Target="mailto:vassasj@gmail.com" TargetMode="External"/><Relationship Id="rId17" Type="http://schemas.openxmlformats.org/officeDocument/2006/relationships/hyperlink" Target="mailto:bishnu.shrestha@metallus.com" TargetMode="External"/><Relationship Id="rId2" Type="http://schemas.openxmlformats.org/officeDocument/2006/relationships/hyperlink" Target="mailto:Stephen.piccari@yahoo.com" TargetMode="External"/><Relationship Id="rId16" Type="http://schemas.openxmlformats.org/officeDocument/2006/relationships/hyperlink" Target="mailto:rockrlr@sssnet.com" TargetMode="External"/><Relationship Id="rId1" Type="http://schemas.openxmlformats.org/officeDocument/2006/relationships/hyperlink" Target="mailto:davehaslar@gmail.com" TargetMode="External"/><Relationship Id="rId6" Type="http://schemas.openxmlformats.org/officeDocument/2006/relationships/hyperlink" Target="mailto:oh1jesse@yahoo.com" TargetMode="External"/><Relationship Id="rId11" Type="http://schemas.openxmlformats.org/officeDocument/2006/relationships/hyperlink" Target="mailto:Jerybud@gmail.com" TargetMode="External"/><Relationship Id="rId5" Type="http://schemas.openxmlformats.org/officeDocument/2006/relationships/hyperlink" Target="mailto:mavery1763@gmail.com" TargetMode="External"/><Relationship Id="rId15" Type="http://schemas.openxmlformats.org/officeDocument/2006/relationships/hyperlink" Target="mailto:davehaslar@gmail.com" TargetMode="External"/><Relationship Id="rId10" Type="http://schemas.openxmlformats.org/officeDocument/2006/relationships/hyperlink" Target="mailto:mike.sopczak@timken.com" TargetMode="External"/><Relationship Id="rId19" Type="http://schemas.openxmlformats.org/officeDocument/2006/relationships/printerSettings" Target="../printerSettings/printerSettings10.bin"/><Relationship Id="rId4" Type="http://schemas.openxmlformats.org/officeDocument/2006/relationships/hyperlink" Target="mailto:yackley@ameritech.net" TargetMode="External"/><Relationship Id="rId9" Type="http://schemas.openxmlformats.org/officeDocument/2006/relationships/hyperlink" Target="mailto:ebn44720@gmail.com" TargetMode="External"/><Relationship Id="rId14" Type="http://schemas.openxmlformats.org/officeDocument/2006/relationships/hyperlink" Target="mailto:ebn44720@gmail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jerrod.fowkes@timkensteel.com" TargetMode="External"/><Relationship Id="rId1" Type="http://schemas.openxmlformats.org/officeDocument/2006/relationships/hyperlink" Target="mailto:jpkish62@gmail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jimsanders2@gmail.com" TargetMode="External"/><Relationship Id="rId2" Type="http://schemas.openxmlformats.org/officeDocument/2006/relationships/hyperlink" Target="mailto:jim.sanders@timkensteel.com" TargetMode="External"/><Relationship Id="rId1" Type="http://schemas.openxmlformats.org/officeDocument/2006/relationships/hyperlink" Target="mailto:scott.hyde@timken.com" TargetMode="External"/><Relationship Id="rId6" Type="http://schemas.openxmlformats.org/officeDocument/2006/relationships/printerSettings" Target="../printerSettings/printerSettings12.bin"/><Relationship Id="rId5" Type="http://schemas.openxmlformats.org/officeDocument/2006/relationships/hyperlink" Target="mailto:steve.boyd@timken.com" TargetMode="External"/><Relationship Id="rId4" Type="http://schemas.openxmlformats.org/officeDocument/2006/relationships/hyperlink" Target="mailto:chuck.culver@timken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andycizek@yahoo.com" TargetMode="External"/><Relationship Id="rId2" Type="http://schemas.openxmlformats.org/officeDocument/2006/relationships/hyperlink" Target="mailto:joseph.spoonemore@timkensteel.com" TargetMode="External"/><Relationship Id="rId1" Type="http://schemas.openxmlformats.org/officeDocument/2006/relationships/hyperlink" Target="mailto:joseph.spoonemore@timken.com" TargetMode="Externa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mailto:ssmith@usilluminations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mailto:thomas.kirkpatrick@timken.com" TargetMode="External"/><Relationship Id="rId2" Type="http://schemas.openxmlformats.org/officeDocument/2006/relationships/hyperlink" Target="mailto:cjlapole@yahoo.com" TargetMode="External"/><Relationship Id="rId1" Type="http://schemas.openxmlformats.org/officeDocument/2006/relationships/hyperlink" Target="mailto:ryan.evans@timken.com" TargetMode="External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mailto:hegnauer@sssnet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mailto:tpshreeve@gmail.com" TargetMode="External"/><Relationship Id="rId2" Type="http://schemas.openxmlformats.org/officeDocument/2006/relationships/hyperlink" Target="mailto:richard.l.reed@timkensteel.com" TargetMode="External"/><Relationship Id="rId1" Type="http://schemas.openxmlformats.org/officeDocument/2006/relationships/hyperlink" Target="mailto:john.a.holzer@timkensteel.com" TargetMode="External"/><Relationship Id="rId6" Type="http://schemas.openxmlformats.org/officeDocument/2006/relationships/printerSettings" Target="../printerSettings/printerSettings15.bin"/><Relationship Id="rId5" Type="http://schemas.openxmlformats.org/officeDocument/2006/relationships/hyperlink" Target="mailto:jzbuka@roadrunner.com" TargetMode="External"/><Relationship Id="rId4" Type="http://schemas.openxmlformats.org/officeDocument/2006/relationships/hyperlink" Target="mailto:Charles.rundquist@timkensteel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mailto:Gregg.Bond007@outlook.com" TargetMode="External"/><Relationship Id="rId2" Type="http://schemas.openxmlformats.org/officeDocument/2006/relationships/hyperlink" Target="mailto:john.kushner@timkensteel.com" TargetMode="External"/><Relationship Id="rId1" Type="http://schemas.openxmlformats.org/officeDocument/2006/relationships/hyperlink" Target="mailto:rcekme1@gmail.com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mailto:kb8mmf@gmail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gnewsome@ohiogratings.com" TargetMode="External"/><Relationship Id="rId2" Type="http://schemas.openxmlformats.org/officeDocument/2006/relationships/hyperlink" Target="mailto:damarcus.cox@gmail.com" TargetMode="External"/><Relationship Id="rId1" Type="http://schemas.openxmlformats.org/officeDocument/2006/relationships/hyperlink" Target="mailto:willjerr1215@gmail.com" TargetMode="External"/><Relationship Id="rId4" Type="http://schemas.openxmlformats.org/officeDocument/2006/relationships/printerSettings" Target="../printerSettings/printerSettings1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1.v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B988C-6A0F-4895-AFE8-4E9CF12639A9}">
  <dimension ref="A1:H46"/>
  <sheetViews>
    <sheetView workbookViewId="0">
      <selection sqref="A1:H46"/>
    </sheetView>
  </sheetViews>
  <sheetFormatPr defaultRowHeight="13.2" x14ac:dyDescent="0.25"/>
  <cols>
    <col min="1" max="1" width="13" bestFit="1" customWidth="1"/>
    <col min="2" max="2" width="26.33203125" bestFit="1" customWidth="1"/>
    <col min="3" max="3" width="36.44140625" style="2" bestFit="1" customWidth="1"/>
    <col min="4" max="4" width="12.21875" bestFit="1" customWidth="1"/>
    <col min="5" max="5" width="15.33203125" style="119" bestFit="1" customWidth="1"/>
    <col min="6" max="6" width="12.88671875" style="119" bestFit="1" customWidth="1"/>
    <col min="7" max="7" width="9.44140625" bestFit="1" customWidth="1"/>
    <col min="8" max="8" width="46.33203125" bestFit="1" customWidth="1"/>
    <col min="9" max="9" width="14.109375" bestFit="1" customWidth="1"/>
    <col min="10" max="10" width="15.5546875" bestFit="1" customWidth="1"/>
    <col min="11" max="11" width="46.33203125" bestFit="1" customWidth="1"/>
  </cols>
  <sheetData>
    <row r="1" spans="1:8" x14ac:dyDescent="0.25">
      <c r="A1" t="s">
        <v>2836</v>
      </c>
      <c r="B1" t="s">
        <v>2845</v>
      </c>
      <c r="C1" s="2" t="s">
        <v>2790</v>
      </c>
      <c r="D1" t="s">
        <v>2796</v>
      </c>
      <c r="E1" s="119" t="s">
        <v>2837</v>
      </c>
      <c r="F1" s="119" t="s">
        <v>2838</v>
      </c>
      <c r="G1" t="s">
        <v>2839</v>
      </c>
      <c r="H1" t="s">
        <v>2799</v>
      </c>
    </row>
    <row r="2" spans="1:8" hidden="1" x14ac:dyDescent="0.25">
      <c r="A2">
        <v>2025</v>
      </c>
      <c r="B2" t="s">
        <v>2736</v>
      </c>
      <c r="C2" s="2">
        <v>2025</v>
      </c>
      <c r="D2" t="s">
        <v>2840</v>
      </c>
      <c r="E2" s="119">
        <v>45760</v>
      </c>
      <c r="F2" s="119">
        <v>45886</v>
      </c>
      <c r="G2" t="s">
        <v>2844</v>
      </c>
    </row>
    <row r="3" spans="1:8" hidden="1" x14ac:dyDescent="0.25">
      <c r="A3">
        <v>2025</v>
      </c>
      <c r="B3" t="s">
        <v>2735</v>
      </c>
      <c r="C3" s="2" t="s">
        <v>579</v>
      </c>
      <c r="D3" t="s">
        <v>2828</v>
      </c>
      <c r="E3" s="119">
        <v>45760</v>
      </c>
      <c r="F3" s="119">
        <v>45886</v>
      </c>
      <c r="G3" t="s">
        <v>2843</v>
      </c>
    </row>
    <row r="4" spans="1:8" hidden="1" x14ac:dyDescent="0.25">
      <c r="A4">
        <v>2025</v>
      </c>
      <c r="B4" t="s">
        <v>2737</v>
      </c>
      <c r="C4" s="2">
        <v>14</v>
      </c>
      <c r="D4" t="s">
        <v>2840</v>
      </c>
      <c r="E4" s="119">
        <v>45760</v>
      </c>
      <c r="F4" s="119">
        <v>45886</v>
      </c>
      <c r="G4" t="s">
        <v>2844</v>
      </c>
    </row>
    <row r="5" spans="1:8" x14ac:dyDescent="0.25">
      <c r="A5">
        <v>2025</v>
      </c>
      <c r="B5" t="s">
        <v>2739</v>
      </c>
      <c r="C5" s="2" t="s">
        <v>2853</v>
      </c>
      <c r="D5" t="s">
        <v>2809</v>
      </c>
      <c r="E5" s="119">
        <v>45760</v>
      </c>
      <c r="F5" s="119">
        <v>45886</v>
      </c>
      <c r="G5" t="s">
        <v>2842</v>
      </c>
    </row>
    <row r="6" spans="1:8" hidden="1" x14ac:dyDescent="0.25">
      <c r="A6">
        <v>2025</v>
      </c>
      <c r="B6" t="s">
        <v>2860</v>
      </c>
      <c r="C6" s="2">
        <v>7</v>
      </c>
      <c r="D6" t="s">
        <v>2840</v>
      </c>
      <c r="E6" s="119">
        <v>45760</v>
      </c>
      <c r="F6" s="119">
        <v>45886</v>
      </c>
      <c r="G6" t="s">
        <v>2844</v>
      </c>
    </row>
    <row r="7" spans="1:8" hidden="1" x14ac:dyDescent="0.25">
      <c r="A7">
        <v>2025</v>
      </c>
      <c r="B7" t="s">
        <v>2794</v>
      </c>
      <c r="C7" s="2" t="s">
        <v>1</v>
      </c>
      <c r="D7" t="s">
        <v>2828</v>
      </c>
      <c r="E7" s="119">
        <v>45760</v>
      </c>
      <c r="F7" s="119">
        <v>45886</v>
      </c>
      <c r="G7" t="s">
        <v>2843</v>
      </c>
    </row>
    <row r="8" spans="1:8" hidden="1" x14ac:dyDescent="0.25">
      <c r="A8">
        <v>2025</v>
      </c>
      <c r="B8" t="s">
        <v>352</v>
      </c>
      <c r="C8" s="2" t="s">
        <v>2846</v>
      </c>
      <c r="D8" t="s">
        <v>2828</v>
      </c>
      <c r="E8" s="119">
        <v>45760</v>
      </c>
      <c r="F8" s="119">
        <v>45886</v>
      </c>
      <c r="G8" t="s">
        <v>2844</v>
      </c>
      <c r="H8" t="s">
        <v>1</v>
      </c>
    </row>
    <row r="9" spans="1:8" hidden="1" x14ac:dyDescent="0.25">
      <c r="A9">
        <v>2025</v>
      </c>
      <c r="B9" t="s">
        <v>2848</v>
      </c>
      <c r="C9" s="2" t="s">
        <v>2941</v>
      </c>
      <c r="D9" t="s">
        <v>2841</v>
      </c>
      <c r="E9" s="119">
        <v>45760</v>
      </c>
      <c r="F9" s="119">
        <v>45886</v>
      </c>
      <c r="G9" t="s">
        <v>2844</v>
      </c>
      <c r="H9" t="s">
        <v>2852</v>
      </c>
    </row>
    <row r="10" spans="1:8" hidden="1" x14ac:dyDescent="0.25">
      <c r="A10">
        <v>2025</v>
      </c>
      <c r="B10" t="s">
        <v>2848</v>
      </c>
      <c r="C10" s="2" t="s">
        <v>2941</v>
      </c>
      <c r="D10" t="s">
        <v>2841</v>
      </c>
      <c r="E10" s="119">
        <v>45760</v>
      </c>
      <c r="F10" s="119">
        <v>45886</v>
      </c>
      <c r="G10" t="s">
        <v>2844</v>
      </c>
      <c r="H10" t="s">
        <v>2851</v>
      </c>
    </row>
    <row r="11" spans="1:8" hidden="1" x14ac:dyDescent="0.25">
      <c r="A11">
        <v>2025</v>
      </c>
      <c r="B11" t="s">
        <v>352</v>
      </c>
      <c r="C11" s="2" t="s">
        <v>2847</v>
      </c>
      <c r="D11" t="s">
        <v>2828</v>
      </c>
      <c r="E11" s="119">
        <v>45760</v>
      </c>
      <c r="F11" s="119">
        <v>45886</v>
      </c>
      <c r="G11" t="s">
        <v>2844</v>
      </c>
      <c r="H11" t="s">
        <v>1</v>
      </c>
    </row>
    <row r="12" spans="1:8" hidden="1" x14ac:dyDescent="0.25">
      <c r="A12">
        <v>2025</v>
      </c>
      <c r="B12" t="s">
        <v>2849</v>
      </c>
      <c r="C12" s="2" t="s">
        <v>2941</v>
      </c>
      <c r="D12" t="s">
        <v>2841</v>
      </c>
      <c r="E12" s="119">
        <v>45760</v>
      </c>
      <c r="F12" s="119">
        <v>45886</v>
      </c>
      <c r="G12" t="s">
        <v>2844</v>
      </c>
      <c r="H12" t="s">
        <v>2851</v>
      </c>
    </row>
    <row r="13" spans="1:8" hidden="1" x14ac:dyDescent="0.25">
      <c r="A13">
        <v>2025</v>
      </c>
      <c r="B13" t="s">
        <v>2849</v>
      </c>
      <c r="C13" s="2" t="s">
        <v>2941</v>
      </c>
      <c r="D13" t="s">
        <v>2841</v>
      </c>
      <c r="E13" s="119">
        <v>45760</v>
      </c>
      <c r="F13" s="119">
        <v>45886</v>
      </c>
      <c r="G13" t="s">
        <v>2844</v>
      </c>
      <c r="H13" t="s">
        <v>2852</v>
      </c>
    </row>
    <row r="14" spans="1:8" hidden="1" x14ac:dyDescent="0.25">
      <c r="A14">
        <v>2025</v>
      </c>
      <c r="B14" t="s">
        <v>690</v>
      </c>
      <c r="C14" s="434">
        <v>45760</v>
      </c>
      <c r="D14" t="s">
        <v>167</v>
      </c>
      <c r="E14" s="119">
        <v>45760</v>
      </c>
      <c r="F14" s="119">
        <v>45886</v>
      </c>
      <c r="G14" t="s">
        <v>2844</v>
      </c>
    </row>
    <row r="15" spans="1:8" hidden="1" x14ac:dyDescent="0.25">
      <c r="A15">
        <v>2025</v>
      </c>
      <c r="B15" t="s">
        <v>694</v>
      </c>
      <c r="C15" s="2" t="b">
        <v>0</v>
      </c>
      <c r="D15" t="s">
        <v>2803</v>
      </c>
      <c r="E15" s="119">
        <v>45760</v>
      </c>
      <c r="F15" s="119">
        <v>45886</v>
      </c>
      <c r="G15" t="s">
        <v>2842</v>
      </c>
      <c r="H15" t="s">
        <v>2923</v>
      </c>
    </row>
    <row r="16" spans="1:8" hidden="1" x14ac:dyDescent="0.25">
      <c r="A16">
        <v>2025</v>
      </c>
      <c r="B16" t="s">
        <v>682</v>
      </c>
      <c r="C16" s="2" t="s">
        <v>605</v>
      </c>
      <c r="D16" t="s">
        <v>2828</v>
      </c>
      <c r="E16" s="119">
        <v>45760</v>
      </c>
      <c r="F16" s="119">
        <v>45886</v>
      </c>
      <c r="G16" t="s">
        <v>2844</v>
      </c>
      <c r="H16" t="s">
        <v>685</v>
      </c>
    </row>
    <row r="17" spans="1:8" hidden="1" x14ac:dyDescent="0.25">
      <c r="A17">
        <v>2025</v>
      </c>
      <c r="B17" t="s">
        <v>686</v>
      </c>
      <c r="C17" s="2" t="b">
        <v>0</v>
      </c>
      <c r="D17" t="s">
        <v>2803</v>
      </c>
      <c r="E17" s="119">
        <v>45760</v>
      </c>
      <c r="F17" s="119">
        <v>45886</v>
      </c>
      <c r="G17" t="s">
        <v>2844</v>
      </c>
    </row>
    <row r="18" spans="1:8" hidden="1" x14ac:dyDescent="0.25">
      <c r="A18">
        <v>2025</v>
      </c>
      <c r="B18" t="s">
        <v>2863</v>
      </c>
      <c r="C18" s="2">
        <v>2</v>
      </c>
      <c r="D18" t="s">
        <v>2840</v>
      </c>
      <c r="E18" s="119">
        <v>45760</v>
      </c>
      <c r="F18" s="119">
        <v>45886</v>
      </c>
      <c r="G18" t="s">
        <v>2843</v>
      </c>
      <c r="H18" t="s">
        <v>2918</v>
      </c>
    </row>
    <row r="19" spans="1:8" hidden="1" x14ac:dyDescent="0.25">
      <c r="A19">
        <v>2025</v>
      </c>
      <c r="B19" t="s">
        <v>2864</v>
      </c>
      <c r="C19" s="2">
        <v>1</v>
      </c>
      <c r="D19" t="s">
        <v>2840</v>
      </c>
      <c r="E19" s="119">
        <v>45760</v>
      </c>
      <c r="F19" s="119">
        <v>45886</v>
      </c>
      <c r="G19" t="s">
        <v>2843</v>
      </c>
      <c r="H19" t="s">
        <v>2919</v>
      </c>
    </row>
    <row r="20" spans="1:8" hidden="1" x14ac:dyDescent="0.25">
      <c r="A20">
        <v>2025</v>
      </c>
      <c r="B20" t="s">
        <v>2865</v>
      </c>
      <c r="C20" s="2">
        <v>2</v>
      </c>
      <c r="D20" t="s">
        <v>2840</v>
      </c>
      <c r="E20" s="119">
        <v>45760</v>
      </c>
      <c r="F20" s="119">
        <v>45886</v>
      </c>
      <c r="G20" t="s">
        <v>2843</v>
      </c>
      <c r="H20" t="s">
        <v>2920</v>
      </c>
    </row>
    <row r="21" spans="1:8" hidden="1" x14ac:dyDescent="0.25">
      <c r="A21">
        <v>2025</v>
      </c>
      <c r="B21" t="s">
        <v>2866</v>
      </c>
      <c r="C21" s="2">
        <v>1</v>
      </c>
      <c r="D21" t="s">
        <v>2840</v>
      </c>
      <c r="E21" s="119">
        <v>45760</v>
      </c>
      <c r="F21" s="119">
        <v>45886</v>
      </c>
      <c r="G21" t="s">
        <v>2843</v>
      </c>
      <c r="H21" t="s">
        <v>2919</v>
      </c>
    </row>
    <row r="22" spans="1:8" hidden="1" x14ac:dyDescent="0.25">
      <c r="A22">
        <v>2025</v>
      </c>
      <c r="B22" t="s">
        <v>2867</v>
      </c>
      <c r="C22" s="2">
        <v>4</v>
      </c>
      <c r="D22" t="s">
        <v>2840</v>
      </c>
      <c r="E22" s="119">
        <v>45760</v>
      </c>
      <c r="F22" s="119">
        <v>45886</v>
      </c>
      <c r="G22" t="s">
        <v>2843</v>
      </c>
      <c r="H22" t="s">
        <v>2921</v>
      </c>
    </row>
    <row r="23" spans="1:8" hidden="1" x14ac:dyDescent="0.25">
      <c r="A23">
        <v>2025</v>
      </c>
      <c r="B23" t="s">
        <v>2868</v>
      </c>
      <c r="C23" s="2">
        <v>2</v>
      </c>
      <c r="D23" t="s">
        <v>2840</v>
      </c>
      <c r="E23" s="119">
        <v>45760</v>
      </c>
      <c r="F23" s="119">
        <v>45886</v>
      </c>
      <c r="G23" t="s">
        <v>2843</v>
      </c>
      <c r="H23" t="s">
        <v>2919</v>
      </c>
    </row>
    <row r="24" spans="1:8" hidden="1" x14ac:dyDescent="0.25">
      <c r="A24">
        <v>2025</v>
      </c>
      <c r="B24" t="s">
        <v>2854</v>
      </c>
      <c r="C24" s="2">
        <v>84</v>
      </c>
      <c r="D24" t="s">
        <v>2840</v>
      </c>
      <c r="E24" s="119">
        <v>45760</v>
      </c>
      <c r="F24" s="119">
        <v>45886</v>
      </c>
      <c r="G24" t="s">
        <v>2843</v>
      </c>
      <c r="H24" t="s">
        <v>2855</v>
      </c>
    </row>
    <row r="25" spans="1:8" hidden="1" x14ac:dyDescent="0.25">
      <c r="A25">
        <v>2025</v>
      </c>
      <c r="B25" t="s">
        <v>2874</v>
      </c>
      <c r="C25" s="2">
        <v>5</v>
      </c>
      <c r="D25" t="s">
        <v>2840</v>
      </c>
      <c r="E25" s="119">
        <v>45760</v>
      </c>
      <c r="F25" s="119">
        <v>45886</v>
      </c>
      <c r="G25" t="s">
        <v>2843</v>
      </c>
    </row>
    <row r="26" spans="1:8" hidden="1" x14ac:dyDescent="0.25">
      <c r="A26">
        <v>2025</v>
      </c>
      <c r="B26" t="s">
        <v>2875</v>
      </c>
      <c r="C26" s="2" t="b">
        <v>1</v>
      </c>
      <c r="D26" t="s">
        <v>2803</v>
      </c>
      <c r="E26" s="119">
        <v>45760</v>
      </c>
      <c r="F26" s="119">
        <v>45886</v>
      </c>
      <c r="G26" t="s">
        <v>2843</v>
      </c>
      <c r="H26" t="s">
        <v>672</v>
      </c>
    </row>
    <row r="27" spans="1:8" hidden="1" x14ac:dyDescent="0.25">
      <c r="A27">
        <v>2025</v>
      </c>
      <c r="B27" t="s">
        <v>2883</v>
      </c>
      <c r="C27" s="2" t="s">
        <v>602</v>
      </c>
      <c r="D27" t="s">
        <v>2828</v>
      </c>
      <c r="E27" s="119">
        <v>45760</v>
      </c>
      <c r="F27" s="119">
        <v>45886</v>
      </c>
      <c r="G27" t="s">
        <v>2843</v>
      </c>
      <c r="H27" t="s">
        <v>2922</v>
      </c>
    </row>
    <row r="28" spans="1:8" hidden="1" x14ac:dyDescent="0.25">
      <c r="A28">
        <v>2025</v>
      </c>
      <c r="B28" t="s">
        <v>2738</v>
      </c>
      <c r="C28" s="2">
        <v>0.5</v>
      </c>
      <c r="D28" t="s">
        <v>2840</v>
      </c>
      <c r="E28" s="119">
        <v>45760</v>
      </c>
      <c r="F28" s="119">
        <v>45886</v>
      </c>
      <c r="G28" t="s">
        <v>2844</v>
      </c>
    </row>
    <row r="29" spans="1:8" hidden="1" x14ac:dyDescent="0.25">
      <c r="A29">
        <v>2025</v>
      </c>
      <c r="B29" t="s">
        <v>2877</v>
      </c>
      <c r="C29" s="2">
        <v>0.96</v>
      </c>
      <c r="D29" t="s">
        <v>2840</v>
      </c>
      <c r="E29" s="119">
        <v>45760</v>
      </c>
      <c r="F29" s="119">
        <v>45886</v>
      </c>
      <c r="G29" t="s">
        <v>2843</v>
      </c>
    </row>
    <row r="30" spans="1:8" hidden="1" x14ac:dyDescent="0.25">
      <c r="A30">
        <v>2025</v>
      </c>
      <c r="B30" t="s">
        <v>2878</v>
      </c>
      <c r="C30" s="2">
        <v>20</v>
      </c>
      <c r="D30" t="s">
        <v>2840</v>
      </c>
      <c r="E30" s="119">
        <v>45760</v>
      </c>
      <c r="F30" s="119">
        <v>45886</v>
      </c>
      <c r="G30" t="s">
        <v>2843</v>
      </c>
      <c r="H30" t="s">
        <v>2924</v>
      </c>
    </row>
    <row r="31" spans="1:8" hidden="1" x14ac:dyDescent="0.25">
      <c r="A31">
        <v>2025</v>
      </c>
      <c r="B31" t="s">
        <v>2882</v>
      </c>
      <c r="C31" s="2" t="s">
        <v>2239</v>
      </c>
      <c r="D31" t="s">
        <v>2828</v>
      </c>
      <c r="E31" s="119">
        <v>45760</v>
      </c>
      <c r="F31" s="119">
        <v>45886</v>
      </c>
      <c r="G31" t="s">
        <v>2843</v>
      </c>
      <c r="H31" t="s">
        <v>2925</v>
      </c>
    </row>
    <row r="32" spans="1:8" hidden="1" x14ac:dyDescent="0.25">
      <c r="A32">
        <v>2025</v>
      </c>
      <c r="B32" t="s">
        <v>2881</v>
      </c>
      <c r="C32" s="2" t="s">
        <v>2237</v>
      </c>
      <c r="D32" t="s">
        <v>2828</v>
      </c>
      <c r="E32" s="119">
        <v>45760</v>
      </c>
      <c r="F32" s="119">
        <v>45886</v>
      </c>
      <c r="G32" t="s">
        <v>2843</v>
      </c>
    </row>
    <row r="33" spans="1:8" hidden="1" x14ac:dyDescent="0.25">
      <c r="A33">
        <v>2025</v>
      </c>
      <c r="B33" t="s">
        <v>2879</v>
      </c>
      <c r="C33" s="2" t="s">
        <v>471</v>
      </c>
      <c r="D33" t="s">
        <v>2926</v>
      </c>
      <c r="E33" s="119">
        <v>45760</v>
      </c>
      <c r="F33" s="119">
        <v>45886</v>
      </c>
      <c r="G33" t="s">
        <v>2843</v>
      </c>
      <c r="H33" t="s">
        <v>2927</v>
      </c>
    </row>
    <row r="34" spans="1:8" hidden="1" x14ac:dyDescent="0.25">
      <c r="A34">
        <v>2025</v>
      </c>
      <c r="B34" t="s">
        <v>2880</v>
      </c>
      <c r="C34" s="2" t="s">
        <v>466</v>
      </c>
      <c r="D34" t="s">
        <v>2926</v>
      </c>
      <c r="E34" s="119">
        <v>45760</v>
      </c>
      <c r="F34" s="119">
        <v>45886</v>
      </c>
      <c r="G34" t="s">
        <v>2843</v>
      </c>
      <c r="H34" t="s">
        <v>2928</v>
      </c>
    </row>
    <row r="35" spans="1:8" hidden="1" x14ac:dyDescent="0.25">
      <c r="A35">
        <v>2025</v>
      </c>
      <c r="B35" t="s">
        <v>2861</v>
      </c>
      <c r="C35" s="2" t="b">
        <v>1</v>
      </c>
      <c r="D35" t="s">
        <v>2803</v>
      </c>
      <c r="E35" s="119">
        <v>45760</v>
      </c>
      <c r="F35" s="119">
        <v>45886</v>
      </c>
      <c r="G35" t="s">
        <v>2843</v>
      </c>
      <c r="H35" t="s">
        <v>646</v>
      </c>
    </row>
    <row r="36" spans="1:8" hidden="1" x14ac:dyDescent="0.25">
      <c r="A36">
        <v>2025</v>
      </c>
      <c r="B36" t="s">
        <v>2862</v>
      </c>
      <c r="C36" s="2">
        <v>8</v>
      </c>
      <c r="D36" t="s">
        <v>2840</v>
      </c>
      <c r="E36" s="119">
        <v>45760</v>
      </c>
      <c r="F36" s="119">
        <v>45886</v>
      </c>
      <c r="G36" t="s">
        <v>2844</v>
      </c>
      <c r="H36" t="s">
        <v>2929</v>
      </c>
    </row>
    <row r="37" spans="1:8" hidden="1" x14ac:dyDescent="0.25">
      <c r="A37">
        <v>2025</v>
      </c>
      <c r="B37" t="s">
        <v>2871</v>
      </c>
      <c r="C37" s="2">
        <v>0</v>
      </c>
      <c r="D37" t="s">
        <v>2840</v>
      </c>
      <c r="E37" s="119">
        <v>45760</v>
      </c>
      <c r="F37" s="119">
        <v>45886</v>
      </c>
      <c r="G37" t="s">
        <v>2843</v>
      </c>
    </row>
    <row r="38" spans="1:8" hidden="1" x14ac:dyDescent="0.25">
      <c r="A38">
        <v>2025</v>
      </c>
      <c r="B38" t="s">
        <v>2869</v>
      </c>
      <c r="C38" s="2">
        <v>38</v>
      </c>
      <c r="D38" t="s">
        <v>2840</v>
      </c>
      <c r="E38" s="119">
        <v>45760</v>
      </c>
      <c r="F38" s="119">
        <v>45886</v>
      </c>
      <c r="G38" t="s">
        <v>2843</v>
      </c>
      <c r="H38" t="s">
        <v>2930</v>
      </c>
    </row>
    <row r="39" spans="1:8" hidden="1" x14ac:dyDescent="0.25">
      <c r="A39">
        <v>2025</v>
      </c>
      <c r="B39" t="s">
        <v>2850</v>
      </c>
      <c r="C39" s="2" t="s">
        <v>2941</v>
      </c>
      <c r="D39" t="s">
        <v>2841</v>
      </c>
      <c r="E39" s="119">
        <v>45760</v>
      </c>
      <c r="F39" s="119">
        <v>45886</v>
      </c>
      <c r="G39" t="s">
        <v>2843</v>
      </c>
      <c r="H39" t="s">
        <v>2851</v>
      </c>
    </row>
    <row r="40" spans="1:8" hidden="1" x14ac:dyDescent="0.25">
      <c r="A40">
        <v>2025</v>
      </c>
      <c r="B40" t="s">
        <v>2850</v>
      </c>
      <c r="C40" s="2" t="s">
        <v>2941</v>
      </c>
      <c r="D40" t="s">
        <v>2841</v>
      </c>
      <c r="E40" s="119">
        <v>45760</v>
      </c>
      <c r="F40" s="119">
        <v>45886</v>
      </c>
      <c r="G40" t="s">
        <v>2843</v>
      </c>
      <c r="H40" t="s">
        <v>2852</v>
      </c>
    </row>
    <row r="41" spans="1:8" hidden="1" x14ac:dyDescent="0.25">
      <c r="A41">
        <v>2025</v>
      </c>
      <c r="B41" t="s">
        <v>2870</v>
      </c>
      <c r="C41" s="2">
        <v>40</v>
      </c>
      <c r="D41" t="s">
        <v>2840</v>
      </c>
      <c r="E41" s="119">
        <v>45760</v>
      </c>
      <c r="F41" s="119">
        <v>45886</v>
      </c>
      <c r="G41" t="s">
        <v>2843</v>
      </c>
      <c r="H41" t="s">
        <v>2930</v>
      </c>
    </row>
    <row r="42" spans="1:8" hidden="1" x14ac:dyDescent="0.25">
      <c r="A42">
        <v>2025</v>
      </c>
      <c r="B42" t="s">
        <v>2795</v>
      </c>
      <c r="C42" s="2" t="s">
        <v>2941</v>
      </c>
      <c r="D42" t="s">
        <v>2841</v>
      </c>
      <c r="E42" s="119">
        <v>45760</v>
      </c>
      <c r="F42" s="119">
        <v>45886</v>
      </c>
      <c r="G42" t="s">
        <v>2843</v>
      </c>
      <c r="H42" t="s">
        <v>2851</v>
      </c>
    </row>
    <row r="43" spans="1:8" hidden="1" x14ac:dyDescent="0.25">
      <c r="A43">
        <v>2025</v>
      </c>
      <c r="B43" t="s">
        <v>2795</v>
      </c>
      <c r="C43" s="2" t="s">
        <v>2941</v>
      </c>
      <c r="D43" t="s">
        <v>2841</v>
      </c>
      <c r="E43" s="119">
        <v>45760</v>
      </c>
      <c r="F43" s="119">
        <v>45886</v>
      </c>
      <c r="G43" t="s">
        <v>2843</v>
      </c>
      <c r="H43" t="s">
        <v>2852</v>
      </c>
    </row>
    <row r="44" spans="1:8" hidden="1" x14ac:dyDescent="0.25">
      <c r="A44">
        <v>2025</v>
      </c>
      <c r="B44" t="s">
        <v>2872</v>
      </c>
      <c r="C44" s="2" t="s">
        <v>2479</v>
      </c>
      <c r="D44" t="s">
        <v>2828</v>
      </c>
      <c r="E44" s="119">
        <v>45760</v>
      </c>
      <c r="F44" s="119">
        <v>45886</v>
      </c>
      <c r="H44" t="s">
        <v>2931</v>
      </c>
    </row>
    <row r="45" spans="1:8" hidden="1" x14ac:dyDescent="0.25">
      <c r="A45">
        <v>2025</v>
      </c>
      <c r="B45" t="s">
        <v>2873</v>
      </c>
      <c r="C45" s="2" t="s">
        <v>2481</v>
      </c>
      <c r="D45" t="s">
        <v>2828</v>
      </c>
      <c r="E45" s="119">
        <v>45760</v>
      </c>
      <c r="F45" s="119">
        <v>45886</v>
      </c>
      <c r="H45" t="s">
        <v>2931</v>
      </c>
    </row>
    <row r="46" spans="1:8" hidden="1" x14ac:dyDescent="0.25">
      <c r="A46">
        <v>2025</v>
      </c>
      <c r="B46" t="s">
        <v>2876</v>
      </c>
      <c r="C46" s="2" t="b">
        <v>1</v>
      </c>
      <c r="D46" t="s">
        <v>2803</v>
      </c>
      <c r="E46" s="119">
        <v>45760</v>
      </c>
      <c r="F46" s="119">
        <v>45886</v>
      </c>
      <c r="H46" t="s">
        <v>2931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A4A48-F0DC-4B21-B15F-9B3CADA77DBE}">
  <dimension ref="A1:H24"/>
  <sheetViews>
    <sheetView zoomScale="80" zoomScaleNormal="80" workbookViewId="0">
      <selection sqref="A1:H24"/>
    </sheetView>
  </sheetViews>
  <sheetFormatPr defaultRowHeight="13.2" x14ac:dyDescent="0.25"/>
  <cols>
    <col min="1" max="1" width="25" bestFit="1" customWidth="1"/>
    <col min="2" max="2" width="80.88671875" bestFit="1" customWidth="1"/>
    <col min="3" max="3" width="13.21875" bestFit="1" customWidth="1"/>
    <col min="4" max="4" width="26.77734375" bestFit="1" customWidth="1"/>
    <col min="5" max="5" width="36.44140625" bestFit="1" customWidth="1"/>
    <col min="6" max="6" width="16.21875" bestFit="1" customWidth="1"/>
    <col min="7" max="7" width="21.88671875" bestFit="1" customWidth="1"/>
    <col min="8" max="8" width="22.77734375" bestFit="1" customWidth="1"/>
    <col min="9" max="9" width="80.88671875" bestFit="1" customWidth="1"/>
  </cols>
  <sheetData>
    <row r="1" spans="1:8" x14ac:dyDescent="0.25">
      <c r="A1" t="s">
        <v>2789</v>
      </c>
      <c r="B1" t="s">
        <v>2790</v>
      </c>
      <c r="C1" t="s">
        <v>2796</v>
      </c>
      <c r="D1" t="s">
        <v>626</v>
      </c>
      <c r="E1" t="s">
        <v>2791</v>
      </c>
      <c r="F1" t="s">
        <v>2797</v>
      </c>
      <c r="G1" t="s">
        <v>2798</v>
      </c>
      <c r="H1" t="s">
        <v>2799</v>
      </c>
    </row>
    <row r="2" spans="1:8" x14ac:dyDescent="0.25">
      <c r="A2" t="s">
        <v>580</v>
      </c>
      <c r="B2" t="s">
        <v>2727</v>
      </c>
      <c r="C2" t="s">
        <v>2828</v>
      </c>
      <c r="D2" t="s">
        <v>2815</v>
      </c>
      <c r="E2" t="s">
        <v>2801</v>
      </c>
      <c r="F2" t="s">
        <v>641</v>
      </c>
      <c r="G2" t="b">
        <v>1</v>
      </c>
    </row>
    <row r="3" spans="1:8" x14ac:dyDescent="0.25">
      <c r="A3" t="s">
        <v>582</v>
      </c>
      <c r="B3" t="s">
        <v>618</v>
      </c>
      <c r="C3" t="s">
        <v>2828</v>
      </c>
      <c r="D3" t="s">
        <v>2815</v>
      </c>
      <c r="E3" t="s">
        <v>2802</v>
      </c>
      <c r="F3" t="s">
        <v>641</v>
      </c>
      <c r="G3" t="b">
        <v>1</v>
      </c>
    </row>
    <row r="4" spans="1:8" x14ac:dyDescent="0.25">
      <c r="A4" t="s">
        <v>586</v>
      </c>
      <c r="B4" t="b">
        <v>0</v>
      </c>
      <c r="C4" t="s">
        <v>2803</v>
      </c>
      <c r="D4" t="s">
        <v>2815</v>
      </c>
      <c r="E4" t="s">
        <v>2804</v>
      </c>
      <c r="F4" t="s">
        <v>641</v>
      </c>
      <c r="G4" t="b">
        <v>1</v>
      </c>
    </row>
    <row r="5" spans="1:8" x14ac:dyDescent="0.25">
      <c r="A5" t="s">
        <v>2800</v>
      </c>
      <c r="B5" t="s">
        <v>2906</v>
      </c>
      <c r="C5" t="s">
        <v>2828</v>
      </c>
      <c r="D5" t="s">
        <v>2815</v>
      </c>
      <c r="E5" t="s">
        <v>2805</v>
      </c>
      <c r="F5" t="s">
        <v>2246</v>
      </c>
      <c r="G5" t="b">
        <v>1</v>
      </c>
    </row>
    <row r="6" spans="1:8" x14ac:dyDescent="0.25">
      <c r="A6" t="s">
        <v>701</v>
      </c>
      <c r="B6" t="s">
        <v>2907</v>
      </c>
      <c r="C6" t="s">
        <v>2828</v>
      </c>
      <c r="D6" t="s">
        <v>2815</v>
      </c>
      <c r="E6" t="s">
        <v>2909</v>
      </c>
      <c r="F6" t="s">
        <v>638</v>
      </c>
      <c r="G6" t="b">
        <v>1</v>
      </c>
      <c r="H6" t="s">
        <v>2910</v>
      </c>
    </row>
    <row r="7" spans="1:8" x14ac:dyDescent="0.25">
      <c r="A7" t="s">
        <v>584</v>
      </c>
      <c r="B7" t="s">
        <v>2932</v>
      </c>
      <c r="C7" t="s">
        <v>2828</v>
      </c>
      <c r="D7" t="s">
        <v>2815</v>
      </c>
      <c r="E7" t="s">
        <v>2908</v>
      </c>
      <c r="F7" t="s">
        <v>638</v>
      </c>
      <c r="G7" t="b">
        <v>1</v>
      </c>
    </row>
    <row r="8" spans="1:8" x14ac:dyDescent="0.25">
      <c r="A8" t="s">
        <v>2806</v>
      </c>
      <c r="B8" t="b">
        <v>1</v>
      </c>
      <c r="C8" t="s">
        <v>2803</v>
      </c>
      <c r="D8" t="s">
        <v>2816</v>
      </c>
      <c r="E8" t="s">
        <v>2807</v>
      </c>
      <c r="F8" t="s">
        <v>641</v>
      </c>
      <c r="G8" t="b">
        <v>1</v>
      </c>
    </row>
    <row r="9" spans="1:8" x14ac:dyDescent="0.25">
      <c r="A9" t="s">
        <v>2808</v>
      </c>
      <c r="B9" t="s">
        <v>2810</v>
      </c>
      <c r="C9" t="s">
        <v>2828</v>
      </c>
      <c r="D9" t="s">
        <v>2816</v>
      </c>
      <c r="E9" t="s">
        <v>717</v>
      </c>
      <c r="F9" t="s">
        <v>641</v>
      </c>
      <c r="G9" t="b">
        <v>1</v>
      </c>
    </row>
    <row r="10" spans="1:8" x14ac:dyDescent="0.25">
      <c r="A10" t="s">
        <v>2811</v>
      </c>
      <c r="B10" t="b">
        <v>1</v>
      </c>
      <c r="C10" t="s">
        <v>2803</v>
      </c>
      <c r="D10" t="s">
        <v>2816</v>
      </c>
      <c r="E10" t="s">
        <v>2812</v>
      </c>
      <c r="F10" t="s">
        <v>638</v>
      </c>
      <c r="G10" t="b">
        <v>1</v>
      </c>
    </row>
    <row r="11" spans="1:8" x14ac:dyDescent="0.25">
      <c r="A11" t="s">
        <v>2813</v>
      </c>
      <c r="B11" t="b">
        <v>1</v>
      </c>
      <c r="C11" t="s">
        <v>2803</v>
      </c>
      <c r="D11" t="s">
        <v>2816</v>
      </c>
      <c r="E11" t="s">
        <v>2814</v>
      </c>
      <c r="F11" t="s">
        <v>641</v>
      </c>
      <c r="G11" t="b">
        <v>1</v>
      </c>
    </row>
    <row r="12" spans="1:8" x14ac:dyDescent="0.25">
      <c r="A12" t="s">
        <v>2517</v>
      </c>
      <c r="B12" t="b">
        <v>1</v>
      </c>
      <c r="C12" t="s">
        <v>2803</v>
      </c>
      <c r="D12" t="s">
        <v>654</v>
      </c>
      <c r="E12" t="s">
        <v>2527</v>
      </c>
      <c r="F12" t="s">
        <v>641</v>
      </c>
      <c r="G12" t="b">
        <v>1</v>
      </c>
      <c r="H12" t="s">
        <v>2530</v>
      </c>
    </row>
    <row r="13" spans="1:8" x14ac:dyDescent="0.25">
      <c r="A13" t="s">
        <v>2531</v>
      </c>
      <c r="B13" t="b">
        <v>1</v>
      </c>
      <c r="C13" t="s">
        <v>2803</v>
      </c>
      <c r="D13" t="s">
        <v>654</v>
      </c>
      <c r="E13" t="s">
        <v>2535</v>
      </c>
      <c r="F13" t="s">
        <v>2246</v>
      </c>
      <c r="G13" t="b">
        <v>1</v>
      </c>
      <c r="H13" t="s">
        <v>2537</v>
      </c>
    </row>
    <row r="14" spans="1:8" x14ac:dyDescent="0.25">
      <c r="A14" t="s">
        <v>2532</v>
      </c>
      <c r="B14" t="b">
        <v>1</v>
      </c>
      <c r="C14" t="s">
        <v>2803</v>
      </c>
      <c r="D14" t="s">
        <v>654</v>
      </c>
      <c r="E14" t="s">
        <v>2536</v>
      </c>
      <c r="F14" t="s">
        <v>2246</v>
      </c>
      <c r="G14" t="b">
        <v>1</v>
      </c>
      <c r="H14" t="s">
        <v>2538</v>
      </c>
    </row>
    <row r="15" spans="1:8" x14ac:dyDescent="0.25">
      <c r="A15" t="s">
        <v>2827</v>
      </c>
      <c r="B15" t="s">
        <v>2911</v>
      </c>
      <c r="C15" t="s">
        <v>2828</v>
      </c>
      <c r="D15" t="s">
        <v>2826</v>
      </c>
      <c r="E15" t="s">
        <v>2829</v>
      </c>
      <c r="F15" t="s">
        <v>638</v>
      </c>
      <c r="G15" t="b">
        <v>1</v>
      </c>
    </row>
    <row r="16" spans="1:8" x14ac:dyDescent="0.25">
      <c r="A16" t="s">
        <v>2830</v>
      </c>
      <c r="C16" t="s">
        <v>167</v>
      </c>
      <c r="D16" t="s">
        <v>2826</v>
      </c>
      <c r="E16" t="s">
        <v>2831</v>
      </c>
      <c r="F16" t="s">
        <v>638</v>
      </c>
      <c r="G16" t="b">
        <v>0</v>
      </c>
    </row>
    <row r="17" spans="1:8" x14ac:dyDescent="0.25">
      <c r="A17" t="s">
        <v>2832</v>
      </c>
      <c r="B17" t="s">
        <v>2912</v>
      </c>
      <c r="C17" t="s">
        <v>2828</v>
      </c>
      <c r="D17" t="s">
        <v>2826</v>
      </c>
      <c r="E17" t="s">
        <v>2833</v>
      </c>
      <c r="F17" t="s">
        <v>638</v>
      </c>
      <c r="G17" t="b">
        <v>1</v>
      </c>
    </row>
    <row r="18" spans="1:8" x14ac:dyDescent="0.25">
      <c r="A18" t="s">
        <v>2834</v>
      </c>
      <c r="C18" t="s">
        <v>167</v>
      </c>
      <c r="D18" t="s">
        <v>2826</v>
      </c>
      <c r="E18" t="s">
        <v>2835</v>
      </c>
      <c r="F18" t="s">
        <v>638</v>
      </c>
      <c r="G18" t="b">
        <v>0</v>
      </c>
    </row>
    <row r="19" spans="1:8" x14ac:dyDescent="0.25">
      <c r="A19" t="s">
        <v>2818</v>
      </c>
      <c r="B19" t="b">
        <v>1</v>
      </c>
      <c r="C19" t="s">
        <v>2803</v>
      </c>
      <c r="D19" t="s">
        <v>2817</v>
      </c>
      <c r="E19" t="s">
        <v>2819</v>
      </c>
      <c r="F19" t="s">
        <v>641</v>
      </c>
      <c r="G19" t="b">
        <v>1</v>
      </c>
    </row>
    <row r="20" spans="1:8" x14ac:dyDescent="0.25">
      <c r="A20" t="s">
        <v>2820</v>
      </c>
      <c r="B20" t="b">
        <v>1</v>
      </c>
      <c r="C20" t="s">
        <v>2803</v>
      </c>
      <c r="D20" t="s">
        <v>2817</v>
      </c>
      <c r="E20" t="s">
        <v>2821</v>
      </c>
      <c r="F20" t="s">
        <v>638</v>
      </c>
      <c r="G20" t="b">
        <v>1</v>
      </c>
    </row>
    <row r="21" spans="1:8" x14ac:dyDescent="0.25">
      <c r="A21" t="s">
        <v>2822</v>
      </c>
      <c r="B21" t="b">
        <v>1</v>
      </c>
      <c r="C21" t="s">
        <v>2803</v>
      </c>
      <c r="D21" t="s">
        <v>2817</v>
      </c>
      <c r="E21" t="s">
        <v>2823</v>
      </c>
      <c r="F21" t="s">
        <v>641</v>
      </c>
      <c r="G21" t="b">
        <v>1</v>
      </c>
    </row>
    <row r="22" spans="1:8" x14ac:dyDescent="0.25">
      <c r="A22" t="s">
        <v>2824</v>
      </c>
      <c r="B22" t="b">
        <v>1</v>
      </c>
      <c r="C22" t="s">
        <v>2803</v>
      </c>
      <c r="D22" t="s">
        <v>2817</v>
      </c>
      <c r="E22" t="s">
        <v>2825</v>
      </c>
      <c r="F22" t="s">
        <v>638</v>
      </c>
      <c r="G22" t="b">
        <v>1</v>
      </c>
    </row>
    <row r="23" spans="1:8" x14ac:dyDescent="0.25">
      <c r="A23" t="s">
        <v>710</v>
      </c>
      <c r="B23" t="b">
        <v>1</v>
      </c>
      <c r="C23" t="s">
        <v>2803</v>
      </c>
      <c r="D23" t="s">
        <v>2817</v>
      </c>
      <c r="E23" t="s">
        <v>2913</v>
      </c>
      <c r="F23" t="s">
        <v>641</v>
      </c>
      <c r="G23" t="b">
        <v>1</v>
      </c>
    </row>
    <row r="24" spans="1:8" x14ac:dyDescent="0.25">
      <c r="A24" t="s">
        <v>713</v>
      </c>
      <c r="B24" t="b">
        <v>0</v>
      </c>
      <c r="C24" t="s">
        <v>2803</v>
      </c>
      <c r="D24" t="s">
        <v>2817</v>
      </c>
      <c r="E24" t="s">
        <v>2914</v>
      </c>
      <c r="F24" t="s">
        <v>641</v>
      </c>
      <c r="G24" t="b">
        <v>1</v>
      </c>
      <c r="H24" t="s">
        <v>715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5B14A-ADEA-4661-B12D-EF581D6A0A1E}">
  <dimension ref="A1:H24"/>
  <sheetViews>
    <sheetView zoomScale="80" zoomScaleNormal="80" workbookViewId="0">
      <selection sqref="A1:H24"/>
    </sheetView>
  </sheetViews>
  <sheetFormatPr defaultRowHeight="13.2" x14ac:dyDescent="0.25"/>
  <cols>
    <col min="1" max="1" width="25" bestFit="1" customWidth="1"/>
    <col min="2" max="2" width="80.88671875" style="2" bestFit="1" customWidth="1"/>
    <col min="3" max="3" width="13.21875" bestFit="1" customWidth="1"/>
    <col min="4" max="4" width="26.77734375" bestFit="1" customWidth="1"/>
    <col min="5" max="5" width="36.44140625" bestFit="1" customWidth="1"/>
    <col min="6" max="6" width="16.21875" bestFit="1" customWidth="1"/>
    <col min="7" max="7" width="21.88671875" bestFit="1" customWidth="1"/>
    <col min="8" max="8" width="23.5546875" bestFit="1" customWidth="1"/>
  </cols>
  <sheetData>
    <row r="1" spans="1:8" x14ac:dyDescent="0.25">
      <c r="A1" t="s">
        <v>2789</v>
      </c>
      <c r="B1" s="2" t="s">
        <v>2790</v>
      </c>
      <c r="C1" t="s">
        <v>2796</v>
      </c>
      <c r="D1" t="s">
        <v>626</v>
      </c>
      <c r="E1" t="s">
        <v>2791</v>
      </c>
      <c r="F1" t="s">
        <v>2797</v>
      </c>
      <c r="G1" t="s">
        <v>2798</v>
      </c>
      <c r="H1" t="s">
        <v>2799</v>
      </c>
    </row>
    <row r="2" spans="1:8" ht="14.4" x14ac:dyDescent="0.25">
      <c r="A2" t="s">
        <v>580</v>
      </c>
      <c r="B2" s="422" t="s">
        <v>2727</v>
      </c>
      <c r="C2" s="48" t="s">
        <v>2828</v>
      </c>
      <c r="D2" t="s">
        <v>2815</v>
      </c>
      <c r="E2" t="s">
        <v>2801</v>
      </c>
      <c r="F2" t="s">
        <v>641</v>
      </c>
      <c r="G2" t="b">
        <v>1</v>
      </c>
    </row>
    <row r="3" spans="1:8" x14ac:dyDescent="0.25">
      <c r="A3" t="s">
        <v>582</v>
      </c>
      <c r="B3" s="2" t="s">
        <v>618</v>
      </c>
      <c r="C3" s="48" t="s">
        <v>2828</v>
      </c>
      <c r="D3" t="s">
        <v>2815</v>
      </c>
      <c r="E3" t="s">
        <v>2802</v>
      </c>
      <c r="F3" t="s">
        <v>641</v>
      </c>
      <c r="G3" t="b">
        <v>1</v>
      </c>
    </row>
    <row r="4" spans="1:8" x14ac:dyDescent="0.25">
      <c r="A4" t="s">
        <v>586</v>
      </c>
      <c r="B4" s="2" t="b">
        <v>0</v>
      </c>
      <c r="C4" t="s">
        <v>2803</v>
      </c>
      <c r="D4" t="s">
        <v>2815</v>
      </c>
      <c r="E4" t="s">
        <v>2804</v>
      </c>
      <c r="F4" t="s">
        <v>641</v>
      </c>
      <c r="G4" t="b">
        <v>1</v>
      </c>
    </row>
    <row r="5" spans="1:8" ht="14.4" x14ac:dyDescent="0.25">
      <c r="A5" t="s">
        <v>2800</v>
      </c>
      <c r="B5" s="423" t="s">
        <v>2906</v>
      </c>
      <c r="C5" s="48" t="s">
        <v>2828</v>
      </c>
      <c r="D5" t="s">
        <v>2815</v>
      </c>
      <c r="E5" t="s">
        <v>2805</v>
      </c>
      <c r="F5" t="s">
        <v>2246</v>
      </c>
      <c r="G5" t="b">
        <v>1</v>
      </c>
    </row>
    <row r="6" spans="1:8" ht="14.4" x14ac:dyDescent="0.25">
      <c r="A6" s="48" t="s">
        <v>701</v>
      </c>
      <c r="B6" s="423" t="s">
        <v>2907</v>
      </c>
      <c r="C6" s="48" t="s">
        <v>2828</v>
      </c>
      <c r="D6" s="48" t="s">
        <v>2815</v>
      </c>
      <c r="E6" s="48" t="s">
        <v>2909</v>
      </c>
      <c r="F6" s="48" t="s">
        <v>638</v>
      </c>
      <c r="G6" t="b">
        <v>1</v>
      </c>
      <c r="H6" s="48" t="s">
        <v>2910</v>
      </c>
    </row>
    <row r="7" spans="1:8" ht="14.4" x14ac:dyDescent="0.25">
      <c r="A7" s="48" t="s">
        <v>584</v>
      </c>
      <c r="B7" s="423" t="s">
        <v>2932</v>
      </c>
      <c r="C7" s="48" t="s">
        <v>2828</v>
      </c>
      <c r="D7" s="48" t="s">
        <v>2815</v>
      </c>
      <c r="E7" s="48" t="s">
        <v>2908</v>
      </c>
      <c r="F7" s="48" t="s">
        <v>638</v>
      </c>
      <c r="G7" t="b">
        <v>1</v>
      </c>
    </row>
    <row r="8" spans="1:8" x14ac:dyDescent="0.25">
      <c r="A8" t="s">
        <v>2806</v>
      </c>
      <c r="B8" s="2" t="b">
        <v>1</v>
      </c>
      <c r="C8" t="s">
        <v>2803</v>
      </c>
      <c r="D8" t="s">
        <v>2816</v>
      </c>
      <c r="E8" t="s">
        <v>2807</v>
      </c>
      <c r="F8" t="s">
        <v>641</v>
      </c>
      <c r="G8" t="b">
        <v>1</v>
      </c>
    </row>
    <row r="9" spans="1:8" x14ac:dyDescent="0.25">
      <c r="A9" t="s">
        <v>2808</v>
      </c>
      <c r="B9" s="2" t="s">
        <v>2810</v>
      </c>
      <c r="C9" s="48" t="s">
        <v>2828</v>
      </c>
      <c r="D9" t="s">
        <v>2816</v>
      </c>
      <c r="E9" t="s">
        <v>717</v>
      </c>
      <c r="F9" s="48" t="s">
        <v>641</v>
      </c>
      <c r="G9" t="b">
        <v>1</v>
      </c>
    </row>
    <row r="10" spans="1:8" x14ac:dyDescent="0.25">
      <c r="A10" t="s">
        <v>2811</v>
      </c>
      <c r="B10" s="2" t="b">
        <v>1</v>
      </c>
      <c r="C10" t="s">
        <v>2803</v>
      </c>
      <c r="D10" t="s">
        <v>2816</v>
      </c>
      <c r="E10" t="s">
        <v>2812</v>
      </c>
      <c r="F10" s="48" t="s">
        <v>638</v>
      </c>
      <c r="G10" t="b">
        <v>1</v>
      </c>
    </row>
    <row r="11" spans="1:8" x14ac:dyDescent="0.25">
      <c r="A11" t="s">
        <v>2813</v>
      </c>
      <c r="B11" s="2" t="b">
        <v>1</v>
      </c>
      <c r="C11" t="s">
        <v>2803</v>
      </c>
      <c r="D11" t="s">
        <v>2816</v>
      </c>
      <c r="E11" t="s">
        <v>2814</v>
      </c>
      <c r="F11" s="48" t="s">
        <v>641</v>
      </c>
      <c r="G11" t="b">
        <v>1</v>
      </c>
    </row>
    <row r="12" spans="1:8" ht="14.4" x14ac:dyDescent="0.25">
      <c r="A12" s="48" t="s">
        <v>2517</v>
      </c>
      <c r="B12" s="2" t="b">
        <v>1</v>
      </c>
      <c r="C12" s="48" t="s">
        <v>2803</v>
      </c>
      <c r="D12" s="48" t="s">
        <v>654</v>
      </c>
      <c r="E12" s="393" t="s">
        <v>2527</v>
      </c>
      <c r="F12" s="48" t="s">
        <v>641</v>
      </c>
      <c r="G12" t="b">
        <v>1</v>
      </c>
      <c r="H12" s="393" t="s">
        <v>2530</v>
      </c>
    </row>
    <row r="13" spans="1:8" ht="14.4" x14ac:dyDescent="0.3">
      <c r="A13" s="48" t="s">
        <v>2531</v>
      </c>
      <c r="B13" s="2" t="b">
        <v>1</v>
      </c>
      <c r="C13" s="48" t="s">
        <v>2803</v>
      </c>
      <c r="D13" s="48" t="s">
        <v>654</v>
      </c>
      <c r="E13" s="395" t="s">
        <v>2535</v>
      </c>
      <c r="F13" s="48" t="s">
        <v>2246</v>
      </c>
      <c r="G13" t="b">
        <v>1</v>
      </c>
      <c r="H13" s="395" t="s">
        <v>2537</v>
      </c>
    </row>
    <row r="14" spans="1:8" ht="14.4" x14ac:dyDescent="0.3">
      <c r="A14" s="48" t="s">
        <v>2532</v>
      </c>
      <c r="B14" s="2" t="b">
        <v>1</v>
      </c>
      <c r="C14" s="48" t="s">
        <v>2803</v>
      </c>
      <c r="D14" s="48" t="s">
        <v>654</v>
      </c>
      <c r="E14" s="395" t="s">
        <v>2536</v>
      </c>
      <c r="F14" s="48" t="s">
        <v>2246</v>
      </c>
      <c r="G14" t="b">
        <v>1</v>
      </c>
      <c r="H14" s="395" t="s">
        <v>2538</v>
      </c>
    </row>
    <row r="15" spans="1:8" x14ac:dyDescent="0.25">
      <c r="A15" t="s">
        <v>2827</v>
      </c>
      <c r="B15" s="8" t="s">
        <v>2911</v>
      </c>
      <c r="C15" t="s">
        <v>2828</v>
      </c>
      <c r="D15" t="s">
        <v>2826</v>
      </c>
      <c r="E15" t="s">
        <v>2829</v>
      </c>
      <c r="F15" s="48" t="s">
        <v>638</v>
      </c>
      <c r="G15" t="b">
        <v>1</v>
      </c>
    </row>
    <row r="16" spans="1:8" x14ac:dyDescent="0.25">
      <c r="A16" t="s">
        <v>2830</v>
      </c>
      <c r="B16" s="8" t="s">
        <v>2907</v>
      </c>
      <c r="C16" t="s">
        <v>167</v>
      </c>
      <c r="D16" t="s">
        <v>2826</v>
      </c>
      <c r="E16" t="s">
        <v>2831</v>
      </c>
      <c r="F16" s="48" t="s">
        <v>638</v>
      </c>
      <c r="G16" t="b">
        <v>0</v>
      </c>
    </row>
    <row r="17" spans="1:8" x14ac:dyDescent="0.25">
      <c r="A17" t="s">
        <v>2832</v>
      </c>
      <c r="B17" s="8" t="s">
        <v>2912</v>
      </c>
      <c r="C17" t="s">
        <v>2828</v>
      </c>
      <c r="D17" t="s">
        <v>2826</v>
      </c>
      <c r="E17" t="s">
        <v>2833</v>
      </c>
      <c r="F17" s="48" t="s">
        <v>638</v>
      </c>
      <c r="G17" t="b">
        <v>1</v>
      </c>
    </row>
    <row r="18" spans="1:8" x14ac:dyDescent="0.25">
      <c r="A18" t="s">
        <v>2834</v>
      </c>
      <c r="B18" s="8" t="s">
        <v>2907</v>
      </c>
      <c r="C18" t="s">
        <v>167</v>
      </c>
      <c r="D18" t="s">
        <v>2826</v>
      </c>
      <c r="E18" t="s">
        <v>2835</v>
      </c>
      <c r="F18" s="48" t="s">
        <v>638</v>
      </c>
      <c r="G18" t="b">
        <v>0</v>
      </c>
    </row>
    <row r="19" spans="1:8" x14ac:dyDescent="0.25">
      <c r="A19" t="s">
        <v>2818</v>
      </c>
      <c r="B19" s="2" t="b">
        <v>1</v>
      </c>
      <c r="C19" t="s">
        <v>2803</v>
      </c>
      <c r="D19" t="s">
        <v>2817</v>
      </c>
      <c r="E19" t="s">
        <v>2819</v>
      </c>
      <c r="F19" s="48" t="s">
        <v>641</v>
      </c>
      <c r="G19" t="b">
        <v>1</v>
      </c>
    </row>
    <row r="20" spans="1:8" x14ac:dyDescent="0.25">
      <c r="A20" t="s">
        <v>2820</v>
      </c>
      <c r="B20" s="2" t="b">
        <v>1</v>
      </c>
      <c r="C20" t="s">
        <v>2803</v>
      </c>
      <c r="D20" t="s">
        <v>2817</v>
      </c>
      <c r="E20" t="s">
        <v>2821</v>
      </c>
      <c r="F20" s="48" t="s">
        <v>638</v>
      </c>
      <c r="G20" t="b">
        <v>1</v>
      </c>
    </row>
    <row r="21" spans="1:8" x14ac:dyDescent="0.25">
      <c r="A21" t="s">
        <v>2822</v>
      </c>
      <c r="B21" s="2" t="b">
        <v>1</v>
      </c>
      <c r="C21" t="s">
        <v>2803</v>
      </c>
      <c r="D21" t="s">
        <v>2817</v>
      </c>
      <c r="E21" t="s">
        <v>2823</v>
      </c>
      <c r="F21" s="48" t="s">
        <v>641</v>
      </c>
      <c r="G21" t="b">
        <v>1</v>
      </c>
    </row>
    <row r="22" spans="1:8" x14ac:dyDescent="0.25">
      <c r="A22" t="s">
        <v>2824</v>
      </c>
      <c r="B22" s="2" t="b">
        <v>1</v>
      </c>
      <c r="C22" t="s">
        <v>2803</v>
      </c>
      <c r="D22" t="s">
        <v>2817</v>
      </c>
      <c r="E22" t="s">
        <v>2825</v>
      </c>
      <c r="F22" s="48" t="s">
        <v>638</v>
      </c>
      <c r="G22" t="b">
        <v>1</v>
      </c>
    </row>
    <row r="23" spans="1:8" x14ac:dyDescent="0.25">
      <c r="A23" s="48" t="s">
        <v>710</v>
      </c>
      <c r="B23" s="2" t="b">
        <v>1</v>
      </c>
      <c r="C23" s="48" t="s">
        <v>2803</v>
      </c>
      <c r="D23" s="48" t="s">
        <v>2817</v>
      </c>
      <c r="E23" s="48" t="s">
        <v>2913</v>
      </c>
      <c r="F23" s="48" t="s">
        <v>641</v>
      </c>
      <c r="G23" t="b">
        <v>1</v>
      </c>
    </row>
    <row r="24" spans="1:8" x14ac:dyDescent="0.25">
      <c r="A24" s="48" t="s">
        <v>713</v>
      </c>
      <c r="B24" s="2" t="b">
        <v>0</v>
      </c>
      <c r="C24" s="48" t="s">
        <v>2803</v>
      </c>
      <c r="D24" s="48" t="s">
        <v>2817</v>
      </c>
      <c r="E24" s="48" t="s">
        <v>2914</v>
      </c>
      <c r="F24" s="48" t="s">
        <v>641</v>
      </c>
      <c r="G24" t="b">
        <v>1</v>
      </c>
      <c r="H24" s="48" t="s">
        <v>715</v>
      </c>
    </row>
  </sheetData>
  <dataValidations count="2">
    <dataValidation type="list" allowBlank="1" showInputMessage="1" showErrorMessage="1" sqref="B4 B8 B10:B15" xr:uid="{4477AC02-8D5E-4B05-9636-0C55A92603F8}">
      <formula1>"TRUE,FALSE"</formula1>
    </dataValidation>
    <dataValidation type="list" allowBlank="1" showInputMessage="1" showErrorMessage="1" sqref="B9" xr:uid="{502F0239-B366-4B41-B450-4F5D5DD0275C}">
      <formula1>"Manual,SemiAuto,Auto"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0936C-301D-473C-B550-9CA92C540373}">
  <dimension ref="A1:K46"/>
  <sheetViews>
    <sheetView zoomScale="90" zoomScaleNormal="90" workbookViewId="0">
      <pane ySplit="1" topLeftCell="A2" activePane="bottomLeft" state="frozen"/>
      <selection pane="bottomLeft" activeCell="C16" sqref="C16"/>
    </sheetView>
  </sheetViews>
  <sheetFormatPr defaultRowHeight="13.2" x14ac:dyDescent="0.25"/>
  <cols>
    <col min="1" max="1" width="10.33203125" bestFit="1" customWidth="1"/>
    <col min="2" max="2" width="37.5546875" style="48" bestFit="1" customWidth="1"/>
    <col min="3" max="3" width="37" style="2" bestFit="1" customWidth="1"/>
    <col min="4" max="4" width="11.77734375" bestFit="1" customWidth="1"/>
    <col min="5" max="5" width="14.44140625" bestFit="1" customWidth="1"/>
    <col min="6" max="6" width="12.21875" bestFit="1" customWidth="1"/>
    <col min="7" max="7" width="9.109375" bestFit="1" customWidth="1"/>
    <col min="8" max="8" width="46.33203125" style="6" bestFit="1" customWidth="1"/>
    <col min="9" max="9" width="14.109375" customWidth="1"/>
    <col min="10" max="10" width="13.21875" bestFit="1" customWidth="1"/>
    <col min="11" max="11" width="23.6640625" customWidth="1"/>
    <col min="12" max="12" width="2" customWidth="1"/>
  </cols>
  <sheetData>
    <row r="1" spans="1:11" x14ac:dyDescent="0.25">
      <c r="A1" s="400" t="s">
        <v>2836</v>
      </c>
      <c r="B1" s="400" t="s">
        <v>2845</v>
      </c>
      <c r="C1" s="84" t="s">
        <v>2790</v>
      </c>
      <c r="D1" s="402" t="s">
        <v>2796</v>
      </c>
      <c r="E1" s="402" t="s">
        <v>2837</v>
      </c>
      <c r="F1" s="402" t="s">
        <v>2838</v>
      </c>
      <c r="G1" s="400" t="s">
        <v>2839</v>
      </c>
      <c r="H1" s="84" t="s">
        <v>2799</v>
      </c>
      <c r="I1" s="400" t="s">
        <v>2915</v>
      </c>
      <c r="J1" s="400" t="s">
        <v>2916</v>
      </c>
      <c r="K1" s="400" t="s">
        <v>2917</v>
      </c>
    </row>
    <row r="2" spans="1:11" ht="14.4" x14ac:dyDescent="0.25">
      <c r="A2" s="48">
        <v>2025</v>
      </c>
      <c r="B2" s="409" t="s">
        <v>2736</v>
      </c>
      <c r="C2" s="8">
        <v>2025</v>
      </c>
      <c r="D2" s="401" t="s">
        <v>2840</v>
      </c>
      <c r="E2" s="405">
        <v>45760</v>
      </c>
      <c r="F2" s="405">
        <v>45886</v>
      </c>
      <c r="G2" s="48" t="s">
        <v>2844</v>
      </c>
      <c r="H2" s="403"/>
      <c r="I2" s="48" t="s">
        <v>576</v>
      </c>
      <c r="J2">
        <v>1</v>
      </c>
      <c r="K2">
        <v>26</v>
      </c>
    </row>
    <row r="3" spans="1:11" ht="14.4" x14ac:dyDescent="0.25">
      <c r="A3" s="48">
        <v>2025</v>
      </c>
      <c r="B3" s="409" t="s">
        <v>2735</v>
      </c>
      <c r="C3" s="8" t="s">
        <v>579</v>
      </c>
      <c r="D3" s="401" t="s">
        <v>2828</v>
      </c>
      <c r="E3" s="405">
        <v>45760</v>
      </c>
      <c r="F3" s="405">
        <v>45886</v>
      </c>
      <c r="G3" s="48" t="s">
        <v>2843</v>
      </c>
      <c r="H3" s="403"/>
      <c r="I3" s="48" t="s">
        <v>576</v>
      </c>
      <c r="J3">
        <v>1</v>
      </c>
      <c r="K3">
        <v>27</v>
      </c>
    </row>
    <row r="4" spans="1:11" ht="14.4" x14ac:dyDescent="0.25">
      <c r="A4" s="48">
        <v>2025</v>
      </c>
      <c r="B4" s="409" t="s">
        <v>2737</v>
      </c>
      <c r="C4" s="8">
        <v>14</v>
      </c>
      <c r="D4" s="401" t="s">
        <v>2840</v>
      </c>
      <c r="E4" s="405">
        <v>45760</v>
      </c>
      <c r="F4" s="405">
        <v>45886</v>
      </c>
      <c r="G4" s="48" t="s">
        <v>2844</v>
      </c>
      <c r="H4" s="403"/>
      <c r="I4" s="48" t="s">
        <v>576</v>
      </c>
      <c r="J4">
        <v>1</v>
      </c>
      <c r="K4">
        <v>28</v>
      </c>
    </row>
    <row r="5" spans="1:11" ht="14.4" x14ac:dyDescent="0.25">
      <c r="A5" s="48">
        <v>2025</v>
      </c>
      <c r="B5" s="409" t="s">
        <v>2739</v>
      </c>
      <c r="C5" s="8" t="s">
        <v>2853</v>
      </c>
      <c r="D5" s="48" t="s">
        <v>2809</v>
      </c>
      <c r="E5" s="405">
        <v>45760</v>
      </c>
      <c r="F5" s="405">
        <v>45886</v>
      </c>
      <c r="G5" s="48" t="s">
        <v>2842</v>
      </c>
      <c r="H5" s="403"/>
      <c r="I5" s="48" t="s">
        <v>576</v>
      </c>
      <c r="J5">
        <v>1</v>
      </c>
      <c r="K5">
        <v>29</v>
      </c>
    </row>
    <row r="6" spans="1:11" ht="14.4" x14ac:dyDescent="0.25">
      <c r="A6">
        <v>2025</v>
      </c>
      <c r="B6" s="426" t="s">
        <v>2860</v>
      </c>
      <c r="C6" s="429">
        <v>7</v>
      </c>
      <c r="D6" s="48" t="s">
        <v>2840</v>
      </c>
      <c r="E6" s="405">
        <v>45760</v>
      </c>
      <c r="F6" s="405">
        <v>45886</v>
      </c>
      <c r="G6" t="s">
        <v>2844</v>
      </c>
      <c r="I6" s="48" t="s">
        <v>576</v>
      </c>
      <c r="J6">
        <v>1</v>
      </c>
      <c r="K6">
        <v>30</v>
      </c>
    </row>
    <row r="7" spans="1:11" ht="15" thickBot="1" x14ac:dyDescent="0.3">
      <c r="A7" s="48">
        <v>2025</v>
      </c>
      <c r="B7" s="409" t="s">
        <v>2794</v>
      </c>
      <c r="C7" s="8" t="s">
        <v>1</v>
      </c>
      <c r="D7" s="48" t="s">
        <v>2828</v>
      </c>
      <c r="E7" s="405">
        <v>45760</v>
      </c>
      <c r="F7" s="405">
        <v>45886</v>
      </c>
      <c r="G7" s="48" t="s">
        <v>2843</v>
      </c>
      <c r="H7" s="403"/>
      <c r="I7" s="48" t="s">
        <v>2518</v>
      </c>
      <c r="J7">
        <v>2</v>
      </c>
      <c r="K7">
        <v>13</v>
      </c>
    </row>
    <row r="8" spans="1:11" ht="15.6" thickTop="1" thickBot="1" x14ac:dyDescent="0.3">
      <c r="A8" s="48">
        <v>2025</v>
      </c>
      <c r="B8" s="409" t="s">
        <v>352</v>
      </c>
      <c r="C8" s="424" t="s">
        <v>2846</v>
      </c>
      <c r="D8" s="48" t="s">
        <v>2828</v>
      </c>
      <c r="E8" s="405">
        <v>45760</v>
      </c>
      <c r="F8" s="405">
        <v>45886</v>
      </c>
      <c r="G8" s="48" t="s">
        <v>2844</v>
      </c>
      <c r="H8" s="403" t="s">
        <v>1</v>
      </c>
      <c r="I8" s="48" t="s">
        <v>2518</v>
      </c>
      <c r="J8">
        <v>2</v>
      </c>
      <c r="K8">
        <v>14</v>
      </c>
    </row>
    <row r="9" spans="1:11" ht="15.6" thickTop="1" thickBot="1" x14ac:dyDescent="0.3">
      <c r="A9" s="48">
        <v>2025</v>
      </c>
      <c r="B9" s="409" t="s">
        <v>2848</v>
      </c>
      <c r="C9" s="424" t="s">
        <v>2933</v>
      </c>
      <c r="D9" s="48" t="s">
        <v>2841</v>
      </c>
      <c r="E9" s="405">
        <v>45760</v>
      </c>
      <c r="F9" s="405">
        <v>45886</v>
      </c>
      <c r="G9" s="48" t="s">
        <v>2844</v>
      </c>
      <c r="H9" s="404" t="s">
        <v>2852</v>
      </c>
      <c r="I9" s="48" t="s">
        <v>2518</v>
      </c>
      <c r="J9">
        <v>2</v>
      </c>
      <c r="K9">
        <v>15</v>
      </c>
    </row>
    <row r="10" spans="1:11" ht="15.6" thickTop="1" thickBot="1" x14ac:dyDescent="0.3">
      <c r="A10" s="48">
        <v>2025</v>
      </c>
      <c r="B10" s="416" t="s">
        <v>2848</v>
      </c>
      <c r="C10" s="424" t="s">
        <v>2934</v>
      </c>
      <c r="D10" s="48" t="s">
        <v>2841</v>
      </c>
      <c r="E10" s="405">
        <v>45760</v>
      </c>
      <c r="F10" s="405">
        <v>45886</v>
      </c>
      <c r="G10" s="48" t="s">
        <v>2844</v>
      </c>
      <c r="H10" s="404" t="s">
        <v>2851</v>
      </c>
      <c r="I10" s="48" t="s">
        <v>2518</v>
      </c>
      <c r="J10">
        <v>2</v>
      </c>
      <c r="K10">
        <v>16</v>
      </c>
    </row>
    <row r="11" spans="1:11" ht="15.6" thickTop="1" thickBot="1" x14ac:dyDescent="0.3">
      <c r="A11" s="48">
        <v>2025</v>
      </c>
      <c r="B11" s="416" t="s">
        <v>352</v>
      </c>
      <c r="C11" s="424" t="s">
        <v>2847</v>
      </c>
      <c r="D11" s="48" t="s">
        <v>2828</v>
      </c>
      <c r="E11" s="405">
        <v>45760</v>
      </c>
      <c r="F11" s="405">
        <v>45886</v>
      </c>
      <c r="G11" s="48" t="s">
        <v>2844</v>
      </c>
      <c r="H11" s="403" t="s">
        <v>1</v>
      </c>
      <c r="I11" s="48" t="s">
        <v>2518</v>
      </c>
      <c r="J11">
        <v>2</v>
      </c>
      <c r="K11">
        <v>17</v>
      </c>
    </row>
    <row r="12" spans="1:11" ht="15.6" thickTop="1" thickBot="1" x14ac:dyDescent="0.3">
      <c r="A12" s="48">
        <v>2025</v>
      </c>
      <c r="B12" s="416" t="s">
        <v>2849</v>
      </c>
      <c r="C12" s="424" t="s">
        <v>2935</v>
      </c>
      <c r="D12" s="48" t="s">
        <v>2841</v>
      </c>
      <c r="E12" s="405">
        <v>45760</v>
      </c>
      <c r="F12" s="405">
        <v>45886</v>
      </c>
      <c r="G12" s="48" t="s">
        <v>2844</v>
      </c>
      <c r="H12" s="404" t="s">
        <v>2851</v>
      </c>
      <c r="I12" s="48" t="s">
        <v>2518</v>
      </c>
      <c r="J12">
        <v>2</v>
      </c>
      <c r="K12">
        <v>18</v>
      </c>
    </row>
    <row r="13" spans="1:11" ht="15" thickTop="1" x14ac:dyDescent="0.25">
      <c r="A13" s="48">
        <v>2025</v>
      </c>
      <c r="B13" s="416" t="s">
        <v>2849</v>
      </c>
      <c r="C13" s="424" t="s">
        <v>2936</v>
      </c>
      <c r="D13" s="48" t="s">
        <v>2841</v>
      </c>
      <c r="E13" s="405">
        <v>45760</v>
      </c>
      <c r="F13" s="405">
        <v>45886</v>
      </c>
      <c r="G13" s="48" t="s">
        <v>2844</v>
      </c>
      <c r="H13" s="404" t="s">
        <v>2852</v>
      </c>
      <c r="I13" s="48" t="s">
        <v>2518</v>
      </c>
      <c r="J13">
        <v>2</v>
      </c>
      <c r="K13">
        <v>19</v>
      </c>
    </row>
    <row r="14" spans="1:11" ht="15" thickBot="1" x14ac:dyDescent="0.3">
      <c r="A14" s="48">
        <v>2025</v>
      </c>
      <c r="B14" s="409" t="s">
        <v>690</v>
      </c>
      <c r="C14" s="433">
        <v>45760</v>
      </c>
      <c r="D14" s="48" t="s">
        <v>167</v>
      </c>
      <c r="E14" s="405">
        <v>45760</v>
      </c>
      <c r="F14" s="405">
        <v>45886</v>
      </c>
      <c r="G14" t="s">
        <v>2844</v>
      </c>
      <c r="I14" s="48" t="s">
        <v>683</v>
      </c>
      <c r="J14">
        <v>3</v>
      </c>
      <c r="K14">
        <v>42</v>
      </c>
    </row>
    <row r="15" spans="1:11" ht="15" thickTop="1" x14ac:dyDescent="0.25">
      <c r="A15" s="48">
        <v>2025</v>
      </c>
      <c r="B15" s="409" t="s">
        <v>694</v>
      </c>
      <c r="C15" s="424" t="b">
        <v>0</v>
      </c>
      <c r="D15" s="48" t="s">
        <v>2803</v>
      </c>
      <c r="E15" s="405">
        <v>45760</v>
      </c>
      <c r="F15" s="405">
        <v>45886</v>
      </c>
      <c r="G15" t="s">
        <v>2842</v>
      </c>
      <c r="H15" s="403" t="s">
        <v>2923</v>
      </c>
      <c r="I15" s="48" t="s">
        <v>683</v>
      </c>
      <c r="J15">
        <v>3</v>
      </c>
      <c r="K15">
        <v>43</v>
      </c>
    </row>
    <row r="16" spans="1:11" ht="15" thickBot="1" x14ac:dyDescent="0.3">
      <c r="A16" s="48">
        <v>2025</v>
      </c>
      <c r="B16" s="409" t="s">
        <v>682</v>
      </c>
      <c r="C16" s="429" t="s">
        <v>605</v>
      </c>
      <c r="D16" s="48" t="s">
        <v>2828</v>
      </c>
      <c r="E16" s="405">
        <v>45760</v>
      </c>
      <c r="F16" s="405">
        <v>45886</v>
      </c>
      <c r="G16" t="s">
        <v>2844</v>
      </c>
      <c r="H16" s="403" t="s">
        <v>685</v>
      </c>
      <c r="I16" s="48" t="s">
        <v>683</v>
      </c>
      <c r="J16">
        <v>3</v>
      </c>
      <c r="K16">
        <v>44</v>
      </c>
    </row>
    <row r="17" spans="1:11" ht="15.6" thickTop="1" thickBot="1" x14ac:dyDescent="0.3">
      <c r="A17" s="48">
        <v>2025</v>
      </c>
      <c r="B17" s="416" t="s">
        <v>686</v>
      </c>
      <c r="C17" s="424" t="b">
        <v>0</v>
      </c>
      <c r="D17" s="48" t="s">
        <v>2803</v>
      </c>
      <c r="E17" s="405">
        <v>45760</v>
      </c>
      <c r="F17" s="405">
        <v>45886</v>
      </c>
      <c r="G17" t="s">
        <v>2844</v>
      </c>
      <c r="I17" s="48" t="s">
        <v>683</v>
      </c>
      <c r="J17">
        <v>3</v>
      </c>
      <c r="K17">
        <v>45</v>
      </c>
    </row>
    <row r="18" spans="1:11" ht="15.6" thickTop="1" thickBot="1" x14ac:dyDescent="0.3">
      <c r="A18" s="48">
        <v>2025</v>
      </c>
      <c r="B18" s="427" t="s">
        <v>2863</v>
      </c>
      <c r="C18" s="425">
        <v>2</v>
      </c>
      <c r="D18" s="48" t="s">
        <v>2840</v>
      </c>
      <c r="E18" s="405">
        <v>45760</v>
      </c>
      <c r="F18" s="405">
        <v>45886</v>
      </c>
      <c r="G18" t="s">
        <v>2843</v>
      </c>
      <c r="H18" s="403" t="s">
        <v>2918</v>
      </c>
      <c r="I18" s="48" t="s">
        <v>654</v>
      </c>
      <c r="J18">
        <v>4</v>
      </c>
      <c r="K18">
        <v>31</v>
      </c>
    </row>
    <row r="19" spans="1:11" ht="15.6" thickTop="1" thickBot="1" x14ac:dyDescent="0.3">
      <c r="A19" s="48">
        <v>2025</v>
      </c>
      <c r="B19" s="432" t="s">
        <v>2864</v>
      </c>
      <c r="C19" s="425">
        <v>1</v>
      </c>
      <c r="D19" s="48" t="s">
        <v>2840</v>
      </c>
      <c r="E19" s="405">
        <v>45760</v>
      </c>
      <c r="F19" s="405">
        <v>45886</v>
      </c>
      <c r="G19" t="s">
        <v>2843</v>
      </c>
      <c r="H19" s="403" t="s">
        <v>2919</v>
      </c>
      <c r="I19" s="48" t="s">
        <v>654</v>
      </c>
      <c r="J19">
        <v>4</v>
      </c>
      <c r="K19">
        <v>32</v>
      </c>
    </row>
    <row r="20" spans="1:11" ht="15.6" thickTop="1" thickBot="1" x14ac:dyDescent="0.3">
      <c r="A20" s="48">
        <v>2025</v>
      </c>
      <c r="B20" s="432" t="s">
        <v>2865</v>
      </c>
      <c r="C20" s="425">
        <v>2</v>
      </c>
      <c r="D20" s="48" t="s">
        <v>2840</v>
      </c>
      <c r="E20" s="405">
        <v>45760</v>
      </c>
      <c r="F20" s="405">
        <v>45886</v>
      </c>
      <c r="G20" t="s">
        <v>2843</v>
      </c>
      <c r="H20" s="403" t="s">
        <v>2920</v>
      </c>
      <c r="I20" s="48" t="s">
        <v>654</v>
      </c>
      <c r="J20">
        <v>4</v>
      </c>
      <c r="K20">
        <v>33</v>
      </c>
    </row>
    <row r="21" spans="1:11" ht="15.6" thickTop="1" thickBot="1" x14ac:dyDescent="0.3">
      <c r="A21" s="48">
        <v>2025</v>
      </c>
      <c r="B21" s="432" t="s">
        <v>2866</v>
      </c>
      <c r="C21" s="425">
        <v>1</v>
      </c>
      <c r="D21" s="48" t="s">
        <v>2840</v>
      </c>
      <c r="E21" s="405">
        <v>45760</v>
      </c>
      <c r="F21" s="405">
        <v>45886</v>
      </c>
      <c r="G21" t="s">
        <v>2843</v>
      </c>
      <c r="H21" s="6" t="s">
        <v>2919</v>
      </c>
      <c r="I21" s="48" t="s">
        <v>654</v>
      </c>
      <c r="J21">
        <v>4</v>
      </c>
      <c r="K21">
        <v>34</v>
      </c>
    </row>
    <row r="22" spans="1:11" ht="15.6" thickTop="1" thickBot="1" x14ac:dyDescent="0.3">
      <c r="A22" s="48">
        <v>2025</v>
      </c>
      <c r="B22" s="407" t="s">
        <v>2867</v>
      </c>
      <c r="C22" s="425">
        <v>4</v>
      </c>
      <c r="D22" s="48" t="s">
        <v>2840</v>
      </c>
      <c r="E22" s="405">
        <v>45760</v>
      </c>
      <c r="F22" s="405">
        <v>45886</v>
      </c>
      <c r="G22" t="s">
        <v>2843</v>
      </c>
      <c r="H22" s="403" t="s">
        <v>2921</v>
      </c>
      <c r="I22" s="48" t="s">
        <v>654</v>
      </c>
      <c r="J22">
        <v>4</v>
      </c>
      <c r="K22">
        <v>35</v>
      </c>
    </row>
    <row r="23" spans="1:11" ht="15.6" thickTop="1" thickBot="1" x14ac:dyDescent="0.3">
      <c r="A23" s="48">
        <v>2025</v>
      </c>
      <c r="B23" s="407" t="s">
        <v>2868</v>
      </c>
      <c r="C23" s="425">
        <v>2</v>
      </c>
      <c r="D23" s="48" t="s">
        <v>2840</v>
      </c>
      <c r="E23" s="405">
        <v>45760</v>
      </c>
      <c r="F23" s="405">
        <v>45886</v>
      </c>
      <c r="G23" t="s">
        <v>2843</v>
      </c>
      <c r="H23" s="6" t="s">
        <v>2919</v>
      </c>
      <c r="I23" s="48" t="s">
        <v>654</v>
      </c>
      <c r="J23">
        <v>4</v>
      </c>
      <c r="K23">
        <v>36</v>
      </c>
    </row>
    <row r="24" spans="1:11" ht="15.6" thickTop="1" thickBot="1" x14ac:dyDescent="0.3">
      <c r="A24" s="48">
        <v>2025</v>
      </c>
      <c r="B24" s="409" t="s">
        <v>2854</v>
      </c>
      <c r="C24" s="425">
        <v>84</v>
      </c>
      <c r="D24" s="48" t="s">
        <v>2840</v>
      </c>
      <c r="E24" s="405">
        <v>45760</v>
      </c>
      <c r="F24" s="405">
        <v>45886</v>
      </c>
      <c r="G24" s="48" t="s">
        <v>2843</v>
      </c>
      <c r="H24" s="403" t="s">
        <v>2855</v>
      </c>
      <c r="I24" s="48" t="s">
        <v>654</v>
      </c>
      <c r="J24">
        <v>4</v>
      </c>
      <c r="K24">
        <v>37</v>
      </c>
    </row>
    <row r="25" spans="1:11" ht="15.6" thickTop="1" thickBot="1" x14ac:dyDescent="0.3">
      <c r="A25" s="48">
        <v>2025</v>
      </c>
      <c r="B25" s="413" t="s">
        <v>2874</v>
      </c>
      <c r="C25" s="425">
        <v>5</v>
      </c>
      <c r="D25" s="48" t="s">
        <v>2840</v>
      </c>
      <c r="E25" s="405">
        <v>45760</v>
      </c>
      <c r="F25" s="405">
        <v>45886</v>
      </c>
      <c r="G25" s="48" t="s">
        <v>2843</v>
      </c>
      <c r="I25" s="48" t="s">
        <v>654</v>
      </c>
      <c r="J25">
        <v>4</v>
      </c>
      <c r="K25">
        <v>38</v>
      </c>
    </row>
    <row r="26" spans="1:11" ht="15.6" thickTop="1" thickBot="1" x14ac:dyDescent="0.3">
      <c r="A26" s="48">
        <v>2025</v>
      </c>
      <c r="B26" s="413" t="s">
        <v>2875</v>
      </c>
      <c r="C26" s="425" t="b">
        <v>1</v>
      </c>
      <c r="D26" s="48" t="s">
        <v>2803</v>
      </c>
      <c r="E26" s="405">
        <v>45760</v>
      </c>
      <c r="F26" s="405">
        <v>45886</v>
      </c>
      <c r="G26" s="48" t="s">
        <v>2843</v>
      </c>
      <c r="H26" s="403" t="s">
        <v>672</v>
      </c>
      <c r="I26" s="48" t="s">
        <v>654</v>
      </c>
      <c r="J26">
        <v>4</v>
      </c>
      <c r="K26">
        <v>39</v>
      </c>
    </row>
    <row r="27" spans="1:11" ht="15.6" thickTop="1" thickBot="1" x14ac:dyDescent="0.3">
      <c r="A27" s="48">
        <v>2025</v>
      </c>
      <c r="B27" s="413" t="s">
        <v>2883</v>
      </c>
      <c r="C27" s="425" t="s">
        <v>602</v>
      </c>
      <c r="D27" s="48" t="s">
        <v>2828</v>
      </c>
      <c r="E27" s="405">
        <v>45760</v>
      </c>
      <c r="F27" s="405">
        <v>45886</v>
      </c>
      <c r="G27" t="s">
        <v>2843</v>
      </c>
      <c r="H27" s="403" t="s">
        <v>2922</v>
      </c>
      <c r="I27" s="48" t="s">
        <v>654</v>
      </c>
      <c r="J27">
        <v>4</v>
      </c>
      <c r="K27">
        <v>40</v>
      </c>
    </row>
    <row r="28" spans="1:11" ht="15.6" thickTop="1" thickBot="1" x14ac:dyDescent="0.3">
      <c r="A28" s="48">
        <v>2025</v>
      </c>
      <c r="B28" s="409" t="s">
        <v>2738</v>
      </c>
      <c r="C28" s="430">
        <v>0.5</v>
      </c>
      <c r="D28" s="401" t="s">
        <v>2840</v>
      </c>
      <c r="E28" s="405">
        <v>45760</v>
      </c>
      <c r="F28" s="405">
        <v>45886</v>
      </c>
      <c r="G28" s="48" t="s">
        <v>2844</v>
      </c>
      <c r="H28" s="403"/>
      <c r="I28" s="48" t="s">
        <v>654</v>
      </c>
      <c r="J28">
        <v>4</v>
      </c>
      <c r="K28">
        <v>41</v>
      </c>
    </row>
    <row r="29" spans="1:11" ht="15.6" thickTop="1" thickBot="1" x14ac:dyDescent="0.3">
      <c r="A29" s="48">
        <v>2025</v>
      </c>
      <c r="B29" s="413" t="s">
        <v>2877</v>
      </c>
      <c r="C29" s="425">
        <v>0.96</v>
      </c>
      <c r="D29" s="48" t="s">
        <v>2840</v>
      </c>
      <c r="E29" s="405">
        <v>45760</v>
      </c>
      <c r="F29" s="405">
        <v>45886</v>
      </c>
      <c r="G29" t="s">
        <v>2843</v>
      </c>
      <c r="I29" s="48" t="s">
        <v>437</v>
      </c>
      <c r="J29">
        <v>5</v>
      </c>
      <c r="K29">
        <v>20</v>
      </c>
    </row>
    <row r="30" spans="1:11" ht="15.6" thickTop="1" thickBot="1" x14ac:dyDescent="0.3">
      <c r="A30" s="48">
        <v>2025</v>
      </c>
      <c r="B30" s="413" t="s">
        <v>2878</v>
      </c>
      <c r="C30" s="425">
        <v>20</v>
      </c>
      <c r="D30" s="48" t="s">
        <v>2840</v>
      </c>
      <c r="E30" s="405">
        <v>45760</v>
      </c>
      <c r="F30" s="405">
        <v>45886</v>
      </c>
      <c r="G30" t="s">
        <v>2843</v>
      </c>
      <c r="H30" s="403" t="s">
        <v>2924</v>
      </c>
      <c r="I30" s="48" t="s">
        <v>437</v>
      </c>
      <c r="J30">
        <v>5</v>
      </c>
      <c r="K30">
        <v>21</v>
      </c>
    </row>
    <row r="31" spans="1:11" ht="15.6" thickTop="1" thickBot="1" x14ac:dyDescent="0.35">
      <c r="A31" s="48">
        <v>2025</v>
      </c>
      <c r="B31" s="414" t="s">
        <v>2882</v>
      </c>
      <c r="C31" s="425" t="s">
        <v>2239</v>
      </c>
      <c r="D31" s="48" t="s">
        <v>2828</v>
      </c>
      <c r="E31" s="405">
        <v>45760</v>
      </c>
      <c r="F31" s="405">
        <v>45886</v>
      </c>
      <c r="G31" t="s">
        <v>2843</v>
      </c>
      <c r="H31" s="403" t="s">
        <v>2925</v>
      </c>
      <c r="I31" s="48" t="s">
        <v>437</v>
      </c>
      <c r="J31">
        <v>5</v>
      </c>
      <c r="K31">
        <v>22</v>
      </c>
    </row>
    <row r="32" spans="1:11" ht="15.6" thickTop="1" thickBot="1" x14ac:dyDescent="0.3">
      <c r="A32" s="48">
        <v>2025</v>
      </c>
      <c r="B32" s="413" t="s">
        <v>2881</v>
      </c>
      <c r="C32" s="425" t="s">
        <v>2237</v>
      </c>
      <c r="D32" s="48" t="s">
        <v>2828</v>
      </c>
      <c r="E32" s="405">
        <v>45760</v>
      </c>
      <c r="F32" s="405">
        <v>45886</v>
      </c>
      <c r="G32" t="s">
        <v>2843</v>
      </c>
      <c r="I32" s="48" t="s">
        <v>437</v>
      </c>
      <c r="J32">
        <v>5</v>
      </c>
      <c r="K32">
        <v>23</v>
      </c>
    </row>
    <row r="33" spans="1:11" ht="15.6" thickTop="1" thickBot="1" x14ac:dyDescent="0.3">
      <c r="A33" s="48">
        <v>2025</v>
      </c>
      <c r="B33" s="413" t="s">
        <v>2879</v>
      </c>
      <c r="C33" s="425">
        <v>10</v>
      </c>
      <c r="D33" s="48" t="s">
        <v>2926</v>
      </c>
      <c r="E33" s="405">
        <v>45760</v>
      </c>
      <c r="F33" s="405">
        <v>45886</v>
      </c>
      <c r="G33" t="s">
        <v>2843</v>
      </c>
      <c r="H33" s="403" t="s">
        <v>2927</v>
      </c>
      <c r="I33" s="48" t="s">
        <v>437</v>
      </c>
      <c r="J33">
        <v>5</v>
      </c>
      <c r="K33">
        <v>24</v>
      </c>
    </row>
    <row r="34" spans="1:11" ht="15.6" thickTop="1" thickBot="1" x14ac:dyDescent="0.35">
      <c r="A34" s="48">
        <v>2025</v>
      </c>
      <c r="B34" s="414" t="s">
        <v>2880</v>
      </c>
      <c r="C34" s="425">
        <v>5</v>
      </c>
      <c r="D34" s="48" t="s">
        <v>2926</v>
      </c>
      <c r="E34" s="405">
        <v>45760</v>
      </c>
      <c r="F34" s="405">
        <v>45886</v>
      </c>
      <c r="G34" t="s">
        <v>2843</v>
      </c>
      <c r="H34" s="403" t="s">
        <v>2928</v>
      </c>
      <c r="I34" s="48" t="s">
        <v>437</v>
      </c>
      <c r="J34">
        <v>5</v>
      </c>
      <c r="K34">
        <v>25</v>
      </c>
    </row>
    <row r="35" spans="1:11" ht="15.6" thickTop="1" thickBot="1" x14ac:dyDescent="0.3">
      <c r="A35" s="48">
        <v>2025</v>
      </c>
      <c r="B35" s="426" t="s">
        <v>2861</v>
      </c>
      <c r="C35" s="425" t="b">
        <v>1</v>
      </c>
      <c r="D35" s="48" t="s">
        <v>2803</v>
      </c>
      <c r="E35" s="405">
        <v>45760</v>
      </c>
      <c r="F35" s="405">
        <v>45886</v>
      </c>
      <c r="G35" t="s">
        <v>2843</v>
      </c>
      <c r="H35" s="403" t="s">
        <v>646</v>
      </c>
      <c r="I35" s="48" t="s">
        <v>30</v>
      </c>
      <c r="J35">
        <v>6</v>
      </c>
      <c r="K35">
        <v>1</v>
      </c>
    </row>
    <row r="36" spans="1:11" ht="15.6" thickTop="1" thickBot="1" x14ac:dyDescent="0.3">
      <c r="A36" s="48">
        <v>2025</v>
      </c>
      <c r="B36" s="426" t="s">
        <v>2862</v>
      </c>
      <c r="C36" s="425">
        <v>8</v>
      </c>
      <c r="D36" s="48" t="s">
        <v>2840</v>
      </c>
      <c r="E36" s="405">
        <v>45760</v>
      </c>
      <c r="F36" s="405">
        <v>45886</v>
      </c>
      <c r="G36" t="s">
        <v>2844</v>
      </c>
      <c r="H36" s="403" t="s">
        <v>2929</v>
      </c>
      <c r="I36" s="48" t="s">
        <v>30</v>
      </c>
      <c r="J36">
        <v>6</v>
      </c>
      <c r="K36">
        <v>2</v>
      </c>
    </row>
    <row r="37" spans="1:11" ht="15.6" thickTop="1" thickBot="1" x14ac:dyDescent="0.3">
      <c r="A37" s="48">
        <v>2025</v>
      </c>
      <c r="B37" s="410" t="s">
        <v>2871</v>
      </c>
      <c r="C37" s="425">
        <v>0</v>
      </c>
      <c r="D37" s="48" t="s">
        <v>2840</v>
      </c>
      <c r="E37" s="405">
        <v>45760</v>
      </c>
      <c r="F37" s="405">
        <v>45886</v>
      </c>
      <c r="G37" t="s">
        <v>2843</v>
      </c>
      <c r="I37" s="48" t="s">
        <v>30</v>
      </c>
      <c r="J37">
        <v>6</v>
      </c>
      <c r="K37">
        <v>3</v>
      </c>
    </row>
    <row r="38" spans="1:11" ht="15.6" thickTop="1" thickBot="1" x14ac:dyDescent="0.3">
      <c r="A38" s="48">
        <v>2025</v>
      </c>
      <c r="B38" s="410" t="s">
        <v>2869</v>
      </c>
      <c r="C38" s="425">
        <v>38</v>
      </c>
      <c r="D38" s="48" t="s">
        <v>2840</v>
      </c>
      <c r="E38" s="405">
        <v>45760</v>
      </c>
      <c r="F38" s="405">
        <v>45886</v>
      </c>
      <c r="G38" t="s">
        <v>2843</v>
      </c>
      <c r="H38" s="403" t="s">
        <v>2930</v>
      </c>
      <c r="I38" s="48" t="s">
        <v>30</v>
      </c>
      <c r="J38">
        <v>6</v>
      </c>
      <c r="K38">
        <v>4</v>
      </c>
    </row>
    <row r="39" spans="1:11" ht="15.6" thickTop="1" thickBot="1" x14ac:dyDescent="0.3">
      <c r="A39" s="48">
        <v>2025</v>
      </c>
      <c r="B39" s="409" t="s">
        <v>2850</v>
      </c>
      <c r="C39" s="430" t="s">
        <v>2937</v>
      </c>
      <c r="D39" s="48" t="s">
        <v>2841</v>
      </c>
      <c r="E39" s="405">
        <v>45760</v>
      </c>
      <c r="F39" s="405">
        <v>45886</v>
      </c>
      <c r="G39" s="48" t="s">
        <v>2843</v>
      </c>
      <c r="H39" s="404" t="s">
        <v>2851</v>
      </c>
      <c r="I39" s="48" t="s">
        <v>30</v>
      </c>
      <c r="J39">
        <v>6</v>
      </c>
      <c r="K39">
        <v>5</v>
      </c>
    </row>
    <row r="40" spans="1:11" ht="15.6" thickTop="1" thickBot="1" x14ac:dyDescent="0.3">
      <c r="A40" s="48">
        <v>2025</v>
      </c>
      <c r="B40" s="409" t="s">
        <v>2850</v>
      </c>
      <c r="C40" s="425" t="s">
        <v>2938</v>
      </c>
      <c r="D40" s="48" t="s">
        <v>2841</v>
      </c>
      <c r="E40" s="405">
        <v>45760</v>
      </c>
      <c r="F40" s="405">
        <v>45886</v>
      </c>
      <c r="G40" s="48" t="s">
        <v>2843</v>
      </c>
      <c r="H40" s="404" t="s">
        <v>2852</v>
      </c>
      <c r="I40" s="48" t="s">
        <v>30</v>
      </c>
      <c r="J40">
        <v>6</v>
      </c>
      <c r="K40">
        <v>6</v>
      </c>
    </row>
    <row r="41" spans="1:11" ht="15.6" thickTop="1" thickBot="1" x14ac:dyDescent="0.3">
      <c r="A41" s="48">
        <v>2025</v>
      </c>
      <c r="B41" s="410" t="s">
        <v>2870</v>
      </c>
      <c r="C41" s="425">
        <v>40</v>
      </c>
      <c r="D41" s="48" t="s">
        <v>2840</v>
      </c>
      <c r="E41" s="405">
        <v>45760</v>
      </c>
      <c r="F41" s="405">
        <v>45886</v>
      </c>
      <c r="G41" t="s">
        <v>2843</v>
      </c>
      <c r="H41" s="403" t="s">
        <v>2930</v>
      </c>
      <c r="I41" s="48" t="s">
        <v>30</v>
      </c>
      <c r="J41">
        <v>6</v>
      </c>
      <c r="K41">
        <v>7</v>
      </c>
    </row>
    <row r="42" spans="1:11" ht="15.6" thickTop="1" thickBot="1" x14ac:dyDescent="0.3">
      <c r="A42" s="48">
        <v>2025</v>
      </c>
      <c r="B42" s="409" t="s">
        <v>2795</v>
      </c>
      <c r="C42" s="430" t="s">
        <v>2939</v>
      </c>
      <c r="D42" s="48" t="s">
        <v>2841</v>
      </c>
      <c r="E42" s="405">
        <v>45760</v>
      </c>
      <c r="F42" s="405">
        <v>45886</v>
      </c>
      <c r="G42" s="48" t="s">
        <v>2843</v>
      </c>
      <c r="H42" s="404" t="s">
        <v>2851</v>
      </c>
      <c r="I42" s="48" t="s">
        <v>30</v>
      </c>
      <c r="J42">
        <v>6</v>
      </c>
      <c r="K42">
        <v>8</v>
      </c>
    </row>
    <row r="43" spans="1:11" ht="15.6" thickTop="1" thickBot="1" x14ac:dyDescent="0.3">
      <c r="A43" s="48">
        <v>2025</v>
      </c>
      <c r="B43" s="416" t="s">
        <v>2795</v>
      </c>
      <c r="C43" s="425" t="s">
        <v>2940</v>
      </c>
      <c r="D43" s="48" t="s">
        <v>2841</v>
      </c>
      <c r="E43" s="405">
        <v>45760</v>
      </c>
      <c r="F43" s="405">
        <v>45886</v>
      </c>
      <c r="G43" s="48" t="s">
        <v>2843</v>
      </c>
      <c r="H43" s="404" t="s">
        <v>2852</v>
      </c>
      <c r="I43" s="48" t="s">
        <v>30</v>
      </c>
      <c r="J43">
        <v>6</v>
      </c>
      <c r="K43">
        <v>9</v>
      </c>
    </row>
    <row r="44" spans="1:11" ht="15.6" thickTop="1" thickBot="1" x14ac:dyDescent="0.3">
      <c r="A44" s="48">
        <v>2025</v>
      </c>
      <c r="B44" s="428" t="s">
        <v>2872</v>
      </c>
      <c r="C44" s="425" t="s">
        <v>2479</v>
      </c>
      <c r="D44" s="48" t="s">
        <v>2828</v>
      </c>
      <c r="E44" s="405">
        <v>45760</v>
      </c>
      <c r="F44" s="405">
        <v>45886</v>
      </c>
      <c r="H44" s="403" t="s">
        <v>2931</v>
      </c>
      <c r="I44" s="48" t="s">
        <v>30</v>
      </c>
      <c r="J44">
        <v>6</v>
      </c>
      <c r="K44">
        <v>10</v>
      </c>
    </row>
    <row r="45" spans="1:11" ht="15.6" thickTop="1" thickBot="1" x14ac:dyDescent="0.3">
      <c r="A45" s="48">
        <v>2025</v>
      </c>
      <c r="B45" s="428" t="s">
        <v>2873</v>
      </c>
      <c r="C45" s="425" t="s">
        <v>2481</v>
      </c>
      <c r="D45" s="48" t="s">
        <v>2828</v>
      </c>
      <c r="E45" s="405">
        <v>45760</v>
      </c>
      <c r="F45" s="405">
        <v>45886</v>
      </c>
      <c r="H45" s="403" t="s">
        <v>2931</v>
      </c>
      <c r="I45" s="48" t="s">
        <v>30</v>
      </c>
      <c r="J45">
        <v>6</v>
      </c>
      <c r="K45">
        <v>11</v>
      </c>
    </row>
    <row r="46" spans="1:11" ht="15" thickTop="1" x14ac:dyDescent="0.25">
      <c r="A46" s="48">
        <v>2025</v>
      </c>
      <c r="B46" s="427" t="s">
        <v>2876</v>
      </c>
      <c r="C46" s="425" t="b">
        <v>1</v>
      </c>
      <c r="D46" s="48" t="s">
        <v>2803</v>
      </c>
      <c r="E46" s="405">
        <v>45760</v>
      </c>
      <c r="F46" s="405">
        <v>45886</v>
      </c>
      <c r="H46" s="403" t="s">
        <v>2931</v>
      </c>
      <c r="I46" s="48" t="s">
        <v>30</v>
      </c>
      <c r="J46">
        <v>6</v>
      </c>
      <c r="K46">
        <v>12</v>
      </c>
    </row>
  </sheetData>
  <phoneticPr fontId="23" type="noConversion"/>
  <dataValidations count="2">
    <dataValidation type="list" allowBlank="1" showInputMessage="1" showErrorMessage="1" sqref="C5" xr:uid="{F58DF3D4-1210-4EC1-BB44-79243DE8CBCE}">
      <formula1>"Planned,Active,Completed"</formula1>
    </dataValidation>
    <dataValidation type="list" allowBlank="1" showInputMessage="1" showErrorMessage="1" sqref="G2:G46" xr:uid="{B1F6760A-A7F0-4A76-AF37-1D1E4B004D02}">
      <formula1>"Rules,League,Manual"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0266-205B-458D-8873-E72536C76049}">
  <sheetPr codeName="Sheet20"/>
  <dimension ref="A1:E60"/>
  <sheetViews>
    <sheetView workbookViewId="0"/>
  </sheetViews>
  <sheetFormatPr defaultColWidth="15.109375" defaultRowHeight="14.4" x14ac:dyDescent="0.3"/>
  <cols>
    <col min="1" max="1" width="29.88671875" style="378" customWidth="1"/>
    <col min="2" max="2" width="37" style="384" bestFit="1" customWidth="1"/>
    <col min="3" max="3" width="15.109375" style="378"/>
    <col min="4" max="4" width="28.77734375" style="378" bestFit="1" customWidth="1"/>
    <col min="5" max="5" width="29.5546875" style="378" customWidth="1"/>
    <col min="6" max="16384" width="15.109375" style="378"/>
  </cols>
  <sheetData>
    <row r="1" spans="1:5" x14ac:dyDescent="0.3">
      <c r="A1" s="376" t="s">
        <v>576</v>
      </c>
      <c r="B1" s="382"/>
      <c r="D1" s="378" t="s">
        <v>12</v>
      </c>
      <c r="E1" s="378" t="s">
        <v>577</v>
      </c>
    </row>
    <row r="2" spans="1:5" x14ac:dyDescent="0.3">
      <c r="A2" s="377" t="s">
        <v>578</v>
      </c>
      <c r="B2" s="382" t="s">
        <v>579</v>
      </c>
      <c r="C2" s="399" t="s">
        <v>2792</v>
      </c>
      <c r="D2" s="378" t="s">
        <v>580</v>
      </c>
      <c r="E2" s="378" t="str">
        <f>matchReportsFolderPath</f>
        <v>C:\Users\maver\OneDrive\Documents\Dad's Documents\Timken Golf League\2025 Season\2025 Scoring\2025 Match Results (TEST)\</v>
      </c>
    </row>
    <row r="3" spans="1:5" x14ac:dyDescent="0.3">
      <c r="A3" s="377" t="s">
        <v>581</v>
      </c>
      <c r="B3" s="382">
        <v>2025</v>
      </c>
      <c r="C3" s="399" t="s">
        <v>2792</v>
      </c>
      <c r="D3" s="378" t="s">
        <v>582</v>
      </c>
      <c r="E3" s="378" t="str">
        <f>stagingFolderPath</f>
        <v>C:\TMMNGL\Staging\</v>
      </c>
    </row>
    <row r="4" spans="1:5" x14ac:dyDescent="0.3">
      <c r="A4" s="377" t="s">
        <v>583</v>
      </c>
      <c r="B4" s="382">
        <v>7</v>
      </c>
      <c r="C4" s="399" t="s">
        <v>2792</v>
      </c>
      <c r="D4" s="378" t="s">
        <v>584</v>
      </c>
      <c r="E4" s="378" t="str">
        <f>matchReportFilenamePattern</f>
        <v>Week*.xlsx</v>
      </c>
    </row>
    <row r="5" spans="1:5" x14ac:dyDescent="0.3">
      <c r="A5" s="377" t="s">
        <v>585</v>
      </c>
      <c r="B5" s="382" t="b">
        <f>MOD(numberOfTeams,2)=1</f>
        <v>1</v>
      </c>
      <c r="C5" s="399" t="s">
        <v>2792</v>
      </c>
      <c r="D5" s="378" t="s">
        <v>586</v>
      </c>
      <c r="E5" s="378" t="b">
        <f>useLocalStagingFolder</f>
        <v>0</v>
      </c>
    </row>
    <row r="6" spans="1:5" x14ac:dyDescent="0.3">
      <c r="A6" s="377" t="s">
        <v>587</v>
      </c>
      <c r="B6" s="382" cm="1">
        <f t="array" ref="B6">IF(useBlindDraw, numberOfTeams + 1, 0)</f>
        <v>8</v>
      </c>
      <c r="C6" s="399" t="s">
        <v>2792</v>
      </c>
    </row>
    <row r="7" spans="1:5" x14ac:dyDescent="0.3">
      <c r="A7" s="377" t="s">
        <v>588</v>
      </c>
      <c r="B7" s="382">
        <v>14</v>
      </c>
      <c r="C7" s="399" t="s">
        <v>2792</v>
      </c>
    </row>
    <row r="8" spans="1:5" x14ac:dyDescent="0.3">
      <c r="A8" s="376" t="s">
        <v>589</v>
      </c>
      <c r="B8" s="382"/>
    </row>
    <row r="9" spans="1:5" x14ac:dyDescent="0.3">
      <c r="A9" s="377" t="s">
        <v>590</v>
      </c>
      <c r="B9" s="382">
        <v>2</v>
      </c>
      <c r="C9" s="399" t="s">
        <v>2792</v>
      </c>
    </row>
    <row r="10" spans="1:5" x14ac:dyDescent="0.3">
      <c r="A10" s="377" t="s">
        <v>591</v>
      </c>
      <c r="B10" s="382">
        <v>1</v>
      </c>
      <c r="C10" s="399" t="s">
        <v>2792</v>
      </c>
    </row>
    <row r="11" spans="1:5" x14ac:dyDescent="0.3">
      <c r="A11" s="377" t="s">
        <v>592</v>
      </c>
      <c r="B11" s="382">
        <v>2</v>
      </c>
      <c r="C11" s="399" t="s">
        <v>2792</v>
      </c>
    </row>
    <row r="12" spans="1:5" x14ac:dyDescent="0.3">
      <c r="A12" s="377" t="s">
        <v>593</v>
      </c>
      <c r="B12" s="382">
        <v>1</v>
      </c>
      <c r="C12" s="399" t="s">
        <v>2792</v>
      </c>
    </row>
    <row r="13" spans="1:5" x14ac:dyDescent="0.3">
      <c r="A13" s="377" t="s">
        <v>594</v>
      </c>
      <c r="B13" s="382">
        <v>4</v>
      </c>
      <c r="C13" s="399" t="s">
        <v>2792</v>
      </c>
    </row>
    <row r="14" spans="1:5" x14ac:dyDescent="0.3">
      <c r="A14" s="377" t="s">
        <v>595</v>
      </c>
      <c r="B14" s="382">
        <v>2</v>
      </c>
      <c r="C14" s="399" t="s">
        <v>2792</v>
      </c>
    </row>
    <row r="15" spans="1:5" x14ac:dyDescent="0.3">
      <c r="A15" s="377" t="s">
        <v>596</v>
      </c>
      <c r="B15" s="382">
        <v>5</v>
      </c>
      <c r="C15" s="399" t="s">
        <v>2792</v>
      </c>
    </row>
    <row r="16" spans="1:5" x14ac:dyDescent="0.3">
      <c r="A16" s="377" t="s">
        <v>597</v>
      </c>
      <c r="B16" s="382" t="b">
        <v>1</v>
      </c>
      <c r="C16" s="399" t="s">
        <v>2792</v>
      </c>
    </row>
    <row r="17" spans="1:3" x14ac:dyDescent="0.3">
      <c r="A17" s="376" t="s">
        <v>598</v>
      </c>
      <c r="B17" s="382"/>
    </row>
    <row r="18" spans="1:3" x14ac:dyDescent="0.3">
      <c r="A18" s="377" t="s">
        <v>599</v>
      </c>
      <c r="B18" s="382">
        <v>0.96</v>
      </c>
      <c r="C18" s="399" t="s">
        <v>2792</v>
      </c>
    </row>
    <row r="19" spans="1:3" x14ac:dyDescent="0.3">
      <c r="A19" s="377" t="s">
        <v>600</v>
      </c>
      <c r="B19" s="382">
        <v>20</v>
      </c>
      <c r="C19" s="399" t="s">
        <v>2792</v>
      </c>
    </row>
    <row r="20" spans="1:3" x14ac:dyDescent="0.3">
      <c r="A20" s="381" t="s">
        <v>2235</v>
      </c>
      <c r="B20" s="382">
        <v>10</v>
      </c>
      <c r="C20" s="399" t="s">
        <v>2792</v>
      </c>
    </row>
    <row r="21" spans="1:3" x14ac:dyDescent="0.3">
      <c r="A21" s="381" t="s">
        <v>2236</v>
      </c>
      <c r="B21" s="382">
        <v>5</v>
      </c>
      <c r="C21" s="399" t="s">
        <v>2792</v>
      </c>
    </row>
    <row r="22" spans="1:3" x14ac:dyDescent="0.3">
      <c r="A22" s="381" t="s">
        <v>2238</v>
      </c>
      <c r="B22" s="383" t="s">
        <v>2237</v>
      </c>
      <c r="C22" s="399" t="s">
        <v>2792</v>
      </c>
    </row>
    <row r="23" spans="1:3" x14ac:dyDescent="0.3">
      <c r="A23" s="381" t="s">
        <v>2245</v>
      </c>
      <c r="B23" s="383" t="s">
        <v>2239</v>
      </c>
      <c r="C23" s="399" t="s">
        <v>2792</v>
      </c>
    </row>
    <row r="24" spans="1:3" x14ac:dyDescent="0.3">
      <c r="A24" s="377" t="s">
        <v>601</v>
      </c>
      <c r="B24" s="382" t="s">
        <v>602</v>
      </c>
      <c r="C24" s="399" t="s">
        <v>2792</v>
      </c>
    </row>
    <row r="25" spans="1:3" x14ac:dyDescent="0.3">
      <c r="A25" s="376" t="s">
        <v>603</v>
      </c>
    </row>
    <row r="26" spans="1:3" x14ac:dyDescent="0.3">
      <c r="A26" s="378" t="s">
        <v>604</v>
      </c>
      <c r="B26" s="384" t="s">
        <v>605</v>
      </c>
      <c r="C26" s="399" t="s">
        <v>2792</v>
      </c>
    </row>
    <row r="27" spans="1:3" x14ac:dyDescent="0.3">
      <c r="A27" s="378" t="s">
        <v>606</v>
      </c>
      <c r="B27" s="384" t="b">
        <v>0</v>
      </c>
      <c r="C27" s="399" t="s">
        <v>2792</v>
      </c>
    </row>
    <row r="28" spans="1:3" x14ac:dyDescent="0.3">
      <c r="A28" s="378" t="s">
        <v>607</v>
      </c>
      <c r="B28" s="384" t="s">
        <v>608</v>
      </c>
      <c r="C28" s="399" t="s">
        <v>2792</v>
      </c>
    </row>
    <row r="29" spans="1:3" x14ac:dyDescent="0.3">
      <c r="A29" s="378" t="s">
        <v>609</v>
      </c>
      <c r="B29" s="384" t="b">
        <v>0</v>
      </c>
      <c r="C29" s="399" t="s">
        <v>2792</v>
      </c>
    </row>
    <row r="30" spans="1:3" x14ac:dyDescent="0.3">
      <c r="A30" s="376" t="s">
        <v>610</v>
      </c>
      <c r="B30" s="382"/>
    </row>
    <row r="31" spans="1:3" x14ac:dyDescent="0.3">
      <c r="A31" s="377" t="s">
        <v>611</v>
      </c>
      <c r="B31" s="406" t="s">
        <v>2727</v>
      </c>
      <c r="C31" s="399" t="s">
        <v>2793</v>
      </c>
    </row>
    <row r="32" spans="1:3" x14ac:dyDescent="0.3">
      <c r="A32" s="377" t="s">
        <v>612</v>
      </c>
      <c r="B32" s="385" t="s">
        <v>613</v>
      </c>
      <c r="C32" s="399" t="s">
        <v>2793</v>
      </c>
    </row>
    <row r="33" spans="1:4" x14ac:dyDescent="0.3">
      <c r="A33" s="377" t="s">
        <v>614</v>
      </c>
      <c r="B33" s="382" t="s">
        <v>615</v>
      </c>
      <c r="C33" s="399" t="s">
        <v>2793</v>
      </c>
    </row>
    <row r="34" spans="1:4" x14ac:dyDescent="0.3">
      <c r="A34" s="377" t="s">
        <v>616</v>
      </c>
      <c r="B34" s="408" t="b">
        <v>0</v>
      </c>
      <c r="C34" s="399" t="s">
        <v>2793</v>
      </c>
    </row>
    <row r="35" spans="1:4" x14ac:dyDescent="0.3">
      <c r="A35" s="377" t="s">
        <v>617</v>
      </c>
      <c r="B35" s="408" t="s">
        <v>618</v>
      </c>
      <c r="C35" s="399" t="s">
        <v>2793</v>
      </c>
    </row>
    <row r="36" spans="1:4" x14ac:dyDescent="0.3">
      <c r="A36" s="376" t="s">
        <v>619</v>
      </c>
      <c r="B36" s="382"/>
    </row>
    <row r="37" spans="1:4" x14ac:dyDescent="0.3">
      <c r="A37" s="377" t="s">
        <v>620</v>
      </c>
      <c r="B37" s="382" t="b">
        <v>1</v>
      </c>
      <c r="C37" s="399" t="s">
        <v>2793</v>
      </c>
    </row>
    <row r="38" spans="1:4" x14ac:dyDescent="0.3">
      <c r="A38" s="377" t="s">
        <v>621</v>
      </c>
      <c r="B38" s="382" t="b">
        <v>0</v>
      </c>
      <c r="C38" s="399" t="s">
        <v>2793</v>
      </c>
    </row>
    <row r="39" spans="1:4" x14ac:dyDescent="0.3">
      <c r="A39" s="377" t="s">
        <v>622</v>
      </c>
      <c r="B39" s="408" t="s">
        <v>623</v>
      </c>
      <c r="C39" s="399" t="s">
        <v>2793</v>
      </c>
    </row>
    <row r="40" spans="1:4" x14ac:dyDescent="0.3">
      <c r="A40" s="376" t="s">
        <v>2476</v>
      </c>
      <c r="B40" s="382"/>
    </row>
    <row r="41" spans="1:4" x14ac:dyDescent="0.3">
      <c r="A41" s="393" t="s">
        <v>2540</v>
      </c>
      <c r="B41" s="382">
        <v>38</v>
      </c>
      <c r="C41" s="399" t="s">
        <v>2792</v>
      </c>
    </row>
    <row r="42" spans="1:4" x14ac:dyDescent="0.3">
      <c r="A42" s="393" t="s">
        <v>2542</v>
      </c>
      <c r="B42" s="382">
        <v>40</v>
      </c>
      <c r="C42" s="399" t="s">
        <v>2792</v>
      </c>
      <c r="D42" s="395"/>
    </row>
    <row r="43" spans="1:4" x14ac:dyDescent="0.3">
      <c r="A43" s="393" t="s">
        <v>2477</v>
      </c>
      <c r="B43" s="382">
        <v>0</v>
      </c>
      <c r="C43" s="399" t="s">
        <v>2792</v>
      </c>
    </row>
    <row r="44" spans="1:4" x14ac:dyDescent="0.3">
      <c r="A44" s="393" t="s">
        <v>2478</v>
      </c>
      <c r="B44" s="394" t="s">
        <v>2479</v>
      </c>
      <c r="C44" s="399" t="s">
        <v>2792</v>
      </c>
      <c r="D44" s="395"/>
    </row>
    <row r="45" spans="1:4" x14ac:dyDescent="0.3">
      <c r="A45" s="393" t="s">
        <v>2480</v>
      </c>
      <c r="B45" s="394" t="s">
        <v>2481</v>
      </c>
      <c r="C45" s="399" t="s">
        <v>2792</v>
      </c>
      <c r="D45" s="395"/>
    </row>
    <row r="46" spans="1:4" x14ac:dyDescent="0.3">
      <c r="A46" s="393" t="s">
        <v>2498</v>
      </c>
      <c r="B46" s="382" t="b">
        <v>1</v>
      </c>
      <c r="C46" s="399" t="s">
        <v>2792</v>
      </c>
      <c r="D46" s="395"/>
    </row>
    <row r="47" spans="1:4" x14ac:dyDescent="0.3">
      <c r="A47" s="376" t="s">
        <v>2482</v>
      </c>
      <c r="B47" s="382"/>
      <c r="C47" s="399"/>
    </row>
    <row r="48" spans="1:4" x14ac:dyDescent="0.3">
      <c r="A48" s="397" t="s">
        <v>2560</v>
      </c>
      <c r="B48" s="396" t="s">
        <v>1</v>
      </c>
      <c r="C48" s="399" t="s">
        <v>2792</v>
      </c>
    </row>
    <row r="49" spans="1:4" x14ac:dyDescent="0.3">
      <c r="A49" s="393" t="s">
        <v>2483</v>
      </c>
      <c r="B49" s="394" t="s">
        <v>2488</v>
      </c>
      <c r="C49" s="399" t="s">
        <v>2792</v>
      </c>
      <c r="D49" s="398"/>
    </row>
    <row r="50" spans="1:4" x14ac:dyDescent="0.3">
      <c r="A50" s="393" t="s">
        <v>2485</v>
      </c>
      <c r="B50" s="394" t="s">
        <v>2489</v>
      </c>
      <c r="C50" s="399" t="s">
        <v>2792</v>
      </c>
      <c r="D50" s="398"/>
    </row>
    <row r="51" spans="1:4" x14ac:dyDescent="0.3">
      <c r="A51" s="393" t="s">
        <v>2486</v>
      </c>
      <c r="B51" s="394" t="s">
        <v>2490</v>
      </c>
      <c r="C51" s="399" t="s">
        <v>2792</v>
      </c>
      <c r="D51" s="398"/>
    </row>
    <row r="52" spans="1:4" x14ac:dyDescent="0.3">
      <c r="A52" s="393" t="s">
        <v>2487</v>
      </c>
      <c r="B52" s="394" t="s">
        <v>2491</v>
      </c>
      <c r="C52" s="399" t="s">
        <v>2792</v>
      </c>
      <c r="D52" s="398"/>
    </row>
    <row r="53" spans="1:4" x14ac:dyDescent="0.3">
      <c r="A53" s="393" t="s">
        <v>2484</v>
      </c>
      <c r="B53" s="382" t="b">
        <v>1</v>
      </c>
      <c r="C53" s="399" t="s">
        <v>2793</v>
      </c>
      <c r="D53" s="395"/>
    </row>
    <row r="54" spans="1:4" x14ac:dyDescent="0.3">
      <c r="A54" s="376" t="s">
        <v>2533</v>
      </c>
      <c r="B54" s="382"/>
    </row>
    <row r="55" spans="1:4" x14ac:dyDescent="0.3">
      <c r="A55" s="393" t="s">
        <v>2492</v>
      </c>
      <c r="B55" s="382" t="b">
        <v>1</v>
      </c>
      <c r="D55" s="395"/>
    </row>
    <row r="56" spans="1:4" x14ac:dyDescent="0.3">
      <c r="A56" s="393" t="s">
        <v>2493</v>
      </c>
      <c r="B56" s="382" t="b">
        <v>1</v>
      </c>
      <c r="D56" s="395"/>
    </row>
    <row r="57" spans="1:4" x14ac:dyDescent="0.3">
      <c r="A57" s="376" t="s">
        <v>2784</v>
      </c>
    </row>
    <row r="58" spans="1:4" x14ac:dyDescent="0.3">
      <c r="A58" s="399" t="s">
        <v>2785</v>
      </c>
      <c r="B58" s="384">
        <v>0.5</v>
      </c>
      <c r="C58" s="399" t="s">
        <v>2792</v>
      </c>
    </row>
    <row r="59" spans="1:4" x14ac:dyDescent="0.3">
      <c r="A59" s="399" t="s">
        <v>2786</v>
      </c>
      <c r="B59" s="384" t="s">
        <v>2788</v>
      </c>
      <c r="C59" s="399" t="s">
        <v>2792</v>
      </c>
    </row>
    <row r="60" spans="1:4" x14ac:dyDescent="0.3">
      <c r="A60" s="399" t="s">
        <v>2787</v>
      </c>
      <c r="B60" s="384">
        <v>15</v>
      </c>
      <c r="C60" s="399" t="s">
        <v>2792</v>
      </c>
    </row>
  </sheetData>
  <phoneticPr fontId="23" type="noConversion"/>
  <dataValidations count="1">
    <dataValidation type="list" allowBlank="1" showInputMessage="1" showErrorMessage="1" sqref="B59" xr:uid="{F1E4B640-5795-4FFE-8CEF-077A3F2B5948}">
      <formula1>"""Planned"",""Active"",""Complete"""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0A358-1540-4B73-8B6D-F4FE985B1FBB}">
  <sheetPr codeName="Sheet21" filterMode="1"/>
  <dimension ref="A1:Q68"/>
  <sheetViews>
    <sheetView topLeftCell="C39" workbookViewId="0">
      <selection activeCell="C55" sqref="A1:Q68"/>
    </sheetView>
  </sheetViews>
  <sheetFormatPr defaultRowHeight="14.4" x14ac:dyDescent="0.3"/>
  <cols>
    <col min="1" max="1" width="19.5546875" style="378" bestFit="1" customWidth="1"/>
    <col min="2" max="2" width="43.88671875" style="378" bestFit="1" customWidth="1"/>
    <col min="3" max="3" width="25.44140625" style="378" bestFit="1" customWidth="1"/>
    <col min="4" max="5" width="3.109375" style="378" customWidth="1"/>
    <col min="6" max="6" width="3.44140625" style="378" customWidth="1"/>
    <col min="7" max="7" width="11.5546875" style="378" customWidth="1"/>
    <col min="8" max="8" width="13.6640625" style="378" customWidth="1"/>
    <col min="9" max="9" width="33.33203125" style="378" customWidth="1"/>
    <col min="10" max="10" width="34.88671875" style="378" customWidth="1"/>
    <col min="11" max="11" width="37" style="378" customWidth="1"/>
    <col min="12" max="12" width="37" style="384" customWidth="1"/>
    <col min="13" max="13" width="12.21875" style="378" customWidth="1"/>
    <col min="14" max="15" width="8.88671875" style="378" customWidth="1"/>
    <col min="16" max="16" width="19.88671875" style="378" customWidth="1"/>
    <col min="17" max="16384" width="8.88671875" style="378"/>
  </cols>
  <sheetData>
    <row r="1" spans="1:16" x14ac:dyDescent="0.3">
      <c r="A1" s="418" t="s">
        <v>719</v>
      </c>
      <c r="B1" s="380" t="s">
        <v>624</v>
      </c>
      <c r="C1" s="380" t="s">
        <v>625</v>
      </c>
      <c r="D1" s="380"/>
      <c r="E1" s="380"/>
      <c r="F1" s="380"/>
      <c r="G1" s="380" t="s">
        <v>626</v>
      </c>
      <c r="H1" s="380" t="s">
        <v>627</v>
      </c>
      <c r="I1" s="380" t="s">
        <v>628</v>
      </c>
      <c r="J1" s="380" t="s">
        <v>629</v>
      </c>
      <c r="K1" s="380" t="s">
        <v>630</v>
      </c>
      <c r="L1" s="386" t="s">
        <v>631</v>
      </c>
      <c r="M1" s="380" t="s">
        <v>632</v>
      </c>
      <c r="O1" s="392" t="s">
        <v>2475</v>
      </c>
      <c r="P1" s="376" t="s">
        <v>576</v>
      </c>
    </row>
    <row r="2" spans="1:16" hidden="1" x14ac:dyDescent="0.3">
      <c r="A2" s="417" t="s">
        <v>2885</v>
      </c>
      <c r="B2" s="393" t="s">
        <v>2484</v>
      </c>
      <c r="C2" s="393" t="s">
        <v>2517</v>
      </c>
      <c r="D2" s="377">
        <v>33</v>
      </c>
      <c r="E2" s="377"/>
      <c r="F2" s="393"/>
      <c r="G2" s="48" t="s">
        <v>2534</v>
      </c>
      <c r="H2" s="393" t="s">
        <v>2525</v>
      </c>
      <c r="I2" s="393" t="s">
        <v>641</v>
      </c>
      <c r="J2" s="393" t="s">
        <v>2527</v>
      </c>
      <c r="K2" s="393" t="s">
        <v>2530</v>
      </c>
      <c r="L2" s="382" t="b">
        <v>1</v>
      </c>
      <c r="O2" s="378">
        <f>MATCH(C2,NamedRangesReport!$A$2:$A$154)</f>
        <v>27</v>
      </c>
      <c r="P2" s="377" t="s">
        <v>578</v>
      </c>
    </row>
    <row r="3" spans="1:16" hidden="1" x14ac:dyDescent="0.3">
      <c r="A3" s="417" t="s">
        <v>2885</v>
      </c>
      <c r="B3" s="393" t="s">
        <v>2492</v>
      </c>
      <c r="C3" s="395" t="s">
        <v>2531</v>
      </c>
      <c r="D3" s="377">
        <v>46</v>
      </c>
      <c r="E3" s="377"/>
      <c r="F3" s="395"/>
      <c r="G3" s="395" t="s">
        <v>2534</v>
      </c>
      <c r="H3" s="378" t="s">
        <v>2525</v>
      </c>
      <c r="I3" s="395" t="s">
        <v>2246</v>
      </c>
      <c r="J3" s="395" t="s">
        <v>2535</v>
      </c>
      <c r="K3" s="395" t="s">
        <v>2537</v>
      </c>
      <c r="L3" s="384" t="b">
        <v>1</v>
      </c>
      <c r="O3" s="378">
        <f>MATCH(C3,NamedRangesReport!$A$2:$A$154)</f>
        <v>18</v>
      </c>
      <c r="P3" s="377" t="s">
        <v>581</v>
      </c>
    </row>
    <row r="4" spans="1:16" hidden="1" x14ac:dyDescent="0.3">
      <c r="A4" s="417" t="s">
        <v>2885</v>
      </c>
      <c r="B4" s="393" t="s">
        <v>2493</v>
      </c>
      <c r="C4" s="395" t="s">
        <v>2532</v>
      </c>
      <c r="D4" s="377">
        <v>47</v>
      </c>
      <c r="E4" s="377"/>
      <c r="F4" s="395"/>
      <c r="G4" s="395" t="s">
        <v>2534</v>
      </c>
      <c r="H4" s="378" t="s">
        <v>2525</v>
      </c>
      <c r="I4" s="395" t="s">
        <v>2246</v>
      </c>
      <c r="J4" s="395" t="s">
        <v>2536</v>
      </c>
      <c r="K4" s="395" t="s">
        <v>2538</v>
      </c>
      <c r="L4" s="384" t="b">
        <v>1</v>
      </c>
      <c r="O4" s="378">
        <f>MATCH(C4,NamedRangesReport!$A$2:$A$154)</f>
        <v>153</v>
      </c>
      <c r="P4" s="377" t="s">
        <v>583</v>
      </c>
    </row>
    <row r="5" spans="1:16" hidden="1" x14ac:dyDescent="0.3">
      <c r="A5" s="417" t="s">
        <v>2885</v>
      </c>
      <c r="B5" s="407" t="s">
        <v>611</v>
      </c>
      <c r="C5" s="377" t="s">
        <v>580</v>
      </c>
      <c r="D5" s="377">
        <v>38</v>
      </c>
      <c r="E5" s="377"/>
      <c r="F5" s="377"/>
      <c r="G5" s="377" t="s">
        <v>697</v>
      </c>
      <c r="H5" s="377"/>
      <c r="I5" s="377" t="s">
        <v>641</v>
      </c>
      <c r="J5" s="377" t="s">
        <v>698</v>
      </c>
      <c r="K5" s="377" t="s">
        <v>699</v>
      </c>
      <c r="L5" s="382" t="s">
        <v>700</v>
      </c>
      <c r="O5" s="378">
        <f>MATCH(C5,NamedRangesReport!$A$2:$A$154)</f>
        <v>51</v>
      </c>
      <c r="P5" s="377" t="s">
        <v>585</v>
      </c>
    </row>
    <row r="6" spans="1:16" hidden="1" x14ac:dyDescent="0.3">
      <c r="A6" s="417" t="s">
        <v>2885</v>
      </c>
      <c r="B6" s="407" t="s">
        <v>612</v>
      </c>
      <c r="C6" s="377" t="s">
        <v>701</v>
      </c>
      <c r="D6" s="377">
        <v>39</v>
      </c>
      <c r="E6" s="377"/>
      <c r="F6" s="377"/>
      <c r="G6" s="377" t="s">
        <v>697</v>
      </c>
      <c r="H6" s="377"/>
      <c r="I6" s="377" t="s">
        <v>641</v>
      </c>
      <c r="J6" s="377" t="s">
        <v>702</v>
      </c>
      <c r="K6" s="379" t="s">
        <v>703</v>
      </c>
      <c r="L6" s="382" t="s">
        <v>700</v>
      </c>
      <c r="O6" s="378">
        <f>MATCH(C6,NamedRangesReport!$A$2:$A$154)</f>
        <v>60</v>
      </c>
      <c r="P6" s="377" t="s">
        <v>587</v>
      </c>
    </row>
    <row r="7" spans="1:16" hidden="1" x14ac:dyDescent="0.3">
      <c r="A7" s="417" t="s">
        <v>2885</v>
      </c>
      <c r="B7" s="407" t="s">
        <v>614</v>
      </c>
      <c r="C7" s="377" t="s">
        <v>584</v>
      </c>
      <c r="D7" s="377">
        <v>40</v>
      </c>
      <c r="E7" s="377"/>
      <c r="F7" s="377"/>
      <c r="G7" s="377" t="s">
        <v>697</v>
      </c>
      <c r="H7" s="377"/>
      <c r="I7" s="377" t="s">
        <v>641</v>
      </c>
      <c r="J7" s="377" t="s">
        <v>704</v>
      </c>
      <c r="K7" s="377" t="s">
        <v>705</v>
      </c>
      <c r="L7" s="382" t="s">
        <v>615</v>
      </c>
      <c r="O7" s="378">
        <f>MATCH(C7,NamedRangesReport!$A$2:$A$154)</f>
        <v>51</v>
      </c>
      <c r="P7" s="377" t="s">
        <v>588</v>
      </c>
    </row>
    <row r="8" spans="1:16" hidden="1" x14ac:dyDescent="0.3">
      <c r="A8" s="417" t="s">
        <v>2885</v>
      </c>
      <c r="B8" s="407" t="s">
        <v>616</v>
      </c>
      <c r="C8" s="377" t="s">
        <v>586</v>
      </c>
      <c r="D8" s="377">
        <v>41</v>
      </c>
      <c r="E8" s="377"/>
      <c r="F8" s="377"/>
      <c r="G8" s="377" t="s">
        <v>697</v>
      </c>
      <c r="H8" s="377"/>
      <c r="I8" s="377" t="s">
        <v>641</v>
      </c>
      <c r="J8" s="377" t="s">
        <v>706</v>
      </c>
      <c r="K8" s="377" t="s">
        <v>707</v>
      </c>
      <c r="L8" s="382" t="b">
        <v>1</v>
      </c>
      <c r="O8" s="378">
        <f>MATCH(C8,NamedRangesReport!$A$2:$A$154)</f>
        <v>153</v>
      </c>
      <c r="P8" s="377" t="s">
        <v>590</v>
      </c>
    </row>
    <row r="9" spans="1:16" hidden="1" x14ac:dyDescent="0.3">
      <c r="A9" s="417" t="s">
        <v>2885</v>
      </c>
      <c r="B9" s="421" t="s">
        <v>617</v>
      </c>
      <c r="C9" s="378" t="s">
        <v>582</v>
      </c>
      <c r="D9" s="377">
        <v>42</v>
      </c>
      <c r="E9" s="377"/>
      <c r="G9" s="378" t="s">
        <v>697</v>
      </c>
      <c r="I9" s="378" t="s">
        <v>641</v>
      </c>
      <c r="J9" s="378" t="s">
        <v>708</v>
      </c>
      <c r="K9" s="378" t="s">
        <v>709</v>
      </c>
      <c r="L9" s="384" t="s">
        <v>618</v>
      </c>
      <c r="O9" s="378">
        <f>MATCH(C9,NamedRangesReport!$A$2:$A$154)</f>
        <v>143</v>
      </c>
      <c r="P9" s="377" t="s">
        <v>591</v>
      </c>
    </row>
    <row r="10" spans="1:16" hidden="1" x14ac:dyDescent="0.3">
      <c r="A10" s="417" t="s">
        <v>2885</v>
      </c>
      <c r="B10" s="414" t="s">
        <v>2891</v>
      </c>
      <c r="G10" s="417" t="s">
        <v>697</v>
      </c>
      <c r="O10" s="378" t="e">
        <f>MATCH(C10,NamedRangesReport!$A$2:$A$154)</f>
        <v>#N/A</v>
      </c>
      <c r="P10" s="377" t="s">
        <v>592</v>
      </c>
    </row>
    <row r="11" spans="1:16" hidden="1" x14ac:dyDescent="0.3">
      <c r="A11" s="417" t="s">
        <v>2885</v>
      </c>
      <c r="B11" s="377" t="s">
        <v>620</v>
      </c>
      <c r="C11" s="377" t="s">
        <v>710</v>
      </c>
      <c r="D11" s="377">
        <v>43</v>
      </c>
      <c r="E11" s="377"/>
      <c r="F11" s="377"/>
      <c r="G11" s="377" t="s">
        <v>619</v>
      </c>
      <c r="H11" s="377"/>
      <c r="I11" s="377" t="s">
        <v>641</v>
      </c>
      <c r="J11" s="377" t="s">
        <v>711</v>
      </c>
      <c r="K11" s="377" t="s">
        <v>712</v>
      </c>
      <c r="L11" s="382" t="b">
        <v>1</v>
      </c>
      <c r="O11" s="378">
        <f>MATCH(C11,NamedRangesReport!$A$2:$A$154)</f>
        <v>28</v>
      </c>
      <c r="P11" s="377" t="s">
        <v>593</v>
      </c>
    </row>
    <row r="12" spans="1:16" hidden="1" x14ac:dyDescent="0.3">
      <c r="A12" s="417" t="s">
        <v>2885</v>
      </c>
      <c r="B12" s="377" t="s">
        <v>621</v>
      </c>
      <c r="C12" s="377" t="s">
        <v>713</v>
      </c>
      <c r="D12" s="377">
        <v>44</v>
      </c>
      <c r="E12" s="377"/>
      <c r="F12" s="377"/>
      <c r="G12" s="377" t="s">
        <v>619</v>
      </c>
      <c r="H12" s="377"/>
      <c r="I12" s="377" t="s">
        <v>641</v>
      </c>
      <c r="J12" s="377" t="s">
        <v>714</v>
      </c>
      <c r="K12" s="377" t="s">
        <v>715</v>
      </c>
      <c r="L12" s="382" t="b">
        <v>0</v>
      </c>
      <c r="O12" s="378">
        <f>MATCH(C12,NamedRangesReport!$A$2:$A$154)</f>
        <v>30</v>
      </c>
      <c r="P12" s="377" t="s">
        <v>594</v>
      </c>
    </row>
    <row r="13" spans="1:16" hidden="1" x14ac:dyDescent="0.3">
      <c r="A13" s="417" t="s">
        <v>2885</v>
      </c>
      <c r="B13" s="407" t="s">
        <v>622</v>
      </c>
      <c r="C13" s="377" t="s">
        <v>716</v>
      </c>
      <c r="D13" s="377">
        <v>45</v>
      </c>
      <c r="E13" s="377"/>
      <c r="F13" s="377"/>
      <c r="G13" s="377" t="s">
        <v>619</v>
      </c>
      <c r="H13" s="377"/>
      <c r="I13" s="377" t="s">
        <v>641</v>
      </c>
      <c r="J13" s="377" t="s">
        <v>717</v>
      </c>
      <c r="K13" s="377" t="s">
        <v>718</v>
      </c>
      <c r="L13" s="382" t="s">
        <v>623</v>
      </c>
      <c r="O13" s="378">
        <f>MATCH(C13,NamedRangesReport!$A$2:$A$154)</f>
        <v>77</v>
      </c>
      <c r="P13" s="377" t="s">
        <v>595</v>
      </c>
    </row>
    <row r="14" spans="1:16" hidden="1" x14ac:dyDescent="0.3">
      <c r="A14" s="417" t="s">
        <v>2885</v>
      </c>
      <c r="B14" s="414" t="s">
        <v>2892</v>
      </c>
      <c r="G14" s="417" t="s">
        <v>619</v>
      </c>
      <c r="O14" s="378" t="e">
        <f>MATCH(C14,NamedRangesReport!$A$2:$A$154)</f>
        <v>#N/A</v>
      </c>
      <c r="P14" s="377" t="s">
        <v>596</v>
      </c>
    </row>
    <row r="15" spans="1:16" hidden="1" x14ac:dyDescent="0.3">
      <c r="A15" s="417" t="s">
        <v>2885</v>
      </c>
      <c r="B15" s="414" t="s">
        <v>2893</v>
      </c>
      <c r="G15" s="417" t="s">
        <v>619</v>
      </c>
      <c r="O15" s="378" t="e">
        <f>MATCH(C15,NamedRangesReport!$A$2:$A$154)</f>
        <v>#N/A</v>
      </c>
      <c r="P15" s="377" t="s">
        <v>597</v>
      </c>
    </row>
    <row r="16" spans="1:16" hidden="1" x14ac:dyDescent="0.3">
      <c r="A16" s="417" t="s">
        <v>2885</v>
      </c>
      <c r="B16" s="414" t="s">
        <v>2894</v>
      </c>
      <c r="G16" s="417" t="s">
        <v>619</v>
      </c>
      <c r="P16" s="393"/>
    </row>
    <row r="17" spans="1:17" hidden="1" x14ac:dyDescent="0.3">
      <c r="A17" s="417" t="s">
        <v>2885</v>
      </c>
      <c r="B17" s="414" t="s">
        <v>2895</v>
      </c>
      <c r="G17" s="417" t="s">
        <v>619</v>
      </c>
      <c r="P17" s="378" t="s">
        <v>2540</v>
      </c>
      <c r="Q17" s="378" t="s">
        <v>2541</v>
      </c>
    </row>
    <row r="18" spans="1:17" hidden="1" x14ac:dyDescent="0.3">
      <c r="A18" s="417" t="s">
        <v>2885</v>
      </c>
      <c r="B18" s="414" t="s">
        <v>2896</v>
      </c>
      <c r="G18" s="417" t="s">
        <v>619</v>
      </c>
      <c r="P18" s="378" t="s">
        <v>2542</v>
      </c>
      <c r="Q18" s="378" t="s">
        <v>2543</v>
      </c>
    </row>
    <row r="19" spans="1:17" hidden="1" x14ac:dyDescent="0.3">
      <c r="A19" s="417" t="s">
        <v>2885</v>
      </c>
      <c r="B19" s="414" t="s">
        <v>2897</v>
      </c>
      <c r="G19" s="417" t="s">
        <v>619</v>
      </c>
      <c r="P19" s="378" t="s">
        <v>2498</v>
      </c>
      <c r="Q19" s="378" t="s">
        <v>2499</v>
      </c>
    </row>
    <row r="20" spans="1:17" hidden="1" x14ac:dyDescent="0.3">
      <c r="A20" s="417" t="s">
        <v>2885</v>
      </c>
      <c r="B20" s="414" t="s">
        <v>2898</v>
      </c>
      <c r="G20" s="417" t="s">
        <v>619</v>
      </c>
    </row>
    <row r="21" spans="1:17" hidden="1" x14ac:dyDescent="0.3">
      <c r="A21" s="417" t="s">
        <v>2885</v>
      </c>
      <c r="B21" s="414" t="s">
        <v>2899</v>
      </c>
      <c r="G21" s="417" t="s">
        <v>2903</v>
      </c>
    </row>
    <row r="22" spans="1:17" hidden="1" x14ac:dyDescent="0.3">
      <c r="A22" s="417" t="s">
        <v>2885</v>
      </c>
      <c r="B22" s="414" t="s">
        <v>2900</v>
      </c>
      <c r="G22" s="417" t="s">
        <v>2903</v>
      </c>
      <c r="P22" s="377" t="s">
        <v>599</v>
      </c>
    </row>
    <row r="23" spans="1:17" hidden="1" x14ac:dyDescent="0.3">
      <c r="A23" s="417" t="s">
        <v>2885</v>
      </c>
      <c r="B23" s="414" t="s">
        <v>2901</v>
      </c>
      <c r="G23" s="417" t="s">
        <v>2903</v>
      </c>
      <c r="O23" s="378" t="e">
        <f>MATCH(C22,NamedRangesReport!$A$2:$A$154)</f>
        <v>#N/A</v>
      </c>
      <c r="P23" s="377" t="s">
        <v>600</v>
      </c>
    </row>
    <row r="24" spans="1:17" hidden="1" x14ac:dyDescent="0.3">
      <c r="A24" s="417" t="s">
        <v>2885</v>
      </c>
      <c r="B24" s="414" t="s">
        <v>2902</v>
      </c>
      <c r="G24" s="417" t="s">
        <v>2903</v>
      </c>
      <c r="O24" s="378" t="e">
        <f>MATCH(C23,NamedRangesReport!$A$2:$A$154)</f>
        <v>#N/A</v>
      </c>
      <c r="P24" s="381" t="s">
        <v>2235</v>
      </c>
    </row>
    <row r="25" spans="1:17" x14ac:dyDescent="0.3">
      <c r="A25" s="417" t="s">
        <v>2884</v>
      </c>
      <c r="B25" s="377" t="s">
        <v>585</v>
      </c>
      <c r="C25" s="407" t="s">
        <v>644</v>
      </c>
      <c r="D25" s="377">
        <v>4</v>
      </c>
      <c r="E25" s="377">
        <v>6</v>
      </c>
      <c r="F25" s="377">
        <v>1</v>
      </c>
      <c r="G25" s="420" t="s">
        <v>30</v>
      </c>
      <c r="H25" s="377"/>
      <c r="I25" s="377" t="s">
        <v>641</v>
      </c>
      <c r="J25" s="377" t="s">
        <v>645</v>
      </c>
      <c r="K25" s="377" t="s">
        <v>646</v>
      </c>
      <c r="L25" s="382" t="b">
        <f>MOD(numberOfTeams,2)=1</f>
        <v>1</v>
      </c>
      <c r="O25" s="378" t="e">
        <f>MATCH(C24,NamedRangesReport!$A$2:$A$154)</f>
        <v>#N/A</v>
      </c>
      <c r="P25" s="381" t="s">
        <v>2236</v>
      </c>
    </row>
    <row r="26" spans="1:17" x14ac:dyDescent="0.3">
      <c r="A26" s="417" t="s">
        <v>2884</v>
      </c>
      <c r="B26" s="377" t="s">
        <v>587</v>
      </c>
      <c r="C26" s="407" t="s">
        <v>647</v>
      </c>
      <c r="D26" s="377">
        <v>5</v>
      </c>
      <c r="E26" s="377">
        <v>6</v>
      </c>
      <c r="F26" s="377">
        <v>2</v>
      </c>
      <c r="G26" s="420" t="s">
        <v>30</v>
      </c>
      <c r="H26" s="377"/>
      <c r="I26" s="377" t="s">
        <v>641</v>
      </c>
      <c r="J26" s="377" t="s">
        <v>648</v>
      </c>
      <c r="K26" s="377" t="s">
        <v>649</v>
      </c>
      <c r="L26" s="382">
        <f>IF(useBlindDraw,numberOfTeams+1,0)</f>
        <v>8</v>
      </c>
      <c r="O26" s="378">
        <f>MATCH(C25,NamedRangesReport!$A$2:$A$154)</f>
        <v>153</v>
      </c>
      <c r="P26" s="381" t="s">
        <v>2238</v>
      </c>
    </row>
    <row r="27" spans="1:17" x14ac:dyDescent="0.3">
      <c r="A27" s="417" t="s">
        <v>2884</v>
      </c>
      <c r="B27" s="420" t="s">
        <v>2904</v>
      </c>
      <c r="C27" s="410" t="s">
        <v>2541</v>
      </c>
      <c r="D27" s="377">
        <v>15</v>
      </c>
      <c r="E27" s="377">
        <v>6</v>
      </c>
      <c r="F27" s="393">
        <v>3</v>
      </c>
      <c r="G27" s="420" t="s">
        <v>30</v>
      </c>
      <c r="H27" s="377" t="s">
        <v>2494</v>
      </c>
      <c r="I27" s="377" t="s">
        <v>2495</v>
      </c>
      <c r="J27" s="377" t="s">
        <v>2496</v>
      </c>
      <c r="K27" s="377" t="s">
        <v>2497</v>
      </c>
      <c r="L27" s="382">
        <v>38</v>
      </c>
      <c r="O27" s="378">
        <f>MATCH(C26,NamedRangesReport!$A$2:$A$154)</f>
        <v>25</v>
      </c>
      <c r="P27" s="381" t="s">
        <v>2245</v>
      </c>
    </row>
    <row r="28" spans="1:17" x14ac:dyDescent="0.3">
      <c r="A28" s="417" t="s">
        <v>2884</v>
      </c>
      <c r="B28" s="420" t="s">
        <v>2905</v>
      </c>
      <c r="C28" s="410" t="s">
        <v>2543</v>
      </c>
      <c r="D28" s="377">
        <v>16</v>
      </c>
      <c r="E28" s="377">
        <v>6</v>
      </c>
      <c r="F28" s="393">
        <v>6</v>
      </c>
      <c r="G28" s="420" t="s">
        <v>30</v>
      </c>
      <c r="H28" s="393" t="s">
        <v>2503</v>
      </c>
      <c r="I28" s="377" t="s">
        <v>2495</v>
      </c>
      <c r="J28" s="393" t="s">
        <v>2507</v>
      </c>
      <c r="K28" s="393" t="s">
        <v>2512</v>
      </c>
      <c r="L28" s="394">
        <v>40</v>
      </c>
      <c r="O28" s="378">
        <f>MATCH(C27,NamedRangesReport!$A$2:$A$154)</f>
        <v>22</v>
      </c>
      <c r="P28" s="377" t="s">
        <v>601</v>
      </c>
    </row>
    <row r="29" spans="1:17" x14ac:dyDescent="0.3">
      <c r="A29" s="417" t="s">
        <v>2884</v>
      </c>
      <c r="B29" s="393" t="s">
        <v>2477</v>
      </c>
      <c r="C29" s="410" t="s">
        <v>2500</v>
      </c>
      <c r="D29" s="377">
        <v>17</v>
      </c>
      <c r="E29" s="377">
        <v>6</v>
      </c>
      <c r="F29" s="393">
        <v>9</v>
      </c>
      <c r="G29" s="420" t="s">
        <v>30</v>
      </c>
      <c r="H29" s="393" t="s">
        <v>2504</v>
      </c>
      <c r="I29" s="393" t="s">
        <v>2246</v>
      </c>
      <c r="J29" s="393" t="s">
        <v>2508</v>
      </c>
      <c r="K29" s="393" t="s">
        <v>2513</v>
      </c>
      <c r="L29" s="382">
        <v>0</v>
      </c>
      <c r="P29" s="377"/>
    </row>
    <row r="30" spans="1:17" x14ac:dyDescent="0.3">
      <c r="A30" s="417" t="s">
        <v>2884</v>
      </c>
      <c r="B30" s="393" t="s">
        <v>2478</v>
      </c>
      <c r="C30" s="410" t="s">
        <v>2501</v>
      </c>
      <c r="D30" s="377">
        <v>18</v>
      </c>
      <c r="E30" s="377">
        <v>6</v>
      </c>
      <c r="F30" s="393">
        <v>10</v>
      </c>
      <c r="G30" s="420" t="s">
        <v>30</v>
      </c>
      <c r="H30" s="393" t="s">
        <v>2505</v>
      </c>
      <c r="I30" s="393" t="s">
        <v>2246</v>
      </c>
      <c r="J30" s="393" t="s">
        <v>2509</v>
      </c>
      <c r="K30" s="393" t="s">
        <v>2514</v>
      </c>
      <c r="L30" s="394" t="s">
        <v>2479</v>
      </c>
      <c r="O30" s="378">
        <f>MATCH(C28,NamedRangesReport!$A$2:$A$154)</f>
        <v>21</v>
      </c>
    </row>
    <row r="31" spans="1:17" x14ac:dyDescent="0.3">
      <c r="A31" s="417" t="s">
        <v>2884</v>
      </c>
      <c r="B31" s="393" t="s">
        <v>2480</v>
      </c>
      <c r="C31" s="410" t="s">
        <v>2502</v>
      </c>
      <c r="D31" s="377">
        <v>19</v>
      </c>
      <c r="E31" s="377">
        <v>6</v>
      </c>
      <c r="F31" s="393">
        <v>11</v>
      </c>
      <c r="G31" s="420" t="s">
        <v>30</v>
      </c>
      <c r="H31" s="393" t="s">
        <v>2505</v>
      </c>
      <c r="I31" s="393" t="s">
        <v>2246</v>
      </c>
      <c r="J31" s="393" t="s">
        <v>2510</v>
      </c>
      <c r="K31" s="393" t="s">
        <v>2515</v>
      </c>
      <c r="L31" s="394" t="s">
        <v>2481</v>
      </c>
    </row>
    <row r="32" spans="1:17" x14ac:dyDescent="0.3">
      <c r="A32" s="417" t="s">
        <v>2884</v>
      </c>
      <c r="B32" s="393" t="s">
        <v>2539</v>
      </c>
      <c r="C32" s="410" t="s">
        <v>2499</v>
      </c>
      <c r="D32" s="377">
        <v>20</v>
      </c>
      <c r="E32" s="377">
        <v>6</v>
      </c>
      <c r="F32" s="393">
        <v>12</v>
      </c>
      <c r="G32" s="420" t="s">
        <v>30</v>
      </c>
      <c r="H32" s="393" t="s">
        <v>2506</v>
      </c>
      <c r="I32" s="393" t="s">
        <v>2246</v>
      </c>
      <c r="J32" s="393" t="s">
        <v>2511</v>
      </c>
      <c r="K32" s="393" t="s">
        <v>2516</v>
      </c>
      <c r="L32" s="382" t="b">
        <v>1</v>
      </c>
    </row>
    <row r="33" spans="1:16" x14ac:dyDescent="0.3">
      <c r="A33" s="417" t="s">
        <v>2884</v>
      </c>
      <c r="B33" s="417" t="s">
        <v>2886</v>
      </c>
      <c r="C33" s="421"/>
      <c r="E33" s="377">
        <v>6</v>
      </c>
      <c r="F33" s="378">
        <v>4</v>
      </c>
      <c r="G33" s="417" t="s">
        <v>30</v>
      </c>
    </row>
    <row r="34" spans="1:16" x14ac:dyDescent="0.3">
      <c r="A34" s="417" t="s">
        <v>2884</v>
      </c>
      <c r="B34" s="417" t="s">
        <v>2887</v>
      </c>
      <c r="C34" s="421"/>
      <c r="E34" s="377">
        <v>6</v>
      </c>
      <c r="F34" s="378">
        <v>5</v>
      </c>
      <c r="G34" s="417" t="s">
        <v>30</v>
      </c>
    </row>
    <row r="35" spans="1:16" x14ac:dyDescent="0.3">
      <c r="A35" s="417" t="s">
        <v>2884</v>
      </c>
      <c r="B35" s="417" t="s">
        <v>2888</v>
      </c>
      <c r="C35" s="421"/>
      <c r="E35" s="377">
        <v>6</v>
      </c>
      <c r="F35" s="378">
        <v>7</v>
      </c>
      <c r="G35" s="417" t="s">
        <v>30</v>
      </c>
      <c r="P35" s="378" t="s">
        <v>604</v>
      </c>
    </row>
    <row r="36" spans="1:16" x14ac:dyDescent="0.3">
      <c r="A36" s="417" t="s">
        <v>2884</v>
      </c>
      <c r="B36" s="417" t="s">
        <v>2889</v>
      </c>
      <c r="C36" s="421"/>
      <c r="E36" s="377">
        <v>6</v>
      </c>
      <c r="F36" s="378">
        <v>8</v>
      </c>
      <c r="G36" s="417" t="s">
        <v>30</v>
      </c>
      <c r="O36" s="378" t="e">
        <f>MATCH(C35,NamedRangesReport!$A$2:$A$154)</f>
        <v>#N/A</v>
      </c>
      <c r="P36" s="378" t="s">
        <v>606</v>
      </c>
    </row>
    <row r="37" spans="1:16" x14ac:dyDescent="0.3">
      <c r="A37" s="417" t="s">
        <v>2884</v>
      </c>
      <c r="B37" s="397" t="s">
        <v>2560</v>
      </c>
      <c r="C37" s="415" t="s">
        <v>2561</v>
      </c>
      <c r="D37" s="377">
        <v>28</v>
      </c>
      <c r="E37" s="377">
        <v>3</v>
      </c>
      <c r="F37" s="397">
        <v>1</v>
      </c>
      <c r="G37" s="397" t="s">
        <v>2518</v>
      </c>
      <c r="H37" s="397" t="s">
        <v>2519</v>
      </c>
      <c r="I37" s="48" t="s">
        <v>2495</v>
      </c>
      <c r="J37" s="377"/>
      <c r="K37" s="377"/>
      <c r="L37" s="396" t="s">
        <v>1</v>
      </c>
      <c r="O37" s="378" t="e">
        <f>MATCH(C36,NamedRangesReport!$A$2:$A$154)</f>
        <v>#N/A</v>
      </c>
      <c r="P37" s="378" t="s">
        <v>607</v>
      </c>
    </row>
    <row r="38" spans="1:16" x14ac:dyDescent="0.3">
      <c r="A38" s="417" t="s">
        <v>2884</v>
      </c>
      <c r="B38" s="393" t="s">
        <v>2483</v>
      </c>
      <c r="C38" s="409" t="s">
        <v>2562</v>
      </c>
      <c r="D38" s="377">
        <v>29</v>
      </c>
      <c r="E38" s="377">
        <v>3</v>
      </c>
      <c r="F38" s="48">
        <v>3</v>
      </c>
      <c r="G38" s="48" t="s">
        <v>2518</v>
      </c>
      <c r="H38" s="48" t="s">
        <v>2519</v>
      </c>
      <c r="I38" s="48" t="s">
        <v>2495</v>
      </c>
      <c r="J38" s="48" t="s">
        <v>2520</v>
      </c>
      <c r="K38" s="48" t="s">
        <v>2528</v>
      </c>
      <c r="L38" s="382" t="s">
        <v>2488</v>
      </c>
      <c r="O38" s="378">
        <f>MATCH(C37,NamedRangesReport!$A$2:$A$154)</f>
        <v>25</v>
      </c>
      <c r="P38" s="378" t="s">
        <v>609</v>
      </c>
    </row>
    <row r="39" spans="1:16" x14ac:dyDescent="0.3">
      <c r="A39" s="417" t="s">
        <v>2884</v>
      </c>
      <c r="B39" s="393" t="s">
        <v>2485</v>
      </c>
      <c r="C39" s="415" t="s">
        <v>2563</v>
      </c>
      <c r="D39" s="377">
        <v>30</v>
      </c>
      <c r="E39" s="377">
        <v>3</v>
      </c>
      <c r="F39" s="397">
        <v>4</v>
      </c>
      <c r="G39" s="48" t="s">
        <v>2518</v>
      </c>
      <c r="H39" s="48" t="s">
        <v>2519</v>
      </c>
      <c r="I39" s="48" t="s">
        <v>2495</v>
      </c>
      <c r="J39" s="48" t="s">
        <v>2520</v>
      </c>
      <c r="K39" s="48" t="s">
        <v>2529</v>
      </c>
      <c r="L39" s="382" t="s">
        <v>2489</v>
      </c>
      <c r="O39" s="378">
        <f>MATCH(C38,NamedRangesReport!$A$2:$A$154)</f>
        <v>60</v>
      </c>
      <c r="P39" s="377" t="s">
        <v>611</v>
      </c>
    </row>
    <row r="40" spans="1:16" x14ac:dyDescent="0.3">
      <c r="A40" s="417" t="s">
        <v>2884</v>
      </c>
      <c r="B40" s="393" t="s">
        <v>2486</v>
      </c>
      <c r="C40" s="415" t="s">
        <v>2564</v>
      </c>
      <c r="D40" s="377">
        <v>31</v>
      </c>
      <c r="E40" s="377">
        <v>3</v>
      </c>
      <c r="F40" s="397">
        <v>5</v>
      </c>
      <c r="G40" s="48" t="s">
        <v>2518</v>
      </c>
      <c r="H40" s="48" t="s">
        <v>2519</v>
      </c>
      <c r="I40" s="48" t="s">
        <v>2495</v>
      </c>
      <c r="J40" s="393" t="s">
        <v>2526</v>
      </c>
      <c r="K40" s="48" t="s">
        <v>2528</v>
      </c>
      <c r="L40" s="382" t="s">
        <v>2490</v>
      </c>
      <c r="O40" s="378">
        <f>MATCH(C39,NamedRangesReport!$A$2:$A$154)</f>
        <v>60</v>
      </c>
      <c r="P40" s="377" t="s">
        <v>612</v>
      </c>
    </row>
    <row r="41" spans="1:16" x14ac:dyDescent="0.3">
      <c r="A41" s="417" t="s">
        <v>2884</v>
      </c>
      <c r="B41" s="393" t="s">
        <v>2487</v>
      </c>
      <c r="C41" s="415" t="s">
        <v>2565</v>
      </c>
      <c r="D41" s="377">
        <v>32</v>
      </c>
      <c r="E41" s="377">
        <v>3</v>
      </c>
      <c r="F41" s="397">
        <v>6</v>
      </c>
      <c r="G41" s="48" t="s">
        <v>2518</v>
      </c>
      <c r="H41" s="48" t="s">
        <v>2519</v>
      </c>
      <c r="I41" s="48" t="s">
        <v>2495</v>
      </c>
      <c r="J41" s="393" t="s">
        <v>2526</v>
      </c>
      <c r="K41" s="48" t="s">
        <v>2529</v>
      </c>
      <c r="L41" s="382" t="s">
        <v>2491</v>
      </c>
      <c r="O41" s="378">
        <f>MATCH(C40,NamedRangesReport!$A$2:$A$154)</f>
        <v>42</v>
      </c>
      <c r="P41" s="377" t="s">
        <v>614</v>
      </c>
    </row>
    <row r="42" spans="1:16" x14ac:dyDescent="0.3">
      <c r="A42" s="417" t="s">
        <v>2884</v>
      </c>
      <c r="B42" s="417" t="s">
        <v>352</v>
      </c>
      <c r="C42" s="421"/>
      <c r="E42" s="378">
        <v>3</v>
      </c>
      <c r="F42" s="378">
        <v>2</v>
      </c>
      <c r="G42" s="417" t="s">
        <v>2518</v>
      </c>
      <c r="O42" s="378">
        <f>MATCH(C41,NamedRangesReport!$A$2:$A$154)</f>
        <v>42</v>
      </c>
      <c r="P42" s="377" t="s">
        <v>616</v>
      </c>
    </row>
    <row r="43" spans="1:16" x14ac:dyDescent="0.3">
      <c r="A43" s="417" t="s">
        <v>2884</v>
      </c>
      <c r="B43" s="377" t="s">
        <v>599</v>
      </c>
      <c r="C43" s="407" t="s">
        <v>673</v>
      </c>
      <c r="D43" s="377">
        <v>21</v>
      </c>
      <c r="E43" s="377">
        <v>5</v>
      </c>
      <c r="F43" s="377">
        <v>1</v>
      </c>
      <c r="G43" s="377" t="s">
        <v>437</v>
      </c>
      <c r="H43" s="377"/>
      <c r="I43" s="377" t="s">
        <v>638</v>
      </c>
      <c r="J43" s="377" t="s">
        <v>674</v>
      </c>
      <c r="K43" s="377" t="s">
        <v>675</v>
      </c>
      <c r="L43" s="382">
        <v>0.96</v>
      </c>
      <c r="O43" s="378" t="e">
        <f>MATCH(C42,NamedRangesReport!$A$2:$A$154)</f>
        <v>#N/A</v>
      </c>
      <c r="P43" s="377" t="s">
        <v>617</v>
      </c>
    </row>
    <row r="44" spans="1:16" x14ac:dyDescent="0.3">
      <c r="A44" s="417" t="s">
        <v>2884</v>
      </c>
      <c r="B44" s="377" t="s">
        <v>600</v>
      </c>
      <c r="C44" s="407" t="s">
        <v>676</v>
      </c>
      <c r="D44" s="377">
        <v>22</v>
      </c>
      <c r="E44" s="377">
        <v>5</v>
      </c>
      <c r="F44" s="377">
        <v>2</v>
      </c>
      <c r="G44" s="377" t="s">
        <v>437</v>
      </c>
      <c r="H44" s="377"/>
      <c r="I44" s="377" t="s">
        <v>641</v>
      </c>
      <c r="J44" s="377" t="s">
        <v>677</v>
      </c>
      <c r="K44" s="377" t="s">
        <v>678</v>
      </c>
      <c r="L44" s="382">
        <v>20</v>
      </c>
      <c r="O44" s="378">
        <f>MATCH(C43,NamedRangesReport!$A$2:$A$154)</f>
        <v>39</v>
      </c>
      <c r="P44" s="377" t="s">
        <v>620</v>
      </c>
    </row>
    <row r="45" spans="1:16" x14ac:dyDescent="0.3">
      <c r="A45" s="417" t="s">
        <v>2884</v>
      </c>
      <c r="B45" s="381" t="s">
        <v>2235</v>
      </c>
      <c r="C45" s="411" t="s">
        <v>2240</v>
      </c>
      <c r="D45" s="377">
        <v>23</v>
      </c>
      <c r="E45" s="377">
        <v>5</v>
      </c>
      <c r="F45" s="381">
        <v>3</v>
      </c>
      <c r="G45" s="377" t="s">
        <v>437</v>
      </c>
      <c r="H45" s="377"/>
      <c r="I45" s="377" t="s">
        <v>641</v>
      </c>
      <c r="J45" s="388" t="s">
        <v>2248</v>
      </c>
      <c r="K45" s="381" t="s">
        <v>2241</v>
      </c>
      <c r="L45" s="383">
        <v>10</v>
      </c>
      <c r="O45" s="378">
        <f>MATCH(C44,NamedRangesReport!$A$2:$A$154)</f>
        <v>51</v>
      </c>
      <c r="P45" s="377" t="s">
        <v>621</v>
      </c>
    </row>
    <row r="46" spans="1:16" x14ac:dyDescent="0.3">
      <c r="A46" s="417" t="s">
        <v>2884</v>
      </c>
      <c r="B46" s="387" t="s">
        <v>2236</v>
      </c>
      <c r="C46" s="412" t="s">
        <v>2242</v>
      </c>
      <c r="D46" s="377">
        <v>24</v>
      </c>
      <c r="E46" s="377">
        <v>5</v>
      </c>
      <c r="F46" s="387">
        <v>4</v>
      </c>
      <c r="G46" s="377" t="s">
        <v>437</v>
      </c>
      <c r="H46" s="377"/>
      <c r="I46" s="377" t="s">
        <v>641</v>
      </c>
      <c r="J46" s="388" t="s">
        <v>2248</v>
      </c>
      <c r="K46" s="387" t="s">
        <v>2243</v>
      </c>
      <c r="L46" s="383">
        <v>5</v>
      </c>
      <c r="M46" s="377"/>
      <c r="O46" s="378">
        <f>MATCH(C45,NamedRangesReport!$A$2:$A$154)</f>
        <v>41</v>
      </c>
      <c r="P46" s="377" t="s">
        <v>622</v>
      </c>
    </row>
    <row r="47" spans="1:16" x14ac:dyDescent="0.3">
      <c r="A47" s="417" t="s">
        <v>2884</v>
      </c>
      <c r="B47" s="381" t="s">
        <v>2238</v>
      </c>
      <c r="C47" s="411" t="s">
        <v>2244</v>
      </c>
      <c r="D47" s="377">
        <v>25</v>
      </c>
      <c r="E47" s="377">
        <v>5</v>
      </c>
      <c r="F47" s="381">
        <v>5</v>
      </c>
      <c r="G47" s="377" t="s">
        <v>437</v>
      </c>
      <c r="H47" s="377"/>
      <c r="I47" s="377" t="s">
        <v>641</v>
      </c>
      <c r="J47" s="388" t="s">
        <v>2248</v>
      </c>
      <c r="K47" s="388" t="s">
        <v>2249</v>
      </c>
      <c r="L47" s="389" t="s">
        <v>2237</v>
      </c>
      <c r="O47" s="378">
        <f>MATCH(C46,NamedRangesReport!$A$2:$A$154)</f>
        <v>42</v>
      </c>
    </row>
    <row r="48" spans="1:16" x14ac:dyDescent="0.3">
      <c r="A48" s="417" t="s">
        <v>2884</v>
      </c>
      <c r="B48" s="381" t="s">
        <v>2245</v>
      </c>
      <c r="C48" s="412" t="s">
        <v>2247</v>
      </c>
      <c r="D48" s="377">
        <v>26</v>
      </c>
      <c r="E48" s="377">
        <v>5</v>
      </c>
      <c r="F48" s="387">
        <v>6</v>
      </c>
      <c r="G48" s="377" t="s">
        <v>437</v>
      </c>
      <c r="H48" s="377"/>
      <c r="I48" s="381" t="s">
        <v>638</v>
      </c>
      <c r="J48" s="388" t="s">
        <v>2248</v>
      </c>
      <c r="K48" s="388" t="s">
        <v>2250</v>
      </c>
      <c r="L48" s="383" t="s">
        <v>2239</v>
      </c>
    </row>
    <row r="49" spans="1:12" x14ac:dyDescent="0.3">
      <c r="A49" s="417" t="s">
        <v>2884</v>
      </c>
      <c r="B49" s="377" t="s">
        <v>601</v>
      </c>
      <c r="C49" s="407" t="s">
        <v>679</v>
      </c>
      <c r="D49" s="377">
        <v>27</v>
      </c>
      <c r="E49" s="377">
        <v>5</v>
      </c>
      <c r="F49" s="377">
        <v>7</v>
      </c>
      <c r="G49" s="377" t="s">
        <v>437</v>
      </c>
      <c r="H49" s="377"/>
      <c r="I49" s="381" t="s">
        <v>2246</v>
      </c>
      <c r="J49" s="377" t="s">
        <v>680</v>
      </c>
      <c r="K49" s="377" t="s">
        <v>681</v>
      </c>
      <c r="L49" s="382" t="s">
        <v>602</v>
      </c>
    </row>
    <row r="50" spans="1:12" x14ac:dyDescent="0.3">
      <c r="A50" s="417" t="s">
        <v>2884</v>
      </c>
      <c r="B50" s="377" t="s">
        <v>578</v>
      </c>
      <c r="C50" s="407" t="s">
        <v>633</v>
      </c>
      <c r="D50" s="377">
        <v>1</v>
      </c>
      <c r="E50" s="377">
        <v>1</v>
      </c>
      <c r="F50" s="377">
        <v>1</v>
      </c>
      <c r="G50" s="377" t="s">
        <v>576</v>
      </c>
      <c r="H50" s="377"/>
      <c r="I50" s="377" t="s">
        <v>634</v>
      </c>
      <c r="J50" s="377" t="s">
        <v>635</v>
      </c>
      <c r="K50" s="377" t="s">
        <v>636</v>
      </c>
      <c r="L50" s="382" t="s">
        <v>579</v>
      </c>
    </row>
    <row r="51" spans="1:12" x14ac:dyDescent="0.3">
      <c r="A51" s="417" t="s">
        <v>2884</v>
      </c>
      <c r="B51" s="377" t="s">
        <v>581</v>
      </c>
      <c r="C51" s="407" t="s">
        <v>637</v>
      </c>
      <c r="D51" s="377">
        <v>2</v>
      </c>
      <c r="E51" s="377">
        <v>1</v>
      </c>
      <c r="F51" s="377">
        <v>2</v>
      </c>
      <c r="G51" s="377" t="s">
        <v>576</v>
      </c>
      <c r="H51" s="377"/>
      <c r="I51" s="377" t="s">
        <v>638</v>
      </c>
      <c r="J51" s="377" t="s">
        <v>635</v>
      </c>
      <c r="K51" s="377" t="s">
        <v>639</v>
      </c>
      <c r="L51" s="382">
        <v>2025</v>
      </c>
    </row>
    <row r="52" spans="1:12" x14ac:dyDescent="0.3">
      <c r="A52" s="417" t="s">
        <v>2884</v>
      </c>
      <c r="B52" s="377" t="s">
        <v>583</v>
      </c>
      <c r="C52" s="407" t="s">
        <v>640</v>
      </c>
      <c r="D52" s="377">
        <v>3</v>
      </c>
      <c r="E52" s="377">
        <v>1</v>
      </c>
      <c r="F52" s="377">
        <v>3</v>
      </c>
      <c r="G52" s="377" t="s">
        <v>576</v>
      </c>
      <c r="H52" s="377"/>
      <c r="I52" s="377" t="s">
        <v>641</v>
      </c>
      <c r="J52" s="377" t="s">
        <v>642</v>
      </c>
      <c r="K52" s="377" t="s">
        <v>643</v>
      </c>
      <c r="L52" s="382">
        <v>8</v>
      </c>
    </row>
    <row r="53" spans="1:12" x14ac:dyDescent="0.3">
      <c r="A53" s="417" t="s">
        <v>2884</v>
      </c>
      <c r="B53" s="377" t="s">
        <v>588</v>
      </c>
      <c r="C53" s="407" t="s">
        <v>650</v>
      </c>
      <c r="D53" s="377">
        <v>6</v>
      </c>
      <c r="E53" s="377">
        <v>1</v>
      </c>
      <c r="F53" s="377">
        <v>4</v>
      </c>
      <c r="G53" s="377" t="s">
        <v>576</v>
      </c>
      <c r="H53" s="377"/>
      <c r="I53" s="377" t="s">
        <v>641</v>
      </c>
      <c r="J53" s="377" t="s">
        <v>651</v>
      </c>
      <c r="K53" s="377" t="s">
        <v>652</v>
      </c>
      <c r="L53" s="382">
        <v>14</v>
      </c>
    </row>
    <row r="54" spans="1:12" x14ac:dyDescent="0.3">
      <c r="A54" s="417" t="s">
        <v>2884</v>
      </c>
      <c r="B54" s="417" t="s">
        <v>2786</v>
      </c>
      <c r="C54" s="421"/>
      <c r="E54" s="378">
        <v>1</v>
      </c>
      <c r="F54" s="378">
        <v>5</v>
      </c>
      <c r="G54" s="417" t="s">
        <v>576</v>
      </c>
    </row>
    <row r="55" spans="1:12" x14ac:dyDescent="0.3">
      <c r="A55" s="417" t="s">
        <v>2884</v>
      </c>
      <c r="B55" s="377" t="s">
        <v>604</v>
      </c>
      <c r="C55" s="407" t="s">
        <v>682</v>
      </c>
      <c r="D55" s="377">
        <v>34</v>
      </c>
      <c r="E55" s="377">
        <v>2</v>
      </c>
      <c r="F55" s="377">
        <v>1</v>
      </c>
      <c r="G55" s="377" t="s">
        <v>683</v>
      </c>
      <c r="H55" s="377"/>
      <c r="I55" s="377" t="s">
        <v>641</v>
      </c>
      <c r="J55" s="377" t="s">
        <v>684</v>
      </c>
      <c r="K55" s="377" t="s">
        <v>685</v>
      </c>
      <c r="L55" s="382" t="s">
        <v>605</v>
      </c>
    </row>
    <row r="56" spans="1:12" x14ac:dyDescent="0.3">
      <c r="A56" s="417" t="s">
        <v>2884</v>
      </c>
      <c r="B56" s="377" t="s">
        <v>606</v>
      </c>
      <c r="C56" s="431" t="s">
        <v>686</v>
      </c>
      <c r="D56" s="377">
        <v>35</v>
      </c>
      <c r="E56" s="377">
        <v>2</v>
      </c>
      <c r="F56" s="419">
        <v>2</v>
      </c>
      <c r="G56" s="377" t="s">
        <v>683</v>
      </c>
      <c r="H56" s="377"/>
      <c r="I56" s="377" t="s">
        <v>687</v>
      </c>
      <c r="J56" s="377" t="s">
        <v>688</v>
      </c>
      <c r="K56" s="377" t="s">
        <v>689</v>
      </c>
      <c r="L56" s="382" t="b">
        <v>0</v>
      </c>
    </row>
    <row r="57" spans="1:12" x14ac:dyDescent="0.3">
      <c r="A57" s="417" t="s">
        <v>2884</v>
      </c>
      <c r="B57" s="377" t="s">
        <v>607</v>
      </c>
      <c r="C57" s="407" t="s">
        <v>690</v>
      </c>
      <c r="D57" s="377">
        <v>36</v>
      </c>
      <c r="E57" s="377">
        <v>2</v>
      </c>
      <c r="F57" s="377">
        <v>3</v>
      </c>
      <c r="G57" s="377" t="s">
        <v>683</v>
      </c>
      <c r="H57" s="377"/>
      <c r="I57" s="377" t="s">
        <v>641</v>
      </c>
      <c r="J57" s="377" t="s">
        <v>691</v>
      </c>
      <c r="K57" s="379" t="s">
        <v>692</v>
      </c>
      <c r="L57" s="382" t="s">
        <v>693</v>
      </c>
    </row>
    <row r="58" spans="1:12" x14ac:dyDescent="0.3">
      <c r="A58" s="417" t="s">
        <v>2884</v>
      </c>
      <c r="B58" s="377" t="s">
        <v>609</v>
      </c>
      <c r="C58" s="407" t="s">
        <v>694</v>
      </c>
      <c r="D58" s="377">
        <v>37</v>
      </c>
      <c r="E58" s="377">
        <v>2</v>
      </c>
      <c r="F58" s="377">
        <v>4</v>
      </c>
      <c r="G58" s="377" t="s">
        <v>683</v>
      </c>
      <c r="H58" s="377"/>
      <c r="I58" s="377" t="s">
        <v>687</v>
      </c>
      <c r="J58" s="377" t="s">
        <v>695</v>
      </c>
      <c r="K58" s="377" t="s">
        <v>696</v>
      </c>
      <c r="L58" s="382" t="b">
        <v>0</v>
      </c>
    </row>
    <row r="59" spans="1:12" x14ac:dyDescent="0.3">
      <c r="A59" s="417" t="s">
        <v>2884</v>
      </c>
      <c r="B59" s="377" t="s">
        <v>590</v>
      </c>
      <c r="C59" s="407" t="s">
        <v>653</v>
      </c>
      <c r="D59" s="377">
        <v>7</v>
      </c>
      <c r="E59" s="377">
        <v>4</v>
      </c>
      <c r="F59" s="377">
        <v>1</v>
      </c>
      <c r="G59" s="377" t="s">
        <v>654</v>
      </c>
      <c r="H59" s="377"/>
      <c r="I59" s="377" t="s">
        <v>638</v>
      </c>
      <c r="J59" s="377" t="s">
        <v>655</v>
      </c>
      <c r="K59" s="377" t="s">
        <v>656</v>
      </c>
      <c r="L59" s="382">
        <v>2</v>
      </c>
    </row>
    <row r="60" spans="1:12" x14ac:dyDescent="0.3">
      <c r="A60" s="417" t="s">
        <v>2884</v>
      </c>
      <c r="B60" s="377" t="s">
        <v>591</v>
      </c>
      <c r="C60" s="407" t="s">
        <v>657</v>
      </c>
      <c r="D60" s="377">
        <v>8</v>
      </c>
      <c r="E60" s="377">
        <v>4</v>
      </c>
      <c r="F60" s="377">
        <v>2</v>
      </c>
      <c r="G60" s="377" t="s">
        <v>654</v>
      </c>
      <c r="H60" s="377"/>
      <c r="I60" s="377" t="s">
        <v>638</v>
      </c>
      <c r="J60" s="377" t="s">
        <v>658</v>
      </c>
      <c r="K60" s="377" t="s">
        <v>659</v>
      </c>
      <c r="L60" s="382">
        <v>1</v>
      </c>
    </row>
    <row r="61" spans="1:12" x14ac:dyDescent="0.3">
      <c r="A61" s="417" t="s">
        <v>2884</v>
      </c>
      <c r="B61" s="377" t="s">
        <v>592</v>
      </c>
      <c r="C61" s="407" t="s">
        <v>660</v>
      </c>
      <c r="D61" s="377">
        <v>9</v>
      </c>
      <c r="E61" s="377">
        <v>4</v>
      </c>
      <c r="F61" s="377">
        <v>3</v>
      </c>
      <c r="G61" s="377" t="s">
        <v>654</v>
      </c>
      <c r="H61" s="377"/>
      <c r="I61" s="377" t="s">
        <v>641</v>
      </c>
      <c r="J61" s="377" t="s">
        <v>661</v>
      </c>
      <c r="K61" s="377" t="s">
        <v>662</v>
      </c>
      <c r="L61" s="382">
        <v>2</v>
      </c>
    </row>
    <row r="62" spans="1:12" x14ac:dyDescent="0.3">
      <c r="A62" s="417" t="s">
        <v>2884</v>
      </c>
      <c r="B62" s="377" t="s">
        <v>593</v>
      </c>
      <c r="C62" s="407" t="s">
        <v>663</v>
      </c>
      <c r="D62" s="377">
        <v>10</v>
      </c>
      <c r="E62" s="377">
        <v>4</v>
      </c>
      <c r="F62" s="377">
        <v>4</v>
      </c>
      <c r="G62" s="377" t="s">
        <v>654</v>
      </c>
      <c r="H62" s="377"/>
      <c r="I62" s="377" t="s">
        <v>641</v>
      </c>
      <c r="J62" s="377" t="s">
        <v>661</v>
      </c>
      <c r="K62" s="377" t="s">
        <v>664</v>
      </c>
      <c r="L62" s="382">
        <v>1</v>
      </c>
    </row>
    <row r="63" spans="1:12" x14ac:dyDescent="0.3">
      <c r="A63" s="417" t="s">
        <v>2884</v>
      </c>
      <c r="B63" s="377" t="s">
        <v>594</v>
      </c>
      <c r="C63" s="407" t="s">
        <v>665</v>
      </c>
      <c r="D63" s="377">
        <v>11</v>
      </c>
      <c r="E63" s="377">
        <v>4</v>
      </c>
      <c r="F63" s="377">
        <v>5</v>
      </c>
      <c r="G63" s="377" t="s">
        <v>654</v>
      </c>
      <c r="H63" s="377"/>
      <c r="I63" s="377" t="s">
        <v>641</v>
      </c>
      <c r="J63" s="377" t="s">
        <v>666</v>
      </c>
      <c r="K63" s="377" t="s">
        <v>662</v>
      </c>
      <c r="L63" s="382">
        <v>4</v>
      </c>
    </row>
    <row r="64" spans="1:12" x14ac:dyDescent="0.3">
      <c r="A64" s="417" t="s">
        <v>2884</v>
      </c>
      <c r="B64" s="377" t="s">
        <v>595</v>
      </c>
      <c r="C64" s="407" t="s">
        <v>667</v>
      </c>
      <c r="D64" s="377">
        <v>12</v>
      </c>
      <c r="E64" s="377">
        <v>4</v>
      </c>
      <c r="F64" s="377">
        <v>6</v>
      </c>
      <c r="G64" s="377" t="s">
        <v>654</v>
      </c>
      <c r="H64" s="377"/>
      <c r="I64" s="377" t="s">
        <v>641</v>
      </c>
      <c r="J64" s="377" t="s">
        <v>666</v>
      </c>
      <c r="K64" s="377" t="s">
        <v>662</v>
      </c>
      <c r="L64" s="382">
        <v>2</v>
      </c>
    </row>
    <row r="65" spans="1:12" x14ac:dyDescent="0.3">
      <c r="A65" s="417" t="s">
        <v>2884</v>
      </c>
      <c r="B65" s="377" t="s">
        <v>596</v>
      </c>
      <c r="C65" s="407" t="s">
        <v>668</v>
      </c>
      <c r="D65" s="377">
        <v>13</v>
      </c>
      <c r="E65" s="377">
        <v>4</v>
      </c>
      <c r="F65" s="377">
        <v>7</v>
      </c>
      <c r="G65" s="377" t="s">
        <v>654</v>
      </c>
      <c r="H65" s="377"/>
      <c r="I65" s="377" t="s">
        <v>638</v>
      </c>
      <c r="J65" s="377" t="s">
        <v>669</v>
      </c>
      <c r="K65" s="377" t="s">
        <v>670</v>
      </c>
      <c r="L65" s="382">
        <v>5</v>
      </c>
    </row>
    <row r="66" spans="1:12" x14ac:dyDescent="0.3">
      <c r="A66" s="417" t="s">
        <v>2884</v>
      </c>
      <c r="B66" s="377" t="s">
        <v>597</v>
      </c>
      <c r="C66" s="407" t="s">
        <v>671</v>
      </c>
      <c r="D66" s="377">
        <v>14</v>
      </c>
      <c r="E66" s="377">
        <v>4</v>
      </c>
      <c r="F66" s="377">
        <v>8</v>
      </c>
      <c r="G66" s="377" t="s">
        <v>654</v>
      </c>
      <c r="H66" s="377"/>
      <c r="I66" s="377" t="s">
        <v>638</v>
      </c>
      <c r="J66" s="377" t="s">
        <v>669</v>
      </c>
      <c r="K66" s="377" t="s">
        <v>672</v>
      </c>
      <c r="L66" s="382" t="b">
        <v>1</v>
      </c>
    </row>
    <row r="67" spans="1:12" x14ac:dyDescent="0.3">
      <c r="A67" s="417" t="s">
        <v>2884</v>
      </c>
      <c r="B67" s="417" t="s">
        <v>2738</v>
      </c>
      <c r="E67" s="377">
        <v>4</v>
      </c>
      <c r="F67" s="377">
        <v>9</v>
      </c>
      <c r="G67" s="417" t="s">
        <v>654</v>
      </c>
    </row>
    <row r="68" spans="1:12" x14ac:dyDescent="0.3">
      <c r="A68" s="417" t="s">
        <v>2884</v>
      </c>
      <c r="B68" s="417" t="s">
        <v>2890</v>
      </c>
      <c r="E68" s="377">
        <v>4</v>
      </c>
      <c r="F68" s="377">
        <v>10</v>
      </c>
      <c r="G68" s="417" t="s">
        <v>654</v>
      </c>
    </row>
  </sheetData>
  <autoFilter ref="A1:M68" xr:uid="{3E80A358-1540-4B73-8B6D-F4FE985B1FBB}">
    <filterColumn colId="0">
      <filters>
        <filter val="Static_Season_Config"/>
      </filters>
    </filterColumn>
  </autoFilter>
  <sortState xmlns:xlrd2="http://schemas.microsoft.com/office/spreadsheetml/2017/richdata2" ref="A2:M68">
    <sortCondition ref="A2:A68"/>
    <sortCondition ref="G2:G68"/>
    <sortCondition ref="D2:D68"/>
  </sortState>
  <phoneticPr fontId="2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626A-0DD4-49F8-8B70-353E6AF107CA}">
  <dimension ref="A1:L9"/>
  <sheetViews>
    <sheetView workbookViewId="0">
      <selection sqref="A1:L2"/>
    </sheetView>
  </sheetViews>
  <sheetFormatPr defaultRowHeight="13.2" x14ac:dyDescent="0.25"/>
  <cols>
    <col min="1" max="1" width="13.5546875" bestFit="1" customWidth="1"/>
    <col min="2" max="2" width="13.33203125" bestFit="1" customWidth="1"/>
    <col min="3" max="3" width="12.44140625" bestFit="1" customWidth="1"/>
    <col min="4" max="4" width="19.77734375" bestFit="1" customWidth="1"/>
    <col min="5" max="5" width="25" bestFit="1" customWidth="1"/>
    <col min="6" max="6" width="8.5546875" bestFit="1" customWidth="1"/>
    <col min="7" max="7" width="6.21875" bestFit="1" customWidth="1"/>
    <col min="8" max="8" width="13.109375" bestFit="1" customWidth="1"/>
    <col min="9" max="9" width="13.6640625" customWidth="1"/>
    <col min="10" max="10" width="13.33203125" bestFit="1" customWidth="1"/>
    <col min="11" max="11" width="19.6640625" bestFit="1" customWidth="1"/>
    <col min="12" max="12" width="12" bestFit="1" customWidth="1"/>
    <col min="13" max="13" width="11.33203125" bestFit="1" customWidth="1"/>
    <col min="14" max="14" width="8.77734375" bestFit="1" customWidth="1"/>
    <col min="15" max="15" width="9.33203125" bestFit="1" customWidth="1"/>
    <col min="16" max="16" width="9" customWidth="1"/>
    <col min="17" max="17" width="15.109375" bestFit="1" customWidth="1"/>
    <col min="18" max="18" width="12" bestFit="1" customWidth="1"/>
    <col min="19" max="19" width="15.109375" bestFit="1" customWidth="1"/>
  </cols>
  <sheetData>
    <row r="1" spans="1:12" x14ac:dyDescent="0.25">
      <c r="A1" t="s">
        <v>2736</v>
      </c>
      <c r="B1" t="s">
        <v>2753</v>
      </c>
      <c r="C1" t="s">
        <v>2754</v>
      </c>
      <c r="D1" t="s">
        <v>83</v>
      </c>
      <c r="E1" t="s">
        <v>2768</v>
      </c>
      <c r="F1" t="s">
        <v>145</v>
      </c>
      <c r="G1" t="s">
        <v>144</v>
      </c>
      <c r="H1" t="s">
        <v>2726</v>
      </c>
      <c r="I1" t="s">
        <v>2722</v>
      </c>
      <c r="J1" t="s">
        <v>2723</v>
      </c>
      <c r="K1" t="s">
        <v>2724</v>
      </c>
      <c r="L1" t="s">
        <v>2721</v>
      </c>
    </row>
    <row r="2" spans="1:12" x14ac:dyDescent="0.25">
      <c r="A2">
        <v>2025</v>
      </c>
      <c r="B2">
        <v>1</v>
      </c>
      <c r="C2" s="119">
        <v>45761</v>
      </c>
      <c r="D2" t="s">
        <v>146</v>
      </c>
      <c r="E2" t="s">
        <v>2942</v>
      </c>
      <c r="F2">
        <v>45</v>
      </c>
      <c r="G2">
        <v>42</v>
      </c>
      <c r="H2">
        <v>6</v>
      </c>
      <c r="L2" t="b">
        <v>0</v>
      </c>
    </row>
    <row r="3" spans="1:12" x14ac:dyDescent="0.25">
      <c r="A3">
        <v>2025</v>
      </c>
      <c r="B3">
        <v>1</v>
      </c>
      <c r="C3" s="119">
        <v>45761</v>
      </c>
      <c r="D3" t="s">
        <v>311</v>
      </c>
      <c r="E3" t="s">
        <v>2943</v>
      </c>
      <c r="F3">
        <v>45</v>
      </c>
      <c r="G3">
        <v>40</v>
      </c>
      <c r="H3">
        <v>7</v>
      </c>
      <c r="L3" t="b">
        <v>0</v>
      </c>
    </row>
    <row r="4" spans="1:12" x14ac:dyDescent="0.25">
      <c r="A4">
        <v>2025</v>
      </c>
      <c r="B4">
        <v>1</v>
      </c>
      <c r="C4" s="119">
        <v>45761</v>
      </c>
      <c r="D4" t="s">
        <v>100</v>
      </c>
      <c r="E4" t="s">
        <v>2944</v>
      </c>
      <c r="F4">
        <v>46</v>
      </c>
      <c r="G4">
        <v>40</v>
      </c>
      <c r="H4">
        <v>9</v>
      </c>
      <c r="L4" t="b">
        <v>0</v>
      </c>
    </row>
    <row r="5" spans="1:12" x14ac:dyDescent="0.25">
      <c r="A5">
        <v>2025</v>
      </c>
      <c r="B5">
        <v>1</v>
      </c>
      <c r="C5" s="119">
        <v>45761</v>
      </c>
      <c r="D5" t="s">
        <v>309</v>
      </c>
      <c r="E5" t="s">
        <v>2945</v>
      </c>
      <c r="F5">
        <v>54</v>
      </c>
      <c r="G5">
        <v>41</v>
      </c>
      <c r="H5">
        <v>6</v>
      </c>
      <c r="L5" t="b">
        <v>0</v>
      </c>
    </row>
    <row r="6" spans="1:12" x14ac:dyDescent="0.25">
      <c r="A6">
        <v>2025</v>
      </c>
      <c r="B6">
        <v>1</v>
      </c>
      <c r="C6" s="119">
        <v>45761</v>
      </c>
      <c r="D6" t="s">
        <v>323</v>
      </c>
      <c r="E6" t="s">
        <v>2946</v>
      </c>
      <c r="F6">
        <v>38</v>
      </c>
      <c r="G6">
        <v>38</v>
      </c>
      <c r="H6">
        <v>14</v>
      </c>
      <c r="L6" t="b">
        <v>0</v>
      </c>
    </row>
    <row r="7" spans="1:12" x14ac:dyDescent="0.25">
      <c r="A7">
        <v>2025</v>
      </c>
      <c r="B7">
        <v>1</v>
      </c>
      <c r="C7" s="119">
        <v>45761</v>
      </c>
      <c r="D7" t="s">
        <v>326</v>
      </c>
      <c r="E7" t="s">
        <v>2947</v>
      </c>
      <c r="F7">
        <v>38</v>
      </c>
      <c r="G7">
        <v>38</v>
      </c>
      <c r="H7">
        <v>13</v>
      </c>
      <c r="L7" t="b">
        <v>0</v>
      </c>
    </row>
    <row r="8" spans="1:12" x14ac:dyDescent="0.25">
      <c r="A8">
        <v>2025</v>
      </c>
      <c r="B8">
        <v>1</v>
      </c>
      <c r="C8" s="119">
        <v>45761</v>
      </c>
      <c r="D8" t="s">
        <v>324</v>
      </c>
      <c r="E8" t="s">
        <v>2948</v>
      </c>
      <c r="F8">
        <v>38</v>
      </c>
      <c r="G8">
        <v>38</v>
      </c>
      <c r="H8">
        <v>11</v>
      </c>
      <c r="L8" t="b">
        <v>0</v>
      </c>
    </row>
    <row r="9" spans="1:12" x14ac:dyDescent="0.25">
      <c r="A9">
        <v>2025</v>
      </c>
      <c r="B9">
        <v>1</v>
      </c>
      <c r="C9" s="119">
        <v>45761</v>
      </c>
      <c r="D9" t="s">
        <v>325</v>
      </c>
      <c r="E9" t="s">
        <v>2949</v>
      </c>
      <c r="F9">
        <v>38</v>
      </c>
      <c r="G9">
        <v>38</v>
      </c>
      <c r="H9">
        <v>14</v>
      </c>
      <c r="L9" t="b">
        <v>0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6C73B-EC69-41B7-BDF2-F50B36E1E304}">
  <dimension ref="A1:A2"/>
  <sheetViews>
    <sheetView workbookViewId="0"/>
  </sheetViews>
  <sheetFormatPr defaultRowHeight="13.2" x14ac:dyDescent="0.25"/>
  <cols>
    <col min="1" max="1" width="28.88671875" bestFit="1" customWidth="1"/>
    <col min="2" max="2" width="13.5546875" bestFit="1" customWidth="1"/>
    <col min="3" max="3" width="7.88671875" bestFit="1" customWidth="1"/>
    <col min="4" max="4" width="16.33203125" bestFit="1" customWidth="1"/>
    <col min="5" max="5" width="17.88671875" bestFit="1" customWidth="1"/>
    <col min="6" max="6" width="14.21875" bestFit="1" customWidth="1"/>
    <col min="7" max="7" width="14.5546875" bestFit="1" customWidth="1"/>
    <col min="8" max="8" width="17.5546875" bestFit="1" customWidth="1"/>
    <col min="9" max="9" width="13.6640625" bestFit="1" customWidth="1"/>
    <col min="10" max="10" width="13.33203125" bestFit="1" customWidth="1"/>
    <col min="11" max="11" width="19.6640625" bestFit="1" customWidth="1"/>
  </cols>
  <sheetData>
    <row r="1" spans="1:1" x14ac:dyDescent="0.25">
      <c r="A1" t="s">
        <v>2772</v>
      </c>
    </row>
    <row r="2" spans="1:1" x14ac:dyDescent="0.25">
      <c r="A2" t="s">
        <v>160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7F93-DC47-4643-A343-4F048C970ABC}">
  <dimension ref="A1:O9"/>
  <sheetViews>
    <sheetView workbookViewId="0">
      <selection activeCell="C4" sqref="C4"/>
    </sheetView>
  </sheetViews>
  <sheetFormatPr defaultRowHeight="13.2" x14ac:dyDescent="0.25"/>
  <cols>
    <col min="1" max="1" width="13.5546875" bestFit="1" customWidth="1"/>
    <col min="2" max="2" width="19.77734375" bestFit="1" customWidth="1"/>
    <col min="3" max="3" width="25" bestFit="1" customWidth="1"/>
    <col min="4" max="4" width="17.6640625" bestFit="1" customWidth="1"/>
    <col min="5" max="5" width="16.77734375" bestFit="1" customWidth="1"/>
    <col min="6" max="6" width="15.88671875" bestFit="1" customWidth="1"/>
    <col min="7" max="7" width="13.109375" bestFit="1" customWidth="1"/>
    <col min="8" max="8" width="12.109375" bestFit="1" customWidth="1"/>
    <col min="9" max="9" width="11.88671875" bestFit="1" customWidth="1"/>
    <col min="10" max="10" width="9.5546875" bestFit="1" customWidth="1"/>
    <col min="11" max="11" width="12.21875" bestFit="1" customWidth="1"/>
    <col min="12" max="12" width="9.88671875" bestFit="1" customWidth="1"/>
    <col min="13" max="13" width="12.21875" bestFit="1" customWidth="1"/>
    <col min="14" max="14" width="11.88671875" bestFit="1" customWidth="1"/>
    <col min="15" max="15" width="18.109375" bestFit="1" customWidth="1"/>
    <col min="16" max="16" width="11.88671875" bestFit="1" customWidth="1"/>
    <col min="17" max="17" width="18.109375" bestFit="1" customWidth="1"/>
    <col min="18" max="18" width="13.21875" bestFit="1" customWidth="1"/>
    <col min="19" max="19" width="12.88671875" bestFit="1" customWidth="1"/>
    <col min="20" max="20" width="19.109375" bestFit="1" customWidth="1"/>
    <col min="21" max="21" width="13.6640625" bestFit="1" customWidth="1"/>
    <col min="22" max="22" width="13.33203125" bestFit="1" customWidth="1"/>
    <col min="23" max="23" width="19.6640625" bestFit="1" customWidth="1"/>
  </cols>
  <sheetData>
    <row r="1" spans="1:15" x14ac:dyDescent="0.25">
      <c r="A1" t="s">
        <v>2736</v>
      </c>
      <c r="B1" t="s">
        <v>83</v>
      </c>
      <c r="C1" t="s">
        <v>2768</v>
      </c>
      <c r="D1" t="s">
        <v>2858</v>
      </c>
      <c r="E1" t="s">
        <v>2859</v>
      </c>
      <c r="F1" t="s">
        <v>2758</v>
      </c>
      <c r="G1" t="s">
        <v>2741</v>
      </c>
      <c r="H1" t="s">
        <v>2761</v>
      </c>
      <c r="I1" t="s">
        <v>2759</v>
      </c>
      <c r="J1" t="s">
        <v>2760</v>
      </c>
      <c r="K1" t="s">
        <v>2762</v>
      </c>
      <c r="L1" t="s">
        <v>2763</v>
      </c>
      <c r="M1" t="s">
        <v>2773</v>
      </c>
      <c r="N1" t="s">
        <v>2774</v>
      </c>
      <c r="O1" t="s">
        <v>2775</v>
      </c>
    </row>
    <row r="2" spans="1:15" x14ac:dyDescent="0.25">
      <c r="A2">
        <v>2025</v>
      </c>
      <c r="B2" t="s">
        <v>146</v>
      </c>
      <c r="C2" t="s">
        <v>2942</v>
      </c>
      <c r="D2">
        <v>1</v>
      </c>
      <c r="E2" s="119">
        <v>45761</v>
      </c>
      <c r="F2">
        <v>1</v>
      </c>
      <c r="G2">
        <v>6</v>
      </c>
      <c r="H2">
        <v>6</v>
      </c>
      <c r="I2">
        <v>45</v>
      </c>
      <c r="J2">
        <v>42</v>
      </c>
      <c r="K2">
        <v>45</v>
      </c>
      <c r="L2">
        <v>42</v>
      </c>
    </row>
    <row r="3" spans="1:15" x14ac:dyDescent="0.25">
      <c r="A3">
        <v>2025</v>
      </c>
      <c r="B3" t="s">
        <v>311</v>
      </c>
      <c r="C3" t="s">
        <v>2943</v>
      </c>
      <c r="D3">
        <v>1</v>
      </c>
      <c r="E3" s="119">
        <v>45761</v>
      </c>
      <c r="F3">
        <v>1</v>
      </c>
      <c r="G3">
        <v>7</v>
      </c>
      <c r="H3">
        <v>7</v>
      </c>
      <c r="I3">
        <v>45</v>
      </c>
      <c r="J3">
        <v>40</v>
      </c>
      <c r="K3">
        <v>45</v>
      </c>
      <c r="L3">
        <v>40</v>
      </c>
    </row>
    <row r="4" spans="1:15" x14ac:dyDescent="0.25">
      <c r="A4">
        <v>2025</v>
      </c>
      <c r="B4" t="s">
        <v>100</v>
      </c>
      <c r="C4" t="s">
        <v>2944</v>
      </c>
      <c r="D4">
        <v>1</v>
      </c>
      <c r="E4" s="119">
        <v>45761</v>
      </c>
      <c r="F4">
        <v>1</v>
      </c>
      <c r="G4">
        <v>9</v>
      </c>
      <c r="H4">
        <v>9</v>
      </c>
      <c r="I4">
        <v>46</v>
      </c>
      <c r="J4">
        <v>40</v>
      </c>
      <c r="K4">
        <v>46</v>
      </c>
      <c r="L4">
        <v>40</v>
      </c>
    </row>
    <row r="5" spans="1:15" x14ac:dyDescent="0.25">
      <c r="A5">
        <v>2025</v>
      </c>
      <c r="B5" t="s">
        <v>309</v>
      </c>
      <c r="C5" t="s">
        <v>2945</v>
      </c>
      <c r="D5">
        <v>1</v>
      </c>
      <c r="E5" s="119">
        <v>45761</v>
      </c>
      <c r="F5">
        <v>1</v>
      </c>
      <c r="G5">
        <v>6</v>
      </c>
      <c r="H5">
        <v>6</v>
      </c>
      <c r="I5">
        <v>54</v>
      </c>
      <c r="J5">
        <v>41</v>
      </c>
      <c r="K5">
        <v>54</v>
      </c>
      <c r="L5">
        <v>41</v>
      </c>
    </row>
    <row r="6" spans="1:15" x14ac:dyDescent="0.25">
      <c r="A6">
        <v>2025</v>
      </c>
      <c r="B6" t="s">
        <v>323</v>
      </c>
      <c r="C6" t="s">
        <v>2946</v>
      </c>
      <c r="D6">
        <v>1</v>
      </c>
      <c r="E6" s="119">
        <v>45761</v>
      </c>
      <c r="F6">
        <v>1</v>
      </c>
      <c r="G6">
        <v>14</v>
      </c>
      <c r="H6">
        <v>14</v>
      </c>
      <c r="I6">
        <v>38</v>
      </c>
      <c r="J6">
        <v>38</v>
      </c>
      <c r="K6">
        <v>38</v>
      </c>
      <c r="L6">
        <v>38</v>
      </c>
    </row>
    <row r="7" spans="1:15" x14ac:dyDescent="0.25">
      <c r="A7">
        <v>2025</v>
      </c>
      <c r="B7" t="s">
        <v>326</v>
      </c>
      <c r="C7" t="s">
        <v>2947</v>
      </c>
      <c r="D7">
        <v>1</v>
      </c>
      <c r="E7" s="119">
        <v>45761</v>
      </c>
      <c r="F7">
        <v>1</v>
      </c>
      <c r="G7">
        <v>13</v>
      </c>
      <c r="H7">
        <v>13</v>
      </c>
      <c r="I7">
        <v>38</v>
      </c>
      <c r="J7">
        <v>38</v>
      </c>
      <c r="K7">
        <v>38</v>
      </c>
      <c r="L7">
        <v>38</v>
      </c>
    </row>
    <row r="8" spans="1:15" x14ac:dyDescent="0.25">
      <c r="A8">
        <v>2025</v>
      </c>
      <c r="B8" t="s">
        <v>324</v>
      </c>
      <c r="C8" t="s">
        <v>2948</v>
      </c>
      <c r="D8">
        <v>1</v>
      </c>
      <c r="E8" s="119">
        <v>45761</v>
      </c>
      <c r="F8">
        <v>1</v>
      </c>
      <c r="G8">
        <v>11</v>
      </c>
      <c r="H8">
        <v>11</v>
      </c>
      <c r="I8">
        <v>38</v>
      </c>
      <c r="J8">
        <v>38</v>
      </c>
      <c r="K8">
        <v>38</v>
      </c>
      <c r="L8">
        <v>38</v>
      </c>
    </row>
    <row r="9" spans="1:15" x14ac:dyDescent="0.25">
      <c r="A9">
        <v>2025</v>
      </c>
      <c r="B9" t="s">
        <v>325</v>
      </c>
      <c r="C9" t="s">
        <v>2949</v>
      </c>
      <c r="D9">
        <v>1</v>
      </c>
      <c r="E9" s="119">
        <v>45761</v>
      </c>
      <c r="F9">
        <v>1</v>
      </c>
      <c r="G9">
        <v>14</v>
      </c>
      <c r="H9">
        <v>14</v>
      </c>
      <c r="I9">
        <v>38</v>
      </c>
      <c r="J9">
        <v>38</v>
      </c>
      <c r="K9">
        <v>38</v>
      </c>
      <c r="L9">
        <v>38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5B14-D977-49B6-AFB8-E330490B6D96}">
  <dimension ref="A1:X21"/>
  <sheetViews>
    <sheetView zoomScaleNormal="100" workbookViewId="0">
      <selection activeCell="X1" sqref="X1:X21"/>
    </sheetView>
  </sheetViews>
  <sheetFormatPr defaultRowHeight="13.2" x14ac:dyDescent="0.25"/>
  <cols>
    <col min="1" max="1" width="13.5546875" bestFit="1" customWidth="1"/>
    <col min="2" max="2" width="13.33203125" bestFit="1" customWidth="1"/>
    <col min="3" max="3" width="12.44140625" bestFit="1" customWidth="1"/>
    <col min="4" max="4" width="9.77734375" bestFit="1" customWidth="1"/>
    <col min="5" max="5" width="11.88671875" bestFit="1" customWidth="1"/>
    <col min="6" max="6" width="19.77734375" bestFit="1" customWidth="1"/>
    <col min="7" max="7" width="25" bestFit="1" customWidth="1"/>
    <col min="8" max="8" width="16.21875" bestFit="1" customWidth="1"/>
    <col min="9" max="9" width="12.5546875" bestFit="1" customWidth="1"/>
    <col min="10" max="10" width="9.5546875" bestFit="1" customWidth="1"/>
    <col min="11" max="11" width="20.6640625" bestFit="1" customWidth="1"/>
    <col min="12" max="12" width="12.5546875" bestFit="1" customWidth="1"/>
    <col min="13" max="13" width="16.5546875" bestFit="1" customWidth="1"/>
    <col min="14" max="14" width="27.33203125" bestFit="1" customWidth="1"/>
    <col min="15" max="15" width="27.109375" bestFit="1" customWidth="1"/>
    <col min="16" max="16" width="14" bestFit="1" customWidth="1"/>
    <col min="17" max="17" width="19.21875" bestFit="1" customWidth="1"/>
    <col min="18" max="18" width="22" bestFit="1" customWidth="1"/>
    <col min="19" max="19" width="16.6640625" bestFit="1" customWidth="1"/>
    <col min="20" max="20" width="20.6640625" bestFit="1" customWidth="1"/>
    <col min="21" max="21" width="16.77734375" bestFit="1" customWidth="1"/>
    <col min="22" max="22" width="12.5546875" bestFit="1" customWidth="1"/>
  </cols>
  <sheetData>
    <row r="1" spans="1:24" x14ac:dyDescent="0.25">
      <c r="A1" t="s">
        <v>2736</v>
      </c>
      <c r="B1" t="s">
        <v>2753</v>
      </c>
      <c r="C1" t="s">
        <v>2754</v>
      </c>
      <c r="D1" t="s">
        <v>8</v>
      </c>
      <c r="E1" t="s">
        <v>351</v>
      </c>
      <c r="F1" t="s">
        <v>83</v>
      </c>
      <c r="G1" t="s">
        <v>2768</v>
      </c>
      <c r="H1" t="s">
        <v>2755</v>
      </c>
      <c r="I1" t="s">
        <v>352</v>
      </c>
      <c r="J1" t="s">
        <v>2756</v>
      </c>
      <c r="K1" t="s">
        <v>2757</v>
      </c>
      <c r="L1" t="s">
        <v>2733</v>
      </c>
      <c r="M1" t="s">
        <v>2771</v>
      </c>
      <c r="N1" t="s">
        <v>2776</v>
      </c>
      <c r="O1" t="s">
        <v>2777</v>
      </c>
      <c r="P1" t="s">
        <v>2778</v>
      </c>
      <c r="Q1" t="s">
        <v>2779</v>
      </c>
      <c r="R1" t="s">
        <v>2780</v>
      </c>
      <c r="S1" t="s">
        <v>2781</v>
      </c>
      <c r="T1" t="s">
        <v>2782</v>
      </c>
      <c r="U1" t="s">
        <v>2783</v>
      </c>
      <c r="X1" s="48" t="s">
        <v>2736</v>
      </c>
    </row>
    <row r="2" spans="1:24" x14ac:dyDescent="0.25">
      <c r="A2">
        <v>2025</v>
      </c>
      <c r="B2">
        <v>1</v>
      </c>
      <c r="C2" s="119">
        <v>45761</v>
      </c>
      <c r="D2" t="s">
        <v>26</v>
      </c>
      <c r="E2" t="s">
        <v>30</v>
      </c>
      <c r="F2" t="s">
        <v>146</v>
      </c>
      <c r="G2" t="s">
        <v>2942</v>
      </c>
      <c r="H2">
        <v>1</v>
      </c>
      <c r="I2" t="s">
        <v>408</v>
      </c>
      <c r="J2" t="s">
        <v>1</v>
      </c>
      <c r="K2" t="b">
        <v>1</v>
      </c>
      <c r="S2" s="119"/>
      <c r="X2" s="48" t="s">
        <v>2753</v>
      </c>
    </row>
    <row r="3" spans="1:24" x14ac:dyDescent="0.25">
      <c r="A3">
        <v>2025</v>
      </c>
      <c r="B3">
        <v>1</v>
      </c>
      <c r="C3" s="119">
        <v>45761</v>
      </c>
      <c r="D3" t="s">
        <v>26</v>
      </c>
      <c r="E3" t="s">
        <v>30</v>
      </c>
      <c r="F3" t="s">
        <v>311</v>
      </c>
      <c r="G3" t="s">
        <v>2943</v>
      </c>
      <c r="H3">
        <v>2</v>
      </c>
      <c r="I3" t="s">
        <v>408</v>
      </c>
      <c r="J3" t="s">
        <v>1</v>
      </c>
      <c r="K3" t="b">
        <v>1</v>
      </c>
      <c r="S3" s="119"/>
      <c r="X3" s="48" t="s">
        <v>2754</v>
      </c>
    </row>
    <row r="4" spans="1:24" x14ac:dyDescent="0.25">
      <c r="A4">
        <v>2025</v>
      </c>
      <c r="B4">
        <v>1</v>
      </c>
      <c r="C4" s="119">
        <v>45761</v>
      </c>
      <c r="D4" t="s">
        <v>26</v>
      </c>
      <c r="E4" t="s">
        <v>30</v>
      </c>
      <c r="F4" t="s">
        <v>100</v>
      </c>
      <c r="G4" t="s">
        <v>2944</v>
      </c>
      <c r="H4">
        <v>3</v>
      </c>
      <c r="I4" t="s">
        <v>408</v>
      </c>
      <c r="J4" t="s">
        <v>1</v>
      </c>
      <c r="K4" t="b">
        <v>1</v>
      </c>
      <c r="S4" s="119"/>
      <c r="X4" s="48" t="s">
        <v>8</v>
      </c>
    </row>
    <row r="5" spans="1:24" x14ac:dyDescent="0.25">
      <c r="A5">
        <v>2025</v>
      </c>
      <c r="B5">
        <v>1</v>
      </c>
      <c r="C5" s="119">
        <v>45761</v>
      </c>
      <c r="D5" t="s">
        <v>26</v>
      </c>
      <c r="E5" t="s">
        <v>30</v>
      </c>
      <c r="F5" t="s">
        <v>309</v>
      </c>
      <c r="G5" t="s">
        <v>2945</v>
      </c>
      <c r="H5">
        <v>4</v>
      </c>
      <c r="I5" t="s">
        <v>408</v>
      </c>
      <c r="J5" t="s">
        <v>1</v>
      </c>
      <c r="K5" t="b">
        <v>1</v>
      </c>
      <c r="S5" s="119"/>
      <c r="X5" s="48" t="s">
        <v>351</v>
      </c>
    </row>
    <row r="6" spans="1:24" x14ac:dyDescent="0.25">
      <c r="A6">
        <v>2025</v>
      </c>
      <c r="B6">
        <v>1</v>
      </c>
      <c r="C6" s="119">
        <v>45761</v>
      </c>
      <c r="D6" t="s">
        <v>30</v>
      </c>
      <c r="E6" t="s">
        <v>26</v>
      </c>
      <c r="F6" t="s">
        <v>323</v>
      </c>
      <c r="G6" t="s">
        <v>2946</v>
      </c>
      <c r="H6">
        <v>1</v>
      </c>
      <c r="I6" t="s">
        <v>408</v>
      </c>
      <c r="J6" t="s">
        <v>1</v>
      </c>
      <c r="K6" t="b">
        <v>1</v>
      </c>
      <c r="S6" s="119"/>
      <c r="X6" s="48" t="s">
        <v>83</v>
      </c>
    </row>
    <row r="7" spans="1:24" x14ac:dyDescent="0.25">
      <c r="A7">
        <v>2025</v>
      </c>
      <c r="B7">
        <v>1</v>
      </c>
      <c r="C7" s="119">
        <v>45761</v>
      </c>
      <c r="D7" t="s">
        <v>30</v>
      </c>
      <c r="E7" t="s">
        <v>26</v>
      </c>
      <c r="F7" t="s">
        <v>326</v>
      </c>
      <c r="G7" t="s">
        <v>2947</v>
      </c>
      <c r="H7">
        <v>2</v>
      </c>
      <c r="I7" t="s">
        <v>408</v>
      </c>
      <c r="J7" t="s">
        <v>1</v>
      </c>
      <c r="K7" t="b">
        <v>1</v>
      </c>
      <c r="S7" s="119"/>
      <c r="X7" s="48" t="s">
        <v>2768</v>
      </c>
    </row>
    <row r="8" spans="1:24" x14ac:dyDescent="0.25">
      <c r="A8">
        <v>2025</v>
      </c>
      <c r="B8">
        <v>1</v>
      </c>
      <c r="C8" s="119">
        <v>45761</v>
      </c>
      <c r="D8" t="s">
        <v>30</v>
      </c>
      <c r="E8" t="s">
        <v>26</v>
      </c>
      <c r="F8" t="s">
        <v>324</v>
      </c>
      <c r="G8" t="s">
        <v>2948</v>
      </c>
      <c r="H8">
        <v>3</v>
      </c>
      <c r="I8" t="s">
        <v>408</v>
      </c>
      <c r="J8" t="s">
        <v>1</v>
      </c>
      <c r="K8" t="b">
        <v>1</v>
      </c>
      <c r="S8" s="119"/>
      <c r="X8" s="48" t="s">
        <v>2755</v>
      </c>
    </row>
    <row r="9" spans="1:24" x14ac:dyDescent="0.25">
      <c r="A9">
        <v>2025</v>
      </c>
      <c r="B9">
        <v>1</v>
      </c>
      <c r="C9" s="119">
        <v>45761</v>
      </c>
      <c r="D9" t="s">
        <v>30</v>
      </c>
      <c r="E9" t="s">
        <v>26</v>
      </c>
      <c r="F9" t="s">
        <v>325</v>
      </c>
      <c r="G9" t="s">
        <v>2949</v>
      </c>
      <c r="H9">
        <v>4</v>
      </c>
      <c r="I9" t="s">
        <v>408</v>
      </c>
      <c r="J9" t="s">
        <v>1</v>
      </c>
      <c r="K9" t="b">
        <v>1</v>
      </c>
      <c r="S9" s="119"/>
      <c r="X9" s="48" t="s">
        <v>352</v>
      </c>
    </row>
    <row r="10" spans="1:24" x14ac:dyDescent="0.25">
      <c r="X10" s="48" t="s">
        <v>2756</v>
      </c>
    </row>
    <row r="11" spans="1:24" x14ac:dyDescent="0.25">
      <c r="X11" s="48" t="s">
        <v>2757</v>
      </c>
    </row>
    <row r="12" spans="1:24" x14ac:dyDescent="0.25">
      <c r="X12" s="48" t="s">
        <v>2733</v>
      </c>
    </row>
    <row r="13" spans="1:24" x14ac:dyDescent="0.25">
      <c r="X13" s="48" t="s">
        <v>2771</v>
      </c>
    </row>
    <row r="14" spans="1:24" x14ac:dyDescent="0.25">
      <c r="X14" s="48" t="s">
        <v>2776</v>
      </c>
    </row>
    <row r="15" spans="1:24" x14ac:dyDescent="0.25">
      <c r="X15" s="48" t="s">
        <v>2777</v>
      </c>
    </row>
    <row r="16" spans="1:24" x14ac:dyDescent="0.25">
      <c r="X16" s="48" t="s">
        <v>2778</v>
      </c>
    </row>
    <row r="17" spans="24:24" x14ac:dyDescent="0.25">
      <c r="X17" s="48" t="s">
        <v>2779</v>
      </c>
    </row>
    <row r="18" spans="24:24" x14ac:dyDescent="0.25">
      <c r="X18" s="48" t="s">
        <v>2780</v>
      </c>
    </row>
    <row r="19" spans="24:24" x14ac:dyDescent="0.25">
      <c r="X19" s="48" t="s">
        <v>2781</v>
      </c>
    </row>
    <row r="20" spans="24:24" x14ac:dyDescent="0.25">
      <c r="X20" s="48" t="s">
        <v>2782</v>
      </c>
    </row>
    <row r="21" spans="24:24" x14ac:dyDescent="0.25">
      <c r="X21" s="48" t="s">
        <v>2783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B44CA-DE0E-4117-929B-19E4E425E849}">
  <dimension ref="A1:H1"/>
  <sheetViews>
    <sheetView workbookViewId="0">
      <selection sqref="A1:H2"/>
    </sheetView>
  </sheetViews>
  <sheetFormatPr defaultRowHeight="13.2" x14ac:dyDescent="0.25"/>
  <cols>
    <col min="1" max="1" width="13.5546875" bestFit="1" customWidth="1"/>
    <col min="2" max="2" width="8.6640625" bestFit="1" customWidth="1"/>
    <col min="3" max="3" width="12" bestFit="1" customWidth="1"/>
    <col min="4" max="4" width="16.88671875" bestFit="1" customWidth="1"/>
    <col min="5" max="5" width="11.33203125" bestFit="1" customWidth="1"/>
    <col min="6" max="6" width="20.109375" bestFit="1" customWidth="1"/>
    <col min="7" max="7" width="18.21875" bestFit="1" customWidth="1"/>
    <col min="8" max="10" width="22.44140625" bestFit="1" customWidth="1"/>
    <col min="11" max="11" width="17.6640625" bestFit="1" customWidth="1"/>
    <col min="12" max="12" width="16.77734375" bestFit="1" customWidth="1"/>
    <col min="13" max="13" width="17.6640625" bestFit="1" customWidth="1"/>
    <col min="14" max="15" width="22.44140625" bestFit="1" customWidth="1"/>
  </cols>
  <sheetData>
    <row r="1" spans="1:8" x14ac:dyDescent="0.25">
      <c r="A1" t="s">
        <v>2736</v>
      </c>
      <c r="B1" t="s">
        <v>83</v>
      </c>
      <c r="C1" t="s">
        <v>2768</v>
      </c>
      <c r="D1" t="s">
        <v>2751</v>
      </c>
      <c r="E1" t="s">
        <v>437</v>
      </c>
      <c r="F1" t="s">
        <v>2769</v>
      </c>
      <c r="G1" t="s">
        <v>2770</v>
      </c>
      <c r="H1" t="s">
        <v>2752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495F4-7CAA-4B52-BC33-43B5517F5280}">
  <dimension ref="A1:K9"/>
  <sheetViews>
    <sheetView workbookViewId="0">
      <selection sqref="A1:K2"/>
    </sheetView>
  </sheetViews>
  <sheetFormatPr defaultRowHeight="13.2" x14ac:dyDescent="0.25"/>
  <cols>
    <col min="1" max="1" width="13.5546875" bestFit="1" customWidth="1"/>
    <col min="2" max="2" width="19.77734375" bestFit="1" customWidth="1"/>
    <col min="3" max="3" width="25" bestFit="1" customWidth="1"/>
    <col min="4" max="4" width="9.77734375" bestFit="1" customWidth="1"/>
    <col min="5" max="5" width="14.21875" bestFit="1" customWidth="1"/>
    <col min="6" max="6" width="11.33203125" bestFit="1" customWidth="1"/>
    <col min="7" max="7" width="6.33203125" bestFit="1" customWidth="1"/>
    <col min="8" max="8" width="17.5546875" bestFit="1" customWidth="1"/>
    <col min="9" max="9" width="16.6640625" bestFit="1" customWidth="1"/>
    <col min="10" max="10" width="14.21875" customWidth="1"/>
    <col min="11" max="11" width="13.33203125" bestFit="1" customWidth="1"/>
    <col min="12" max="12" width="17.6640625" bestFit="1" customWidth="1"/>
    <col min="13" max="13" width="16.77734375" bestFit="1" customWidth="1"/>
  </cols>
  <sheetData>
    <row r="1" spans="1:11" x14ac:dyDescent="0.25">
      <c r="A1" t="s">
        <v>2736</v>
      </c>
      <c r="B1" t="s">
        <v>83</v>
      </c>
      <c r="C1" t="s">
        <v>2768</v>
      </c>
      <c r="D1" t="s">
        <v>8</v>
      </c>
      <c r="E1" t="s">
        <v>2740</v>
      </c>
      <c r="F1" t="s">
        <v>2745</v>
      </c>
      <c r="G1" t="s">
        <v>2746</v>
      </c>
      <c r="H1" t="s">
        <v>2747</v>
      </c>
      <c r="I1" t="s">
        <v>2748</v>
      </c>
      <c r="J1" t="s">
        <v>2750</v>
      </c>
      <c r="K1" t="s">
        <v>2749</v>
      </c>
    </row>
    <row r="2" spans="1:11" x14ac:dyDescent="0.25">
      <c r="A2">
        <v>2025</v>
      </c>
      <c r="B2" t="s">
        <v>309</v>
      </c>
      <c r="C2" t="s">
        <v>2945</v>
      </c>
      <c r="D2" t="s">
        <v>26</v>
      </c>
      <c r="E2" t="s">
        <v>2853</v>
      </c>
      <c r="H2" s="119"/>
      <c r="I2" s="119"/>
    </row>
    <row r="3" spans="1:11" x14ac:dyDescent="0.25">
      <c r="A3">
        <v>2025</v>
      </c>
      <c r="B3" t="s">
        <v>311</v>
      </c>
      <c r="C3" t="s">
        <v>2943</v>
      </c>
      <c r="D3" t="s">
        <v>26</v>
      </c>
      <c r="E3" t="s">
        <v>2853</v>
      </c>
      <c r="H3" s="119"/>
      <c r="I3" s="119"/>
    </row>
    <row r="4" spans="1:11" x14ac:dyDescent="0.25">
      <c r="A4">
        <v>2025</v>
      </c>
      <c r="B4" t="s">
        <v>323</v>
      </c>
      <c r="C4" t="s">
        <v>2946</v>
      </c>
      <c r="D4" t="s">
        <v>30</v>
      </c>
      <c r="E4" t="s">
        <v>2853</v>
      </c>
      <c r="H4" s="119"/>
      <c r="I4" s="119"/>
    </row>
    <row r="5" spans="1:11" x14ac:dyDescent="0.25">
      <c r="A5">
        <v>2025</v>
      </c>
      <c r="B5" t="s">
        <v>324</v>
      </c>
      <c r="C5" t="s">
        <v>2948</v>
      </c>
      <c r="D5" t="s">
        <v>30</v>
      </c>
      <c r="E5" t="s">
        <v>2853</v>
      </c>
      <c r="H5" s="119"/>
      <c r="I5" s="119"/>
    </row>
    <row r="6" spans="1:11" x14ac:dyDescent="0.25">
      <c r="A6">
        <v>2025</v>
      </c>
      <c r="B6" t="s">
        <v>325</v>
      </c>
      <c r="C6" t="s">
        <v>2949</v>
      </c>
      <c r="D6" t="s">
        <v>30</v>
      </c>
      <c r="E6" t="s">
        <v>2853</v>
      </c>
      <c r="H6" s="119"/>
      <c r="I6" s="119"/>
    </row>
    <row r="7" spans="1:11" x14ac:dyDescent="0.25">
      <c r="A7">
        <v>2025</v>
      </c>
      <c r="B7" t="s">
        <v>326</v>
      </c>
      <c r="C7" t="s">
        <v>2947</v>
      </c>
      <c r="D7" t="s">
        <v>30</v>
      </c>
      <c r="E7" t="s">
        <v>2853</v>
      </c>
      <c r="H7" s="119"/>
      <c r="I7" s="119"/>
    </row>
    <row r="8" spans="1:11" x14ac:dyDescent="0.25">
      <c r="A8">
        <v>2025</v>
      </c>
      <c r="B8" t="s">
        <v>146</v>
      </c>
      <c r="C8" t="s">
        <v>2942</v>
      </c>
      <c r="D8" t="s">
        <v>26</v>
      </c>
      <c r="E8" t="s">
        <v>2853</v>
      </c>
      <c r="H8" s="119"/>
      <c r="I8" s="119"/>
    </row>
    <row r="9" spans="1:11" x14ac:dyDescent="0.25">
      <c r="A9">
        <v>2025</v>
      </c>
      <c r="B9" t="s">
        <v>100</v>
      </c>
      <c r="C9" t="s">
        <v>2944</v>
      </c>
      <c r="D9" t="s">
        <v>26</v>
      </c>
      <c r="E9" t="s">
        <v>2853</v>
      </c>
      <c r="H9" s="119"/>
      <c r="I9" s="119"/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82F4D-98E3-425C-BACE-9B1128787FC6}">
  <dimension ref="A1:K3"/>
  <sheetViews>
    <sheetView tabSelected="1" workbookViewId="0">
      <selection sqref="A1:K2"/>
    </sheetView>
  </sheetViews>
  <sheetFormatPr defaultRowHeight="13.2" x14ac:dyDescent="0.25"/>
  <cols>
    <col min="1" max="1" width="13.5546875" bestFit="1" customWidth="1"/>
    <col min="2" max="2" width="9.77734375" bestFit="1" customWidth="1"/>
    <col min="3" max="3" width="14.44140625" bestFit="1" customWidth="1"/>
    <col min="4" max="4" width="9.88671875" bestFit="1" customWidth="1"/>
    <col min="5" max="5" width="13.44140625" bestFit="1" customWidth="1"/>
    <col min="6" max="6" width="12.33203125" bestFit="1" customWidth="1"/>
    <col min="7" max="7" width="14.109375" bestFit="1" customWidth="1"/>
    <col min="8" max="8" width="11.44140625" bestFit="1" customWidth="1"/>
    <col min="9" max="9" width="14.5546875" bestFit="1" customWidth="1"/>
    <col min="10" max="10" width="17.5546875" bestFit="1" customWidth="1"/>
    <col min="11" max="11" width="20.109375" bestFit="1" customWidth="1"/>
    <col min="12" max="12" width="17.5546875" bestFit="1" customWidth="1"/>
    <col min="13" max="13" width="20.109375" bestFit="1" customWidth="1"/>
    <col min="14" max="14" width="9.44140625" bestFit="1" customWidth="1"/>
    <col min="15" max="15" width="6.77734375" bestFit="1" customWidth="1"/>
    <col min="16" max="16" width="13.109375" bestFit="1" customWidth="1"/>
    <col min="17" max="17" width="14.5546875" bestFit="1" customWidth="1"/>
    <col min="18" max="18" width="17.5546875" bestFit="1" customWidth="1"/>
    <col min="19" max="19" width="20.109375" bestFit="1" customWidth="1"/>
  </cols>
  <sheetData>
    <row r="1" spans="1:11" x14ac:dyDescent="0.25">
      <c r="A1" t="s">
        <v>2736</v>
      </c>
      <c r="B1" t="s">
        <v>8</v>
      </c>
      <c r="C1" t="s">
        <v>2234</v>
      </c>
      <c r="D1" t="s">
        <v>138</v>
      </c>
      <c r="E1" t="s">
        <v>2764</v>
      </c>
      <c r="F1" t="s">
        <v>2765</v>
      </c>
      <c r="G1" t="s">
        <v>2766</v>
      </c>
      <c r="H1" t="s">
        <v>2767</v>
      </c>
      <c r="I1" t="s">
        <v>2742</v>
      </c>
      <c r="J1" t="s">
        <v>2743</v>
      </c>
      <c r="K1" t="s">
        <v>2744</v>
      </c>
    </row>
    <row r="2" spans="1:11" x14ac:dyDescent="0.25">
      <c r="A2">
        <v>2025</v>
      </c>
      <c r="B2" t="s">
        <v>30</v>
      </c>
      <c r="C2" t="s">
        <v>2956</v>
      </c>
      <c r="H2">
        <v>0</v>
      </c>
      <c r="K2" t="b">
        <v>1</v>
      </c>
    </row>
    <row r="3" spans="1:11" x14ac:dyDescent="0.25">
      <c r="A3">
        <v>2025</v>
      </c>
      <c r="B3" t="s">
        <v>26</v>
      </c>
      <c r="C3" t="s">
        <v>2951</v>
      </c>
      <c r="H3">
        <v>0</v>
      </c>
      <c r="K3" t="b">
        <v>1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34C3-2469-4104-B486-47052F96078D}">
  <dimension ref="A1:G2"/>
  <sheetViews>
    <sheetView workbookViewId="0">
      <selection activeCell="G8" sqref="G8"/>
    </sheetView>
  </sheetViews>
  <sheetFormatPr defaultRowHeight="13.2" x14ac:dyDescent="0.25"/>
  <cols>
    <col min="1" max="1" width="36.44140625" bestFit="1" customWidth="1"/>
    <col min="2" max="2" width="13.5546875" bestFit="1" customWidth="1"/>
    <col min="3" max="3" width="13.33203125" bestFit="1" customWidth="1"/>
    <col min="4" max="4" width="12.44140625" bestFit="1" customWidth="1"/>
    <col min="5" max="5" width="23.77734375" bestFit="1" customWidth="1"/>
    <col min="6" max="6" width="25" bestFit="1" customWidth="1"/>
    <col min="7" max="7" width="15.44140625" bestFit="1" customWidth="1"/>
  </cols>
  <sheetData>
    <row r="1" spans="1:7" x14ac:dyDescent="0.25">
      <c r="A1" t="s">
        <v>2735</v>
      </c>
      <c r="B1" t="s">
        <v>2736</v>
      </c>
      <c r="C1" t="s">
        <v>2753</v>
      </c>
      <c r="D1" t="s">
        <v>2754</v>
      </c>
      <c r="E1" t="s">
        <v>2737</v>
      </c>
      <c r="F1" t="s">
        <v>2738</v>
      </c>
      <c r="G1" t="s">
        <v>2739</v>
      </c>
    </row>
    <row r="2" spans="1:7" x14ac:dyDescent="0.25">
      <c r="A2" t="s">
        <v>579</v>
      </c>
      <c r="B2">
        <v>2025</v>
      </c>
      <c r="C2">
        <v>1</v>
      </c>
      <c r="D2" s="119">
        <v>45761</v>
      </c>
      <c r="E2">
        <v>14</v>
      </c>
      <c r="F2">
        <v>0.5</v>
      </c>
      <c r="G2" t="s">
        <v>2853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8FBEB-F519-46E4-9E3C-5228A664AFB9}">
  <sheetPr codeName="Sheet34"/>
  <dimension ref="A1:U145"/>
  <sheetViews>
    <sheetView workbookViewId="0">
      <selection sqref="A1:U3"/>
    </sheetView>
  </sheetViews>
  <sheetFormatPr defaultRowHeight="13.2" x14ac:dyDescent="0.25"/>
  <cols>
    <col min="1" max="1" width="23.21875" bestFit="1" customWidth="1"/>
    <col min="2" max="2" width="13.5546875" bestFit="1" customWidth="1"/>
    <col min="3" max="3" width="13.33203125" bestFit="1" customWidth="1"/>
    <col min="4" max="4" width="12.44140625" bestFit="1" customWidth="1"/>
    <col min="5" max="5" width="31.33203125" bestFit="1" customWidth="1"/>
    <col min="6" max="6" width="12.5546875" bestFit="1" customWidth="1"/>
    <col min="7" max="7" width="9.77734375" bestFit="1" customWidth="1"/>
    <col min="8" max="8" width="14.44140625" bestFit="1" customWidth="1"/>
    <col min="9" max="9" width="11.88671875" bestFit="1" customWidth="1"/>
    <col min="10" max="10" width="10.33203125" bestFit="1" customWidth="1"/>
    <col min="11" max="11" width="19.77734375" bestFit="1" customWidth="1"/>
    <col min="12" max="12" width="25" bestFit="1" customWidth="1"/>
    <col min="13" max="13" width="7.109375" bestFit="1" customWidth="1"/>
    <col min="14" max="14" width="8.33203125" bestFit="1" customWidth="1"/>
    <col min="15" max="15" width="6.21875" bestFit="1" customWidth="1"/>
    <col min="16" max="16" width="6.6640625" bestFit="1" customWidth="1"/>
    <col min="17" max="17" width="11.33203125" bestFit="1" customWidth="1"/>
    <col min="18" max="18" width="6.88671875" bestFit="1" customWidth="1"/>
    <col min="19" max="19" width="8" bestFit="1" customWidth="1"/>
    <col min="20" max="20" width="14.109375" bestFit="1" customWidth="1"/>
    <col min="21" max="21" width="8.77734375" bestFit="1" customWidth="1"/>
    <col min="22" max="22" width="8" bestFit="1" customWidth="1"/>
    <col min="23" max="23" width="14.109375" bestFit="1" customWidth="1"/>
    <col min="24" max="24" width="8.77734375" customWidth="1"/>
  </cols>
  <sheetData>
    <row r="1" spans="1:21" x14ac:dyDescent="0.25">
      <c r="A1" t="s">
        <v>2566</v>
      </c>
      <c r="B1" t="s">
        <v>2736</v>
      </c>
      <c r="C1" t="s">
        <v>2753</v>
      </c>
      <c r="D1" t="s">
        <v>2754</v>
      </c>
      <c r="E1" t="s">
        <v>2857</v>
      </c>
      <c r="F1" t="s">
        <v>352</v>
      </c>
      <c r="G1" t="s">
        <v>8</v>
      </c>
      <c r="H1" t="s">
        <v>2234</v>
      </c>
      <c r="I1" t="s">
        <v>351</v>
      </c>
      <c r="J1" t="s">
        <v>353</v>
      </c>
      <c r="K1" t="s">
        <v>83</v>
      </c>
      <c r="L1" t="s">
        <v>2768</v>
      </c>
      <c r="M1" t="s">
        <v>2713</v>
      </c>
      <c r="N1" t="s">
        <v>2714</v>
      </c>
      <c r="O1" t="s">
        <v>2716</v>
      </c>
      <c r="P1" t="s">
        <v>2717</v>
      </c>
      <c r="Q1" t="s">
        <v>2715</v>
      </c>
      <c r="R1" t="s">
        <v>2718</v>
      </c>
      <c r="S1" t="s">
        <v>2719</v>
      </c>
      <c r="T1" t="s">
        <v>2720</v>
      </c>
      <c r="U1" t="s">
        <v>86</v>
      </c>
    </row>
    <row r="2" spans="1:21" x14ac:dyDescent="0.25">
      <c r="A2" s="451" t="s">
        <v>476</v>
      </c>
      <c r="B2">
        <v>2025</v>
      </c>
      <c r="C2" s="451">
        <v>1</v>
      </c>
      <c r="D2" s="119">
        <v>45761</v>
      </c>
      <c r="E2" t="s">
        <v>2950</v>
      </c>
      <c r="F2" s="451" t="s">
        <v>408</v>
      </c>
      <c r="G2" s="451" t="s">
        <v>26</v>
      </c>
      <c r="H2" t="s">
        <v>2951</v>
      </c>
      <c r="I2" s="451" t="s">
        <v>30</v>
      </c>
      <c r="J2" s="451">
        <v>1</v>
      </c>
      <c r="K2" s="451" t="s">
        <v>146</v>
      </c>
      <c r="L2" t="s">
        <v>2942</v>
      </c>
      <c r="M2">
        <v>1</v>
      </c>
      <c r="N2">
        <v>6</v>
      </c>
      <c r="U2">
        <v>1</v>
      </c>
    </row>
    <row r="3" spans="1:21" x14ac:dyDescent="0.25">
      <c r="A3" s="451" t="s">
        <v>476</v>
      </c>
      <c r="B3">
        <v>2025</v>
      </c>
      <c r="C3" s="451">
        <v>1</v>
      </c>
      <c r="D3" s="119">
        <v>45761</v>
      </c>
      <c r="E3" t="s">
        <v>2950</v>
      </c>
      <c r="F3" s="451" t="s">
        <v>408</v>
      </c>
      <c r="G3" s="451" t="s">
        <v>26</v>
      </c>
      <c r="H3" t="s">
        <v>2951</v>
      </c>
      <c r="I3" s="451" t="s">
        <v>30</v>
      </c>
      <c r="J3" s="451">
        <v>1</v>
      </c>
      <c r="K3" s="451" t="s">
        <v>146</v>
      </c>
      <c r="L3" t="s">
        <v>2942</v>
      </c>
      <c r="M3">
        <v>2</v>
      </c>
      <c r="N3">
        <v>5</v>
      </c>
      <c r="U3">
        <v>1</v>
      </c>
    </row>
    <row r="4" spans="1:21" x14ac:dyDescent="0.25">
      <c r="A4" s="451" t="s">
        <v>476</v>
      </c>
      <c r="B4">
        <v>2025</v>
      </c>
      <c r="C4" s="451">
        <v>1</v>
      </c>
      <c r="D4" s="119">
        <v>45761</v>
      </c>
      <c r="E4" t="s">
        <v>2950</v>
      </c>
      <c r="F4" s="451" t="s">
        <v>408</v>
      </c>
      <c r="G4" s="451" t="s">
        <v>26</v>
      </c>
      <c r="H4" t="s">
        <v>2951</v>
      </c>
      <c r="I4" s="451" t="s">
        <v>30</v>
      </c>
      <c r="J4" s="451">
        <v>1</v>
      </c>
      <c r="K4" s="451" t="s">
        <v>146</v>
      </c>
      <c r="L4" t="s">
        <v>2942</v>
      </c>
      <c r="M4">
        <v>3</v>
      </c>
      <c r="N4">
        <v>7</v>
      </c>
      <c r="U4">
        <v>0</v>
      </c>
    </row>
    <row r="5" spans="1:21" x14ac:dyDescent="0.25">
      <c r="A5" s="451" t="s">
        <v>476</v>
      </c>
      <c r="B5">
        <v>2025</v>
      </c>
      <c r="C5" s="451">
        <v>1</v>
      </c>
      <c r="D5" s="119">
        <v>45761</v>
      </c>
      <c r="E5" t="s">
        <v>2950</v>
      </c>
      <c r="F5" s="451" t="s">
        <v>408</v>
      </c>
      <c r="G5" s="451" t="s">
        <v>26</v>
      </c>
      <c r="H5" t="s">
        <v>2951</v>
      </c>
      <c r="I5" s="451" t="s">
        <v>30</v>
      </c>
      <c r="J5" s="451">
        <v>1</v>
      </c>
      <c r="K5" s="451" t="s">
        <v>146</v>
      </c>
      <c r="L5" t="s">
        <v>2942</v>
      </c>
      <c r="M5">
        <v>4</v>
      </c>
      <c r="N5">
        <v>4</v>
      </c>
      <c r="U5">
        <v>0</v>
      </c>
    </row>
    <row r="6" spans="1:21" x14ac:dyDescent="0.25">
      <c r="A6" s="451" t="s">
        <v>476</v>
      </c>
      <c r="B6">
        <v>2025</v>
      </c>
      <c r="C6" s="451">
        <v>1</v>
      </c>
      <c r="D6" s="119">
        <v>45761</v>
      </c>
      <c r="E6" t="s">
        <v>2950</v>
      </c>
      <c r="F6" s="451" t="s">
        <v>408</v>
      </c>
      <c r="G6" s="451" t="s">
        <v>26</v>
      </c>
      <c r="H6" t="s">
        <v>2951</v>
      </c>
      <c r="I6" s="451" t="s">
        <v>30</v>
      </c>
      <c r="J6" s="451">
        <v>1</v>
      </c>
      <c r="K6" s="451" t="s">
        <v>146</v>
      </c>
      <c r="L6" t="s">
        <v>2942</v>
      </c>
      <c r="M6">
        <v>5</v>
      </c>
      <c r="N6">
        <v>4</v>
      </c>
      <c r="U6">
        <v>1</v>
      </c>
    </row>
    <row r="7" spans="1:21" x14ac:dyDescent="0.25">
      <c r="A7" s="451" t="s">
        <v>476</v>
      </c>
      <c r="B7">
        <v>2025</v>
      </c>
      <c r="C7" s="451">
        <v>1</v>
      </c>
      <c r="D7" s="119">
        <v>45761</v>
      </c>
      <c r="E7" t="s">
        <v>2950</v>
      </c>
      <c r="F7" s="451" t="s">
        <v>408</v>
      </c>
      <c r="G7" s="451" t="s">
        <v>26</v>
      </c>
      <c r="H7" t="s">
        <v>2951</v>
      </c>
      <c r="I7" s="451" t="s">
        <v>30</v>
      </c>
      <c r="J7" s="451">
        <v>1</v>
      </c>
      <c r="K7" s="451" t="s">
        <v>146</v>
      </c>
      <c r="L7" t="s">
        <v>2942</v>
      </c>
      <c r="M7">
        <v>6</v>
      </c>
      <c r="N7">
        <v>5</v>
      </c>
      <c r="U7">
        <v>2</v>
      </c>
    </row>
    <row r="8" spans="1:21" x14ac:dyDescent="0.25">
      <c r="A8" s="451" t="s">
        <v>476</v>
      </c>
      <c r="B8">
        <v>2025</v>
      </c>
      <c r="C8" s="451">
        <v>1</v>
      </c>
      <c r="D8" s="119">
        <v>45761</v>
      </c>
      <c r="E8" t="s">
        <v>2950</v>
      </c>
      <c r="F8" s="451" t="s">
        <v>408</v>
      </c>
      <c r="G8" s="451" t="s">
        <v>26</v>
      </c>
      <c r="H8" t="s">
        <v>2951</v>
      </c>
      <c r="I8" s="451" t="s">
        <v>30</v>
      </c>
      <c r="J8" s="451">
        <v>1</v>
      </c>
      <c r="K8" s="451" t="s">
        <v>146</v>
      </c>
      <c r="L8" t="s">
        <v>2942</v>
      </c>
      <c r="M8">
        <v>7</v>
      </c>
      <c r="N8">
        <v>6</v>
      </c>
      <c r="U8">
        <v>0</v>
      </c>
    </row>
    <row r="9" spans="1:21" x14ac:dyDescent="0.25">
      <c r="A9" s="451" t="s">
        <v>476</v>
      </c>
      <c r="B9">
        <v>2025</v>
      </c>
      <c r="C9" s="451">
        <v>1</v>
      </c>
      <c r="D9" s="119">
        <v>45761</v>
      </c>
      <c r="E9" t="s">
        <v>2950</v>
      </c>
      <c r="F9" s="451" t="s">
        <v>408</v>
      </c>
      <c r="G9" s="451" t="s">
        <v>26</v>
      </c>
      <c r="H9" t="s">
        <v>2951</v>
      </c>
      <c r="I9" s="451" t="s">
        <v>30</v>
      </c>
      <c r="J9" s="451">
        <v>1</v>
      </c>
      <c r="K9" s="451" t="s">
        <v>146</v>
      </c>
      <c r="L9" t="s">
        <v>2942</v>
      </c>
      <c r="M9">
        <v>8</v>
      </c>
      <c r="N9">
        <v>3</v>
      </c>
      <c r="U9">
        <v>1</v>
      </c>
    </row>
    <row r="10" spans="1:21" x14ac:dyDescent="0.25">
      <c r="A10" s="451" t="s">
        <v>476</v>
      </c>
      <c r="B10">
        <v>2025</v>
      </c>
      <c r="C10" s="451">
        <v>1</v>
      </c>
      <c r="D10" s="119">
        <v>45761</v>
      </c>
      <c r="E10" t="s">
        <v>2950</v>
      </c>
      <c r="F10" s="451" t="s">
        <v>408</v>
      </c>
      <c r="G10" s="451" t="s">
        <v>26</v>
      </c>
      <c r="H10" t="s">
        <v>2951</v>
      </c>
      <c r="I10" s="451" t="s">
        <v>30</v>
      </c>
      <c r="J10" s="451">
        <v>1</v>
      </c>
      <c r="K10" s="451" t="s">
        <v>146</v>
      </c>
      <c r="L10" t="s">
        <v>2942</v>
      </c>
      <c r="M10">
        <v>9</v>
      </c>
      <c r="N10">
        <v>5</v>
      </c>
      <c r="U10">
        <v>0</v>
      </c>
    </row>
    <row r="11" spans="1:21" x14ac:dyDescent="0.25">
      <c r="A11" s="451" t="s">
        <v>476</v>
      </c>
      <c r="B11">
        <v>2025</v>
      </c>
      <c r="C11" s="451">
        <v>1</v>
      </c>
      <c r="D11" s="119">
        <v>45761</v>
      </c>
      <c r="E11" t="s">
        <v>2950</v>
      </c>
      <c r="F11" s="451" t="s">
        <v>408</v>
      </c>
      <c r="G11" s="451" t="s">
        <v>26</v>
      </c>
      <c r="H11" t="s">
        <v>2951</v>
      </c>
      <c r="I11" s="451" t="s">
        <v>30</v>
      </c>
      <c r="J11" s="451">
        <v>1</v>
      </c>
      <c r="K11" s="451" t="s">
        <v>146</v>
      </c>
      <c r="L11" t="s">
        <v>2942</v>
      </c>
      <c r="M11">
        <v>10</v>
      </c>
    </row>
    <row r="12" spans="1:21" x14ac:dyDescent="0.25">
      <c r="A12" s="451" t="s">
        <v>476</v>
      </c>
      <c r="B12">
        <v>2025</v>
      </c>
      <c r="C12" s="451">
        <v>1</v>
      </c>
      <c r="D12" s="119">
        <v>45761</v>
      </c>
      <c r="E12" t="s">
        <v>2950</v>
      </c>
      <c r="F12" s="451" t="s">
        <v>408</v>
      </c>
      <c r="G12" s="451" t="s">
        <v>26</v>
      </c>
      <c r="H12" t="s">
        <v>2951</v>
      </c>
      <c r="I12" s="451" t="s">
        <v>30</v>
      </c>
      <c r="J12" s="451">
        <v>1</v>
      </c>
      <c r="K12" s="451" t="s">
        <v>146</v>
      </c>
      <c r="L12" t="s">
        <v>2942</v>
      </c>
      <c r="M12">
        <v>11</v>
      </c>
    </row>
    <row r="13" spans="1:21" x14ac:dyDescent="0.25">
      <c r="A13" s="451" t="s">
        <v>476</v>
      </c>
      <c r="B13">
        <v>2025</v>
      </c>
      <c r="C13" s="451">
        <v>1</v>
      </c>
      <c r="D13" s="119">
        <v>45761</v>
      </c>
      <c r="E13" t="s">
        <v>2950</v>
      </c>
      <c r="F13" s="451" t="s">
        <v>408</v>
      </c>
      <c r="G13" s="451" t="s">
        <v>26</v>
      </c>
      <c r="H13" t="s">
        <v>2951</v>
      </c>
      <c r="I13" s="451" t="s">
        <v>30</v>
      </c>
      <c r="J13" s="451">
        <v>1</v>
      </c>
      <c r="K13" s="451" t="s">
        <v>146</v>
      </c>
      <c r="L13" t="s">
        <v>2942</v>
      </c>
      <c r="M13">
        <v>12</v>
      </c>
    </row>
    <row r="14" spans="1:21" x14ac:dyDescent="0.25">
      <c r="A14" s="451" t="s">
        <v>476</v>
      </c>
      <c r="B14">
        <v>2025</v>
      </c>
      <c r="C14" s="451">
        <v>1</v>
      </c>
      <c r="D14" s="119">
        <v>45761</v>
      </c>
      <c r="E14" t="s">
        <v>2950</v>
      </c>
      <c r="F14" s="451" t="s">
        <v>408</v>
      </c>
      <c r="G14" s="451" t="s">
        <v>26</v>
      </c>
      <c r="H14" t="s">
        <v>2951</v>
      </c>
      <c r="I14" s="451" t="s">
        <v>30</v>
      </c>
      <c r="J14" s="451">
        <v>1</v>
      </c>
      <c r="K14" s="451" t="s">
        <v>146</v>
      </c>
      <c r="L14" t="s">
        <v>2942</v>
      </c>
      <c r="M14">
        <v>13</v>
      </c>
    </row>
    <row r="15" spans="1:21" x14ac:dyDescent="0.25">
      <c r="A15" s="451" t="s">
        <v>476</v>
      </c>
      <c r="B15">
        <v>2025</v>
      </c>
      <c r="C15" s="451">
        <v>1</v>
      </c>
      <c r="D15" s="119">
        <v>45761</v>
      </c>
      <c r="E15" t="s">
        <v>2950</v>
      </c>
      <c r="F15" s="451" t="s">
        <v>408</v>
      </c>
      <c r="G15" s="451" t="s">
        <v>26</v>
      </c>
      <c r="H15" t="s">
        <v>2951</v>
      </c>
      <c r="I15" s="451" t="s">
        <v>30</v>
      </c>
      <c r="J15" s="451">
        <v>1</v>
      </c>
      <c r="K15" s="451" t="s">
        <v>146</v>
      </c>
      <c r="L15" t="s">
        <v>2942</v>
      </c>
      <c r="M15">
        <v>14</v>
      </c>
    </row>
    <row r="16" spans="1:21" x14ac:dyDescent="0.25">
      <c r="A16" s="451" t="s">
        <v>476</v>
      </c>
      <c r="B16">
        <v>2025</v>
      </c>
      <c r="C16" s="451">
        <v>1</v>
      </c>
      <c r="D16" s="119">
        <v>45761</v>
      </c>
      <c r="E16" t="s">
        <v>2950</v>
      </c>
      <c r="F16" s="451" t="s">
        <v>408</v>
      </c>
      <c r="G16" s="451" t="s">
        <v>26</v>
      </c>
      <c r="H16" t="s">
        <v>2951</v>
      </c>
      <c r="I16" s="451" t="s">
        <v>30</v>
      </c>
      <c r="J16" s="451">
        <v>1</v>
      </c>
      <c r="K16" s="451" t="s">
        <v>146</v>
      </c>
      <c r="L16" t="s">
        <v>2942</v>
      </c>
      <c r="M16">
        <v>15</v>
      </c>
    </row>
    <row r="17" spans="1:21" x14ac:dyDescent="0.25">
      <c r="A17" s="451" t="s">
        <v>476</v>
      </c>
      <c r="B17">
        <v>2025</v>
      </c>
      <c r="C17" s="451">
        <v>1</v>
      </c>
      <c r="D17" s="119">
        <v>45761</v>
      </c>
      <c r="E17" t="s">
        <v>2950</v>
      </c>
      <c r="F17" s="451" t="s">
        <v>408</v>
      </c>
      <c r="G17" s="451" t="s">
        <v>26</v>
      </c>
      <c r="H17" t="s">
        <v>2951</v>
      </c>
      <c r="I17" s="451" t="s">
        <v>30</v>
      </c>
      <c r="J17" s="451">
        <v>1</v>
      </c>
      <c r="K17" s="451" t="s">
        <v>146</v>
      </c>
      <c r="L17" t="s">
        <v>2942</v>
      </c>
      <c r="M17">
        <v>16</v>
      </c>
    </row>
    <row r="18" spans="1:21" x14ac:dyDescent="0.25">
      <c r="A18" s="451" t="s">
        <v>476</v>
      </c>
      <c r="B18">
        <v>2025</v>
      </c>
      <c r="C18" s="451">
        <v>1</v>
      </c>
      <c r="D18" s="119">
        <v>45761</v>
      </c>
      <c r="E18" t="s">
        <v>2950</v>
      </c>
      <c r="F18" s="451" t="s">
        <v>408</v>
      </c>
      <c r="G18" s="451" t="s">
        <v>26</v>
      </c>
      <c r="H18" t="s">
        <v>2951</v>
      </c>
      <c r="I18" s="451" t="s">
        <v>30</v>
      </c>
      <c r="J18" s="451">
        <v>1</v>
      </c>
      <c r="K18" s="451" t="s">
        <v>146</v>
      </c>
      <c r="L18" t="s">
        <v>2942</v>
      </c>
      <c r="M18">
        <v>17</v>
      </c>
    </row>
    <row r="19" spans="1:21" x14ac:dyDescent="0.25">
      <c r="A19" s="451" t="s">
        <v>476</v>
      </c>
      <c r="B19">
        <v>2025</v>
      </c>
      <c r="C19" s="451">
        <v>1</v>
      </c>
      <c r="D19" s="119">
        <v>45761</v>
      </c>
      <c r="E19" t="s">
        <v>2950</v>
      </c>
      <c r="F19" s="451" t="s">
        <v>408</v>
      </c>
      <c r="G19" s="451" t="s">
        <v>26</v>
      </c>
      <c r="H19" t="s">
        <v>2951</v>
      </c>
      <c r="I19" s="451" t="s">
        <v>30</v>
      </c>
      <c r="J19" s="451">
        <v>1</v>
      </c>
      <c r="K19" s="451" t="s">
        <v>146</v>
      </c>
      <c r="L19" t="s">
        <v>2942</v>
      </c>
      <c r="M19">
        <v>18</v>
      </c>
    </row>
    <row r="20" spans="1:21" x14ac:dyDescent="0.25">
      <c r="A20" s="451" t="s">
        <v>476</v>
      </c>
      <c r="B20">
        <v>2025</v>
      </c>
      <c r="C20" s="451">
        <v>1</v>
      </c>
      <c r="D20" s="119">
        <v>45761</v>
      </c>
      <c r="E20" t="s">
        <v>2952</v>
      </c>
      <c r="F20" s="451" t="s">
        <v>408</v>
      </c>
      <c r="G20" s="451" t="s">
        <v>26</v>
      </c>
      <c r="H20" t="s">
        <v>2951</v>
      </c>
      <c r="I20" s="451" t="s">
        <v>30</v>
      </c>
      <c r="J20" s="451">
        <v>2</v>
      </c>
      <c r="K20" s="451" t="s">
        <v>311</v>
      </c>
      <c r="L20" t="s">
        <v>2943</v>
      </c>
      <c r="M20">
        <v>1</v>
      </c>
      <c r="N20">
        <v>6</v>
      </c>
      <c r="U20">
        <v>1</v>
      </c>
    </row>
    <row r="21" spans="1:21" x14ac:dyDescent="0.25">
      <c r="A21" s="451" t="s">
        <v>476</v>
      </c>
      <c r="B21">
        <v>2025</v>
      </c>
      <c r="C21" s="451">
        <v>1</v>
      </c>
      <c r="D21" s="119">
        <v>45761</v>
      </c>
      <c r="E21" t="s">
        <v>2952</v>
      </c>
      <c r="F21" s="451" t="s">
        <v>408</v>
      </c>
      <c r="G21" s="451" t="s">
        <v>26</v>
      </c>
      <c r="H21" t="s">
        <v>2951</v>
      </c>
      <c r="I21" s="451" t="s">
        <v>30</v>
      </c>
      <c r="J21" s="451">
        <v>2</v>
      </c>
      <c r="K21" s="451" t="s">
        <v>311</v>
      </c>
      <c r="L21" t="s">
        <v>2943</v>
      </c>
      <c r="M21">
        <v>2</v>
      </c>
      <c r="N21">
        <v>5</v>
      </c>
      <c r="U21">
        <v>1</v>
      </c>
    </row>
    <row r="22" spans="1:21" x14ac:dyDescent="0.25">
      <c r="A22" s="451" t="s">
        <v>476</v>
      </c>
      <c r="B22">
        <v>2025</v>
      </c>
      <c r="C22" s="451">
        <v>1</v>
      </c>
      <c r="D22" s="119">
        <v>45761</v>
      </c>
      <c r="E22" t="s">
        <v>2952</v>
      </c>
      <c r="F22" s="451" t="s">
        <v>408</v>
      </c>
      <c r="G22" s="451" t="s">
        <v>26</v>
      </c>
      <c r="H22" t="s">
        <v>2951</v>
      </c>
      <c r="I22" s="451" t="s">
        <v>30</v>
      </c>
      <c r="J22" s="451">
        <v>2</v>
      </c>
      <c r="K22" s="451" t="s">
        <v>311</v>
      </c>
      <c r="L22" t="s">
        <v>2943</v>
      </c>
      <c r="M22">
        <v>3</v>
      </c>
      <c r="N22">
        <v>5</v>
      </c>
      <c r="U22">
        <v>1</v>
      </c>
    </row>
    <row r="23" spans="1:21" x14ac:dyDescent="0.25">
      <c r="A23" s="451" t="s">
        <v>476</v>
      </c>
      <c r="B23">
        <v>2025</v>
      </c>
      <c r="C23" s="451">
        <v>1</v>
      </c>
      <c r="D23" s="119">
        <v>45761</v>
      </c>
      <c r="E23" t="s">
        <v>2952</v>
      </c>
      <c r="F23" s="451" t="s">
        <v>408</v>
      </c>
      <c r="G23" s="451" t="s">
        <v>26</v>
      </c>
      <c r="H23" t="s">
        <v>2951</v>
      </c>
      <c r="I23" s="451" t="s">
        <v>30</v>
      </c>
      <c r="J23" s="451">
        <v>2</v>
      </c>
      <c r="K23" s="451" t="s">
        <v>311</v>
      </c>
      <c r="L23" t="s">
        <v>2943</v>
      </c>
      <c r="M23">
        <v>4</v>
      </c>
      <c r="N23">
        <v>3</v>
      </c>
      <c r="U23">
        <v>1</v>
      </c>
    </row>
    <row r="24" spans="1:21" x14ac:dyDescent="0.25">
      <c r="A24" s="451" t="s">
        <v>476</v>
      </c>
      <c r="B24">
        <v>2025</v>
      </c>
      <c r="C24" s="451">
        <v>1</v>
      </c>
      <c r="D24" s="119">
        <v>45761</v>
      </c>
      <c r="E24" t="s">
        <v>2952</v>
      </c>
      <c r="F24" s="451" t="s">
        <v>408</v>
      </c>
      <c r="G24" s="451" t="s">
        <v>26</v>
      </c>
      <c r="H24" t="s">
        <v>2951</v>
      </c>
      <c r="I24" s="451" t="s">
        <v>30</v>
      </c>
      <c r="J24" s="451">
        <v>2</v>
      </c>
      <c r="K24" s="451" t="s">
        <v>311</v>
      </c>
      <c r="L24" t="s">
        <v>2943</v>
      </c>
      <c r="M24">
        <v>5</v>
      </c>
      <c r="N24">
        <v>5</v>
      </c>
      <c r="U24">
        <v>0</v>
      </c>
    </row>
    <row r="25" spans="1:21" x14ac:dyDescent="0.25">
      <c r="A25" s="451" t="s">
        <v>476</v>
      </c>
      <c r="B25">
        <v>2025</v>
      </c>
      <c r="C25" s="451">
        <v>1</v>
      </c>
      <c r="D25" s="119">
        <v>45761</v>
      </c>
      <c r="E25" t="s">
        <v>2952</v>
      </c>
      <c r="F25" s="451" t="s">
        <v>408</v>
      </c>
      <c r="G25" s="451" t="s">
        <v>26</v>
      </c>
      <c r="H25" t="s">
        <v>2951</v>
      </c>
      <c r="I25" s="451" t="s">
        <v>30</v>
      </c>
      <c r="J25" s="451">
        <v>2</v>
      </c>
      <c r="K25" s="451" t="s">
        <v>311</v>
      </c>
      <c r="L25" t="s">
        <v>2943</v>
      </c>
      <c r="M25">
        <v>6</v>
      </c>
      <c r="N25">
        <v>6</v>
      </c>
      <c r="U25">
        <v>1</v>
      </c>
    </row>
    <row r="26" spans="1:21" x14ac:dyDescent="0.25">
      <c r="A26" s="451" t="s">
        <v>476</v>
      </c>
      <c r="B26">
        <v>2025</v>
      </c>
      <c r="C26" s="451">
        <v>1</v>
      </c>
      <c r="D26" s="119">
        <v>45761</v>
      </c>
      <c r="E26" t="s">
        <v>2952</v>
      </c>
      <c r="F26" s="451" t="s">
        <v>408</v>
      </c>
      <c r="G26" s="451" t="s">
        <v>26</v>
      </c>
      <c r="H26" t="s">
        <v>2951</v>
      </c>
      <c r="I26" s="451" t="s">
        <v>30</v>
      </c>
      <c r="J26" s="451">
        <v>2</v>
      </c>
      <c r="K26" s="451" t="s">
        <v>311</v>
      </c>
      <c r="L26" t="s">
        <v>2943</v>
      </c>
      <c r="M26">
        <v>7</v>
      </c>
      <c r="N26">
        <v>7</v>
      </c>
      <c r="U26">
        <v>0</v>
      </c>
    </row>
    <row r="27" spans="1:21" x14ac:dyDescent="0.25">
      <c r="A27" s="451" t="s">
        <v>476</v>
      </c>
      <c r="B27">
        <v>2025</v>
      </c>
      <c r="C27" s="451">
        <v>1</v>
      </c>
      <c r="D27" s="119">
        <v>45761</v>
      </c>
      <c r="E27" t="s">
        <v>2952</v>
      </c>
      <c r="F27" s="451" t="s">
        <v>408</v>
      </c>
      <c r="G27" s="451" t="s">
        <v>26</v>
      </c>
      <c r="H27" t="s">
        <v>2951</v>
      </c>
      <c r="I27" s="451" t="s">
        <v>30</v>
      </c>
      <c r="J27" s="451">
        <v>2</v>
      </c>
      <c r="K27" s="451" t="s">
        <v>311</v>
      </c>
      <c r="L27" t="s">
        <v>2943</v>
      </c>
      <c r="M27">
        <v>8</v>
      </c>
      <c r="N27">
        <v>3</v>
      </c>
      <c r="U27">
        <v>1</v>
      </c>
    </row>
    <row r="28" spans="1:21" x14ac:dyDescent="0.25">
      <c r="A28" s="451" t="s">
        <v>476</v>
      </c>
      <c r="B28">
        <v>2025</v>
      </c>
      <c r="C28" s="451">
        <v>1</v>
      </c>
      <c r="D28" s="119">
        <v>45761</v>
      </c>
      <c r="E28" t="s">
        <v>2952</v>
      </c>
      <c r="F28" s="451" t="s">
        <v>408</v>
      </c>
      <c r="G28" s="451" t="s">
        <v>26</v>
      </c>
      <c r="H28" t="s">
        <v>2951</v>
      </c>
      <c r="I28" s="451" t="s">
        <v>30</v>
      </c>
      <c r="J28" s="451">
        <v>2</v>
      </c>
      <c r="K28" s="451" t="s">
        <v>311</v>
      </c>
      <c r="L28" t="s">
        <v>2943</v>
      </c>
      <c r="M28">
        <v>9</v>
      </c>
      <c r="N28">
        <v>5</v>
      </c>
      <c r="U28">
        <v>1</v>
      </c>
    </row>
    <row r="29" spans="1:21" x14ac:dyDescent="0.25">
      <c r="A29" s="451" t="s">
        <v>476</v>
      </c>
      <c r="B29">
        <v>2025</v>
      </c>
      <c r="C29" s="451">
        <v>1</v>
      </c>
      <c r="D29" s="119">
        <v>45761</v>
      </c>
      <c r="E29" t="s">
        <v>2952</v>
      </c>
      <c r="F29" s="451" t="s">
        <v>408</v>
      </c>
      <c r="G29" s="451" t="s">
        <v>26</v>
      </c>
      <c r="H29" t="s">
        <v>2951</v>
      </c>
      <c r="I29" s="451" t="s">
        <v>30</v>
      </c>
      <c r="J29" s="451">
        <v>2</v>
      </c>
      <c r="K29" s="451" t="s">
        <v>311</v>
      </c>
      <c r="L29" t="s">
        <v>2943</v>
      </c>
      <c r="M29">
        <v>10</v>
      </c>
    </row>
    <row r="30" spans="1:21" x14ac:dyDescent="0.25">
      <c r="A30" s="451" t="s">
        <v>476</v>
      </c>
      <c r="B30">
        <v>2025</v>
      </c>
      <c r="C30" s="451">
        <v>1</v>
      </c>
      <c r="D30" s="119">
        <v>45761</v>
      </c>
      <c r="E30" t="s">
        <v>2952</v>
      </c>
      <c r="F30" s="451" t="s">
        <v>408</v>
      </c>
      <c r="G30" s="451" t="s">
        <v>26</v>
      </c>
      <c r="H30" t="s">
        <v>2951</v>
      </c>
      <c r="I30" s="451" t="s">
        <v>30</v>
      </c>
      <c r="J30" s="451">
        <v>2</v>
      </c>
      <c r="K30" s="451" t="s">
        <v>311</v>
      </c>
      <c r="L30" t="s">
        <v>2943</v>
      </c>
      <c r="M30">
        <v>11</v>
      </c>
    </row>
    <row r="31" spans="1:21" x14ac:dyDescent="0.25">
      <c r="A31" s="451" t="s">
        <v>476</v>
      </c>
      <c r="B31">
        <v>2025</v>
      </c>
      <c r="C31" s="451">
        <v>1</v>
      </c>
      <c r="D31" s="119">
        <v>45761</v>
      </c>
      <c r="E31" t="s">
        <v>2952</v>
      </c>
      <c r="F31" s="451" t="s">
        <v>408</v>
      </c>
      <c r="G31" s="451" t="s">
        <v>26</v>
      </c>
      <c r="H31" t="s">
        <v>2951</v>
      </c>
      <c r="I31" s="451" t="s">
        <v>30</v>
      </c>
      <c r="J31" s="451">
        <v>2</v>
      </c>
      <c r="K31" s="451" t="s">
        <v>311</v>
      </c>
      <c r="L31" t="s">
        <v>2943</v>
      </c>
      <c r="M31">
        <v>12</v>
      </c>
    </row>
    <row r="32" spans="1:21" x14ac:dyDescent="0.25">
      <c r="A32" s="451" t="s">
        <v>476</v>
      </c>
      <c r="B32">
        <v>2025</v>
      </c>
      <c r="C32" s="451">
        <v>1</v>
      </c>
      <c r="D32" s="119">
        <v>45761</v>
      </c>
      <c r="E32" t="s">
        <v>2952</v>
      </c>
      <c r="F32" s="451" t="s">
        <v>408</v>
      </c>
      <c r="G32" s="451" t="s">
        <v>26</v>
      </c>
      <c r="H32" t="s">
        <v>2951</v>
      </c>
      <c r="I32" s="451" t="s">
        <v>30</v>
      </c>
      <c r="J32" s="451">
        <v>2</v>
      </c>
      <c r="K32" s="451" t="s">
        <v>311</v>
      </c>
      <c r="L32" t="s">
        <v>2943</v>
      </c>
      <c r="M32">
        <v>13</v>
      </c>
    </row>
    <row r="33" spans="1:21" x14ac:dyDescent="0.25">
      <c r="A33" s="451" t="s">
        <v>476</v>
      </c>
      <c r="B33">
        <v>2025</v>
      </c>
      <c r="C33" s="451">
        <v>1</v>
      </c>
      <c r="D33" s="119">
        <v>45761</v>
      </c>
      <c r="E33" t="s">
        <v>2952</v>
      </c>
      <c r="F33" s="451" t="s">
        <v>408</v>
      </c>
      <c r="G33" s="451" t="s">
        <v>26</v>
      </c>
      <c r="H33" t="s">
        <v>2951</v>
      </c>
      <c r="I33" s="451" t="s">
        <v>30</v>
      </c>
      <c r="J33" s="451">
        <v>2</v>
      </c>
      <c r="K33" s="451" t="s">
        <v>311</v>
      </c>
      <c r="L33" t="s">
        <v>2943</v>
      </c>
      <c r="M33">
        <v>14</v>
      </c>
    </row>
    <row r="34" spans="1:21" x14ac:dyDescent="0.25">
      <c r="A34" s="451" t="s">
        <v>476</v>
      </c>
      <c r="B34">
        <v>2025</v>
      </c>
      <c r="C34" s="451">
        <v>1</v>
      </c>
      <c r="D34" s="119">
        <v>45761</v>
      </c>
      <c r="E34" t="s">
        <v>2952</v>
      </c>
      <c r="F34" s="451" t="s">
        <v>408</v>
      </c>
      <c r="G34" s="451" t="s">
        <v>26</v>
      </c>
      <c r="H34" t="s">
        <v>2951</v>
      </c>
      <c r="I34" s="451" t="s">
        <v>30</v>
      </c>
      <c r="J34" s="451">
        <v>2</v>
      </c>
      <c r="K34" s="451" t="s">
        <v>311</v>
      </c>
      <c r="L34" t="s">
        <v>2943</v>
      </c>
      <c r="M34">
        <v>15</v>
      </c>
    </row>
    <row r="35" spans="1:21" x14ac:dyDescent="0.25">
      <c r="A35" s="451" t="s">
        <v>476</v>
      </c>
      <c r="B35">
        <v>2025</v>
      </c>
      <c r="C35" s="451">
        <v>1</v>
      </c>
      <c r="D35" s="119">
        <v>45761</v>
      </c>
      <c r="E35" t="s">
        <v>2952</v>
      </c>
      <c r="F35" s="451" t="s">
        <v>408</v>
      </c>
      <c r="G35" s="451" t="s">
        <v>26</v>
      </c>
      <c r="H35" t="s">
        <v>2951</v>
      </c>
      <c r="I35" s="451" t="s">
        <v>30</v>
      </c>
      <c r="J35" s="451">
        <v>2</v>
      </c>
      <c r="K35" s="451" t="s">
        <v>311</v>
      </c>
      <c r="L35" t="s">
        <v>2943</v>
      </c>
      <c r="M35">
        <v>16</v>
      </c>
    </row>
    <row r="36" spans="1:21" x14ac:dyDescent="0.25">
      <c r="A36" s="451" t="s">
        <v>476</v>
      </c>
      <c r="B36">
        <v>2025</v>
      </c>
      <c r="C36" s="451">
        <v>1</v>
      </c>
      <c r="D36" s="119">
        <v>45761</v>
      </c>
      <c r="E36" t="s">
        <v>2952</v>
      </c>
      <c r="F36" s="451" t="s">
        <v>408</v>
      </c>
      <c r="G36" s="451" t="s">
        <v>26</v>
      </c>
      <c r="H36" t="s">
        <v>2951</v>
      </c>
      <c r="I36" s="451" t="s">
        <v>30</v>
      </c>
      <c r="J36" s="451">
        <v>2</v>
      </c>
      <c r="K36" s="451" t="s">
        <v>311</v>
      </c>
      <c r="L36" t="s">
        <v>2943</v>
      </c>
      <c r="M36">
        <v>17</v>
      </c>
    </row>
    <row r="37" spans="1:21" x14ac:dyDescent="0.25">
      <c r="A37" s="451" t="s">
        <v>476</v>
      </c>
      <c r="B37">
        <v>2025</v>
      </c>
      <c r="C37" s="451">
        <v>1</v>
      </c>
      <c r="D37" s="119">
        <v>45761</v>
      </c>
      <c r="E37" t="s">
        <v>2952</v>
      </c>
      <c r="F37" s="451" t="s">
        <v>408</v>
      </c>
      <c r="G37" s="451" t="s">
        <v>26</v>
      </c>
      <c r="H37" t="s">
        <v>2951</v>
      </c>
      <c r="I37" s="451" t="s">
        <v>30</v>
      </c>
      <c r="J37" s="451">
        <v>2</v>
      </c>
      <c r="K37" s="451" t="s">
        <v>311</v>
      </c>
      <c r="L37" t="s">
        <v>2943</v>
      </c>
      <c r="M37">
        <v>18</v>
      </c>
    </row>
    <row r="38" spans="1:21" x14ac:dyDescent="0.25">
      <c r="A38" s="451" t="s">
        <v>476</v>
      </c>
      <c r="B38">
        <v>2025</v>
      </c>
      <c r="C38" s="451">
        <v>1</v>
      </c>
      <c r="D38" s="119">
        <v>45761</v>
      </c>
      <c r="E38" t="s">
        <v>2953</v>
      </c>
      <c r="F38" s="451" t="s">
        <v>408</v>
      </c>
      <c r="G38" s="451" t="s">
        <v>26</v>
      </c>
      <c r="H38" t="s">
        <v>2951</v>
      </c>
      <c r="I38" s="451" t="s">
        <v>30</v>
      </c>
      <c r="J38" s="451">
        <v>3</v>
      </c>
      <c r="K38" s="451" t="s">
        <v>100</v>
      </c>
      <c r="L38" t="s">
        <v>2944</v>
      </c>
      <c r="M38">
        <v>1</v>
      </c>
      <c r="N38">
        <v>5</v>
      </c>
      <c r="U38">
        <v>2</v>
      </c>
    </row>
    <row r="39" spans="1:21" x14ac:dyDescent="0.25">
      <c r="A39" s="451" t="s">
        <v>476</v>
      </c>
      <c r="B39">
        <v>2025</v>
      </c>
      <c r="C39" s="451">
        <v>1</v>
      </c>
      <c r="D39" s="119">
        <v>45761</v>
      </c>
      <c r="E39" t="s">
        <v>2953</v>
      </c>
      <c r="F39" s="451" t="s">
        <v>408</v>
      </c>
      <c r="G39" s="451" t="s">
        <v>26</v>
      </c>
      <c r="H39" t="s">
        <v>2951</v>
      </c>
      <c r="I39" s="451" t="s">
        <v>30</v>
      </c>
      <c r="J39" s="451">
        <v>3</v>
      </c>
      <c r="K39" s="451" t="s">
        <v>100</v>
      </c>
      <c r="L39" t="s">
        <v>2944</v>
      </c>
      <c r="M39">
        <v>2</v>
      </c>
      <c r="N39">
        <v>8</v>
      </c>
      <c r="U39">
        <v>0</v>
      </c>
    </row>
    <row r="40" spans="1:21" x14ac:dyDescent="0.25">
      <c r="A40" s="451" t="s">
        <v>476</v>
      </c>
      <c r="B40">
        <v>2025</v>
      </c>
      <c r="C40" s="451">
        <v>1</v>
      </c>
      <c r="D40" s="119">
        <v>45761</v>
      </c>
      <c r="E40" t="s">
        <v>2953</v>
      </c>
      <c r="F40" s="451" t="s">
        <v>408</v>
      </c>
      <c r="G40" s="451" t="s">
        <v>26</v>
      </c>
      <c r="H40" t="s">
        <v>2951</v>
      </c>
      <c r="I40" s="451" t="s">
        <v>30</v>
      </c>
      <c r="J40" s="451">
        <v>3</v>
      </c>
      <c r="K40" s="451" t="s">
        <v>100</v>
      </c>
      <c r="L40" t="s">
        <v>2944</v>
      </c>
      <c r="M40">
        <v>3</v>
      </c>
      <c r="N40">
        <v>6</v>
      </c>
      <c r="U40">
        <v>0</v>
      </c>
    </row>
    <row r="41" spans="1:21" x14ac:dyDescent="0.25">
      <c r="A41" s="451" t="s">
        <v>476</v>
      </c>
      <c r="B41">
        <v>2025</v>
      </c>
      <c r="C41" s="451">
        <v>1</v>
      </c>
      <c r="D41" s="119">
        <v>45761</v>
      </c>
      <c r="E41" t="s">
        <v>2953</v>
      </c>
      <c r="F41" s="451" t="s">
        <v>408</v>
      </c>
      <c r="G41" s="451" t="s">
        <v>26</v>
      </c>
      <c r="H41" t="s">
        <v>2951</v>
      </c>
      <c r="I41" s="451" t="s">
        <v>30</v>
      </c>
      <c r="J41" s="451">
        <v>3</v>
      </c>
      <c r="K41" s="451" t="s">
        <v>100</v>
      </c>
      <c r="L41" t="s">
        <v>2944</v>
      </c>
      <c r="M41">
        <v>4</v>
      </c>
      <c r="N41">
        <v>4</v>
      </c>
      <c r="U41">
        <v>0</v>
      </c>
    </row>
    <row r="42" spans="1:21" x14ac:dyDescent="0.25">
      <c r="A42" s="451" t="s">
        <v>476</v>
      </c>
      <c r="B42">
        <v>2025</v>
      </c>
      <c r="C42" s="451">
        <v>1</v>
      </c>
      <c r="D42" s="119">
        <v>45761</v>
      </c>
      <c r="E42" t="s">
        <v>2953</v>
      </c>
      <c r="F42" s="451" t="s">
        <v>408</v>
      </c>
      <c r="G42" s="451" t="s">
        <v>26</v>
      </c>
      <c r="H42" t="s">
        <v>2951</v>
      </c>
      <c r="I42" s="451" t="s">
        <v>30</v>
      </c>
      <c r="J42" s="451">
        <v>3</v>
      </c>
      <c r="K42" s="451" t="s">
        <v>100</v>
      </c>
      <c r="L42" t="s">
        <v>2944</v>
      </c>
      <c r="M42">
        <v>5</v>
      </c>
      <c r="N42">
        <v>4</v>
      </c>
      <c r="U42">
        <v>1</v>
      </c>
    </row>
    <row r="43" spans="1:21" x14ac:dyDescent="0.25">
      <c r="A43" s="451" t="s">
        <v>476</v>
      </c>
      <c r="B43">
        <v>2025</v>
      </c>
      <c r="C43" s="451">
        <v>1</v>
      </c>
      <c r="D43" s="119">
        <v>45761</v>
      </c>
      <c r="E43" t="s">
        <v>2953</v>
      </c>
      <c r="F43" s="451" t="s">
        <v>408</v>
      </c>
      <c r="G43" s="451" t="s">
        <v>26</v>
      </c>
      <c r="H43" t="s">
        <v>2951</v>
      </c>
      <c r="I43" s="451" t="s">
        <v>30</v>
      </c>
      <c r="J43" s="451">
        <v>3</v>
      </c>
      <c r="K43" s="451" t="s">
        <v>100</v>
      </c>
      <c r="L43" t="s">
        <v>2944</v>
      </c>
      <c r="M43">
        <v>6</v>
      </c>
      <c r="N43">
        <v>6</v>
      </c>
      <c r="U43">
        <v>1</v>
      </c>
    </row>
    <row r="44" spans="1:21" x14ac:dyDescent="0.25">
      <c r="A44" s="451" t="s">
        <v>476</v>
      </c>
      <c r="B44">
        <v>2025</v>
      </c>
      <c r="C44" s="451">
        <v>1</v>
      </c>
      <c r="D44" s="119">
        <v>45761</v>
      </c>
      <c r="E44" t="s">
        <v>2953</v>
      </c>
      <c r="F44" s="451" t="s">
        <v>408</v>
      </c>
      <c r="G44" s="451" t="s">
        <v>26</v>
      </c>
      <c r="H44" t="s">
        <v>2951</v>
      </c>
      <c r="I44" s="451" t="s">
        <v>30</v>
      </c>
      <c r="J44" s="451">
        <v>3</v>
      </c>
      <c r="K44" s="451" t="s">
        <v>100</v>
      </c>
      <c r="L44" t="s">
        <v>2944</v>
      </c>
      <c r="M44">
        <v>7</v>
      </c>
      <c r="N44">
        <v>5</v>
      </c>
      <c r="U44">
        <v>2</v>
      </c>
    </row>
    <row r="45" spans="1:21" x14ac:dyDescent="0.25">
      <c r="A45" s="451" t="s">
        <v>476</v>
      </c>
      <c r="B45">
        <v>2025</v>
      </c>
      <c r="C45" s="451">
        <v>1</v>
      </c>
      <c r="D45" s="119">
        <v>45761</v>
      </c>
      <c r="E45" t="s">
        <v>2953</v>
      </c>
      <c r="F45" s="451" t="s">
        <v>408</v>
      </c>
      <c r="G45" s="451" t="s">
        <v>26</v>
      </c>
      <c r="H45" t="s">
        <v>2951</v>
      </c>
      <c r="I45" s="451" t="s">
        <v>30</v>
      </c>
      <c r="J45" s="451">
        <v>3</v>
      </c>
      <c r="K45" s="451" t="s">
        <v>100</v>
      </c>
      <c r="L45" t="s">
        <v>2944</v>
      </c>
      <c r="M45">
        <v>8</v>
      </c>
      <c r="N45">
        <v>4</v>
      </c>
      <c r="U45">
        <v>1</v>
      </c>
    </row>
    <row r="46" spans="1:21" x14ac:dyDescent="0.25">
      <c r="A46" s="451" t="s">
        <v>476</v>
      </c>
      <c r="B46">
        <v>2025</v>
      </c>
      <c r="C46" s="451">
        <v>1</v>
      </c>
      <c r="D46" s="119">
        <v>45761</v>
      </c>
      <c r="E46" t="s">
        <v>2953</v>
      </c>
      <c r="F46" s="451" t="s">
        <v>408</v>
      </c>
      <c r="G46" s="451" t="s">
        <v>26</v>
      </c>
      <c r="H46" t="s">
        <v>2951</v>
      </c>
      <c r="I46" s="451" t="s">
        <v>30</v>
      </c>
      <c r="J46" s="451">
        <v>3</v>
      </c>
      <c r="K46" s="451" t="s">
        <v>100</v>
      </c>
      <c r="L46" t="s">
        <v>2944</v>
      </c>
      <c r="M46">
        <v>9</v>
      </c>
      <c r="N46">
        <v>4</v>
      </c>
      <c r="U46">
        <v>2</v>
      </c>
    </row>
    <row r="47" spans="1:21" x14ac:dyDescent="0.25">
      <c r="A47" s="451" t="s">
        <v>476</v>
      </c>
      <c r="B47">
        <v>2025</v>
      </c>
      <c r="C47" s="451">
        <v>1</v>
      </c>
      <c r="D47" s="119">
        <v>45761</v>
      </c>
      <c r="E47" t="s">
        <v>2953</v>
      </c>
      <c r="F47" s="451" t="s">
        <v>408</v>
      </c>
      <c r="G47" s="451" t="s">
        <v>26</v>
      </c>
      <c r="H47" t="s">
        <v>2951</v>
      </c>
      <c r="I47" s="451" t="s">
        <v>30</v>
      </c>
      <c r="J47" s="451">
        <v>3</v>
      </c>
      <c r="K47" s="451" t="s">
        <v>100</v>
      </c>
      <c r="L47" t="s">
        <v>2944</v>
      </c>
      <c r="M47">
        <v>10</v>
      </c>
    </row>
    <row r="48" spans="1:21" x14ac:dyDescent="0.25">
      <c r="A48" s="451" t="s">
        <v>476</v>
      </c>
      <c r="B48">
        <v>2025</v>
      </c>
      <c r="C48" s="451">
        <v>1</v>
      </c>
      <c r="D48" s="119">
        <v>45761</v>
      </c>
      <c r="E48" t="s">
        <v>2953</v>
      </c>
      <c r="F48" s="451" t="s">
        <v>408</v>
      </c>
      <c r="G48" s="451" t="s">
        <v>26</v>
      </c>
      <c r="H48" t="s">
        <v>2951</v>
      </c>
      <c r="I48" s="451" t="s">
        <v>30</v>
      </c>
      <c r="J48" s="451">
        <v>3</v>
      </c>
      <c r="K48" s="451" t="s">
        <v>100</v>
      </c>
      <c r="L48" t="s">
        <v>2944</v>
      </c>
      <c r="M48">
        <v>11</v>
      </c>
    </row>
    <row r="49" spans="1:21" x14ac:dyDescent="0.25">
      <c r="A49" s="451" t="s">
        <v>476</v>
      </c>
      <c r="B49">
        <v>2025</v>
      </c>
      <c r="C49" s="451">
        <v>1</v>
      </c>
      <c r="D49" s="119">
        <v>45761</v>
      </c>
      <c r="E49" t="s">
        <v>2953</v>
      </c>
      <c r="F49" s="451" t="s">
        <v>408</v>
      </c>
      <c r="G49" s="451" t="s">
        <v>26</v>
      </c>
      <c r="H49" t="s">
        <v>2951</v>
      </c>
      <c r="I49" s="451" t="s">
        <v>30</v>
      </c>
      <c r="J49" s="451">
        <v>3</v>
      </c>
      <c r="K49" s="451" t="s">
        <v>100</v>
      </c>
      <c r="L49" t="s">
        <v>2944</v>
      </c>
      <c r="M49">
        <v>12</v>
      </c>
    </row>
    <row r="50" spans="1:21" x14ac:dyDescent="0.25">
      <c r="A50" s="451" t="s">
        <v>476</v>
      </c>
      <c r="B50">
        <v>2025</v>
      </c>
      <c r="C50" s="451">
        <v>1</v>
      </c>
      <c r="D50" s="119">
        <v>45761</v>
      </c>
      <c r="E50" t="s">
        <v>2953</v>
      </c>
      <c r="F50" s="451" t="s">
        <v>408</v>
      </c>
      <c r="G50" s="451" t="s">
        <v>26</v>
      </c>
      <c r="H50" t="s">
        <v>2951</v>
      </c>
      <c r="I50" s="451" t="s">
        <v>30</v>
      </c>
      <c r="J50" s="451">
        <v>3</v>
      </c>
      <c r="K50" s="451" t="s">
        <v>100</v>
      </c>
      <c r="L50" t="s">
        <v>2944</v>
      </c>
      <c r="M50">
        <v>13</v>
      </c>
    </row>
    <row r="51" spans="1:21" x14ac:dyDescent="0.25">
      <c r="A51" s="451" t="s">
        <v>476</v>
      </c>
      <c r="B51">
        <v>2025</v>
      </c>
      <c r="C51" s="451">
        <v>1</v>
      </c>
      <c r="D51" s="119">
        <v>45761</v>
      </c>
      <c r="E51" t="s">
        <v>2953</v>
      </c>
      <c r="F51" s="451" t="s">
        <v>408</v>
      </c>
      <c r="G51" s="451" t="s">
        <v>26</v>
      </c>
      <c r="H51" t="s">
        <v>2951</v>
      </c>
      <c r="I51" s="451" t="s">
        <v>30</v>
      </c>
      <c r="J51" s="451">
        <v>3</v>
      </c>
      <c r="K51" s="451" t="s">
        <v>100</v>
      </c>
      <c r="L51" t="s">
        <v>2944</v>
      </c>
      <c r="M51">
        <v>14</v>
      </c>
    </row>
    <row r="52" spans="1:21" x14ac:dyDescent="0.25">
      <c r="A52" s="451" t="s">
        <v>476</v>
      </c>
      <c r="B52">
        <v>2025</v>
      </c>
      <c r="C52" s="451">
        <v>1</v>
      </c>
      <c r="D52" s="119">
        <v>45761</v>
      </c>
      <c r="E52" t="s">
        <v>2953</v>
      </c>
      <c r="F52" s="451" t="s">
        <v>408</v>
      </c>
      <c r="G52" s="451" t="s">
        <v>26</v>
      </c>
      <c r="H52" t="s">
        <v>2951</v>
      </c>
      <c r="I52" s="451" t="s">
        <v>30</v>
      </c>
      <c r="J52" s="451">
        <v>3</v>
      </c>
      <c r="K52" s="451" t="s">
        <v>100</v>
      </c>
      <c r="L52" t="s">
        <v>2944</v>
      </c>
      <c r="M52">
        <v>15</v>
      </c>
    </row>
    <row r="53" spans="1:21" x14ac:dyDescent="0.25">
      <c r="A53" s="451" t="s">
        <v>476</v>
      </c>
      <c r="B53">
        <v>2025</v>
      </c>
      <c r="C53" s="451">
        <v>1</v>
      </c>
      <c r="D53" s="119">
        <v>45761</v>
      </c>
      <c r="E53" t="s">
        <v>2953</v>
      </c>
      <c r="F53" s="451" t="s">
        <v>408</v>
      </c>
      <c r="G53" s="451" t="s">
        <v>26</v>
      </c>
      <c r="H53" t="s">
        <v>2951</v>
      </c>
      <c r="I53" s="451" t="s">
        <v>30</v>
      </c>
      <c r="J53" s="451">
        <v>3</v>
      </c>
      <c r="K53" s="451" t="s">
        <v>100</v>
      </c>
      <c r="L53" t="s">
        <v>2944</v>
      </c>
      <c r="M53">
        <v>16</v>
      </c>
    </row>
    <row r="54" spans="1:21" x14ac:dyDescent="0.25">
      <c r="A54" s="451" t="s">
        <v>476</v>
      </c>
      <c r="B54">
        <v>2025</v>
      </c>
      <c r="C54" s="451">
        <v>1</v>
      </c>
      <c r="D54" s="119">
        <v>45761</v>
      </c>
      <c r="E54" t="s">
        <v>2953</v>
      </c>
      <c r="F54" s="451" t="s">
        <v>408</v>
      </c>
      <c r="G54" s="451" t="s">
        <v>26</v>
      </c>
      <c r="H54" t="s">
        <v>2951</v>
      </c>
      <c r="I54" s="451" t="s">
        <v>30</v>
      </c>
      <c r="J54" s="451">
        <v>3</v>
      </c>
      <c r="K54" s="451" t="s">
        <v>100</v>
      </c>
      <c r="L54" t="s">
        <v>2944</v>
      </c>
      <c r="M54">
        <v>17</v>
      </c>
    </row>
    <row r="55" spans="1:21" x14ac:dyDescent="0.25">
      <c r="A55" s="451" t="s">
        <v>476</v>
      </c>
      <c r="B55">
        <v>2025</v>
      </c>
      <c r="C55" s="451">
        <v>1</v>
      </c>
      <c r="D55" s="119">
        <v>45761</v>
      </c>
      <c r="E55" t="s">
        <v>2953</v>
      </c>
      <c r="F55" s="451" t="s">
        <v>408</v>
      </c>
      <c r="G55" s="451" t="s">
        <v>26</v>
      </c>
      <c r="H55" t="s">
        <v>2951</v>
      </c>
      <c r="I55" s="451" t="s">
        <v>30</v>
      </c>
      <c r="J55" s="451">
        <v>3</v>
      </c>
      <c r="K55" s="451" t="s">
        <v>100</v>
      </c>
      <c r="L55" t="s">
        <v>2944</v>
      </c>
      <c r="M55">
        <v>18</v>
      </c>
    </row>
    <row r="56" spans="1:21" x14ac:dyDescent="0.25">
      <c r="A56" s="451" t="s">
        <v>476</v>
      </c>
      <c r="B56">
        <v>2025</v>
      </c>
      <c r="C56" s="451">
        <v>1</v>
      </c>
      <c r="D56" s="119">
        <v>45761</v>
      </c>
      <c r="E56" t="s">
        <v>2954</v>
      </c>
      <c r="F56" s="451" t="s">
        <v>408</v>
      </c>
      <c r="G56" s="451" t="s">
        <v>26</v>
      </c>
      <c r="H56" t="s">
        <v>2951</v>
      </c>
      <c r="I56" s="451" t="s">
        <v>30</v>
      </c>
      <c r="J56" s="451">
        <v>4</v>
      </c>
      <c r="K56" s="451" t="s">
        <v>309</v>
      </c>
      <c r="L56" t="s">
        <v>2945</v>
      </c>
      <c r="M56">
        <v>1</v>
      </c>
      <c r="N56">
        <v>6</v>
      </c>
      <c r="U56">
        <v>2</v>
      </c>
    </row>
    <row r="57" spans="1:21" x14ac:dyDescent="0.25">
      <c r="A57" s="451" t="s">
        <v>476</v>
      </c>
      <c r="B57">
        <v>2025</v>
      </c>
      <c r="C57" s="451">
        <v>1</v>
      </c>
      <c r="D57" s="119">
        <v>45761</v>
      </c>
      <c r="E57" t="s">
        <v>2954</v>
      </c>
      <c r="F57" s="451" t="s">
        <v>408</v>
      </c>
      <c r="G57" s="451" t="s">
        <v>26</v>
      </c>
      <c r="H57" t="s">
        <v>2951</v>
      </c>
      <c r="I57" s="451" t="s">
        <v>30</v>
      </c>
      <c r="J57" s="451">
        <v>4</v>
      </c>
      <c r="K57" s="451" t="s">
        <v>309</v>
      </c>
      <c r="L57" t="s">
        <v>2945</v>
      </c>
      <c r="M57">
        <v>2</v>
      </c>
      <c r="N57">
        <v>7</v>
      </c>
      <c r="U57">
        <v>0</v>
      </c>
    </row>
    <row r="58" spans="1:21" x14ac:dyDescent="0.25">
      <c r="A58" s="451" t="s">
        <v>476</v>
      </c>
      <c r="B58">
        <v>2025</v>
      </c>
      <c r="C58" s="451">
        <v>1</v>
      </c>
      <c r="D58" s="119">
        <v>45761</v>
      </c>
      <c r="E58" t="s">
        <v>2954</v>
      </c>
      <c r="F58" s="451" t="s">
        <v>408</v>
      </c>
      <c r="G58" s="451" t="s">
        <v>26</v>
      </c>
      <c r="H58" t="s">
        <v>2951</v>
      </c>
      <c r="I58" s="451" t="s">
        <v>30</v>
      </c>
      <c r="J58" s="451">
        <v>4</v>
      </c>
      <c r="K58" s="451" t="s">
        <v>309</v>
      </c>
      <c r="L58" t="s">
        <v>2945</v>
      </c>
      <c r="M58">
        <v>3</v>
      </c>
      <c r="N58">
        <v>5</v>
      </c>
      <c r="U58">
        <v>2</v>
      </c>
    </row>
    <row r="59" spans="1:21" x14ac:dyDescent="0.25">
      <c r="A59" s="451" t="s">
        <v>476</v>
      </c>
      <c r="B59">
        <v>2025</v>
      </c>
      <c r="C59" s="451">
        <v>1</v>
      </c>
      <c r="D59" s="119">
        <v>45761</v>
      </c>
      <c r="E59" t="s">
        <v>2954</v>
      </c>
      <c r="F59" s="451" t="s">
        <v>408</v>
      </c>
      <c r="G59" s="451" t="s">
        <v>26</v>
      </c>
      <c r="H59" t="s">
        <v>2951</v>
      </c>
      <c r="I59" s="451" t="s">
        <v>30</v>
      </c>
      <c r="J59" s="451">
        <v>4</v>
      </c>
      <c r="K59" s="451" t="s">
        <v>309</v>
      </c>
      <c r="L59" t="s">
        <v>2945</v>
      </c>
      <c r="M59">
        <v>4</v>
      </c>
      <c r="N59">
        <v>4</v>
      </c>
      <c r="U59">
        <v>1</v>
      </c>
    </row>
    <row r="60" spans="1:21" x14ac:dyDescent="0.25">
      <c r="A60" s="451" t="s">
        <v>476</v>
      </c>
      <c r="B60">
        <v>2025</v>
      </c>
      <c r="C60" s="451">
        <v>1</v>
      </c>
      <c r="D60" s="119">
        <v>45761</v>
      </c>
      <c r="E60" t="s">
        <v>2954</v>
      </c>
      <c r="F60" s="451" t="s">
        <v>408</v>
      </c>
      <c r="G60" s="451" t="s">
        <v>26</v>
      </c>
      <c r="H60" t="s">
        <v>2951</v>
      </c>
      <c r="I60" s="451" t="s">
        <v>30</v>
      </c>
      <c r="J60" s="451">
        <v>4</v>
      </c>
      <c r="K60" s="451" t="s">
        <v>309</v>
      </c>
      <c r="L60" t="s">
        <v>2945</v>
      </c>
      <c r="M60">
        <v>5</v>
      </c>
      <c r="N60">
        <v>6</v>
      </c>
      <c r="U60">
        <v>0</v>
      </c>
    </row>
    <row r="61" spans="1:21" x14ac:dyDescent="0.25">
      <c r="A61" s="451" t="s">
        <v>476</v>
      </c>
      <c r="B61">
        <v>2025</v>
      </c>
      <c r="C61" s="451">
        <v>1</v>
      </c>
      <c r="D61" s="119">
        <v>45761</v>
      </c>
      <c r="E61" t="s">
        <v>2954</v>
      </c>
      <c r="F61" s="451" t="s">
        <v>408</v>
      </c>
      <c r="G61" s="451" t="s">
        <v>26</v>
      </c>
      <c r="H61" t="s">
        <v>2951</v>
      </c>
      <c r="I61" s="451" t="s">
        <v>30</v>
      </c>
      <c r="J61" s="451">
        <v>4</v>
      </c>
      <c r="K61" s="451" t="s">
        <v>309</v>
      </c>
      <c r="L61" t="s">
        <v>2945</v>
      </c>
      <c r="M61">
        <v>6</v>
      </c>
      <c r="N61">
        <v>7</v>
      </c>
      <c r="U61">
        <v>1</v>
      </c>
    </row>
    <row r="62" spans="1:21" x14ac:dyDescent="0.25">
      <c r="A62" s="451" t="s">
        <v>476</v>
      </c>
      <c r="B62">
        <v>2025</v>
      </c>
      <c r="C62" s="451">
        <v>1</v>
      </c>
      <c r="D62" s="119">
        <v>45761</v>
      </c>
      <c r="E62" t="s">
        <v>2954</v>
      </c>
      <c r="F62" s="451" t="s">
        <v>408</v>
      </c>
      <c r="G62" s="451" t="s">
        <v>26</v>
      </c>
      <c r="H62" t="s">
        <v>2951</v>
      </c>
      <c r="I62" s="451" t="s">
        <v>30</v>
      </c>
      <c r="J62" s="451">
        <v>4</v>
      </c>
      <c r="K62" s="451" t="s">
        <v>309</v>
      </c>
      <c r="L62" t="s">
        <v>2945</v>
      </c>
      <c r="M62">
        <v>7</v>
      </c>
      <c r="N62">
        <v>7</v>
      </c>
      <c r="U62">
        <v>0</v>
      </c>
    </row>
    <row r="63" spans="1:21" x14ac:dyDescent="0.25">
      <c r="A63" s="451" t="s">
        <v>476</v>
      </c>
      <c r="B63">
        <v>2025</v>
      </c>
      <c r="C63" s="451">
        <v>1</v>
      </c>
      <c r="D63" s="119">
        <v>45761</v>
      </c>
      <c r="E63" t="s">
        <v>2954</v>
      </c>
      <c r="F63" s="451" t="s">
        <v>408</v>
      </c>
      <c r="G63" s="451" t="s">
        <v>26</v>
      </c>
      <c r="H63" t="s">
        <v>2951</v>
      </c>
      <c r="I63" s="451" t="s">
        <v>30</v>
      </c>
      <c r="J63" s="451">
        <v>4</v>
      </c>
      <c r="K63" s="451" t="s">
        <v>309</v>
      </c>
      <c r="L63" t="s">
        <v>2945</v>
      </c>
      <c r="M63">
        <v>8</v>
      </c>
      <c r="N63">
        <v>5</v>
      </c>
      <c r="U63">
        <v>0</v>
      </c>
    </row>
    <row r="64" spans="1:21" x14ac:dyDescent="0.25">
      <c r="A64" s="451" t="s">
        <v>476</v>
      </c>
      <c r="B64">
        <v>2025</v>
      </c>
      <c r="C64" s="451">
        <v>1</v>
      </c>
      <c r="D64" s="119">
        <v>45761</v>
      </c>
      <c r="E64" t="s">
        <v>2954</v>
      </c>
      <c r="F64" s="451" t="s">
        <v>408</v>
      </c>
      <c r="G64" s="451" t="s">
        <v>26</v>
      </c>
      <c r="H64" t="s">
        <v>2951</v>
      </c>
      <c r="I64" s="451" t="s">
        <v>30</v>
      </c>
      <c r="J64" s="451">
        <v>4</v>
      </c>
      <c r="K64" s="451" t="s">
        <v>309</v>
      </c>
      <c r="L64" t="s">
        <v>2945</v>
      </c>
      <c r="M64">
        <v>9</v>
      </c>
      <c r="N64">
        <v>7</v>
      </c>
      <c r="U64">
        <v>0</v>
      </c>
    </row>
    <row r="65" spans="1:21" x14ac:dyDescent="0.25">
      <c r="A65" s="451" t="s">
        <v>476</v>
      </c>
      <c r="B65">
        <v>2025</v>
      </c>
      <c r="C65" s="451">
        <v>1</v>
      </c>
      <c r="D65" s="119">
        <v>45761</v>
      </c>
      <c r="E65" t="s">
        <v>2954</v>
      </c>
      <c r="F65" s="451" t="s">
        <v>408</v>
      </c>
      <c r="G65" s="451" t="s">
        <v>26</v>
      </c>
      <c r="H65" t="s">
        <v>2951</v>
      </c>
      <c r="I65" s="451" t="s">
        <v>30</v>
      </c>
      <c r="J65" s="451">
        <v>4</v>
      </c>
      <c r="K65" s="451" t="s">
        <v>309</v>
      </c>
      <c r="L65" t="s">
        <v>2945</v>
      </c>
      <c r="M65">
        <v>10</v>
      </c>
    </row>
    <row r="66" spans="1:21" x14ac:dyDescent="0.25">
      <c r="A66" s="451" t="s">
        <v>476</v>
      </c>
      <c r="B66">
        <v>2025</v>
      </c>
      <c r="C66" s="451">
        <v>1</v>
      </c>
      <c r="D66" s="119">
        <v>45761</v>
      </c>
      <c r="E66" t="s">
        <v>2954</v>
      </c>
      <c r="F66" s="451" t="s">
        <v>408</v>
      </c>
      <c r="G66" s="451" t="s">
        <v>26</v>
      </c>
      <c r="H66" t="s">
        <v>2951</v>
      </c>
      <c r="I66" s="451" t="s">
        <v>30</v>
      </c>
      <c r="J66" s="451">
        <v>4</v>
      </c>
      <c r="K66" s="451" t="s">
        <v>309</v>
      </c>
      <c r="L66" t="s">
        <v>2945</v>
      </c>
      <c r="M66">
        <v>11</v>
      </c>
    </row>
    <row r="67" spans="1:21" x14ac:dyDescent="0.25">
      <c r="A67" s="451" t="s">
        <v>476</v>
      </c>
      <c r="B67">
        <v>2025</v>
      </c>
      <c r="C67" s="451">
        <v>1</v>
      </c>
      <c r="D67" s="119">
        <v>45761</v>
      </c>
      <c r="E67" t="s">
        <v>2954</v>
      </c>
      <c r="F67" s="451" t="s">
        <v>408</v>
      </c>
      <c r="G67" s="451" t="s">
        <v>26</v>
      </c>
      <c r="H67" t="s">
        <v>2951</v>
      </c>
      <c r="I67" s="451" t="s">
        <v>30</v>
      </c>
      <c r="J67" s="451">
        <v>4</v>
      </c>
      <c r="K67" s="451" t="s">
        <v>309</v>
      </c>
      <c r="L67" t="s">
        <v>2945</v>
      </c>
      <c r="M67">
        <v>12</v>
      </c>
    </row>
    <row r="68" spans="1:21" x14ac:dyDescent="0.25">
      <c r="A68" s="451" t="s">
        <v>476</v>
      </c>
      <c r="B68">
        <v>2025</v>
      </c>
      <c r="C68" s="451">
        <v>1</v>
      </c>
      <c r="D68" s="119">
        <v>45761</v>
      </c>
      <c r="E68" t="s">
        <v>2954</v>
      </c>
      <c r="F68" s="451" t="s">
        <v>408</v>
      </c>
      <c r="G68" s="451" t="s">
        <v>26</v>
      </c>
      <c r="H68" t="s">
        <v>2951</v>
      </c>
      <c r="I68" s="451" t="s">
        <v>30</v>
      </c>
      <c r="J68" s="451">
        <v>4</v>
      </c>
      <c r="K68" s="451" t="s">
        <v>309</v>
      </c>
      <c r="L68" t="s">
        <v>2945</v>
      </c>
      <c r="M68">
        <v>13</v>
      </c>
    </row>
    <row r="69" spans="1:21" x14ac:dyDescent="0.25">
      <c r="A69" s="451" t="s">
        <v>476</v>
      </c>
      <c r="B69">
        <v>2025</v>
      </c>
      <c r="C69" s="451">
        <v>1</v>
      </c>
      <c r="D69" s="119">
        <v>45761</v>
      </c>
      <c r="E69" t="s">
        <v>2954</v>
      </c>
      <c r="F69" s="451" t="s">
        <v>408</v>
      </c>
      <c r="G69" s="451" t="s">
        <v>26</v>
      </c>
      <c r="H69" t="s">
        <v>2951</v>
      </c>
      <c r="I69" s="451" t="s">
        <v>30</v>
      </c>
      <c r="J69" s="451">
        <v>4</v>
      </c>
      <c r="K69" s="451" t="s">
        <v>309</v>
      </c>
      <c r="L69" t="s">
        <v>2945</v>
      </c>
      <c r="M69">
        <v>14</v>
      </c>
    </row>
    <row r="70" spans="1:21" x14ac:dyDescent="0.25">
      <c r="A70" s="451" t="s">
        <v>476</v>
      </c>
      <c r="B70">
        <v>2025</v>
      </c>
      <c r="C70" s="451">
        <v>1</v>
      </c>
      <c r="D70" s="119">
        <v>45761</v>
      </c>
      <c r="E70" t="s">
        <v>2954</v>
      </c>
      <c r="F70" s="451" t="s">
        <v>408</v>
      </c>
      <c r="G70" s="451" t="s">
        <v>26</v>
      </c>
      <c r="H70" t="s">
        <v>2951</v>
      </c>
      <c r="I70" s="451" t="s">
        <v>30</v>
      </c>
      <c r="J70" s="451">
        <v>4</v>
      </c>
      <c r="K70" s="451" t="s">
        <v>309</v>
      </c>
      <c r="L70" t="s">
        <v>2945</v>
      </c>
      <c r="M70">
        <v>15</v>
      </c>
    </row>
    <row r="71" spans="1:21" x14ac:dyDescent="0.25">
      <c r="A71" s="451" t="s">
        <v>476</v>
      </c>
      <c r="B71">
        <v>2025</v>
      </c>
      <c r="C71" s="451">
        <v>1</v>
      </c>
      <c r="D71" s="119">
        <v>45761</v>
      </c>
      <c r="E71" t="s">
        <v>2954</v>
      </c>
      <c r="F71" s="451" t="s">
        <v>408</v>
      </c>
      <c r="G71" s="451" t="s">
        <v>26</v>
      </c>
      <c r="H71" t="s">
        <v>2951</v>
      </c>
      <c r="I71" s="451" t="s">
        <v>30</v>
      </c>
      <c r="J71" s="451">
        <v>4</v>
      </c>
      <c r="K71" s="451" t="s">
        <v>309</v>
      </c>
      <c r="L71" t="s">
        <v>2945</v>
      </c>
      <c r="M71">
        <v>16</v>
      </c>
    </row>
    <row r="72" spans="1:21" x14ac:dyDescent="0.25">
      <c r="A72" s="451" t="s">
        <v>476</v>
      </c>
      <c r="B72">
        <v>2025</v>
      </c>
      <c r="C72" s="451">
        <v>1</v>
      </c>
      <c r="D72" s="119">
        <v>45761</v>
      </c>
      <c r="E72" t="s">
        <v>2954</v>
      </c>
      <c r="F72" s="451" t="s">
        <v>408</v>
      </c>
      <c r="G72" s="451" t="s">
        <v>26</v>
      </c>
      <c r="H72" t="s">
        <v>2951</v>
      </c>
      <c r="I72" s="451" t="s">
        <v>30</v>
      </c>
      <c r="J72" s="451">
        <v>4</v>
      </c>
      <c r="K72" s="451" t="s">
        <v>309</v>
      </c>
      <c r="L72" t="s">
        <v>2945</v>
      </c>
      <c r="M72">
        <v>17</v>
      </c>
    </row>
    <row r="73" spans="1:21" x14ac:dyDescent="0.25">
      <c r="A73" s="451" t="s">
        <v>476</v>
      </c>
      <c r="B73">
        <v>2025</v>
      </c>
      <c r="C73" s="451">
        <v>1</v>
      </c>
      <c r="D73" s="119">
        <v>45761</v>
      </c>
      <c r="E73" t="s">
        <v>2954</v>
      </c>
      <c r="F73" s="451" t="s">
        <v>408</v>
      </c>
      <c r="G73" s="451" t="s">
        <v>26</v>
      </c>
      <c r="H73" t="s">
        <v>2951</v>
      </c>
      <c r="I73" s="451" t="s">
        <v>30</v>
      </c>
      <c r="J73" s="451">
        <v>4</v>
      </c>
      <c r="K73" s="451" t="s">
        <v>309</v>
      </c>
      <c r="L73" t="s">
        <v>2945</v>
      </c>
      <c r="M73">
        <v>18</v>
      </c>
    </row>
    <row r="74" spans="1:21" x14ac:dyDescent="0.25">
      <c r="A74" s="451" t="s">
        <v>476</v>
      </c>
      <c r="B74">
        <v>2025</v>
      </c>
      <c r="C74" s="451">
        <v>1</v>
      </c>
      <c r="D74" s="119">
        <v>45761</v>
      </c>
      <c r="E74" t="s">
        <v>2955</v>
      </c>
      <c r="F74" s="451" t="s">
        <v>408</v>
      </c>
      <c r="G74" s="451" t="s">
        <v>30</v>
      </c>
      <c r="H74" t="s">
        <v>2956</v>
      </c>
      <c r="I74" s="451" t="s">
        <v>26</v>
      </c>
      <c r="J74" s="451">
        <v>1</v>
      </c>
      <c r="K74" s="451" t="s">
        <v>323</v>
      </c>
      <c r="L74" t="s">
        <v>2946</v>
      </c>
      <c r="M74">
        <v>1</v>
      </c>
      <c r="N74">
        <v>5</v>
      </c>
      <c r="U74">
        <v>1</v>
      </c>
    </row>
    <row r="75" spans="1:21" x14ac:dyDescent="0.25">
      <c r="A75" s="451" t="s">
        <v>476</v>
      </c>
      <c r="B75">
        <v>2025</v>
      </c>
      <c r="C75" s="451">
        <v>1</v>
      </c>
      <c r="D75" s="119">
        <v>45761</v>
      </c>
      <c r="E75" t="s">
        <v>2955</v>
      </c>
      <c r="F75" s="451" t="s">
        <v>408</v>
      </c>
      <c r="G75" s="451" t="s">
        <v>30</v>
      </c>
      <c r="H75" t="s">
        <v>2956</v>
      </c>
      <c r="I75" s="451" t="s">
        <v>26</v>
      </c>
      <c r="J75" s="451">
        <v>1</v>
      </c>
      <c r="K75" s="451" t="s">
        <v>323</v>
      </c>
      <c r="L75" t="s">
        <v>2946</v>
      </c>
      <c r="M75">
        <v>2</v>
      </c>
      <c r="N75">
        <v>5</v>
      </c>
      <c r="U75">
        <v>1</v>
      </c>
    </row>
    <row r="76" spans="1:21" x14ac:dyDescent="0.25">
      <c r="A76" s="451" t="s">
        <v>476</v>
      </c>
      <c r="B76">
        <v>2025</v>
      </c>
      <c r="C76" s="451">
        <v>1</v>
      </c>
      <c r="D76" s="119">
        <v>45761</v>
      </c>
      <c r="E76" t="s">
        <v>2955</v>
      </c>
      <c r="F76" s="451" t="s">
        <v>408</v>
      </c>
      <c r="G76" s="451" t="s">
        <v>30</v>
      </c>
      <c r="H76" t="s">
        <v>2956</v>
      </c>
      <c r="I76" s="451" t="s">
        <v>26</v>
      </c>
      <c r="J76" s="451">
        <v>1</v>
      </c>
      <c r="K76" s="451" t="s">
        <v>323</v>
      </c>
      <c r="L76" t="s">
        <v>2946</v>
      </c>
      <c r="M76">
        <v>3</v>
      </c>
      <c r="N76">
        <v>4</v>
      </c>
      <c r="U76">
        <v>2</v>
      </c>
    </row>
    <row r="77" spans="1:21" x14ac:dyDescent="0.25">
      <c r="A77" s="451" t="s">
        <v>476</v>
      </c>
      <c r="B77">
        <v>2025</v>
      </c>
      <c r="C77" s="451">
        <v>1</v>
      </c>
      <c r="D77" s="119">
        <v>45761</v>
      </c>
      <c r="E77" t="s">
        <v>2955</v>
      </c>
      <c r="F77" s="451" t="s">
        <v>408</v>
      </c>
      <c r="G77" s="451" t="s">
        <v>30</v>
      </c>
      <c r="H77" t="s">
        <v>2956</v>
      </c>
      <c r="I77" s="451" t="s">
        <v>26</v>
      </c>
      <c r="J77" s="451">
        <v>1</v>
      </c>
      <c r="K77" s="451" t="s">
        <v>323</v>
      </c>
      <c r="L77" t="s">
        <v>2946</v>
      </c>
      <c r="M77">
        <v>4</v>
      </c>
      <c r="N77">
        <v>3</v>
      </c>
      <c r="U77">
        <v>2</v>
      </c>
    </row>
    <row r="78" spans="1:21" x14ac:dyDescent="0.25">
      <c r="A78" s="451" t="s">
        <v>476</v>
      </c>
      <c r="B78">
        <v>2025</v>
      </c>
      <c r="C78" s="451">
        <v>1</v>
      </c>
      <c r="D78" s="119">
        <v>45761</v>
      </c>
      <c r="E78" t="s">
        <v>2955</v>
      </c>
      <c r="F78" s="451" t="s">
        <v>408</v>
      </c>
      <c r="G78" s="451" t="s">
        <v>30</v>
      </c>
      <c r="H78" t="s">
        <v>2956</v>
      </c>
      <c r="I78" s="451" t="s">
        <v>26</v>
      </c>
      <c r="J78" s="451">
        <v>1</v>
      </c>
      <c r="K78" s="451" t="s">
        <v>323</v>
      </c>
      <c r="L78" t="s">
        <v>2946</v>
      </c>
      <c r="M78">
        <v>5</v>
      </c>
      <c r="N78">
        <v>4</v>
      </c>
      <c r="U78">
        <v>1</v>
      </c>
    </row>
    <row r="79" spans="1:21" x14ac:dyDescent="0.25">
      <c r="A79" s="451" t="s">
        <v>476</v>
      </c>
      <c r="B79">
        <v>2025</v>
      </c>
      <c r="C79" s="451">
        <v>1</v>
      </c>
      <c r="D79" s="119">
        <v>45761</v>
      </c>
      <c r="E79" t="s">
        <v>2955</v>
      </c>
      <c r="F79" s="451" t="s">
        <v>408</v>
      </c>
      <c r="G79" s="451" t="s">
        <v>30</v>
      </c>
      <c r="H79" t="s">
        <v>2956</v>
      </c>
      <c r="I79" s="451" t="s">
        <v>26</v>
      </c>
      <c r="J79" s="451">
        <v>1</v>
      </c>
      <c r="K79" s="451" t="s">
        <v>323</v>
      </c>
      <c r="L79" t="s">
        <v>2946</v>
      </c>
      <c r="M79">
        <v>6</v>
      </c>
      <c r="N79">
        <v>5</v>
      </c>
      <c r="U79">
        <v>0</v>
      </c>
    </row>
    <row r="80" spans="1:21" x14ac:dyDescent="0.25">
      <c r="A80" s="451" t="s">
        <v>476</v>
      </c>
      <c r="B80">
        <v>2025</v>
      </c>
      <c r="C80" s="451">
        <v>1</v>
      </c>
      <c r="D80" s="119">
        <v>45761</v>
      </c>
      <c r="E80" t="s">
        <v>2955</v>
      </c>
      <c r="F80" s="451" t="s">
        <v>408</v>
      </c>
      <c r="G80" s="451" t="s">
        <v>30</v>
      </c>
      <c r="H80" t="s">
        <v>2956</v>
      </c>
      <c r="I80" s="451" t="s">
        <v>26</v>
      </c>
      <c r="J80" s="451">
        <v>1</v>
      </c>
      <c r="K80" s="451" t="s">
        <v>323</v>
      </c>
      <c r="L80" t="s">
        <v>2946</v>
      </c>
      <c r="M80">
        <v>7</v>
      </c>
      <c r="N80">
        <v>5</v>
      </c>
      <c r="U80">
        <v>2</v>
      </c>
    </row>
    <row r="81" spans="1:21" x14ac:dyDescent="0.25">
      <c r="A81" s="451" t="s">
        <v>476</v>
      </c>
      <c r="B81">
        <v>2025</v>
      </c>
      <c r="C81" s="451">
        <v>1</v>
      </c>
      <c r="D81" s="119">
        <v>45761</v>
      </c>
      <c r="E81" t="s">
        <v>2955</v>
      </c>
      <c r="F81" s="451" t="s">
        <v>408</v>
      </c>
      <c r="G81" s="451" t="s">
        <v>30</v>
      </c>
      <c r="H81" t="s">
        <v>2956</v>
      </c>
      <c r="I81" s="451" t="s">
        <v>26</v>
      </c>
      <c r="J81" s="451">
        <v>1</v>
      </c>
      <c r="K81" s="451" t="s">
        <v>323</v>
      </c>
      <c r="L81" t="s">
        <v>2946</v>
      </c>
      <c r="M81">
        <v>8</v>
      </c>
      <c r="N81">
        <v>3</v>
      </c>
      <c r="U81">
        <v>1</v>
      </c>
    </row>
    <row r="82" spans="1:21" x14ac:dyDescent="0.25">
      <c r="A82" s="451" t="s">
        <v>476</v>
      </c>
      <c r="B82">
        <v>2025</v>
      </c>
      <c r="C82" s="451">
        <v>1</v>
      </c>
      <c r="D82" s="119">
        <v>45761</v>
      </c>
      <c r="E82" t="s">
        <v>2955</v>
      </c>
      <c r="F82" s="451" t="s">
        <v>408</v>
      </c>
      <c r="G82" s="451" t="s">
        <v>30</v>
      </c>
      <c r="H82" t="s">
        <v>2956</v>
      </c>
      <c r="I82" s="451" t="s">
        <v>26</v>
      </c>
      <c r="J82" s="451">
        <v>1</v>
      </c>
      <c r="K82" s="451" t="s">
        <v>323</v>
      </c>
      <c r="L82" t="s">
        <v>2946</v>
      </c>
      <c r="M82">
        <v>9</v>
      </c>
      <c r="N82">
        <v>4</v>
      </c>
      <c r="U82">
        <v>2</v>
      </c>
    </row>
    <row r="83" spans="1:21" x14ac:dyDescent="0.25">
      <c r="A83" s="451" t="s">
        <v>476</v>
      </c>
      <c r="B83">
        <v>2025</v>
      </c>
      <c r="C83" s="451">
        <v>1</v>
      </c>
      <c r="D83" s="119">
        <v>45761</v>
      </c>
      <c r="E83" t="s">
        <v>2955</v>
      </c>
      <c r="F83" s="451" t="s">
        <v>408</v>
      </c>
      <c r="G83" s="451" t="s">
        <v>30</v>
      </c>
      <c r="H83" t="s">
        <v>2956</v>
      </c>
      <c r="I83" s="451" t="s">
        <v>26</v>
      </c>
      <c r="J83" s="451">
        <v>1</v>
      </c>
      <c r="K83" s="451" t="s">
        <v>323</v>
      </c>
      <c r="L83" t="s">
        <v>2946</v>
      </c>
      <c r="M83">
        <v>10</v>
      </c>
    </row>
    <row r="84" spans="1:21" x14ac:dyDescent="0.25">
      <c r="A84" s="451" t="s">
        <v>476</v>
      </c>
      <c r="B84">
        <v>2025</v>
      </c>
      <c r="C84" s="451">
        <v>1</v>
      </c>
      <c r="D84" s="119">
        <v>45761</v>
      </c>
      <c r="E84" t="s">
        <v>2955</v>
      </c>
      <c r="F84" s="451" t="s">
        <v>408</v>
      </c>
      <c r="G84" s="451" t="s">
        <v>30</v>
      </c>
      <c r="H84" t="s">
        <v>2956</v>
      </c>
      <c r="I84" s="451" t="s">
        <v>26</v>
      </c>
      <c r="J84" s="451">
        <v>1</v>
      </c>
      <c r="K84" s="451" t="s">
        <v>323</v>
      </c>
      <c r="L84" t="s">
        <v>2946</v>
      </c>
      <c r="M84">
        <v>11</v>
      </c>
    </row>
    <row r="85" spans="1:21" x14ac:dyDescent="0.25">
      <c r="A85" s="451" t="s">
        <v>476</v>
      </c>
      <c r="B85">
        <v>2025</v>
      </c>
      <c r="C85" s="451">
        <v>1</v>
      </c>
      <c r="D85" s="119">
        <v>45761</v>
      </c>
      <c r="E85" t="s">
        <v>2955</v>
      </c>
      <c r="F85" s="451" t="s">
        <v>408</v>
      </c>
      <c r="G85" s="451" t="s">
        <v>30</v>
      </c>
      <c r="H85" t="s">
        <v>2956</v>
      </c>
      <c r="I85" s="451" t="s">
        <v>26</v>
      </c>
      <c r="J85" s="451">
        <v>1</v>
      </c>
      <c r="K85" s="451" t="s">
        <v>323</v>
      </c>
      <c r="L85" t="s">
        <v>2946</v>
      </c>
      <c r="M85">
        <v>12</v>
      </c>
    </row>
    <row r="86" spans="1:21" x14ac:dyDescent="0.25">
      <c r="A86" s="451" t="s">
        <v>476</v>
      </c>
      <c r="B86">
        <v>2025</v>
      </c>
      <c r="C86" s="451">
        <v>1</v>
      </c>
      <c r="D86" s="119">
        <v>45761</v>
      </c>
      <c r="E86" t="s">
        <v>2955</v>
      </c>
      <c r="F86" s="451" t="s">
        <v>408</v>
      </c>
      <c r="G86" s="451" t="s">
        <v>30</v>
      </c>
      <c r="H86" t="s">
        <v>2956</v>
      </c>
      <c r="I86" s="451" t="s">
        <v>26</v>
      </c>
      <c r="J86" s="451">
        <v>1</v>
      </c>
      <c r="K86" s="451" t="s">
        <v>323</v>
      </c>
      <c r="L86" t="s">
        <v>2946</v>
      </c>
      <c r="M86">
        <v>13</v>
      </c>
    </row>
    <row r="87" spans="1:21" x14ac:dyDescent="0.25">
      <c r="A87" s="451" t="s">
        <v>476</v>
      </c>
      <c r="B87">
        <v>2025</v>
      </c>
      <c r="C87" s="451">
        <v>1</v>
      </c>
      <c r="D87" s="119">
        <v>45761</v>
      </c>
      <c r="E87" t="s">
        <v>2955</v>
      </c>
      <c r="F87" s="451" t="s">
        <v>408</v>
      </c>
      <c r="G87" s="451" t="s">
        <v>30</v>
      </c>
      <c r="H87" t="s">
        <v>2956</v>
      </c>
      <c r="I87" s="451" t="s">
        <v>26</v>
      </c>
      <c r="J87" s="451">
        <v>1</v>
      </c>
      <c r="K87" s="451" t="s">
        <v>323</v>
      </c>
      <c r="L87" t="s">
        <v>2946</v>
      </c>
      <c r="M87">
        <v>14</v>
      </c>
    </row>
    <row r="88" spans="1:21" x14ac:dyDescent="0.25">
      <c r="A88" s="451" t="s">
        <v>476</v>
      </c>
      <c r="B88">
        <v>2025</v>
      </c>
      <c r="C88" s="451">
        <v>1</v>
      </c>
      <c r="D88" s="119">
        <v>45761</v>
      </c>
      <c r="E88" t="s">
        <v>2955</v>
      </c>
      <c r="F88" s="451" t="s">
        <v>408</v>
      </c>
      <c r="G88" s="451" t="s">
        <v>30</v>
      </c>
      <c r="H88" t="s">
        <v>2956</v>
      </c>
      <c r="I88" s="451" t="s">
        <v>26</v>
      </c>
      <c r="J88" s="451">
        <v>1</v>
      </c>
      <c r="K88" s="451" t="s">
        <v>323</v>
      </c>
      <c r="L88" t="s">
        <v>2946</v>
      </c>
      <c r="M88">
        <v>15</v>
      </c>
    </row>
    <row r="89" spans="1:21" x14ac:dyDescent="0.25">
      <c r="A89" s="451" t="s">
        <v>476</v>
      </c>
      <c r="B89">
        <v>2025</v>
      </c>
      <c r="C89" s="451">
        <v>1</v>
      </c>
      <c r="D89" s="119">
        <v>45761</v>
      </c>
      <c r="E89" t="s">
        <v>2955</v>
      </c>
      <c r="F89" s="451" t="s">
        <v>408</v>
      </c>
      <c r="G89" s="451" t="s">
        <v>30</v>
      </c>
      <c r="H89" t="s">
        <v>2956</v>
      </c>
      <c r="I89" s="451" t="s">
        <v>26</v>
      </c>
      <c r="J89" s="451">
        <v>1</v>
      </c>
      <c r="K89" s="451" t="s">
        <v>323</v>
      </c>
      <c r="L89" t="s">
        <v>2946</v>
      </c>
      <c r="M89">
        <v>16</v>
      </c>
    </row>
    <row r="90" spans="1:21" x14ac:dyDescent="0.25">
      <c r="A90" s="451" t="s">
        <v>476</v>
      </c>
      <c r="B90">
        <v>2025</v>
      </c>
      <c r="C90" s="451">
        <v>1</v>
      </c>
      <c r="D90" s="119">
        <v>45761</v>
      </c>
      <c r="E90" t="s">
        <v>2955</v>
      </c>
      <c r="F90" s="451" t="s">
        <v>408</v>
      </c>
      <c r="G90" s="451" t="s">
        <v>30</v>
      </c>
      <c r="H90" t="s">
        <v>2956</v>
      </c>
      <c r="I90" s="451" t="s">
        <v>26</v>
      </c>
      <c r="J90" s="451">
        <v>1</v>
      </c>
      <c r="K90" s="451" t="s">
        <v>323</v>
      </c>
      <c r="L90" t="s">
        <v>2946</v>
      </c>
      <c r="M90">
        <v>17</v>
      </c>
    </row>
    <row r="91" spans="1:21" x14ac:dyDescent="0.25">
      <c r="A91" s="451" t="s">
        <v>476</v>
      </c>
      <c r="B91">
        <v>2025</v>
      </c>
      <c r="C91" s="451">
        <v>1</v>
      </c>
      <c r="D91" s="119">
        <v>45761</v>
      </c>
      <c r="E91" t="s">
        <v>2955</v>
      </c>
      <c r="F91" s="451" t="s">
        <v>408</v>
      </c>
      <c r="G91" s="451" t="s">
        <v>30</v>
      </c>
      <c r="H91" t="s">
        <v>2956</v>
      </c>
      <c r="I91" s="451" t="s">
        <v>26</v>
      </c>
      <c r="J91" s="451">
        <v>1</v>
      </c>
      <c r="K91" s="451" t="s">
        <v>323</v>
      </c>
      <c r="L91" t="s">
        <v>2946</v>
      </c>
      <c r="M91">
        <v>18</v>
      </c>
    </row>
    <row r="92" spans="1:21" x14ac:dyDescent="0.25">
      <c r="A92" s="451" t="s">
        <v>476</v>
      </c>
      <c r="B92">
        <v>2025</v>
      </c>
      <c r="C92" s="451">
        <v>1</v>
      </c>
      <c r="D92" s="119">
        <v>45761</v>
      </c>
      <c r="E92" t="s">
        <v>2957</v>
      </c>
      <c r="F92" s="451" t="s">
        <v>408</v>
      </c>
      <c r="G92" s="451" t="s">
        <v>30</v>
      </c>
      <c r="H92" t="s">
        <v>2956</v>
      </c>
      <c r="I92" s="451" t="s">
        <v>26</v>
      </c>
      <c r="J92" s="451">
        <v>2</v>
      </c>
      <c r="K92" s="451" t="s">
        <v>326</v>
      </c>
      <c r="L92" t="s">
        <v>2947</v>
      </c>
      <c r="M92">
        <v>1</v>
      </c>
      <c r="N92">
        <v>5</v>
      </c>
      <c r="U92">
        <v>1</v>
      </c>
    </row>
    <row r="93" spans="1:21" x14ac:dyDescent="0.25">
      <c r="A93" s="451" t="s">
        <v>476</v>
      </c>
      <c r="B93">
        <v>2025</v>
      </c>
      <c r="C93" s="451">
        <v>1</v>
      </c>
      <c r="D93" s="119">
        <v>45761</v>
      </c>
      <c r="E93" t="s">
        <v>2957</v>
      </c>
      <c r="F93" s="451" t="s">
        <v>408</v>
      </c>
      <c r="G93" s="451" t="s">
        <v>30</v>
      </c>
      <c r="H93" t="s">
        <v>2956</v>
      </c>
      <c r="I93" s="451" t="s">
        <v>26</v>
      </c>
      <c r="J93" s="451">
        <v>2</v>
      </c>
      <c r="K93" s="451" t="s">
        <v>326</v>
      </c>
      <c r="L93" t="s">
        <v>2947</v>
      </c>
      <c r="M93">
        <v>2</v>
      </c>
      <c r="N93">
        <v>5</v>
      </c>
      <c r="U93">
        <v>1</v>
      </c>
    </row>
    <row r="94" spans="1:21" x14ac:dyDescent="0.25">
      <c r="A94" s="451" t="s">
        <v>476</v>
      </c>
      <c r="B94">
        <v>2025</v>
      </c>
      <c r="C94" s="451">
        <v>1</v>
      </c>
      <c r="D94" s="119">
        <v>45761</v>
      </c>
      <c r="E94" t="s">
        <v>2957</v>
      </c>
      <c r="F94" s="451" t="s">
        <v>408</v>
      </c>
      <c r="G94" s="451" t="s">
        <v>30</v>
      </c>
      <c r="H94" t="s">
        <v>2956</v>
      </c>
      <c r="I94" s="451" t="s">
        <v>26</v>
      </c>
      <c r="J94" s="451">
        <v>2</v>
      </c>
      <c r="K94" s="451" t="s">
        <v>326</v>
      </c>
      <c r="L94" t="s">
        <v>2947</v>
      </c>
      <c r="M94">
        <v>3</v>
      </c>
      <c r="N94">
        <v>4</v>
      </c>
      <c r="U94">
        <v>1</v>
      </c>
    </row>
    <row r="95" spans="1:21" x14ac:dyDescent="0.25">
      <c r="A95" s="451" t="s">
        <v>476</v>
      </c>
      <c r="B95">
        <v>2025</v>
      </c>
      <c r="C95" s="451">
        <v>1</v>
      </c>
      <c r="D95" s="119">
        <v>45761</v>
      </c>
      <c r="E95" t="s">
        <v>2957</v>
      </c>
      <c r="F95" s="451" t="s">
        <v>408</v>
      </c>
      <c r="G95" s="451" t="s">
        <v>30</v>
      </c>
      <c r="H95" t="s">
        <v>2956</v>
      </c>
      <c r="I95" s="451" t="s">
        <v>26</v>
      </c>
      <c r="J95" s="451">
        <v>2</v>
      </c>
      <c r="K95" s="451" t="s">
        <v>326</v>
      </c>
      <c r="L95" t="s">
        <v>2947</v>
      </c>
      <c r="M95">
        <v>4</v>
      </c>
      <c r="N95">
        <v>3</v>
      </c>
      <c r="U95">
        <v>1</v>
      </c>
    </row>
    <row r="96" spans="1:21" x14ac:dyDescent="0.25">
      <c r="A96" s="451" t="s">
        <v>476</v>
      </c>
      <c r="B96">
        <v>2025</v>
      </c>
      <c r="C96" s="451">
        <v>1</v>
      </c>
      <c r="D96" s="119">
        <v>45761</v>
      </c>
      <c r="E96" t="s">
        <v>2957</v>
      </c>
      <c r="F96" s="451" t="s">
        <v>408</v>
      </c>
      <c r="G96" s="451" t="s">
        <v>30</v>
      </c>
      <c r="H96" t="s">
        <v>2956</v>
      </c>
      <c r="I96" s="451" t="s">
        <v>26</v>
      </c>
      <c r="J96" s="451">
        <v>2</v>
      </c>
      <c r="K96" s="451" t="s">
        <v>326</v>
      </c>
      <c r="L96" t="s">
        <v>2947</v>
      </c>
      <c r="M96">
        <v>5</v>
      </c>
      <c r="N96">
        <v>4</v>
      </c>
      <c r="U96">
        <v>2</v>
      </c>
    </row>
    <row r="97" spans="1:21" x14ac:dyDescent="0.25">
      <c r="A97" s="451" t="s">
        <v>476</v>
      </c>
      <c r="B97">
        <v>2025</v>
      </c>
      <c r="C97" s="451">
        <v>1</v>
      </c>
      <c r="D97" s="119">
        <v>45761</v>
      </c>
      <c r="E97" t="s">
        <v>2957</v>
      </c>
      <c r="F97" s="451" t="s">
        <v>408</v>
      </c>
      <c r="G97" s="451" t="s">
        <v>30</v>
      </c>
      <c r="H97" t="s">
        <v>2956</v>
      </c>
      <c r="I97" s="451" t="s">
        <v>26</v>
      </c>
      <c r="J97" s="451">
        <v>2</v>
      </c>
      <c r="K97" s="451" t="s">
        <v>326</v>
      </c>
      <c r="L97" t="s">
        <v>2947</v>
      </c>
      <c r="M97">
        <v>6</v>
      </c>
      <c r="N97">
        <v>5</v>
      </c>
      <c r="U97">
        <v>1</v>
      </c>
    </row>
    <row r="98" spans="1:21" x14ac:dyDescent="0.25">
      <c r="A98" s="451" t="s">
        <v>476</v>
      </c>
      <c r="B98">
        <v>2025</v>
      </c>
      <c r="C98" s="451">
        <v>1</v>
      </c>
      <c r="D98" s="119">
        <v>45761</v>
      </c>
      <c r="E98" t="s">
        <v>2957</v>
      </c>
      <c r="F98" s="451" t="s">
        <v>408</v>
      </c>
      <c r="G98" s="451" t="s">
        <v>30</v>
      </c>
      <c r="H98" t="s">
        <v>2956</v>
      </c>
      <c r="I98" s="451" t="s">
        <v>26</v>
      </c>
      <c r="J98" s="451">
        <v>2</v>
      </c>
      <c r="K98" s="451" t="s">
        <v>326</v>
      </c>
      <c r="L98" t="s">
        <v>2947</v>
      </c>
      <c r="M98">
        <v>7</v>
      </c>
      <c r="N98">
        <v>5</v>
      </c>
      <c r="U98">
        <v>2</v>
      </c>
    </row>
    <row r="99" spans="1:21" x14ac:dyDescent="0.25">
      <c r="A99" s="451" t="s">
        <v>476</v>
      </c>
      <c r="B99">
        <v>2025</v>
      </c>
      <c r="C99" s="451">
        <v>1</v>
      </c>
      <c r="D99" s="119">
        <v>45761</v>
      </c>
      <c r="E99" t="s">
        <v>2957</v>
      </c>
      <c r="F99" s="451" t="s">
        <v>408</v>
      </c>
      <c r="G99" s="451" t="s">
        <v>30</v>
      </c>
      <c r="H99" t="s">
        <v>2956</v>
      </c>
      <c r="I99" s="451" t="s">
        <v>26</v>
      </c>
      <c r="J99" s="451">
        <v>2</v>
      </c>
      <c r="K99" s="451" t="s">
        <v>326</v>
      </c>
      <c r="L99" t="s">
        <v>2947</v>
      </c>
      <c r="M99">
        <v>8</v>
      </c>
      <c r="N99">
        <v>3</v>
      </c>
      <c r="U99">
        <v>1</v>
      </c>
    </row>
    <row r="100" spans="1:21" x14ac:dyDescent="0.25">
      <c r="A100" s="451" t="s">
        <v>476</v>
      </c>
      <c r="B100">
        <v>2025</v>
      </c>
      <c r="C100" s="451">
        <v>1</v>
      </c>
      <c r="D100" s="119">
        <v>45761</v>
      </c>
      <c r="E100" t="s">
        <v>2957</v>
      </c>
      <c r="F100" s="451" t="s">
        <v>408</v>
      </c>
      <c r="G100" s="451" t="s">
        <v>30</v>
      </c>
      <c r="H100" t="s">
        <v>2956</v>
      </c>
      <c r="I100" s="451" t="s">
        <v>26</v>
      </c>
      <c r="J100" s="451">
        <v>2</v>
      </c>
      <c r="K100" s="451" t="s">
        <v>326</v>
      </c>
      <c r="L100" t="s">
        <v>2947</v>
      </c>
      <c r="M100">
        <v>9</v>
      </c>
      <c r="N100">
        <v>4</v>
      </c>
      <c r="U100">
        <v>1</v>
      </c>
    </row>
    <row r="101" spans="1:21" x14ac:dyDescent="0.25">
      <c r="A101" s="451" t="s">
        <v>476</v>
      </c>
      <c r="B101">
        <v>2025</v>
      </c>
      <c r="C101" s="451">
        <v>1</v>
      </c>
      <c r="D101" s="119">
        <v>45761</v>
      </c>
      <c r="E101" t="s">
        <v>2957</v>
      </c>
      <c r="F101" s="451" t="s">
        <v>408</v>
      </c>
      <c r="G101" s="451" t="s">
        <v>30</v>
      </c>
      <c r="H101" t="s">
        <v>2956</v>
      </c>
      <c r="I101" s="451" t="s">
        <v>26</v>
      </c>
      <c r="J101" s="451">
        <v>2</v>
      </c>
      <c r="K101" s="451" t="s">
        <v>326</v>
      </c>
      <c r="L101" t="s">
        <v>2947</v>
      </c>
      <c r="M101">
        <v>10</v>
      </c>
    </row>
    <row r="102" spans="1:21" x14ac:dyDescent="0.25">
      <c r="A102" s="451" t="s">
        <v>476</v>
      </c>
      <c r="B102">
        <v>2025</v>
      </c>
      <c r="C102" s="451">
        <v>1</v>
      </c>
      <c r="D102" s="119">
        <v>45761</v>
      </c>
      <c r="E102" t="s">
        <v>2957</v>
      </c>
      <c r="F102" s="451" t="s">
        <v>408</v>
      </c>
      <c r="G102" s="451" t="s">
        <v>30</v>
      </c>
      <c r="H102" t="s">
        <v>2956</v>
      </c>
      <c r="I102" s="451" t="s">
        <v>26</v>
      </c>
      <c r="J102" s="451">
        <v>2</v>
      </c>
      <c r="K102" s="451" t="s">
        <v>326</v>
      </c>
      <c r="L102" t="s">
        <v>2947</v>
      </c>
      <c r="M102">
        <v>11</v>
      </c>
    </row>
    <row r="103" spans="1:21" x14ac:dyDescent="0.25">
      <c r="A103" s="451" t="s">
        <v>476</v>
      </c>
      <c r="B103">
        <v>2025</v>
      </c>
      <c r="C103" s="451">
        <v>1</v>
      </c>
      <c r="D103" s="119">
        <v>45761</v>
      </c>
      <c r="E103" t="s">
        <v>2957</v>
      </c>
      <c r="F103" s="451" t="s">
        <v>408</v>
      </c>
      <c r="G103" s="451" t="s">
        <v>30</v>
      </c>
      <c r="H103" t="s">
        <v>2956</v>
      </c>
      <c r="I103" s="451" t="s">
        <v>26</v>
      </c>
      <c r="J103" s="451">
        <v>2</v>
      </c>
      <c r="K103" s="451" t="s">
        <v>326</v>
      </c>
      <c r="L103" t="s">
        <v>2947</v>
      </c>
      <c r="M103">
        <v>12</v>
      </c>
    </row>
    <row r="104" spans="1:21" x14ac:dyDescent="0.25">
      <c r="A104" s="451" t="s">
        <v>476</v>
      </c>
      <c r="B104">
        <v>2025</v>
      </c>
      <c r="C104" s="451">
        <v>1</v>
      </c>
      <c r="D104" s="119">
        <v>45761</v>
      </c>
      <c r="E104" t="s">
        <v>2957</v>
      </c>
      <c r="F104" s="451" t="s">
        <v>408</v>
      </c>
      <c r="G104" s="451" t="s">
        <v>30</v>
      </c>
      <c r="H104" t="s">
        <v>2956</v>
      </c>
      <c r="I104" s="451" t="s">
        <v>26</v>
      </c>
      <c r="J104" s="451">
        <v>2</v>
      </c>
      <c r="K104" s="451" t="s">
        <v>326</v>
      </c>
      <c r="L104" t="s">
        <v>2947</v>
      </c>
      <c r="M104">
        <v>13</v>
      </c>
    </row>
    <row r="105" spans="1:21" x14ac:dyDescent="0.25">
      <c r="A105" s="451" t="s">
        <v>476</v>
      </c>
      <c r="B105">
        <v>2025</v>
      </c>
      <c r="C105" s="451">
        <v>1</v>
      </c>
      <c r="D105" s="119">
        <v>45761</v>
      </c>
      <c r="E105" t="s">
        <v>2957</v>
      </c>
      <c r="F105" s="451" t="s">
        <v>408</v>
      </c>
      <c r="G105" s="451" t="s">
        <v>30</v>
      </c>
      <c r="H105" t="s">
        <v>2956</v>
      </c>
      <c r="I105" s="451" t="s">
        <v>26</v>
      </c>
      <c r="J105" s="451">
        <v>2</v>
      </c>
      <c r="K105" s="451" t="s">
        <v>326</v>
      </c>
      <c r="L105" t="s">
        <v>2947</v>
      </c>
      <c r="M105">
        <v>14</v>
      </c>
    </row>
    <row r="106" spans="1:21" x14ac:dyDescent="0.25">
      <c r="A106" s="451" t="s">
        <v>476</v>
      </c>
      <c r="B106">
        <v>2025</v>
      </c>
      <c r="C106" s="451">
        <v>1</v>
      </c>
      <c r="D106" s="119">
        <v>45761</v>
      </c>
      <c r="E106" t="s">
        <v>2957</v>
      </c>
      <c r="F106" s="451" t="s">
        <v>408</v>
      </c>
      <c r="G106" s="451" t="s">
        <v>30</v>
      </c>
      <c r="H106" t="s">
        <v>2956</v>
      </c>
      <c r="I106" s="451" t="s">
        <v>26</v>
      </c>
      <c r="J106" s="451">
        <v>2</v>
      </c>
      <c r="K106" s="451" t="s">
        <v>326</v>
      </c>
      <c r="L106" t="s">
        <v>2947</v>
      </c>
      <c r="M106">
        <v>15</v>
      </c>
    </row>
    <row r="107" spans="1:21" x14ac:dyDescent="0.25">
      <c r="A107" s="451" t="s">
        <v>476</v>
      </c>
      <c r="B107">
        <v>2025</v>
      </c>
      <c r="C107" s="451">
        <v>1</v>
      </c>
      <c r="D107" s="119">
        <v>45761</v>
      </c>
      <c r="E107" t="s">
        <v>2957</v>
      </c>
      <c r="F107" s="451" t="s">
        <v>408</v>
      </c>
      <c r="G107" s="451" t="s">
        <v>30</v>
      </c>
      <c r="H107" t="s">
        <v>2956</v>
      </c>
      <c r="I107" s="451" t="s">
        <v>26</v>
      </c>
      <c r="J107" s="451">
        <v>2</v>
      </c>
      <c r="K107" s="451" t="s">
        <v>326</v>
      </c>
      <c r="L107" t="s">
        <v>2947</v>
      </c>
      <c r="M107">
        <v>16</v>
      </c>
    </row>
    <row r="108" spans="1:21" x14ac:dyDescent="0.25">
      <c r="A108" s="451" t="s">
        <v>476</v>
      </c>
      <c r="B108">
        <v>2025</v>
      </c>
      <c r="C108" s="451">
        <v>1</v>
      </c>
      <c r="D108" s="119">
        <v>45761</v>
      </c>
      <c r="E108" t="s">
        <v>2957</v>
      </c>
      <c r="F108" s="451" t="s">
        <v>408</v>
      </c>
      <c r="G108" s="451" t="s">
        <v>30</v>
      </c>
      <c r="H108" t="s">
        <v>2956</v>
      </c>
      <c r="I108" s="451" t="s">
        <v>26</v>
      </c>
      <c r="J108" s="451">
        <v>2</v>
      </c>
      <c r="K108" s="451" t="s">
        <v>326</v>
      </c>
      <c r="L108" t="s">
        <v>2947</v>
      </c>
      <c r="M108">
        <v>17</v>
      </c>
    </row>
    <row r="109" spans="1:21" x14ac:dyDescent="0.25">
      <c r="A109" s="451" t="s">
        <v>476</v>
      </c>
      <c r="B109">
        <v>2025</v>
      </c>
      <c r="C109" s="451">
        <v>1</v>
      </c>
      <c r="D109" s="119">
        <v>45761</v>
      </c>
      <c r="E109" t="s">
        <v>2957</v>
      </c>
      <c r="F109" s="451" t="s">
        <v>408</v>
      </c>
      <c r="G109" s="451" t="s">
        <v>30</v>
      </c>
      <c r="H109" t="s">
        <v>2956</v>
      </c>
      <c r="I109" s="451" t="s">
        <v>26</v>
      </c>
      <c r="J109" s="451">
        <v>2</v>
      </c>
      <c r="K109" s="451" t="s">
        <v>326</v>
      </c>
      <c r="L109" t="s">
        <v>2947</v>
      </c>
      <c r="M109">
        <v>18</v>
      </c>
    </row>
    <row r="110" spans="1:21" x14ac:dyDescent="0.25">
      <c r="A110" s="451" t="s">
        <v>476</v>
      </c>
      <c r="B110">
        <v>2025</v>
      </c>
      <c r="C110" s="451">
        <v>1</v>
      </c>
      <c r="D110" s="119">
        <v>45761</v>
      </c>
      <c r="E110" t="s">
        <v>2958</v>
      </c>
      <c r="F110" s="451" t="s">
        <v>408</v>
      </c>
      <c r="G110" s="451" t="s">
        <v>30</v>
      </c>
      <c r="H110" t="s">
        <v>2956</v>
      </c>
      <c r="I110" s="451" t="s">
        <v>26</v>
      </c>
      <c r="J110" s="451">
        <v>3</v>
      </c>
      <c r="K110" s="451" t="s">
        <v>324</v>
      </c>
      <c r="L110" t="s">
        <v>2948</v>
      </c>
      <c r="M110">
        <v>1</v>
      </c>
      <c r="N110">
        <v>5</v>
      </c>
      <c r="U110">
        <v>0</v>
      </c>
    </row>
    <row r="111" spans="1:21" x14ac:dyDescent="0.25">
      <c r="A111" s="451" t="s">
        <v>476</v>
      </c>
      <c r="B111">
        <v>2025</v>
      </c>
      <c r="C111" s="451">
        <v>1</v>
      </c>
      <c r="D111" s="119">
        <v>45761</v>
      </c>
      <c r="E111" t="s">
        <v>2958</v>
      </c>
      <c r="F111" s="451" t="s">
        <v>408</v>
      </c>
      <c r="G111" s="451" t="s">
        <v>30</v>
      </c>
      <c r="H111" t="s">
        <v>2956</v>
      </c>
      <c r="I111" s="451" t="s">
        <v>26</v>
      </c>
      <c r="J111" s="451">
        <v>3</v>
      </c>
      <c r="K111" s="451" t="s">
        <v>324</v>
      </c>
      <c r="L111" t="s">
        <v>2948</v>
      </c>
      <c r="M111">
        <v>2</v>
      </c>
      <c r="N111">
        <v>5</v>
      </c>
      <c r="U111">
        <v>2</v>
      </c>
    </row>
    <row r="112" spans="1:21" x14ac:dyDescent="0.25">
      <c r="A112" s="451" t="s">
        <v>476</v>
      </c>
      <c r="B112">
        <v>2025</v>
      </c>
      <c r="C112" s="451">
        <v>1</v>
      </c>
      <c r="D112" s="119">
        <v>45761</v>
      </c>
      <c r="E112" t="s">
        <v>2958</v>
      </c>
      <c r="F112" s="451" t="s">
        <v>408</v>
      </c>
      <c r="G112" s="451" t="s">
        <v>30</v>
      </c>
      <c r="H112" t="s">
        <v>2956</v>
      </c>
      <c r="I112" s="451" t="s">
        <v>26</v>
      </c>
      <c r="J112" s="451">
        <v>3</v>
      </c>
      <c r="K112" s="451" t="s">
        <v>324</v>
      </c>
      <c r="L112" t="s">
        <v>2948</v>
      </c>
      <c r="M112">
        <v>3</v>
      </c>
      <c r="N112">
        <v>4</v>
      </c>
      <c r="U112">
        <v>2</v>
      </c>
    </row>
    <row r="113" spans="1:21" x14ac:dyDescent="0.25">
      <c r="A113" s="451" t="s">
        <v>476</v>
      </c>
      <c r="B113">
        <v>2025</v>
      </c>
      <c r="C113" s="451">
        <v>1</v>
      </c>
      <c r="D113" s="119">
        <v>45761</v>
      </c>
      <c r="E113" t="s">
        <v>2958</v>
      </c>
      <c r="F113" s="451" t="s">
        <v>408</v>
      </c>
      <c r="G113" s="451" t="s">
        <v>30</v>
      </c>
      <c r="H113" t="s">
        <v>2956</v>
      </c>
      <c r="I113" s="451" t="s">
        <v>26</v>
      </c>
      <c r="J113" s="451">
        <v>3</v>
      </c>
      <c r="K113" s="451" t="s">
        <v>324</v>
      </c>
      <c r="L113" t="s">
        <v>2948</v>
      </c>
      <c r="M113">
        <v>4</v>
      </c>
      <c r="N113">
        <v>3</v>
      </c>
      <c r="U113">
        <v>2</v>
      </c>
    </row>
    <row r="114" spans="1:21" x14ac:dyDescent="0.25">
      <c r="A114" s="451" t="s">
        <v>476</v>
      </c>
      <c r="B114">
        <v>2025</v>
      </c>
      <c r="C114" s="451">
        <v>1</v>
      </c>
      <c r="D114" s="119">
        <v>45761</v>
      </c>
      <c r="E114" t="s">
        <v>2958</v>
      </c>
      <c r="F114" s="451" t="s">
        <v>408</v>
      </c>
      <c r="G114" s="451" t="s">
        <v>30</v>
      </c>
      <c r="H114" t="s">
        <v>2956</v>
      </c>
      <c r="I114" s="451" t="s">
        <v>26</v>
      </c>
      <c r="J114" s="451">
        <v>3</v>
      </c>
      <c r="K114" s="451" t="s">
        <v>324</v>
      </c>
      <c r="L114" t="s">
        <v>2948</v>
      </c>
      <c r="M114">
        <v>5</v>
      </c>
      <c r="N114">
        <v>4</v>
      </c>
      <c r="U114">
        <v>1</v>
      </c>
    </row>
    <row r="115" spans="1:21" x14ac:dyDescent="0.25">
      <c r="A115" s="451" t="s">
        <v>476</v>
      </c>
      <c r="B115">
        <v>2025</v>
      </c>
      <c r="C115" s="451">
        <v>1</v>
      </c>
      <c r="D115" s="119">
        <v>45761</v>
      </c>
      <c r="E115" t="s">
        <v>2958</v>
      </c>
      <c r="F115" s="451" t="s">
        <v>408</v>
      </c>
      <c r="G115" s="451" t="s">
        <v>30</v>
      </c>
      <c r="H115" t="s">
        <v>2956</v>
      </c>
      <c r="I115" s="451" t="s">
        <v>26</v>
      </c>
      <c r="J115" s="451">
        <v>3</v>
      </c>
      <c r="K115" s="451" t="s">
        <v>324</v>
      </c>
      <c r="L115" t="s">
        <v>2948</v>
      </c>
      <c r="M115">
        <v>6</v>
      </c>
      <c r="N115">
        <v>5</v>
      </c>
      <c r="U115">
        <v>1</v>
      </c>
    </row>
    <row r="116" spans="1:21" x14ac:dyDescent="0.25">
      <c r="A116" s="451" t="s">
        <v>476</v>
      </c>
      <c r="B116">
        <v>2025</v>
      </c>
      <c r="C116" s="451">
        <v>1</v>
      </c>
      <c r="D116" s="119">
        <v>45761</v>
      </c>
      <c r="E116" t="s">
        <v>2958</v>
      </c>
      <c r="F116" s="451" t="s">
        <v>408</v>
      </c>
      <c r="G116" s="451" t="s">
        <v>30</v>
      </c>
      <c r="H116" t="s">
        <v>2956</v>
      </c>
      <c r="I116" s="451" t="s">
        <v>26</v>
      </c>
      <c r="J116" s="451">
        <v>3</v>
      </c>
      <c r="K116" s="451" t="s">
        <v>324</v>
      </c>
      <c r="L116" t="s">
        <v>2948</v>
      </c>
      <c r="M116">
        <v>7</v>
      </c>
      <c r="N116">
        <v>5</v>
      </c>
      <c r="U116">
        <v>0</v>
      </c>
    </row>
    <row r="117" spans="1:21" x14ac:dyDescent="0.25">
      <c r="A117" s="451" t="s">
        <v>476</v>
      </c>
      <c r="B117">
        <v>2025</v>
      </c>
      <c r="C117" s="451">
        <v>1</v>
      </c>
      <c r="D117" s="119">
        <v>45761</v>
      </c>
      <c r="E117" t="s">
        <v>2958</v>
      </c>
      <c r="F117" s="451" t="s">
        <v>408</v>
      </c>
      <c r="G117" s="451" t="s">
        <v>30</v>
      </c>
      <c r="H117" t="s">
        <v>2956</v>
      </c>
      <c r="I117" s="451" t="s">
        <v>26</v>
      </c>
      <c r="J117" s="451">
        <v>3</v>
      </c>
      <c r="K117" s="451" t="s">
        <v>324</v>
      </c>
      <c r="L117" t="s">
        <v>2948</v>
      </c>
      <c r="M117">
        <v>8</v>
      </c>
      <c r="N117">
        <v>3</v>
      </c>
      <c r="U117">
        <v>1</v>
      </c>
    </row>
    <row r="118" spans="1:21" x14ac:dyDescent="0.25">
      <c r="A118" s="451" t="s">
        <v>476</v>
      </c>
      <c r="B118">
        <v>2025</v>
      </c>
      <c r="C118" s="451">
        <v>1</v>
      </c>
      <c r="D118" s="119">
        <v>45761</v>
      </c>
      <c r="E118" t="s">
        <v>2958</v>
      </c>
      <c r="F118" s="451" t="s">
        <v>408</v>
      </c>
      <c r="G118" s="451" t="s">
        <v>30</v>
      </c>
      <c r="H118" t="s">
        <v>2956</v>
      </c>
      <c r="I118" s="451" t="s">
        <v>26</v>
      </c>
      <c r="J118" s="451">
        <v>3</v>
      </c>
      <c r="K118" s="451" t="s">
        <v>324</v>
      </c>
      <c r="L118" t="s">
        <v>2948</v>
      </c>
      <c r="M118">
        <v>9</v>
      </c>
      <c r="N118">
        <v>4</v>
      </c>
      <c r="U118">
        <v>0</v>
      </c>
    </row>
    <row r="119" spans="1:21" x14ac:dyDescent="0.25">
      <c r="A119" s="451" t="s">
        <v>476</v>
      </c>
      <c r="B119">
        <v>2025</v>
      </c>
      <c r="C119" s="451">
        <v>1</v>
      </c>
      <c r="D119" s="119">
        <v>45761</v>
      </c>
      <c r="E119" t="s">
        <v>2958</v>
      </c>
      <c r="F119" s="451" t="s">
        <v>408</v>
      </c>
      <c r="G119" s="451" t="s">
        <v>30</v>
      </c>
      <c r="H119" t="s">
        <v>2956</v>
      </c>
      <c r="I119" s="451" t="s">
        <v>26</v>
      </c>
      <c r="J119" s="451">
        <v>3</v>
      </c>
      <c r="K119" s="451" t="s">
        <v>324</v>
      </c>
      <c r="L119" t="s">
        <v>2948</v>
      </c>
      <c r="M119">
        <v>10</v>
      </c>
    </row>
    <row r="120" spans="1:21" x14ac:dyDescent="0.25">
      <c r="A120" s="451" t="s">
        <v>476</v>
      </c>
      <c r="B120">
        <v>2025</v>
      </c>
      <c r="C120" s="451">
        <v>1</v>
      </c>
      <c r="D120" s="119">
        <v>45761</v>
      </c>
      <c r="E120" t="s">
        <v>2958</v>
      </c>
      <c r="F120" s="451" t="s">
        <v>408</v>
      </c>
      <c r="G120" s="451" t="s">
        <v>30</v>
      </c>
      <c r="H120" t="s">
        <v>2956</v>
      </c>
      <c r="I120" s="451" t="s">
        <v>26</v>
      </c>
      <c r="J120" s="451">
        <v>3</v>
      </c>
      <c r="K120" s="451" t="s">
        <v>324</v>
      </c>
      <c r="L120" t="s">
        <v>2948</v>
      </c>
      <c r="M120">
        <v>11</v>
      </c>
    </row>
    <row r="121" spans="1:21" x14ac:dyDescent="0.25">
      <c r="A121" s="451" t="s">
        <v>476</v>
      </c>
      <c r="B121">
        <v>2025</v>
      </c>
      <c r="C121" s="451">
        <v>1</v>
      </c>
      <c r="D121" s="119">
        <v>45761</v>
      </c>
      <c r="E121" t="s">
        <v>2958</v>
      </c>
      <c r="F121" s="451" t="s">
        <v>408</v>
      </c>
      <c r="G121" s="451" t="s">
        <v>30</v>
      </c>
      <c r="H121" t="s">
        <v>2956</v>
      </c>
      <c r="I121" s="451" t="s">
        <v>26</v>
      </c>
      <c r="J121" s="451">
        <v>3</v>
      </c>
      <c r="K121" s="451" t="s">
        <v>324</v>
      </c>
      <c r="L121" t="s">
        <v>2948</v>
      </c>
      <c r="M121">
        <v>12</v>
      </c>
    </row>
    <row r="122" spans="1:21" x14ac:dyDescent="0.25">
      <c r="A122" s="451" t="s">
        <v>476</v>
      </c>
      <c r="B122">
        <v>2025</v>
      </c>
      <c r="C122" s="451">
        <v>1</v>
      </c>
      <c r="D122" s="119">
        <v>45761</v>
      </c>
      <c r="E122" t="s">
        <v>2958</v>
      </c>
      <c r="F122" s="451" t="s">
        <v>408</v>
      </c>
      <c r="G122" s="451" t="s">
        <v>30</v>
      </c>
      <c r="H122" t="s">
        <v>2956</v>
      </c>
      <c r="I122" s="451" t="s">
        <v>26</v>
      </c>
      <c r="J122" s="451">
        <v>3</v>
      </c>
      <c r="K122" s="451" t="s">
        <v>324</v>
      </c>
      <c r="L122" t="s">
        <v>2948</v>
      </c>
      <c r="M122">
        <v>13</v>
      </c>
    </row>
    <row r="123" spans="1:21" x14ac:dyDescent="0.25">
      <c r="A123" s="451" t="s">
        <v>476</v>
      </c>
      <c r="B123">
        <v>2025</v>
      </c>
      <c r="C123" s="451">
        <v>1</v>
      </c>
      <c r="D123" s="119">
        <v>45761</v>
      </c>
      <c r="E123" t="s">
        <v>2958</v>
      </c>
      <c r="F123" s="451" t="s">
        <v>408</v>
      </c>
      <c r="G123" s="451" t="s">
        <v>30</v>
      </c>
      <c r="H123" t="s">
        <v>2956</v>
      </c>
      <c r="I123" s="451" t="s">
        <v>26</v>
      </c>
      <c r="J123" s="451">
        <v>3</v>
      </c>
      <c r="K123" s="451" t="s">
        <v>324</v>
      </c>
      <c r="L123" t="s">
        <v>2948</v>
      </c>
      <c r="M123">
        <v>14</v>
      </c>
    </row>
    <row r="124" spans="1:21" x14ac:dyDescent="0.25">
      <c r="A124" s="451" t="s">
        <v>476</v>
      </c>
      <c r="B124">
        <v>2025</v>
      </c>
      <c r="C124" s="451">
        <v>1</v>
      </c>
      <c r="D124" s="119">
        <v>45761</v>
      </c>
      <c r="E124" t="s">
        <v>2958</v>
      </c>
      <c r="F124" s="451" t="s">
        <v>408</v>
      </c>
      <c r="G124" s="451" t="s">
        <v>30</v>
      </c>
      <c r="H124" t="s">
        <v>2956</v>
      </c>
      <c r="I124" s="451" t="s">
        <v>26</v>
      </c>
      <c r="J124" s="451">
        <v>3</v>
      </c>
      <c r="K124" s="451" t="s">
        <v>324</v>
      </c>
      <c r="L124" t="s">
        <v>2948</v>
      </c>
      <c r="M124">
        <v>15</v>
      </c>
    </row>
    <row r="125" spans="1:21" x14ac:dyDescent="0.25">
      <c r="A125" s="451" t="s">
        <v>476</v>
      </c>
      <c r="B125">
        <v>2025</v>
      </c>
      <c r="C125" s="451">
        <v>1</v>
      </c>
      <c r="D125" s="119">
        <v>45761</v>
      </c>
      <c r="E125" t="s">
        <v>2958</v>
      </c>
      <c r="F125" s="451" t="s">
        <v>408</v>
      </c>
      <c r="G125" s="451" t="s">
        <v>30</v>
      </c>
      <c r="H125" t="s">
        <v>2956</v>
      </c>
      <c r="I125" s="451" t="s">
        <v>26</v>
      </c>
      <c r="J125" s="451">
        <v>3</v>
      </c>
      <c r="K125" s="451" t="s">
        <v>324</v>
      </c>
      <c r="L125" t="s">
        <v>2948</v>
      </c>
      <c r="M125">
        <v>16</v>
      </c>
    </row>
    <row r="126" spans="1:21" x14ac:dyDescent="0.25">
      <c r="A126" s="451" t="s">
        <v>476</v>
      </c>
      <c r="B126">
        <v>2025</v>
      </c>
      <c r="C126" s="451">
        <v>1</v>
      </c>
      <c r="D126" s="119">
        <v>45761</v>
      </c>
      <c r="E126" t="s">
        <v>2958</v>
      </c>
      <c r="F126" s="451" t="s">
        <v>408</v>
      </c>
      <c r="G126" s="451" t="s">
        <v>30</v>
      </c>
      <c r="H126" t="s">
        <v>2956</v>
      </c>
      <c r="I126" s="451" t="s">
        <v>26</v>
      </c>
      <c r="J126" s="451">
        <v>3</v>
      </c>
      <c r="K126" s="451" t="s">
        <v>324</v>
      </c>
      <c r="L126" t="s">
        <v>2948</v>
      </c>
      <c r="M126">
        <v>17</v>
      </c>
    </row>
    <row r="127" spans="1:21" x14ac:dyDescent="0.25">
      <c r="A127" s="451" t="s">
        <v>476</v>
      </c>
      <c r="B127">
        <v>2025</v>
      </c>
      <c r="C127" s="451">
        <v>1</v>
      </c>
      <c r="D127" s="119">
        <v>45761</v>
      </c>
      <c r="E127" t="s">
        <v>2958</v>
      </c>
      <c r="F127" s="451" t="s">
        <v>408</v>
      </c>
      <c r="G127" s="451" t="s">
        <v>30</v>
      </c>
      <c r="H127" t="s">
        <v>2956</v>
      </c>
      <c r="I127" s="451" t="s">
        <v>26</v>
      </c>
      <c r="J127" s="451">
        <v>3</v>
      </c>
      <c r="K127" s="451" t="s">
        <v>324</v>
      </c>
      <c r="L127" t="s">
        <v>2948</v>
      </c>
      <c r="M127">
        <v>18</v>
      </c>
    </row>
    <row r="128" spans="1:21" x14ac:dyDescent="0.25">
      <c r="A128" s="451" t="s">
        <v>476</v>
      </c>
      <c r="B128">
        <v>2025</v>
      </c>
      <c r="C128" s="451">
        <v>1</v>
      </c>
      <c r="D128" s="119">
        <v>45761</v>
      </c>
      <c r="E128" t="s">
        <v>2959</v>
      </c>
      <c r="F128" s="451" t="s">
        <v>408</v>
      </c>
      <c r="G128" s="451" t="s">
        <v>30</v>
      </c>
      <c r="H128" t="s">
        <v>2956</v>
      </c>
      <c r="I128" s="451" t="s">
        <v>26</v>
      </c>
      <c r="J128" s="451">
        <v>4</v>
      </c>
      <c r="K128" s="451" t="s">
        <v>325</v>
      </c>
      <c r="L128" t="s">
        <v>2949</v>
      </c>
      <c r="M128">
        <v>1</v>
      </c>
      <c r="N128">
        <v>5</v>
      </c>
      <c r="U128">
        <v>0</v>
      </c>
    </row>
    <row r="129" spans="1:21" x14ac:dyDescent="0.25">
      <c r="A129" s="451" t="s">
        <v>476</v>
      </c>
      <c r="B129">
        <v>2025</v>
      </c>
      <c r="C129" s="451">
        <v>1</v>
      </c>
      <c r="D129" s="119">
        <v>45761</v>
      </c>
      <c r="E129" t="s">
        <v>2959</v>
      </c>
      <c r="F129" s="451" t="s">
        <v>408</v>
      </c>
      <c r="G129" s="451" t="s">
        <v>30</v>
      </c>
      <c r="H129" t="s">
        <v>2956</v>
      </c>
      <c r="I129" s="451" t="s">
        <v>26</v>
      </c>
      <c r="J129" s="451">
        <v>4</v>
      </c>
      <c r="K129" s="451" t="s">
        <v>325</v>
      </c>
      <c r="L129" t="s">
        <v>2949</v>
      </c>
      <c r="M129">
        <v>2</v>
      </c>
      <c r="N129">
        <v>5</v>
      </c>
      <c r="U129">
        <v>2</v>
      </c>
    </row>
    <row r="130" spans="1:21" x14ac:dyDescent="0.25">
      <c r="A130" s="451" t="s">
        <v>476</v>
      </c>
      <c r="B130">
        <v>2025</v>
      </c>
      <c r="C130" s="451">
        <v>1</v>
      </c>
      <c r="D130" s="119">
        <v>45761</v>
      </c>
      <c r="E130" t="s">
        <v>2959</v>
      </c>
      <c r="F130" s="451" t="s">
        <v>408</v>
      </c>
      <c r="G130" s="451" t="s">
        <v>30</v>
      </c>
      <c r="H130" t="s">
        <v>2956</v>
      </c>
      <c r="I130" s="451" t="s">
        <v>26</v>
      </c>
      <c r="J130" s="451">
        <v>4</v>
      </c>
      <c r="K130" s="451" t="s">
        <v>325</v>
      </c>
      <c r="L130" t="s">
        <v>2949</v>
      </c>
      <c r="M130">
        <v>3</v>
      </c>
      <c r="N130">
        <v>4</v>
      </c>
      <c r="U130">
        <v>0</v>
      </c>
    </row>
    <row r="131" spans="1:21" x14ac:dyDescent="0.25">
      <c r="A131" s="451" t="s">
        <v>476</v>
      </c>
      <c r="B131">
        <v>2025</v>
      </c>
      <c r="C131" s="451">
        <v>1</v>
      </c>
      <c r="D131" s="119">
        <v>45761</v>
      </c>
      <c r="E131" t="s">
        <v>2959</v>
      </c>
      <c r="F131" s="451" t="s">
        <v>408</v>
      </c>
      <c r="G131" s="451" t="s">
        <v>30</v>
      </c>
      <c r="H131" t="s">
        <v>2956</v>
      </c>
      <c r="I131" s="451" t="s">
        <v>26</v>
      </c>
      <c r="J131" s="451">
        <v>4</v>
      </c>
      <c r="K131" s="451" t="s">
        <v>325</v>
      </c>
      <c r="L131" t="s">
        <v>2949</v>
      </c>
      <c r="M131">
        <v>4</v>
      </c>
      <c r="N131">
        <v>3</v>
      </c>
      <c r="U131">
        <v>1</v>
      </c>
    </row>
    <row r="132" spans="1:21" x14ac:dyDescent="0.25">
      <c r="A132" s="451" t="s">
        <v>476</v>
      </c>
      <c r="B132">
        <v>2025</v>
      </c>
      <c r="C132" s="451">
        <v>1</v>
      </c>
      <c r="D132" s="119">
        <v>45761</v>
      </c>
      <c r="E132" t="s">
        <v>2959</v>
      </c>
      <c r="F132" s="451" t="s">
        <v>408</v>
      </c>
      <c r="G132" s="451" t="s">
        <v>30</v>
      </c>
      <c r="H132" t="s">
        <v>2956</v>
      </c>
      <c r="I132" s="451" t="s">
        <v>26</v>
      </c>
      <c r="J132" s="451">
        <v>4</v>
      </c>
      <c r="K132" s="451" t="s">
        <v>325</v>
      </c>
      <c r="L132" t="s">
        <v>2949</v>
      </c>
      <c r="M132">
        <v>5</v>
      </c>
      <c r="N132">
        <v>4</v>
      </c>
      <c r="U132">
        <v>2</v>
      </c>
    </row>
    <row r="133" spans="1:21" x14ac:dyDescent="0.25">
      <c r="A133" s="451" t="s">
        <v>476</v>
      </c>
      <c r="B133">
        <v>2025</v>
      </c>
      <c r="C133" s="451">
        <v>1</v>
      </c>
      <c r="D133" s="119">
        <v>45761</v>
      </c>
      <c r="E133" t="s">
        <v>2959</v>
      </c>
      <c r="F133" s="451" t="s">
        <v>408</v>
      </c>
      <c r="G133" s="451" t="s">
        <v>30</v>
      </c>
      <c r="H133" t="s">
        <v>2956</v>
      </c>
      <c r="I133" s="451" t="s">
        <v>26</v>
      </c>
      <c r="J133" s="451">
        <v>4</v>
      </c>
      <c r="K133" s="451" t="s">
        <v>325</v>
      </c>
      <c r="L133" t="s">
        <v>2949</v>
      </c>
      <c r="M133">
        <v>6</v>
      </c>
      <c r="N133">
        <v>5</v>
      </c>
      <c r="U133">
        <v>1</v>
      </c>
    </row>
    <row r="134" spans="1:21" x14ac:dyDescent="0.25">
      <c r="A134" s="451" t="s">
        <v>476</v>
      </c>
      <c r="B134">
        <v>2025</v>
      </c>
      <c r="C134" s="451">
        <v>1</v>
      </c>
      <c r="D134" s="119">
        <v>45761</v>
      </c>
      <c r="E134" t="s">
        <v>2959</v>
      </c>
      <c r="F134" s="451" t="s">
        <v>408</v>
      </c>
      <c r="G134" s="451" t="s">
        <v>30</v>
      </c>
      <c r="H134" t="s">
        <v>2956</v>
      </c>
      <c r="I134" s="451" t="s">
        <v>26</v>
      </c>
      <c r="J134" s="451">
        <v>4</v>
      </c>
      <c r="K134" s="451" t="s">
        <v>325</v>
      </c>
      <c r="L134" t="s">
        <v>2949</v>
      </c>
      <c r="M134">
        <v>7</v>
      </c>
      <c r="N134">
        <v>5</v>
      </c>
      <c r="U134">
        <v>2</v>
      </c>
    </row>
    <row r="135" spans="1:21" x14ac:dyDescent="0.25">
      <c r="A135" s="451" t="s">
        <v>476</v>
      </c>
      <c r="B135">
        <v>2025</v>
      </c>
      <c r="C135" s="451">
        <v>1</v>
      </c>
      <c r="D135" s="119">
        <v>45761</v>
      </c>
      <c r="E135" t="s">
        <v>2959</v>
      </c>
      <c r="F135" s="451" t="s">
        <v>408</v>
      </c>
      <c r="G135" s="451" t="s">
        <v>30</v>
      </c>
      <c r="H135" t="s">
        <v>2956</v>
      </c>
      <c r="I135" s="451" t="s">
        <v>26</v>
      </c>
      <c r="J135" s="451">
        <v>4</v>
      </c>
      <c r="K135" s="451" t="s">
        <v>325</v>
      </c>
      <c r="L135" t="s">
        <v>2949</v>
      </c>
      <c r="M135">
        <v>8</v>
      </c>
      <c r="N135">
        <v>3</v>
      </c>
      <c r="U135">
        <v>2</v>
      </c>
    </row>
    <row r="136" spans="1:21" x14ac:dyDescent="0.25">
      <c r="A136" s="451" t="s">
        <v>476</v>
      </c>
      <c r="B136">
        <v>2025</v>
      </c>
      <c r="C136" s="451">
        <v>1</v>
      </c>
      <c r="D136" s="119">
        <v>45761</v>
      </c>
      <c r="E136" t="s">
        <v>2959</v>
      </c>
      <c r="F136" s="451" t="s">
        <v>408</v>
      </c>
      <c r="G136" s="451" t="s">
        <v>30</v>
      </c>
      <c r="H136" t="s">
        <v>2956</v>
      </c>
      <c r="I136" s="451" t="s">
        <v>26</v>
      </c>
      <c r="J136" s="451">
        <v>4</v>
      </c>
      <c r="K136" s="451" t="s">
        <v>325</v>
      </c>
      <c r="L136" t="s">
        <v>2949</v>
      </c>
      <c r="M136">
        <v>9</v>
      </c>
      <c r="N136">
        <v>4</v>
      </c>
      <c r="U136">
        <v>2</v>
      </c>
    </row>
    <row r="137" spans="1:21" x14ac:dyDescent="0.25">
      <c r="A137" s="451" t="s">
        <v>476</v>
      </c>
      <c r="B137">
        <v>2025</v>
      </c>
      <c r="C137" s="451">
        <v>1</v>
      </c>
      <c r="D137" s="119">
        <v>45761</v>
      </c>
      <c r="E137" t="s">
        <v>2959</v>
      </c>
      <c r="F137" s="451" t="s">
        <v>408</v>
      </c>
      <c r="G137" s="451" t="s">
        <v>30</v>
      </c>
      <c r="H137" t="s">
        <v>2956</v>
      </c>
      <c r="I137" s="451" t="s">
        <v>26</v>
      </c>
      <c r="J137" s="451">
        <v>4</v>
      </c>
      <c r="K137" s="451" t="s">
        <v>325</v>
      </c>
      <c r="L137" t="s">
        <v>2949</v>
      </c>
      <c r="M137">
        <v>10</v>
      </c>
    </row>
    <row r="138" spans="1:21" x14ac:dyDescent="0.25">
      <c r="A138" s="451" t="s">
        <v>476</v>
      </c>
      <c r="B138">
        <v>2025</v>
      </c>
      <c r="C138" s="451">
        <v>1</v>
      </c>
      <c r="D138" s="119">
        <v>45761</v>
      </c>
      <c r="E138" t="s">
        <v>2959</v>
      </c>
      <c r="F138" s="451" t="s">
        <v>408</v>
      </c>
      <c r="G138" s="451" t="s">
        <v>30</v>
      </c>
      <c r="H138" t="s">
        <v>2956</v>
      </c>
      <c r="I138" s="451" t="s">
        <v>26</v>
      </c>
      <c r="J138" s="451">
        <v>4</v>
      </c>
      <c r="K138" s="451" t="s">
        <v>325</v>
      </c>
      <c r="L138" t="s">
        <v>2949</v>
      </c>
      <c r="M138">
        <v>11</v>
      </c>
    </row>
    <row r="139" spans="1:21" x14ac:dyDescent="0.25">
      <c r="A139" s="451" t="s">
        <v>476</v>
      </c>
      <c r="B139">
        <v>2025</v>
      </c>
      <c r="C139" s="451">
        <v>1</v>
      </c>
      <c r="D139" s="119">
        <v>45761</v>
      </c>
      <c r="E139" t="s">
        <v>2959</v>
      </c>
      <c r="F139" s="451" t="s">
        <v>408</v>
      </c>
      <c r="G139" s="451" t="s">
        <v>30</v>
      </c>
      <c r="H139" t="s">
        <v>2956</v>
      </c>
      <c r="I139" s="451" t="s">
        <v>26</v>
      </c>
      <c r="J139" s="451">
        <v>4</v>
      </c>
      <c r="K139" s="451" t="s">
        <v>325</v>
      </c>
      <c r="L139" t="s">
        <v>2949</v>
      </c>
      <c r="M139">
        <v>12</v>
      </c>
    </row>
    <row r="140" spans="1:21" x14ac:dyDescent="0.25">
      <c r="A140" s="451" t="s">
        <v>476</v>
      </c>
      <c r="B140">
        <v>2025</v>
      </c>
      <c r="C140" s="451">
        <v>1</v>
      </c>
      <c r="D140" s="119">
        <v>45761</v>
      </c>
      <c r="E140" t="s">
        <v>2959</v>
      </c>
      <c r="F140" s="451" t="s">
        <v>408</v>
      </c>
      <c r="G140" s="451" t="s">
        <v>30</v>
      </c>
      <c r="H140" t="s">
        <v>2956</v>
      </c>
      <c r="I140" s="451" t="s">
        <v>26</v>
      </c>
      <c r="J140" s="451">
        <v>4</v>
      </c>
      <c r="K140" s="451" t="s">
        <v>325</v>
      </c>
      <c r="L140" t="s">
        <v>2949</v>
      </c>
      <c r="M140">
        <v>13</v>
      </c>
    </row>
    <row r="141" spans="1:21" x14ac:dyDescent="0.25">
      <c r="A141" s="451" t="s">
        <v>476</v>
      </c>
      <c r="B141">
        <v>2025</v>
      </c>
      <c r="C141" s="451">
        <v>1</v>
      </c>
      <c r="D141" s="119">
        <v>45761</v>
      </c>
      <c r="E141" t="s">
        <v>2959</v>
      </c>
      <c r="F141" s="451" t="s">
        <v>408</v>
      </c>
      <c r="G141" s="451" t="s">
        <v>30</v>
      </c>
      <c r="H141" t="s">
        <v>2956</v>
      </c>
      <c r="I141" s="451" t="s">
        <v>26</v>
      </c>
      <c r="J141" s="451">
        <v>4</v>
      </c>
      <c r="K141" s="451" t="s">
        <v>325</v>
      </c>
      <c r="L141" t="s">
        <v>2949</v>
      </c>
      <c r="M141">
        <v>14</v>
      </c>
    </row>
    <row r="142" spans="1:21" x14ac:dyDescent="0.25">
      <c r="A142" s="451" t="s">
        <v>476</v>
      </c>
      <c r="B142">
        <v>2025</v>
      </c>
      <c r="C142" s="451">
        <v>1</v>
      </c>
      <c r="D142" s="119">
        <v>45761</v>
      </c>
      <c r="E142" t="s">
        <v>2959</v>
      </c>
      <c r="F142" s="451" t="s">
        <v>408</v>
      </c>
      <c r="G142" s="451" t="s">
        <v>30</v>
      </c>
      <c r="H142" t="s">
        <v>2956</v>
      </c>
      <c r="I142" s="451" t="s">
        <v>26</v>
      </c>
      <c r="J142" s="451">
        <v>4</v>
      </c>
      <c r="K142" s="451" t="s">
        <v>325</v>
      </c>
      <c r="L142" t="s">
        <v>2949</v>
      </c>
      <c r="M142">
        <v>15</v>
      </c>
    </row>
    <row r="143" spans="1:21" x14ac:dyDescent="0.25">
      <c r="A143" s="451" t="s">
        <v>476</v>
      </c>
      <c r="B143">
        <v>2025</v>
      </c>
      <c r="C143" s="451">
        <v>1</v>
      </c>
      <c r="D143" s="119">
        <v>45761</v>
      </c>
      <c r="E143" t="s">
        <v>2959</v>
      </c>
      <c r="F143" s="451" t="s">
        <v>408</v>
      </c>
      <c r="G143" s="451" t="s">
        <v>30</v>
      </c>
      <c r="H143" t="s">
        <v>2956</v>
      </c>
      <c r="I143" s="451" t="s">
        <v>26</v>
      </c>
      <c r="J143" s="451">
        <v>4</v>
      </c>
      <c r="K143" s="451" t="s">
        <v>325</v>
      </c>
      <c r="L143" t="s">
        <v>2949</v>
      </c>
      <c r="M143">
        <v>16</v>
      </c>
    </row>
    <row r="144" spans="1:21" x14ac:dyDescent="0.25">
      <c r="A144" s="451" t="s">
        <v>476</v>
      </c>
      <c r="B144">
        <v>2025</v>
      </c>
      <c r="C144" s="451">
        <v>1</v>
      </c>
      <c r="D144" s="119">
        <v>45761</v>
      </c>
      <c r="E144" t="s">
        <v>2959</v>
      </c>
      <c r="F144" s="451" t="s">
        <v>408</v>
      </c>
      <c r="G144" s="451" t="s">
        <v>30</v>
      </c>
      <c r="H144" t="s">
        <v>2956</v>
      </c>
      <c r="I144" s="451" t="s">
        <v>26</v>
      </c>
      <c r="J144" s="451">
        <v>4</v>
      </c>
      <c r="K144" s="451" t="s">
        <v>325</v>
      </c>
      <c r="L144" t="s">
        <v>2949</v>
      </c>
      <c r="M144">
        <v>17</v>
      </c>
    </row>
    <row r="145" spans="1:13" x14ac:dyDescent="0.25">
      <c r="A145" s="451" t="s">
        <v>476</v>
      </c>
      <c r="B145">
        <v>2025</v>
      </c>
      <c r="C145" s="451">
        <v>1</v>
      </c>
      <c r="D145" s="119">
        <v>45761</v>
      </c>
      <c r="E145" t="s">
        <v>2959</v>
      </c>
      <c r="F145" s="451" t="s">
        <v>408</v>
      </c>
      <c r="G145" s="451" t="s">
        <v>30</v>
      </c>
      <c r="H145" t="s">
        <v>2956</v>
      </c>
      <c r="I145" s="451" t="s">
        <v>26</v>
      </c>
      <c r="J145" s="451">
        <v>4</v>
      </c>
      <c r="K145" s="451" t="s">
        <v>325</v>
      </c>
      <c r="L145" t="s">
        <v>2949</v>
      </c>
      <c r="M145">
        <v>18</v>
      </c>
    </row>
  </sheetData>
  <phoneticPr fontId="5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F31F-8C2A-4D68-9078-DB119257A835}">
  <sheetPr codeName="Sheet31"/>
  <dimension ref="A1:U9"/>
  <sheetViews>
    <sheetView workbookViewId="0">
      <selection sqref="A1:U2"/>
    </sheetView>
  </sheetViews>
  <sheetFormatPr defaultRowHeight="13.2" x14ac:dyDescent="0.25"/>
  <cols>
    <col min="1" max="1" width="23.21875" bestFit="1" customWidth="1"/>
    <col min="2" max="2" width="13.5546875" bestFit="1" customWidth="1"/>
    <col min="3" max="3" width="13.33203125" bestFit="1" customWidth="1"/>
    <col min="4" max="4" width="12.44140625" bestFit="1" customWidth="1"/>
    <col min="5" max="5" width="28.21875" bestFit="1" customWidth="1"/>
    <col min="6" max="6" width="12.5546875" bestFit="1" customWidth="1"/>
    <col min="7" max="7" width="9.77734375" bestFit="1" customWidth="1"/>
    <col min="8" max="8" width="14.44140625" bestFit="1" customWidth="1"/>
    <col min="9" max="9" width="11.88671875" bestFit="1" customWidth="1"/>
    <col min="10" max="10" width="10.33203125" bestFit="1" customWidth="1"/>
    <col min="11" max="11" width="19.77734375" bestFit="1" customWidth="1"/>
    <col min="12" max="12" width="25" bestFit="1" customWidth="1"/>
    <col min="13" max="13" width="8.5546875" bestFit="1" customWidth="1"/>
    <col min="14" max="14" width="7.77734375" bestFit="1" customWidth="1"/>
    <col min="15" max="15" width="6.21875" bestFit="1" customWidth="1"/>
    <col min="16" max="16" width="13.6640625" bestFit="1" customWidth="1"/>
    <col min="17" max="17" width="13.33203125" bestFit="1" customWidth="1"/>
    <col min="18" max="18" width="19.6640625" bestFit="1" customWidth="1"/>
    <col min="19" max="19" width="11.77734375" bestFit="1" customWidth="1"/>
    <col min="20" max="20" width="13.109375" customWidth="1"/>
    <col min="21" max="21" width="12" bestFit="1" customWidth="1"/>
    <col min="22" max="22" width="12" customWidth="1"/>
    <col min="23" max="23" width="13.109375" bestFit="1" customWidth="1"/>
    <col min="24" max="24" width="12" bestFit="1" customWidth="1"/>
    <col min="25" max="25" width="20.21875" bestFit="1" customWidth="1"/>
    <col min="26" max="26" width="12.5546875" bestFit="1" customWidth="1"/>
    <col min="27" max="27" width="8.5546875" bestFit="1" customWidth="1"/>
    <col min="28" max="28" width="6.21875" bestFit="1" customWidth="1"/>
    <col min="29" max="34" width="9" bestFit="1" customWidth="1"/>
  </cols>
  <sheetData>
    <row r="1" spans="1:21" x14ac:dyDescent="0.25">
      <c r="A1" t="s">
        <v>2566</v>
      </c>
      <c r="B1" t="s">
        <v>2736</v>
      </c>
      <c r="C1" t="s">
        <v>2753</v>
      </c>
      <c r="D1" t="s">
        <v>2754</v>
      </c>
      <c r="E1" t="s">
        <v>2857</v>
      </c>
      <c r="F1" t="s">
        <v>352</v>
      </c>
      <c r="G1" t="s">
        <v>8</v>
      </c>
      <c r="H1" t="s">
        <v>2234</v>
      </c>
      <c r="I1" t="s">
        <v>351</v>
      </c>
      <c r="J1" t="s">
        <v>353</v>
      </c>
      <c r="K1" t="s">
        <v>83</v>
      </c>
      <c r="L1" t="s">
        <v>2768</v>
      </c>
      <c r="M1" t="s">
        <v>145</v>
      </c>
      <c r="N1" t="s">
        <v>364</v>
      </c>
      <c r="O1" t="s">
        <v>144</v>
      </c>
      <c r="P1" t="s">
        <v>2722</v>
      </c>
      <c r="Q1" t="s">
        <v>2723</v>
      </c>
      <c r="R1" t="s">
        <v>2724</v>
      </c>
      <c r="S1" t="s">
        <v>2725</v>
      </c>
      <c r="T1" t="s">
        <v>2726</v>
      </c>
      <c r="U1" t="s">
        <v>2721</v>
      </c>
    </row>
    <row r="2" spans="1:21" x14ac:dyDescent="0.25">
      <c r="A2" t="s">
        <v>476</v>
      </c>
      <c r="B2">
        <v>2025</v>
      </c>
      <c r="C2">
        <v>1</v>
      </c>
      <c r="D2" s="119">
        <v>45761</v>
      </c>
      <c r="E2" t="s">
        <v>2960</v>
      </c>
      <c r="F2" t="s">
        <v>408</v>
      </c>
      <c r="G2" t="s">
        <v>26</v>
      </c>
      <c r="H2" t="s">
        <v>2951</v>
      </c>
      <c r="I2" t="s">
        <v>30</v>
      </c>
      <c r="J2">
        <v>1</v>
      </c>
      <c r="K2" t="s">
        <v>146</v>
      </c>
      <c r="L2" t="s">
        <v>2942</v>
      </c>
      <c r="M2">
        <v>45</v>
      </c>
      <c r="N2">
        <v>3.46</v>
      </c>
      <c r="O2">
        <v>42</v>
      </c>
      <c r="S2">
        <v>0</v>
      </c>
      <c r="T2">
        <v>6</v>
      </c>
      <c r="U2" t="b">
        <v>0</v>
      </c>
    </row>
    <row r="3" spans="1:21" x14ac:dyDescent="0.25">
      <c r="A3" t="s">
        <v>476</v>
      </c>
      <c r="B3">
        <v>2025</v>
      </c>
      <c r="C3">
        <v>1</v>
      </c>
      <c r="D3" s="119">
        <v>45761</v>
      </c>
      <c r="E3" t="s">
        <v>2961</v>
      </c>
      <c r="F3" t="s">
        <v>408</v>
      </c>
      <c r="G3" t="s">
        <v>26</v>
      </c>
      <c r="H3" t="s">
        <v>2951</v>
      </c>
      <c r="I3" t="s">
        <v>30</v>
      </c>
      <c r="J3">
        <v>2</v>
      </c>
      <c r="K3" t="s">
        <v>311</v>
      </c>
      <c r="L3" t="s">
        <v>2943</v>
      </c>
      <c r="M3">
        <v>45</v>
      </c>
      <c r="N3">
        <v>4.8</v>
      </c>
      <c r="O3">
        <v>40</v>
      </c>
      <c r="S3">
        <v>0</v>
      </c>
      <c r="T3">
        <v>7</v>
      </c>
      <c r="U3" t="b">
        <v>0</v>
      </c>
    </row>
    <row r="4" spans="1:21" x14ac:dyDescent="0.25">
      <c r="A4" t="s">
        <v>476</v>
      </c>
      <c r="B4">
        <v>2025</v>
      </c>
      <c r="C4">
        <v>1</v>
      </c>
      <c r="D4" s="119">
        <v>45761</v>
      </c>
      <c r="E4" t="s">
        <v>2962</v>
      </c>
      <c r="F4" t="s">
        <v>408</v>
      </c>
      <c r="G4" t="s">
        <v>26</v>
      </c>
      <c r="H4" t="s">
        <v>2951</v>
      </c>
      <c r="I4" t="s">
        <v>30</v>
      </c>
      <c r="J4">
        <v>3</v>
      </c>
      <c r="K4" t="s">
        <v>100</v>
      </c>
      <c r="L4" t="s">
        <v>2944</v>
      </c>
      <c r="M4">
        <v>46</v>
      </c>
      <c r="N4">
        <v>5.76</v>
      </c>
      <c r="O4">
        <v>40</v>
      </c>
      <c r="S4">
        <v>0</v>
      </c>
      <c r="T4">
        <v>9</v>
      </c>
      <c r="U4" t="b">
        <v>0</v>
      </c>
    </row>
    <row r="5" spans="1:21" x14ac:dyDescent="0.25">
      <c r="A5" t="s">
        <v>476</v>
      </c>
      <c r="B5">
        <v>2025</v>
      </c>
      <c r="C5">
        <v>1</v>
      </c>
      <c r="D5" s="119">
        <v>45761</v>
      </c>
      <c r="E5" t="s">
        <v>2963</v>
      </c>
      <c r="F5" t="s">
        <v>408</v>
      </c>
      <c r="G5" t="s">
        <v>26</v>
      </c>
      <c r="H5" t="s">
        <v>2951</v>
      </c>
      <c r="I5" t="s">
        <v>30</v>
      </c>
      <c r="J5">
        <v>4</v>
      </c>
      <c r="K5" t="s">
        <v>309</v>
      </c>
      <c r="L5" t="s">
        <v>2945</v>
      </c>
      <c r="M5">
        <v>54</v>
      </c>
      <c r="N5">
        <v>13.25</v>
      </c>
      <c r="O5">
        <v>41</v>
      </c>
      <c r="S5">
        <v>0</v>
      </c>
      <c r="T5">
        <v>6</v>
      </c>
      <c r="U5" t="b">
        <v>0</v>
      </c>
    </row>
    <row r="6" spans="1:21" x14ac:dyDescent="0.25">
      <c r="A6" t="s">
        <v>476</v>
      </c>
      <c r="B6">
        <v>2025</v>
      </c>
      <c r="C6">
        <v>1</v>
      </c>
      <c r="D6" s="119">
        <v>45761</v>
      </c>
      <c r="E6" t="s">
        <v>2964</v>
      </c>
      <c r="F6" t="s">
        <v>408</v>
      </c>
      <c r="G6" t="s">
        <v>30</v>
      </c>
      <c r="H6" t="s">
        <v>2956</v>
      </c>
      <c r="I6" t="s">
        <v>26</v>
      </c>
      <c r="J6">
        <v>1</v>
      </c>
      <c r="K6" t="s">
        <v>323</v>
      </c>
      <c r="L6" t="s">
        <v>2946</v>
      </c>
      <c r="M6">
        <v>38</v>
      </c>
      <c r="N6">
        <v>0</v>
      </c>
      <c r="O6">
        <v>38</v>
      </c>
      <c r="S6">
        <v>2</v>
      </c>
      <c r="T6">
        <v>14</v>
      </c>
      <c r="U6" t="b">
        <v>0</v>
      </c>
    </row>
    <row r="7" spans="1:21" x14ac:dyDescent="0.25">
      <c r="A7" t="s">
        <v>476</v>
      </c>
      <c r="B7">
        <v>2025</v>
      </c>
      <c r="C7">
        <v>1</v>
      </c>
      <c r="D7" s="119">
        <v>45761</v>
      </c>
      <c r="E7" t="s">
        <v>2965</v>
      </c>
      <c r="F7" t="s">
        <v>408</v>
      </c>
      <c r="G7" t="s">
        <v>30</v>
      </c>
      <c r="H7" t="s">
        <v>2956</v>
      </c>
      <c r="I7" t="s">
        <v>26</v>
      </c>
      <c r="J7">
        <v>2</v>
      </c>
      <c r="K7" t="s">
        <v>326</v>
      </c>
      <c r="L7" t="s">
        <v>2947</v>
      </c>
      <c r="M7">
        <v>38</v>
      </c>
      <c r="N7">
        <v>0</v>
      </c>
      <c r="O7">
        <v>38</v>
      </c>
      <c r="S7">
        <v>2</v>
      </c>
      <c r="T7">
        <v>13</v>
      </c>
      <c r="U7" t="b">
        <v>0</v>
      </c>
    </row>
    <row r="8" spans="1:21" x14ac:dyDescent="0.25">
      <c r="A8" t="s">
        <v>476</v>
      </c>
      <c r="B8">
        <v>2025</v>
      </c>
      <c r="C8">
        <v>1</v>
      </c>
      <c r="D8" s="119">
        <v>45761</v>
      </c>
      <c r="E8" t="s">
        <v>2966</v>
      </c>
      <c r="F8" t="s">
        <v>408</v>
      </c>
      <c r="G8" t="s">
        <v>30</v>
      </c>
      <c r="H8" t="s">
        <v>2956</v>
      </c>
      <c r="I8" t="s">
        <v>26</v>
      </c>
      <c r="J8">
        <v>3</v>
      </c>
      <c r="K8" t="s">
        <v>324</v>
      </c>
      <c r="L8" t="s">
        <v>2948</v>
      </c>
      <c r="M8">
        <v>38</v>
      </c>
      <c r="N8">
        <v>0</v>
      </c>
      <c r="O8">
        <v>38</v>
      </c>
      <c r="S8">
        <v>2</v>
      </c>
      <c r="T8">
        <v>11</v>
      </c>
      <c r="U8" t="b">
        <v>0</v>
      </c>
    </row>
    <row r="9" spans="1:21" x14ac:dyDescent="0.25">
      <c r="A9" t="s">
        <v>476</v>
      </c>
      <c r="B9">
        <v>2025</v>
      </c>
      <c r="C9">
        <v>1</v>
      </c>
      <c r="D9" s="119">
        <v>45761</v>
      </c>
      <c r="E9" t="s">
        <v>2967</v>
      </c>
      <c r="F9" t="s">
        <v>408</v>
      </c>
      <c r="G9" t="s">
        <v>30</v>
      </c>
      <c r="H9" t="s">
        <v>2956</v>
      </c>
      <c r="I9" t="s">
        <v>26</v>
      </c>
      <c r="J9">
        <v>4</v>
      </c>
      <c r="K9" t="s">
        <v>325</v>
      </c>
      <c r="L9" t="s">
        <v>2949</v>
      </c>
      <c r="M9">
        <v>38</v>
      </c>
      <c r="N9">
        <v>0</v>
      </c>
      <c r="O9">
        <v>38</v>
      </c>
      <c r="S9">
        <v>2</v>
      </c>
      <c r="T9">
        <v>14</v>
      </c>
      <c r="U9" t="b">
        <v>0</v>
      </c>
    </row>
  </sheetData>
  <phoneticPr fontId="5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84A90-D3BB-4FF7-AB98-88D955C44AE7}">
  <dimension ref="A1:FE9"/>
  <sheetViews>
    <sheetView workbookViewId="0">
      <selection sqref="A1:FE2"/>
    </sheetView>
  </sheetViews>
  <sheetFormatPr defaultRowHeight="13.2" x14ac:dyDescent="0.25"/>
  <cols>
    <col min="1" max="1" width="23.21875" bestFit="1" customWidth="1"/>
    <col min="2" max="2" width="8.109375" bestFit="1" customWidth="1"/>
    <col min="3" max="3" width="9.109375" bestFit="1" customWidth="1"/>
    <col min="4" max="4" width="12.5546875" bestFit="1" customWidth="1"/>
    <col min="5" max="5" width="9.77734375" bestFit="1" customWidth="1"/>
    <col min="6" max="6" width="11.88671875" bestFit="1" customWidth="1"/>
    <col min="7" max="7" width="10.33203125" bestFit="1" customWidth="1"/>
    <col min="8" max="8" width="19.77734375" bestFit="1" customWidth="1"/>
    <col min="9" max="9" width="8.5546875" bestFit="1" customWidth="1"/>
    <col min="10" max="10" width="7.77734375" bestFit="1" customWidth="1"/>
    <col min="11" max="11" width="6.21875" bestFit="1" customWidth="1"/>
    <col min="12" max="12" width="11.77734375" bestFit="1" customWidth="1"/>
    <col min="13" max="13" width="11.6640625" bestFit="1" customWidth="1"/>
    <col min="14" max="14" width="13.21875" bestFit="1" customWidth="1"/>
    <col min="15" max="15" width="12.88671875" bestFit="1" customWidth="1"/>
    <col min="16" max="16" width="19.109375" bestFit="1" customWidth="1"/>
    <col min="17" max="17" width="12" bestFit="1" customWidth="1"/>
    <col min="18" max="35" width="11.33203125" bestFit="1" customWidth="1"/>
    <col min="36" max="53" width="9.21875" bestFit="1" customWidth="1"/>
    <col min="54" max="71" width="9.6640625" bestFit="1" customWidth="1"/>
    <col min="72" max="89" width="9.88671875" bestFit="1" customWidth="1"/>
    <col min="90" max="107" width="11" bestFit="1" customWidth="1"/>
    <col min="108" max="125" width="17.21875" bestFit="1" customWidth="1"/>
    <col min="126" max="143" width="14.33203125" bestFit="1" customWidth="1"/>
    <col min="144" max="161" width="11.77734375" bestFit="1" customWidth="1"/>
  </cols>
  <sheetData>
    <row r="1" spans="1:161" x14ac:dyDescent="0.25">
      <c r="A1" t="s">
        <v>2566</v>
      </c>
      <c r="B1" t="s">
        <v>7</v>
      </c>
      <c r="C1" t="s">
        <v>114</v>
      </c>
      <c r="D1" t="s">
        <v>352</v>
      </c>
      <c r="E1" t="s">
        <v>8</v>
      </c>
      <c r="F1" t="s">
        <v>351</v>
      </c>
      <c r="G1" t="s">
        <v>353</v>
      </c>
      <c r="H1" t="s">
        <v>83</v>
      </c>
      <c r="I1" t="s">
        <v>145</v>
      </c>
      <c r="J1" t="s">
        <v>364</v>
      </c>
      <c r="K1" t="s">
        <v>144</v>
      </c>
      <c r="L1" t="s">
        <v>383</v>
      </c>
      <c r="M1" t="s">
        <v>384</v>
      </c>
      <c r="N1" t="s">
        <v>2711</v>
      </c>
      <c r="O1" t="s">
        <v>404</v>
      </c>
      <c r="P1" t="s">
        <v>2712</v>
      </c>
      <c r="Q1" t="s">
        <v>2721</v>
      </c>
      <c r="R1" t="s">
        <v>2567</v>
      </c>
      <c r="S1" t="s">
        <v>2568</v>
      </c>
      <c r="T1" t="s">
        <v>2569</v>
      </c>
      <c r="U1" t="s">
        <v>2570</v>
      </c>
      <c r="V1" t="s">
        <v>2571</v>
      </c>
      <c r="W1" t="s">
        <v>2572</v>
      </c>
      <c r="X1" t="s">
        <v>2573</v>
      </c>
      <c r="Y1" t="s">
        <v>2574</v>
      </c>
      <c r="Z1" t="s">
        <v>2575</v>
      </c>
      <c r="AA1" t="s">
        <v>2576</v>
      </c>
      <c r="AB1" t="s">
        <v>2577</v>
      </c>
      <c r="AC1" t="s">
        <v>2578</v>
      </c>
      <c r="AD1" t="s">
        <v>2579</v>
      </c>
      <c r="AE1" t="s">
        <v>2580</v>
      </c>
      <c r="AF1" t="s">
        <v>2581</v>
      </c>
      <c r="AG1" t="s">
        <v>2582</v>
      </c>
      <c r="AH1" t="s">
        <v>2583</v>
      </c>
      <c r="AI1" t="s">
        <v>2584</v>
      </c>
      <c r="AJ1" t="s">
        <v>2585</v>
      </c>
      <c r="AK1" t="s">
        <v>2586</v>
      </c>
      <c r="AL1" t="s">
        <v>2587</v>
      </c>
      <c r="AM1" t="s">
        <v>2588</v>
      </c>
      <c r="AN1" t="s">
        <v>2589</v>
      </c>
      <c r="AO1" t="s">
        <v>2590</v>
      </c>
      <c r="AP1" t="s">
        <v>2591</v>
      </c>
      <c r="AQ1" t="s">
        <v>2592</v>
      </c>
      <c r="AR1" t="s">
        <v>2593</v>
      </c>
      <c r="AS1" t="s">
        <v>2594</v>
      </c>
      <c r="AT1" t="s">
        <v>2595</v>
      </c>
      <c r="AU1" t="s">
        <v>2596</v>
      </c>
      <c r="AV1" t="s">
        <v>2597</v>
      </c>
      <c r="AW1" t="s">
        <v>2598</v>
      </c>
      <c r="AX1" t="s">
        <v>2599</v>
      </c>
      <c r="AY1" t="s">
        <v>2600</v>
      </c>
      <c r="AZ1" t="s">
        <v>2601</v>
      </c>
      <c r="BA1" t="s">
        <v>2602</v>
      </c>
      <c r="BB1" t="s">
        <v>2603</v>
      </c>
      <c r="BC1" t="s">
        <v>2604</v>
      </c>
      <c r="BD1" t="s">
        <v>2605</v>
      </c>
      <c r="BE1" t="s">
        <v>2606</v>
      </c>
      <c r="BF1" t="s">
        <v>2607</v>
      </c>
      <c r="BG1" t="s">
        <v>2608</v>
      </c>
      <c r="BH1" t="s">
        <v>2609</v>
      </c>
      <c r="BI1" t="s">
        <v>2610</v>
      </c>
      <c r="BJ1" t="s">
        <v>2611</v>
      </c>
      <c r="BK1" t="s">
        <v>2612</v>
      </c>
      <c r="BL1" t="s">
        <v>2613</v>
      </c>
      <c r="BM1" t="s">
        <v>2614</v>
      </c>
      <c r="BN1" t="s">
        <v>2615</v>
      </c>
      <c r="BO1" t="s">
        <v>2616</v>
      </c>
      <c r="BP1" t="s">
        <v>2617</v>
      </c>
      <c r="BQ1" t="s">
        <v>2618</v>
      </c>
      <c r="BR1" t="s">
        <v>2619</v>
      </c>
      <c r="BS1" t="s">
        <v>2620</v>
      </c>
      <c r="BT1" t="s">
        <v>2621</v>
      </c>
      <c r="BU1" t="s">
        <v>2622</v>
      </c>
      <c r="BV1" t="s">
        <v>2623</v>
      </c>
      <c r="BW1" t="s">
        <v>2624</v>
      </c>
      <c r="BX1" t="s">
        <v>2625</v>
      </c>
      <c r="BY1" t="s">
        <v>2626</v>
      </c>
      <c r="BZ1" t="s">
        <v>2627</v>
      </c>
      <c r="CA1" t="s">
        <v>2628</v>
      </c>
      <c r="CB1" t="s">
        <v>2629</v>
      </c>
      <c r="CC1" t="s">
        <v>2630</v>
      </c>
      <c r="CD1" t="s">
        <v>2631</v>
      </c>
      <c r="CE1" t="s">
        <v>2632</v>
      </c>
      <c r="CF1" t="s">
        <v>2633</v>
      </c>
      <c r="CG1" t="s">
        <v>2634</v>
      </c>
      <c r="CH1" t="s">
        <v>2635</v>
      </c>
      <c r="CI1" t="s">
        <v>2636</v>
      </c>
      <c r="CJ1" t="s">
        <v>2637</v>
      </c>
      <c r="CK1" t="s">
        <v>2638</v>
      </c>
      <c r="CL1" t="s">
        <v>2639</v>
      </c>
      <c r="CM1" t="s">
        <v>2640</v>
      </c>
      <c r="CN1" t="s">
        <v>2641</v>
      </c>
      <c r="CO1" t="s">
        <v>2642</v>
      </c>
      <c r="CP1" t="s">
        <v>2643</v>
      </c>
      <c r="CQ1" t="s">
        <v>2644</v>
      </c>
      <c r="CR1" t="s">
        <v>2645</v>
      </c>
      <c r="CS1" t="s">
        <v>2646</v>
      </c>
      <c r="CT1" t="s">
        <v>2647</v>
      </c>
      <c r="CU1" t="s">
        <v>2648</v>
      </c>
      <c r="CV1" t="s">
        <v>2649</v>
      </c>
      <c r="CW1" t="s">
        <v>2650</v>
      </c>
      <c r="CX1" t="s">
        <v>2651</v>
      </c>
      <c r="CY1" t="s">
        <v>2652</v>
      </c>
      <c r="CZ1" t="s">
        <v>2653</v>
      </c>
      <c r="DA1" t="s">
        <v>2654</v>
      </c>
      <c r="DB1" t="s">
        <v>2655</v>
      </c>
      <c r="DC1" t="s">
        <v>2656</v>
      </c>
      <c r="DD1" t="s">
        <v>2657</v>
      </c>
      <c r="DE1" t="s">
        <v>2658</v>
      </c>
      <c r="DF1" t="s">
        <v>2659</v>
      </c>
      <c r="DG1" t="s">
        <v>2660</v>
      </c>
      <c r="DH1" t="s">
        <v>2661</v>
      </c>
      <c r="DI1" t="s">
        <v>2662</v>
      </c>
      <c r="DJ1" t="s">
        <v>2663</v>
      </c>
      <c r="DK1" t="s">
        <v>2664</v>
      </c>
      <c r="DL1" t="s">
        <v>2665</v>
      </c>
      <c r="DM1" t="s">
        <v>2666</v>
      </c>
      <c r="DN1" t="s">
        <v>2667</v>
      </c>
      <c r="DO1" t="s">
        <v>2668</v>
      </c>
      <c r="DP1" t="s">
        <v>2669</v>
      </c>
      <c r="DQ1" t="s">
        <v>2670</v>
      </c>
      <c r="DR1" t="s">
        <v>2671</v>
      </c>
      <c r="DS1" t="s">
        <v>2672</v>
      </c>
      <c r="DT1" t="s">
        <v>2673</v>
      </c>
      <c r="DU1" t="s">
        <v>2674</v>
      </c>
      <c r="DV1" t="s">
        <v>2675</v>
      </c>
      <c r="DW1" t="s">
        <v>2676</v>
      </c>
      <c r="DX1" t="s">
        <v>2677</v>
      </c>
      <c r="DY1" t="s">
        <v>2678</v>
      </c>
      <c r="DZ1" t="s">
        <v>2679</v>
      </c>
      <c r="EA1" t="s">
        <v>2680</v>
      </c>
      <c r="EB1" t="s">
        <v>2681</v>
      </c>
      <c r="EC1" t="s">
        <v>2682</v>
      </c>
      <c r="ED1" t="s">
        <v>2683</v>
      </c>
      <c r="EE1" t="s">
        <v>2684</v>
      </c>
      <c r="EF1" t="s">
        <v>2685</v>
      </c>
      <c r="EG1" t="s">
        <v>2686</v>
      </c>
      <c r="EH1" t="s">
        <v>2687</v>
      </c>
      <c r="EI1" t="s">
        <v>2688</v>
      </c>
      <c r="EJ1" t="s">
        <v>2689</v>
      </c>
      <c r="EK1" t="s">
        <v>2690</v>
      </c>
      <c r="EL1" t="s">
        <v>2691</v>
      </c>
      <c r="EM1" t="s">
        <v>2692</v>
      </c>
      <c r="EN1" t="s">
        <v>2693</v>
      </c>
      <c r="EO1" t="s">
        <v>2694</v>
      </c>
      <c r="EP1" t="s">
        <v>2695</v>
      </c>
      <c r="EQ1" t="s">
        <v>2696</v>
      </c>
      <c r="ER1" t="s">
        <v>2697</v>
      </c>
      <c r="ES1" t="s">
        <v>2698</v>
      </c>
      <c r="ET1" t="s">
        <v>2699</v>
      </c>
      <c r="EU1" t="s">
        <v>2700</v>
      </c>
      <c r="EV1" t="s">
        <v>2701</v>
      </c>
      <c r="EW1" t="s">
        <v>2702</v>
      </c>
      <c r="EX1" t="s">
        <v>2703</v>
      </c>
      <c r="EY1" t="s">
        <v>2704</v>
      </c>
      <c r="EZ1" t="s">
        <v>2705</v>
      </c>
      <c r="FA1" t="s">
        <v>2706</v>
      </c>
      <c r="FB1" t="s">
        <v>2707</v>
      </c>
      <c r="FC1" t="s">
        <v>2708</v>
      </c>
      <c r="FD1" t="s">
        <v>2709</v>
      </c>
      <c r="FE1" t="s">
        <v>2710</v>
      </c>
    </row>
    <row r="2" spans="1:161" x14ac:dyDescent="0.25">
      <c r="A2" s="451" t="s">
        <v>476</v>
      </c>
      <c r="B2" s="451">
        <v>1</v>
      </c>
      <c r="C2" s="119">
        <v>45761</v>
      </c>
      <c r="D2" s="451" t="s">
        <v>408</v>
      </c>
      <c r="E2" s="451" t="s">
        <v>26</v>
      </c>
      <c r="F2" s="451" t="s">
        <v>30</v>
      </c>
      <c r="G2" s="451">
        <v>1</v>
      </c>
      <c r="H2" s="451" t="s">
        <v>146</v>
      </c>
      <c r="I2" s="451">
        <v>45</v>
      </c>
      <c r="J2" s="451">
        <v>3.46</v>
      </c>
      <c r="K2" s="451">
        <v>42</v>
      </c>
      <c r="L2" s="451">
        <v>0</v>
      </c>
      <c r="M2" s="451">
        <v>6</v>
      </c>
      <c r="Q2" s="451" t="b">
        <v>0</v>
      </c>
      <c r="R2" s="451">
        <v>6</v>
      </c>
      <c r="S2" s="451">
        <v>5</v>
      </c>
      <c r="T2" s="451">
        <v>7</v>
      </c>
      <c r="U2" s="451">
        <v>4</v>
      </c>
      <c r="V2" s="451">
        <v>4</v>
      </c>
      <c r="W2" s="451">
        <v>5</v>
      </c>
      <c r="X2" s="451">
        <v>6</v>
      </c>
      <c r="Y2" s="451">
        <v>3</v>
      </c>
      <c r="Z2" s="451">
        <v>5</v>
      </c>
      <c r="BT2" s="451" t="s">
        <v>160</v>
      </c>
      <c r="BU2" s="451" t="s">
        <v>160</v>
      </c>
      <c r="BV2" s="451" t="s">
        <v>160</v>
      </c>
      <c r="BW2" s="451" t="s">
        <v>160</v>
      </c>
      <c r="BX2" s="451" t="s">
        <v>160</v>
      </c>
      <c r="BY2" s="451" t="s">
        <v>160</v>
      </c>
      <c r="BZ2" s="451" t="s">
        <v>160</v>
      </c>
      <c r="CA2" s="451" t="s">
        <v>160</v>
      </c>
      <c r="CB2" s="451" t="s">
        <v>160</v>
      </c>
      <c r="CL2" s="451" t="s">
        <v>160</v>
      </c>
      <c r="CM2" s="451" t="s">
        <v>160</v>
      </c>
      <c r="CN2" s="451" t="s">
        <v>160</v>
      </c>
      <c r="CO2" s="451" t="s">
        <v>160</v>
      </c>
      <c r="CP2" s="451" t="s">
        <v>160</v>
      </c>
      <c r="CQ2" s="451" t="s">
        <v>160</v>
      </c>
      <c r="CR2" s="451" t="s">
        <v>160</v>
      </c>
      <c r="CS2" s="451" t="s">
        <v>160</v>
      </c>
      <c r="CT2" s="451" t="s">
        <v>160</v>
      </c>
      <c r="EN2" s="451">
        <v>1</v>
      </c>
      <c r="EO2" s="451">
        <v>1</v>
      </c>
      <c r="EP2" s="451">
        <v>0</v>
      </c>
      <c r="EQ2" s="451">
        <v>0</v>
      </c>
      <c r="ER2" s="451">
        <v>1</v>
      </c>
      <c r="ES2" s="451">
        <v>2</v>
      </c>
      <c r="ET2" s="451">
        <v>0</v>
      </c>
      <c r="EU2" s="451">
        <v>1</v>
      </c>
      <c r="EV2" s="451">
        <v>0</v>
      </c>
    </row>
    <row r="3" spans="1:161" x14ac:dyDescent="0.25">
      <c r="A3" s="451" t="s">
        <v>476</v>
      </c>
      <c r="B3" s="451">
        <v>1</v>
      </c>
      <c r="C3" s="119">
        <v>45761</v>
      </c>
      <c r="D3" s="451" t="s">
        <v>408</v>
      </c>
      <c r="E3" s="451" t="s">
        <v>26</v>
      </c>
      <c r="F3" s="451" t="s">
        <v>30</v>
      </c>
      <c r="G3" s="451">
        <v>2</v>
      </c>
      <c r="H3" s="451" t="s">
        <v>311</v>
      </c>
      <c r="I3" s="451">
        <v>45</v>
      </c>
      <c r="J3" s="451">
        <v>4.8</v>
      </c>
      <c r="K3" s="451">
        <v>40</v>
      </c>
      <c r="L3" s="451">
        <v>0</v>
      </c>
      <c r="M3" s="451">
        <v>7</v>
      </c>
      <c r="Q3" s="451" t="b">
        <v>0</v>
      </c>
      <c r="R3" s="451">
        <v>6</v>
      </c>
      <c r="S3" s="451">
        <v>5</v>
      </c>
      <c r="T3" s="451">
        <v>5</v>
      </c>
      <c r="U3" s="451">
        <v>3</v>
      </c>
      <c r="V3" s="451">
        <v>5</v>
      </c>
      <c r="W3" s="451">
        <v>6</v>
      </c>
      <c r="X3" s="451">
        <v>7</v>
      </c>
      <c r="Y3" s="451">
        <v>3</v>
      </c>
      <c r="Z3" s="451">
        <v>5</v>
      </c>
      <c r="BT3" s="451" t="s">
        <v>160</v>
      </c>
      <c r="BU3" s="451" t="s">
        <v>160</v>
      </c>
      <c r="BV3" s="451" t="s">
        <v>160</v>
      </c>
      <c r="BW3" s="451" t="s">
        <v>160</v>
      </c>
      <c r="BX3" s="451" t="s">
        <v>160</v>
      </c>
      <c r="BY3" s="451" t="s">
        <v>160</v>
      </c>
      <c r="BZ3" s="451" t="s">
        <v>160</v>
      </c>
      <c r="CA3" s="451" t="s">
        <v>160</v>
      </c>
      <c r="CB3" s="451" t="s">
        <v>160</v>
      </c>
      <c r="CL3" s="451" t="s">
        <v>160</v>
      </c>
      <c r="CM3" s="451" t="s">
        <v>160</v>
      </c>
      <c r="CN3" s="451" t="s">
        <v>160</v>
      </c>
      <c r="CO3" s="451" t="s">
        <v>160</v>
      </c>
      <c r="CP3" s="451" t="s">
        <v>160</v>
      </c>
      <c r="CQ3" s="451" t="s">
        <v>160</v>
      </c>
      <c r="CR3" s="451" t="s">
        <v>160</v>
      </c>
      <c r="CS3" s="451" t="s">
        <v>160</v>
      </c>
      <c r="CT3" s="451" t="s">
        <v>160</v>
      </c>
      <c r="EN3" s="451">
        <v>1</v>
      </c>
      <c r="EO3" s="451">
        <v>1</v>
      </c>
      <c r="EP3" s="451">
        <v>1</v>
      </c>
      <c r="EQ3" s="451">
        <v>1</v>
      </c>
      <c r="ER3" s="451">
        <v>0</v>
      </c>
      <c r="ES3" s="451">
        <v>1</v>
      </c>
      <c r="ET3" s="451">
        <v>0</v>
      </c>
      <c r="EU3" s="451">
        <v>1</v>
      </c>
      <c r="EV3" s="451">
        <v>1</v>
      </c>
    </row>
    <row r="4" spans="1:161" x14ac:dyDescent="0.25">
      <c r="A4" s="451" t="s">
        <v>476</v>
      </c>
      <c r="B4" s="451">
        <v>1</v>
      </c>
      <c r="C4" s="119">
        <v>45761</v>
      </c>
      <c r="D4" s="451" t="s">
        <v>408</v>
      </c>
      <c r="E4" s="451" t="s">
        <v>26</v>
      </c>
      <c r="F4" s="451" t="s">
        <v>30</v>
      </c>
      <c r="G4" s="451">
        <v>3</v>
      </c>
      <c r="H4" s="451" t="s">
        <v>100</v>
      </c>
      <c r="I4" s="451">
        <v>46</v>
      </c>
      <c r="J4" s="451">
        <v>5.76</v>
      </c>
      <c r="K4" s="451">
        <v>40</v>
      </c>
      <c r="L4" s="451">
        <v>0</v>
      </c>
      <c r="M4" s="451">
        <v>9</v>
      </c>
      <c r="Q4" s="451" t="b">
        <v>0</v>
      </c>
      <c r="R4" s="451">
        <v>5</v>
      </c>
      <c r="S4" s="451">
        <v>8</v>
      </c>
      <c r="T4" s="451">
        <v>6</v>
      </c>
      <c r="U4" s="451">
        <v>4</v>
      </c>
      <c r="V4" s="451">
        <v>4</v>
      </c>
      <c r="W4" s="451">
        <v>6</v>
      </c>
      <c r="X4" s="451">
        <v>5</v>
      </c>
      <c r="Y4" s="451">
        <v>4</v>
      </c>
      <c r="Z4" s="451">
        <v>4</v>
      </c>
      <c r="BT4" s="451" t="s">
        <v>160</v>
      </c>
      <c r="BU4" s="451" t="s">
        <v>160</v>
      </c>
      <c r="BV4" s="451" t="s">
        <v>160</v>
      </c>
      <c r="BW4" s="451" t="s">
        <v>160</v>
      </c>
      <c r="BX4" s="451" t="s">
        <v>160</v>
      </c>
      <c r="BY4" s="451" t="s">
        <v>160</v>
      </c>
      <c r="BZ4" s="451" t="s">
        <v>160</v>
      </c>
      <c r="CA4" s="451" t="s">
        <v>160</v>
      </c>
      <c r="CB4" s="451" t="s">
        <v>160</v>
      </c>
      <c r="CL4" s="451" t="s">
        <v>160</v>
      </c>
      <c r="CM4" s="451" t="s">
        <v>160</v>
      </c>
      <c r="CN4" s="451" t="s">
        <v>160</v>
      </c>
      <c r="CO4" s="451" t="s">
        <v>160</v>
      </c>
      <c r="CP4" s="451" t="s">
        <v>160</v>
      </c>
      <c r="CQ4" s="451" t="s">
        <v>160</v>
      </c>
      <c r="CR4" s="451" t="s">
        <v>160</v>
      </c>
      <c r="CS4" s="451" t="s">
        <v>160</v>
      </c>
      <c r="CT4" s="451" t="s">
        <v>160</v>
      </c>
      <c r="EN4" s="451">
        <v>2</v>
      </c>
      <c r="EO4" s="451">
        <v>0</v>
      </c>
      <c r="EP4" s="451">
        <v>0</v>
      </c>
      <c r="EQ4" s="451">
        <v>0</v>
      </c>
      <c r="ER4" s="451">
        <v>1</v>
      </c>
      <c r="ES4" s="451">
        <v>1</v>
      </c>
      <c r="ET4" s="451">
        <v>2</v>
      </c>
      <c r="EU4" s="451">
        <v>1</v>
      </c>
      <c r="EV4" s="451">
        <v>2</v>
      </c>
    </row>
    <row r="5" spans="1:161" x14ac:dyDescent="0.25">
      <c r="A5" s="451" t="s">
        <v>476</v>
      </c>
      <c r="B5" s="451">
        <v>1</v>
      </c>
      <c r="C5" s="119">
        <v>45761</v>
      </c>
      <c r="D5" s="451" t="s">
        <v>408</v>
      </c>
      <c r="E5" s="451" t="s">
        <v>26</v>
      </c>
      <c r="F5" s="451" t="s">
        <v>30</v>
      </c>
      <c r="G5" s="451">
        <v>4</v>
      </c>
      <c r="H5" s="451" t="s">
        <v>309</v>
      </c>
      <c r="I5" s="451">
        <v>54</v>
      </c>
      <c r="J5" s="451">
        <v>13.25</v>
      </c>
      <c r="K5" s="451">
        <v>41</v>
      </c>
      <c r="L5" s="451">
        <v>0</v>
      </c>
      <c r="M5" s="451">
        <v>6</v>
      </c>
      <c r="Q5" s="451" t="b">
        <v>0</v>
      </c>
      <c r="R5" s="451">
        <v>6</v>
      </c>
      <c r="S5" s="451">
        <v>7</v>
      </c>
      <c r="T5" s="451">
        <v>5</v>
      </c>
      <c r="U5" s="451">
        <v>4</v>
      </c>
      <c r="V5" s="451">
        <v>6</v>
      </c>
      <c r="W5" s="451">
        <v>7</v>
      </c>
      <c r="X5" s="451">
        <v>7</v>
      </c>
      <c r="Y5" s="451">
        <v>5</v>
      </c>
      <c r="Z5" s="451">
        <v>7</v>
      </c>
      <c r="BT5" s="451" t="s">
        <v>160</v>
      </c>
      <c r="BU5" s="451" t="s">
        <v>160</v>
      </c>
      <c r="BV5" s="451" t="s">
        <v>160</v>
      </c>
      <c r="BW5" s="451" t="s">
        <v>160</v>
      </c>
      <c r="BX5" s="451" t="s">
        <v>160</v>
      </c>
      <c r="BY5" s="451" t="s">
        <v>160</v>
      </c>
      <c r="BZ5" s="451" t="s">
        <v>160</v>
      </c>
      <c r="CA5" s="451" t="s">
        <v>160</v>
      </c>
      <c r="CB5" s="451" t="s">
        <v>160</v>
      </c>
      <c r="CL5" s="451" t="s">
        <v>160</v>
      </c>
      <c r="CM5" s="451" t="s">
        <v>160</v>
      </c>
      <c r="CN5" s="451" t="s">
        <v>160</v>
      </c>
      <c r="CO5" s="451" t="s">
        <v>160</v>
      </c>
      <c r="CP5" s="451" t="s">
        <v>160</v>
      </c>
      <c r="CQ5" s="451" t="s">
        <v>160</v>
      </c>
      <c r="CR5" s="451" t="s">
        <v>160</v>
      </c>
      <c r="CS5" s="451" t="s">
        <v>160</v>
      </c>
      <c r="CT5" s="451" t="s">
        <v>160</v>
      </c>
      <c r="EN5" s="451">
        <v>2</v>
      </c>
      <c r="EO5" s="451">
        <v>0</v>
      </c>
      <c r="EP5" s="451">
        <v>2</v>
      </c>
      <c r="EQ5" s="451">
        <v>1</v>
      </c>
      <c r="ER5" s="451">
        <v>0</v>
      </c>
      <c r="ES5" s="451">
        <v>1</v>
      </c>
      <c r="ET5" s="451">
        <v>0</v>
      </c>
      <c r="EU5" s="451">
        <v>0</v>
      </c>
      <c r="EV5" s="451">
        <v>0</v>
      </c>
    </row>
    <row r="6" spans="1:161" x14ac:dyDescent="0.25">
      <c r="A6" s="451" t="s">
        <v>476</v>
      </c>
      <c r="B6" s="451">
        <v>1</v>
      </c>
      <c r="C6" s="119">
        <v>45761</v>
      </c>
      <c r="D6" s="451" t="s">
        <v>408</v>
      </c>
      <c r="E6" s="451" t="s">
        <v>30</v>
      </c>
      <c r="F6" s="451" t="s">
        <v>26</v>
      </c>
      <c r="G6" s="451">
        <v>1</v>
      </c>
      <c r="H6" s="451" t="s">
        <v>323</v>
      </c>
      <c r="I6" s="451">
        <v>38</v>
      </c>
      <c r="J6" s="451">
        <v>0</v>
      </c>
      <c r="K6" s="451">
        <v>38</v>
      </c>
      <c r="L6" s="451">
        <v>2</v>
      </c>
      <c r="M6" s="451">
        <v>14</v>
      </c>
      <c r="Q6" s="451" t="b">
        <v>0</v>
      </c>
      <c r="R6" s="451">
        <v>5</v>
      </c>
      <c r="S6" s="451">
        <v>5</v>
      </c>
      <c r="T6" s="451">
        <v>4</v>
      </c>
      <c r="U6" s="451">
        <v>3</v>
      </c>
      <c r="V6" s="451">
        <v>4</v>
      </c>
      <c r="W6" s="451">
        <v>5</v>
      </c>
      <c r="X6" s="451">
        <v>5</v>
      </c>
      <c r="Y6" s="451">
        <v>3</v>
      </c>
      <c r="Z6" s="451">
        <v>4</v>
      </c>
      <c r="BT6" s="451" t="s">
        <v>160</v>
      </c>
      <c r="BU6" s="451" t="s">
        <v>160</v>
      </c>
      <c r="BV6" s="451" t="s">
        <v>160</v>
      </c>
      <c r="BW6" s="451" t="s">
        <v>160</v>
      </c>
      <c r="BX6" s="451" t="s">
        <v>160</v>
      </c>
      <c r="BY6" s="451" t="s">
        <v>160</v>
      </c>
      <c r="BZ6" s="451" t="s">
        <v>160</v>
      </c>
      <c r="CA6" s="451" t="s">
        <v>160</v>
      </c>
      <c r="CB6" s="451" t="s">
        <v>160</v>
      </c>
      <c r="CL6" s="451" t="s">
        <v>160</v>
      </c>
      <c r="CM6" s="451" t="s">
        <v>160</v>
      </c>
      <c r="CN6" s="451" t="s">
        <v>160</v>
      </c>
      <c r="CO6" s="451" t="s">
        <v>160</v>
      </c>
      <c r="CP6" s="451" t="s">
        <v>160</v>
      </c>
      <c r="CQ6" s="451" t="s">
        <v>160</v>
      </c>
      <c r="CR6" s="451" t="s">
        <v>160</v>
      </c>
      <c r="CS6" s="451" t="s">
        <v>160</v>
      </c>
      <c r="CT6" s="451" t="s">
        <v>160</v>
      </c>
      <c r="EN6" s="451">
        <v>1</v>
      </c>
      <c r="EO6" s="451">
        <v>1</v>
      </c>
      <c r="EP6" s="451">
        <v>2</v>
      </c>
      <c r="EQ6" s="451">
        <v>2</v>
      </c>
      <c r="ER6" s="451">
        <v>1</v>
      </c>
      <c r="ES6" s="451">
        <v>0</v>
      </c>
      <c r="ET6" s="451">
        <v>2</v>
      </c>
      <c r="EU6" s="451">
        <v>1</v>
      </c>
      <c r="EV6" s="451">
        <v>2</v>
      </c>
    </row>
    <row r="7" spans="1:161" x14ac:dyDescent="0.25">
      <c r="A7" s="451" t="s">
        <v>476</v>
      </c>
      <c r="B7" s="451">
        <v>1</v>
      </c>
      <c r="C7" s="119">
        <v>45761</v>
      </c>
      <c r="D7" s="451" t="s">
        <v>408</v>
      </c>
      <c r="E7" s="451" t="s">
        <v>30</v>
      </c>
      <c r="F7" s="451" t="s">
        <v>26</v>
      </c>
      <c r="G7" s="451">
        <v>2</v>
      </c>
      <c r="H7" s="451" t="s">
        <v>326</v>
      </c>
      <c r="I7" s="451">
        <v>38</v>
      </c>
      <c r="J7" s="451">
        <v>0</v>
      </c>
      <c r="K7" s="451">
        <v>38</v>
      </c>
      <c r="L7" s="451">
        <v>2</v>
      </c>
      <c r="M7" s="451">
        <v>13</v>
      </c>
      <c r="Q7" s="451" t="b">
        <v>0</v>
      </c>
      <c r="R7" s="451">
        <v>5</v>
      </c>
      <c r="S7" s="451">
        <v>5</v>
      </c>
      <c r="T7" s="451">
        <v>4</v>
      </c>
      <c r="U7" s="451">
        <v>3</v>
      </c>
      <c r="V7" s="451">
        <v>4</v>
      </c>
      <c r="W7" s="451">
        <v>5</v>
      </c>
      <c r="X7" s="451">
        <v>5</v>
      </c>
      <c r="Y7" s="451">
        <v>3</v>
      </c>
      <c r="Z7" s="451">
        <v>4</v>
      </c>
      <c r="BT7" s="451" t="s">
        <v>160</v>
      </c>
      <c r="BU7" s="451" t="s">
        <v>160</v>
      </c>
      <c r="BV7" s="451" t="s">
        <v>160</v>
      </c>
      <c r="BW7" s="451" t="s">
        <v>160</v>
      </c>
      <c r="BX7" s="451" t="s">
        <v>160</v>
      </c>
      <c r="BY7" s="451" t="s">
        <v>160</v>
      </c>
      <c r="BZ7" s="451" t="s">
        <v>160</v>
      </c>
      <c r="CA7" s="451" t="s">
        <v>160</v>
      </c>
      <c r="CB7" s="451" t="s">
        <v>160</v>
      </c>
      <c r="CL7" s="451" t="s">
        <v>160</v>
      </c>
      <c r="CM7" s="451" t="s">
        <v>160</v>
      </c>
      <c r="CN7" s="451" t="s">
        <v>160</v>
      </c>
      <c r="CO7" s="451" t="s">
        <v>160</v>
      </c>
      <c r="CP7" s="451" t="s">
        <v>160</v>
      </c>
      <c r="CQ7" s="451" t="s">
        <v>160</v>
      </c>
      <c r="CR7" s="451" t="s">
        <v>160</v>
      </c>
      <c r="CS7" s="451" t="s">
        <v>160</v>
      </c>
      <c r="CT7" s="451" t="s">
        <v>160</v>
      </c>
      <c r="EN7" s="451">
        <v>1</v>
      </c>
      <c r="EO7" s="451">
        <v>1</v>
      </c>
      <c r="EP7" s="451">
        <v>1</v>
      </c>
      <c r="EQ7" s="451">
        <v>1</v>
      </c>
      <c r="ER7" s="451">
        <v>2</v>
      </c>
      <c r="ES7" s="451">
        <v>1</v>
      </c>
      <c r="ET7" s="451">
        <v>2</v>
      </c>
      <c r="EU7" s="451">
        <v>1</v>
      </c>
      <c r="EV7" s="451">
        <v>1</v>
      </c>
    </row>
    <row r="8" spans="1:161" x14ac:dyDescent="0.25">
      <c r="A8" s="451" t="s">
        <v>476</v>
      </c>
      <c r="B8" s="451">
        <v>1</v>
      </c>
      <c r="C8" s="119">
        <v>45761</v>
      </c>
      <c r="D8" s="451" t="s">
        <v>408</v>
      </c>
      <c r="E8" s="451" t="s">
        <v>30</v>
      </c>
      <c r="F8" s="451" t="s">
        <v>26</v>
      </c>
      <c r="G8" s="451">
        <v>3</v>
      </c>
      <c r="H8" s="451" t="s">
        <v>324</v>
      </c>
      <c r="I8" s="451">
        <v>38</v>
      </c>
      <c r="J8" s="451">
        <v>0</v>
      </c>
      <c r="K8" s="451">
        <v>38</v>
      </c>
      <c r="L8" s="451">
        <v>2</v>
      </c>
      <c r="M8" s="451">
        <v>11</v>
      </c>
      <c r="Q8" s="451" t="b">
        <v>0</v>
      </c>
      <c r="R8" s="451">
        <v>5</v>
      </c>
      <c r="S8" s="451">
        <v>5</v>
      </c>
      <c r="T8" s="451">
        <v>4</v>
      </c>
      <c r="U8" s="451">
        <v>3</v>
      </c>
      <c r="V8" s="451">
        <v>4</v>
      </c>
      <c r="W8" s="451">
        <v>5</v>
      </c>
      <c r="X8" s="451">
        <v>5</v>
      </c>
      <c r="Y8" s="451">
        <v>3</v>
      </c>
      <c r="Z8" s="451">
        <v>4</v>
      </c>
      <c r="BT8" s="451" t="s">
        <v>160</v>
      </c>
      <c r="BU8" s="451" t="s">
        <v>160</v>
      </c>
      <c r="BV8" s="451" t="s">
        <v>160</v>
      </c>
      <c r="BW8" s="451" t="s">
        <v>160</v>
      </c>
      <c r="BX8" s="451" t="s">
        <v>160</v>
      </c>
      <c r="BY8" s="451" t="s">
        <v>160</v>
      </c>
      <c r="BZ8" s="451" t="s">
        <v>160</v>
      </c>
      <c r="CA8" s="451" t="s">
        <v>160</v>
      </c>
      <c r="CB8" s="451" t="s">
        <v>160</v>
      </c>
      <c r="CL8" s="451" t="s">
        <v>160</v>
      </c>
      <c r="CM8" s="451" t="s">
        <v>160</v>
      </c>
      <c r="CN8" s="451" t="s">
        <v>160</v>
      </c>
      <c r="CO8" s="451" t="s">
        <v>160</v>
      </c>
      <c r="CP8" s="451" t="s">
        <v>160</v>
      </c>
      <c r="CQ8" s="451" t="s">
        <v>160</v>
      </c>
      <c r="CR8" s="451" t="s">
        <v>160</v>
      </c>
      <c r="CS8" s="451" t="s">
        <v>160</v>
      </c>
      <c r="CT8" s="451" t="s">
        <v>160</v>
      </c>
      <c r="EN8" s="451">
        <v>0</v>
      </c>
      <c r="EO8" s="451">
        <v>2</v>
      </c>
      <c r="EP8" s="451">
        <v>2</v>
      </c>
      <c r="EQ8" s="451">
        <v>2</v>
      </c>
      <c r="ER8" s="451">
        <v>1</v>
      </c>
      <c r="ES8" s="451">
        <v>1</v>
      </c>
      <c r="ET8" s="451">
        <v>0</v>
      </c>
      <c r="EU8" s="451">
        <v>1</v>
      </c>
      <c r="EV8" s="451">
        <v>0</v>
      </c>
    </row>
    <row r="9" spans="1:161" x14ac:dyDescent="0.25">
      <c r="A9" s="451" t="s">
        <v>476</v>
      </c>
      <c r="B9" s="451">
        <v>1</v>
      </c>
      <c r="C9" s="119">
        <v>45761</v>
      </c>
      <c r="D9" s="451" t="s">
        <v>408</v>
      </c>
      <c r="E9" s="451" t="s">
        <v>30</v>
      </c>
      <c r="F9" s="451" t="s">
        <v>26</v>
      </c>
      <c r="G9" s="451">
        <v>4</v>
      </c>
      <c r="H9" s="451" t="s">
        <v>325</v>
      </c>
      <c r="I9" s="451">
        <v>38</v>
      </c>
      <c r="J9" s="451">
        <v>0</v>
      </c>
      <c r="K9" s="451">
        <v>38</v>
      </c>
      <c r="L9" s="451">
        <v>2</v>
      </c>
      <c r="M9" s="451">
        <v>14</v>
      </c>
      <c r="Q9" s="451" t="b">
        <v>0</v>
      </c>
      <c r="R9" s="451">
        <v>5</v>
      </c>
      <c r="S9" s="451">
        <v>5</v>
      </c>
      <c r="T9" s="451">
        <v>4</v>
      </c>
      <c r="U9" s="451">
        <v>3</v>
      </c>
      <c r="V9" s="451">
        <v>4</v>
      </c>
      <c r="W9" s="451">
        <v>5</v>
      </c>
      <c r="X9" s="451">
        <v>5</v>
      </c>
      <c r="Y9" s="451">
        <v>3</v>
      </c>
      <c r="Z9" s="451">
        <v>4</v>
      </c>
      <c r="BT9" s="451" t="s">
        <v>160</v>
      </c>
      <c r="BU9" s="451" t="s">
        <v>160</v>
      </c>
      <c r="BV9" s="451" t="s">
        <v>160</v>
      </c>
      <c r="BW9" s="451" t="s">
        <v>160</v>
      </c>
      <c r="BX9" s="451" t="s">
        <v>160</v>
      </c>
      <c r="BY9" s="451" t="s">
        <v>160</v>
      </c>
      <c r="BZ9" s="451" t="s">
        <v>160</v>
      </c>
      <c r="CA9" s="451" t="s">
        <v>160</v>
      </c>
      <c r="CB9" s="451" t="s">
        <v>160</v>
      </c>
      <c r="CL9" s="451" t="s">
        <v>160</v>
      </c>
      <c r="CM9" s="451" t="s">
        <v>160</v>
      </c>
      <c r="CN9" s="451" t="s">
        <v>160</v>
      </c>
      <c r="CO9" s="451" t="s">
        <v>160</v>
      </c>
      <c r="CP9" s="451" t="s">
        <v>160</v>
      </c>
      <c r="CQ9" s="451" t="s">
        <v>160</v>
      </c>
      <c r="CR9" s="451" t="s">
        <v>160</v>
      </c>
      <c r="CS9" s="451" t="s">
        <v>160</v>
      </c>
      <c r="CT9" s="451" t="s">
        <v>160</v>
      </c>
      <c r="EN9" s="451">
        <v>0</v>
      </c>
      <c r="EO9" s="451">
        <v>2</v>
      </c>
      <c r="EP9" s="451">
        <v>0</v>
      </c>
      <c r="EQ9" s="451">
        <v>1</v>
      </c>
      <c r="ER9" s="451">
        <v>2</v>
      </c>
      <c r="ES9" s="451">
        <v>1</v>
      </c>
      <c r="ET9" s="451">
        <v>2</v>
      </c>
      <c r="EU9" s="451">
        <v>2</v>
      </c>
      <c r="EV9" s="451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6689-4931-41E0-9854-D1D6A89D2328}">
  <sheetPr codeName="Sheet35"/>
  <dimension ref="A1:Q1"/>
  <sheetViews>
    <sheetView workbookViewId="0">
      <selection activeCell="H2" sqref="H2"/>
    </sheetView>
  </sheetViews>
  <sheetFormatPr defaultRowHeight="13.2" x14ac:dyDescent="0.25"/>
  <cols>
    <col min="1" max="1" width="12.109375" customWidth="1"/>
    <col min="2" max="2" width="7.77734375" customWidth="1"/>
    <col min="3" max="3" width="6.88671875" customWidth="1"/>
    <col min="4" max="4" width="6.6640625" customWidth="1"/>
    <col min="5" max="5" width="7.5546875" customWidth="1"/>
    <col min="6" max="6" width="11.5546875" customWidth="1"/>
    <col min="7" max="7" width="10" customWidth="1"/>
    <col min="8" max="8" width="8.33203125" customWidth="1"/>
    <col min="9" max="9" width="6.77734375" customWidth="1"/>
    <col min="10" max="10" width="8" customWidth="1"/>
    <col min="11" max="11" width="11" customWidth="1"/>
    <col min="12" max="12" width="5.88671875" customWidth="1"/>
    <col min="13" max="13" width="6.33203125" customWidth="1"/>
    <col min="14" max="14" width="6.5546875" customWidth="1"/>
    <col min="15" max="15" width="7.6640625" customWidth="1"/>
    <col min="16" max="16" width="13.77734375" customWidth="1"/>
    <col min="17" max="17" width="8.44140625" customWidth="1"/>
  </cols>
  <sheetData>
    <row r="1" spans="1:17" x14ac:dyDescent="0.25">
      <c r="A1" t="s">
        <v>2566</v>
      </c>
      <c r="B1" t="s">
        <v>7</v>
      </c>
      <c r="C1" t="s">
        <v>114</v>
      </c>
      <c r="D1" t="s">
        <v>352</v>
      </c>
      <c r="E1" t="s">
        <v>8</v>
      </c>
      <c r="F1" t="s">
        <v>351</v>
      </c>
      <c r="G1" t="s">
        <v>353</v>
      </c>
      <c r="H1" t="s">
        <v>83</v>
      </c>
      <c r="I1" t="s">
        <v>2713</v>
      </c>
      <c r="J1" t="s">
        <v>2714</v>
      </c>
      <c r="K1" t="s">
        <v>2715</v>
      </c>
      <c r="L1" t="s">
        <v>2716</v>
      </c>
      <c r="M1" t="s">
        <v>2717</v>
      </c>
      <c r="N1" t="s">
        <v>2718</v>
      </c>
      <c r="O1" t="s">
        <v>2719</v>
      </c>
      <c r="P1" t="s">
        <v>2720</v>
      </c>
      <c r="Q1" t="s">
        <v>86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B24E-66B7-4B9E-A94C-3E25CE0BB0CE}">
  <sheetPr codeName="Sheet13"/>
  <dimension ref="A1:L3"/>
  <sheetViews>
    <sheetView workbookViewId="0">
      <selection sqref="A1:L2"/>
    </sheetView>
  </sheetViews>
  <sheetFormatPr defaultRowHeight="13.2" x14ac:dyDescent="0.25"/>
  <cols>
    <col min="1" max="1" width="23.21875" bestFit="1" customWidth="1"/>
    <col min="2" max="2" width="7.109375" bestFit="1" customWidth="1"/>
    <col min="3" max="3" width="8.109375" bestFit="1" customWidth="1"/>
    <col min="4" max="4" width="9.109375" style="119" bestFit="1" customWidth="1"/>
    <col min="5" max="5" width="12.5546875" bestFit="1" customWidth="1"/>
    <col min="6" max="6" width="9.77734375" bestFit="1" customWidth="1"/>
    <col min="7" max="7" width="11.88671875" bestFit="1" customWidth="1"/>
    <col min="8" max="8" width="8.88671875" bestFit="1" customWidth="1"/>
    <col min="9" max="9" width="14.44140625" bestFit="1" customWidth="1"/>
    <col min="10" max="10" width="14.33203125" bestFit="1" customWidth="1"/>
    <col min="11" max="11" width="17.88671875" bestFit="1" customWidth="1"/>
    <col min="12" max="13" width="12.5546875" bestFit="1" customWidth="1"/>
    <col min="14" max="14" width="9.44140625" bestFit="1" customWidth="1"/>
    <col min="15" max="15" width="15.6640625" bestFit="1" customWidth="1"/>
    <col min="16" max="16" width="15.5546875" bestFit="1" customWidth="1"/>
    <col min="17" max="18" width="17.6640625" bestFit="1" customWidth="1"/>
    <col min="19" max="19" width="12.5546875" bestFit="1" customWidth="1"/>
    <col min="20" max="20" width="9.44140625" bestFit="1" customWidth="1"/>
    <col min="21" max="21" width="15.6640625" bestFit="1" customWidth="1"/>
    <col min="22" max="22" width="15.5546875" customWidth="1"/>
  </cols>
  <sheetData>
    <row r="1" spans="1:12" x14ac:dyDescent="0.25">
      <c r="A1" t="s">
        <v>2566</v>
      </c>
      <c r="B1" t="s">
        <v>2728</v>
      </c>
      <c r="C1" t="s">
        <v>7</v>
      </c>
      <c r="D1" s="119" t="s">
        <v>114</v>
      </c>
      <c r="E1" t="s">
        <v>352</v>
      </c>
      <c r="F1" t="s">
        <v>8</v>
      </c>
      <c r="G1" t="s">
        <v>351</v>
      </c>
      <c r="H1" t="s">
        <v>2729</v>
      </c>
      <c r="I1" t="s">
        <v>2730</v>
      </c>
      <c r="J1" t="s">
        <v>2731</v>
      </c>
      <c r="K1" t="s">
        <v>2732</v>
      </c>
      <c r="L1" t="s">
        <v>2733</v>
      </c>
    </row>
    <row r="2" spans="1:12" x14ac:dyDescent="0.25">
      <c r="A2" s="451" t="s">
        <v>476</v>
      </c>
      <c r="B2" s="451">
        <v>2025</v>
      </c>
      <c r="C2">
        <v>1</v>
      </c>
      <c r="D2" s="119">
        <v>45761</v>
      </c>
      <c r="E2" t="s">
        <v>408</v>
      </c>
      <c r="F2" t="s">
        <v>26</v>
      </c>
      <c r="G2" t="s">
        <v>30</v>
      </c>
    </row>
    <row r="3" spans="1:12" x14ac:dyDescent="0.25">
      <c r="A3" s="451" t="s">
        <v>476</v>
      </c>
      <c r="B3" s="451">
        <v>2025</v>
      </c>
      <c r="C3">
        <v>1</v>
      </c>
      <c r="D3" s="119">
        <v>45761</v>
      </c>
      <c r="E3" t="s">
        <v>408</v>
      </c>
      <c r="F3" t="s">
        <v>30</v>
      </c>
      <c r="G3" t="s">
        <v>26</v>
      </c>
    </row>
  </sheetData>
  <phoneticPr fontId="5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4D54C-8748-4DFA-A8F5-41B92F0650B1}">
  <sheetPr codeName="Sheet32"/>
  <dimension ref="A1:N3"/>
  <sheetViews>
    <sheetView topLeftCell="G1" workbookViewId="0">
      <selection activeCell="M1" sqref="M1"/>
    </sheetView>
  </sheetViews>
  <sheetFormatPr defaultRowHeight="13.2" x14ac:dyDescent="0.25"/>
  <cols>
    <col min="1" max="1" width="23.21875" bestFit="1" customWidth="1"/>
    <col min="2" max="2" width="13.5546875" bestFit="1" customWidth="1"/>
    <col min="3" max="3" width="7.109375" bestFit="1" customWidth="1"/>
    <col min="4" max="4" width="13.33203125" bestFit="1" customWidth="1"/>
    <col min="5" max="5" width="12.44140625" bestFit="1" customWidth="1"/>
    <col min="6" max="6" width="9.77734375" bestFit="1" customWidth="1"/>
    <col min="7" max="7" width="11.88671875" bestFit="1" customWidth="1"/>
    <col min="8" max="8" width="14.44140625" bestFit="1" customWidth="1"/>
    <col min="9" max="9" width="20.6640625" bestFit="1" customWidth="1"/>
    <col min="10" max="10" width="8.88671875" bestFit="1" customWidth="1"/>
    <col min="11" max="11" width="14.44140625" bestFit="1" customWidth="1"/>
    <col min="12" max="12" width="14.33203125" bestFit="1" customWidth="1"/>
    <col min="13" max="13" width="22.6640625" bestFit="1" customWidth="1"/>
    <col min="14" max="14" width="12.5546875" bestFit="1" customWidth="1"/>
    <col min="15" max="15" width="14.33203125" bestFit="1" customWidth="1"/>
    <col min="16" max="16" width="22.6640625" bestFit="1" customWidth="1"/>
    <col min="17" max="17" width="12.5546875" customWidth="1"/>
  </cols>
  <sheetData>
    <row r="1" spans="1:14" x14ac:dyDescent="0.25">
      <c r="A1" t="s">
        <v>2566</v>
      </c>
      <c r="B1" t="s">
        <v>2736</v>
      </c>
      <c r="C1" t="s">
        <v>2728</v>
      </c>
      <c r="D1" t="s">
        <v>2753</v>
      </c>
      <c r="E1" t="s">
        <v>2754</v>
      </c>
      <c r="F1" t="s">
        <v>8</v>
      </c>
      <c r="G1" t="s">
        <v>351</v>
      </c>
      <c r="H1" t="s">
        <v>2234</v>
      </c>
      <c r="I1" t="s">
        <v>2856</v>
      </c>
      <c r="J1" t="s">
        <v>2729</v>
      </c>
      <c r="K1" t="s">
        <v>2730</v>
      </c>
      <c r="L1" t="s">
        <v>2731</v>
      </c>
      <c r="M1" t="s">
        <v>2734</v>
      </c>
      <c r="N1" t="s">
        <v>2733</v>
      </c>
    </row>
    <row r="2" spans="1:14" x14ac:dyDescent="0.25">
      <c r="A2" t="s">
        <v>476</v>
      </c>
      <c r="B2">
        <v>2025</v>
      </c>
      <c r="C2">
        <v>2025</v>
      </c>
      <c r="D2">
        <v>1</v>
      </c>
      <c r="E2" s="119">
        <v>45761</v>
      </c>
      <c r="F2" t="s">
        <v>26</v>
      </c>
      <c r="G2" t="s">
        <v>30</v>
      </c>
      <c r="H2" t="s">
        <v>2951</v>
      </c>
      <c r="I2" t="s">
        <v>2968</v>
      </c>
    </row>
    <row r="3" spans="1:14" x14ac:dyDescent="0.25">
      <c r="A3" t="s">
        <v>476</v>
      </c>
      <c r="B3">
        <v>2025</v>
      </c>
      <c r="C3">
        <v>2025</v>
      </c>
      <c r="D3">
        <v>1</v>
      </c>
      <c r="E3" s="119">
        <v>45761</v>
      </c>
      <c r="F3" t="s">
        <v>30</v>
      </c>
      <c r="G3" t="s">
        <v>26</v>
      </c>
      <c r="H3" t="s">
        <v>2956</v>
      </c>
      <c r="I3" t="s">
        <v>2969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F6178-7FE3-4604-8EAC-BF91785A7838}">
  <sheetPr codeName="Sheet30"/>
  <dimension ref="A1:E1784"/>
  <sheetViews>
    <sheetView workbookViewId="0"/>
  </sheetViews>
  <sheetFormatPr defaultRowHeight="13.2" x14ac:dyDescent="0.25"/>
  <sheetData>
    <row r="1" spans="1:5" x14ac:dyDescent="0.25">
      <c r="A1" t="s">
        <v>719</v>
      </c>
      <c r="B1" t="s">
        <v>720</v>
      </c>
      <c r="C1" t="s">
        <v>721</v>
      </c>
      <c r="D1" t="s">
        <v>722</v>
      </c>
      <c r="E1" t="s">
        <v>723</v>
      </c>
    </row>
    <row r="2" spans="1:5" x14ac:dyDescent="0.25">
      <c r="A2" t="s">
        <v>724</v>
      </c>
      <c r="B2" t="s">
        <v>355</v>
      </c>
      <c r="C2" t="s">
        <v>725</v>
      </c>
      <c r="D2" t="s">
        <v>726</v>
      </c>
      <c r="E2" t="str">
        <f>IFERROR(AVERAGEIFS(Upload_Indiv[Score1],Upload_Indiv[[Side]:[Side]],"Raintree Front")-IF(TRUNC(ROUND($B6,0)/9,0)=2,2+IF((ROUND($B6,0)-18)*2&gt;=C$2,1,0),IF(TRUNC(ROUND($B6,0)/9,0)=1,1+IF((ROUND($B6,0)-9)*2&gt;=C$2,1,0),IF(TRUNC(ROUND($B6,0)/9,0)=0,IF(TRUNC(ROUND($B6,0)/9,0)=0,0+IF((ROUND($B6,0))*2&gt;=C$2,1,0),"Not"))))-C$3,"")</f>
        <v/>
      </c>
    </row>
    <row r="3" spans="1:5" x14ac:dyDescent="0.25">
      <c r="A3" t="s">
        <v>724</v>
      </c>
      <c r="B3" t="s">
        <v>355</v>
      </c>
      <c r="C3" t="s">
        <v>725</v>
      </c>
      <c r="D3" t="s">
        <v>727</v>
      </c>
      <c r="E3" t="str">
        <f>IFERROR(AVERAGEIFS(Upload_Indiv[Score1],Upload_Indiv[[Side]:[Side]],"Raintree Back")-IF(TRUNC(ROUND($B6,0)/9,0)=2,2+IF((ROUND($B6,0)-18)*2&gt;=M$2,1,0),IF(TRUNC(ROUND($B6,0)/9,0)=1,1+IF((ROUND($B6,0)-9)*2&gt;=M$2,1,0),IF(TRUNC(ROUND($B6,0)/9,0)=0,IF(TRUNC(ROUND($B6,0)/9,0)=0,0+IF((ROUND($B6,0))*2&gt;=M$2,1,0),"Not"))))-M$3,"")</f>
        <v/>
      </c>
    </row>
    <row r="4" spans="1:5" x14ac:dyDescent="0.25">
      <c r="A4" t="s">
        <v>724</v>
      </c>
      <c r="B4" t="s">
        <v>355</v>
      </c>
      <c r="C4" t="s">
        <v>725</v>
      </c>
      <c r="D4" t="s">
        <v>728</v>
      </c>
      <c r="E4" t="str">
        <f>IFERROR(AVERAGEIFS(Upload_Indiv[Score1],Upload_Indiv[[Player]:[Player]],$A8,Upload_Indiv[[Side]:[Side]],"Raintree Front")-IF(TRUNC(ROUND($B8,0)/9,0)=2,2+IF((ROUND($B8,0)-18)*2&gt;=C$2,1,0),IF(TRUNC(ROUND($B8,0)/9,0)=1,1+IF((ROUND($B8,0)-9)*2&gt;=C$2,1,0),IF(TRUNC(ROUND($B8,0)/9,0)=0,IF(TRUNC(ROUND($B8,0)/9,0)=0,0+IF((ROUND($B8,0))*2&gt;=C$2,1,0),"Not"))))-C$3,"")</f>
        <v/>
      </c>
    </row>
    <row r="5" spans="1:5" x14ac:dyDescent="0.25">
      <c r="A5" t="s">
        <v>724</v>
      </c>
      <c r="B5" t="s">
        <v>355</v>
      </c>
      <c r="C5" t="s">
        <v>725</v>
      </c>
      <c r="D5" t="s">
        <v>729</v>
      </c>
      <c r="E5" t="str">
        <f>IFERROR(AVERAGEIFS(Upload_Indiv[Score1],Upload_Indiv[[Player]:[Player]],$A8,Upload_Indiv[[Side]:[Side]],"Raintree Back")-IF(TRUNC(ROUND($B8,0)/9,0)=2,2+IF((ROUND($B8,0)-18)*2&gt;=M$2,1,0),IF(TRUNC(ROUND($B8,0)/9,0)=1,1+IF((ROUND($B8,0)-9)*2&gt;=M$2,1,0),IF(TRUNC(ROUND($B8,0)/9,0)=0,IF(TRUNC(ROUND($B8,0)/9,0)=0,0+IF((ROUND($B8,0))*2&gt;=M$2,1,0),"Not"))))-M$3,"")</f>
        <v/>
      </c>
    </row>
    <row r="6" spans="1:5" x14ac:dyDescent="0.25">
      <c r="A6" t="s">
        <v>724</v>
      </c>
      <c r="B6" t="s">
        <v>355</v>
      </c>
      <c r="C6" t="s">
        <v>725</v>
      </c>
      <c r="D6" t="s">
        <v>730</v>
      </c>
      <c r="E6" t="str">
        <f>IFERROR(AVERAGEIFS(Upload_Indiv[Score1],Upload_Indiv[[Player]:[Player]],$A9,Upload_Indiv[[Side]:[Side]],"Raintree Front")-IF(TRUNC(ROUND($B9,0)/9,0)=2,2+IF((ROUND($B9,0)-18)*2&gt;=C$2,1,0),IF(TRUNC(ROUND($B9,0)/9,0)=1,1+IF((ROUND($B9,0)-9)*2&gt;=C$2,1,0),IF(TRUNC(ROUND($B9,0)/9,0)=0,IF(TRUNC(ROUND($B9,0)/9,0)=0,0+IF((ROUND($B9,0))*2&gt;=C$2,1,0),"Not"))))-C$3,"")</f>
        <v/>
      </c>
    </row>
    <row r="7" spans="1:5" x14ac:dyDescent="0.25">
      <c r="A7" t="s">
        <v>724</v>
      </c>
      <c r="B7" t="s">
        <v>355</v>
      </c>
      <c r="C7" t="s">
        <v>725</v>
      </c>
      <c r="D7" t="s">
        <v>731</v>
      </c>
      <c r="E7" t="str">
        <f>IFERROR(AVERAGEIFS(Upload_Indiv[Score1],Upload_Indiv[[Player]:[Player]],$A9,Upload_Indiv[[Side]:[Side]],"Raintree Back")-IF(TRUNC(ROUND($B9,0)/9,0)=2,2+IF((ROUND($B9,0)-18)*2&gt;=M$2,1,0),IF(TRUNC(ROUND($B9,0)/9,0)=1,1+IF((ROUND($B9,0)-9)*2&gt;=M$2,1,0),IF(TRUNC(ROUND($B9,0)/9,0)=0,IF(TRUNC(ROUND($B9,0)/9,0)=0,0+IF((ROUND($B9,0))*2&gt;=M$2,1,0),"Not"))))-M$3,"")</f>
        <v/>
      </c>
    </row>
    <row r="8" spans="1:5" x14ac:dyDescent="0.25">
      <c r="A8" t="s">
        <v>724</v>
      </c>
      <c r="B8" t="s">
        <v>355</v>
      </c>
      <c r="C8" t="s">
        <v>725</v>
      </c>
      <c r="D8" t="s">
        <v>732</v>
      </c>
      <c r="E8" t="str">
        <f>IFERROR(AVERAGEIFS(Upload_Indiv[Score1],Upload_Indiv[[Player]:[Player]],$A10,Upload_Indiv[[Side]:[Side]],"Raintree Front")-IF(TRUNC(ROUND($B10,0)/9,0)=2,2+IF((ROUND($B10,0)-18)*2&gt;=C$2,1,0),IF(TRUNC(ROUND($B10,0)/9,0)=1,1+IF((ROUND($B10,0)-9)*2&gt;=C$2,1,0),IF(TRUNC(ROUND($B10,0)/9,0)=0,IF(TRUNC(ROUND($B10,0)/9,0)=0,0+IF((ROUND($B10,0))*2&gt;=C$2,1,0),"Not"))))-C$3,"")</f>
        <v/>
      </c>
    </row>
    <row r="9" spans="1:5" x14ac:dyDescent="0.25">
      <c r="A9" t="s">
        <v>724</v>
      </c>
      <c r="B9" t="s">
        <v>355</v>
      </c>
      <c r="C9" t="s">
        <v>725</v>
      </c>
      <c r="D9" t="s">
        <v>733</v>
      </c>
      <c r="E9" t="str">
        <f>IFERROR(AVERAGEIFS(Upload_Indiv[Score1],Upload_Indiv[[Player]:[Player]],$A10,Upload_Indiv[[Side]:[Side]],"Raintree Back")-IF(TRUNC(ROUND($B10,0)/9,0)=2,2+IF((ROUND($B10,0)-18)*2&gt;=M$2,1,0),IF(TRUNC(ROUND($B10,0)/9,0)=1,1+IF((ROUND($B10,0)-9)*2&gt;=M$2,1,0),IF(TRUNC(ROUND($B10,0)/9,0)=0,IF(TRUNC(ROUND($B10,0)/9,0)=0,0+IF((ROUND($B10,0))*2&gt;=M$2,1,0),"Not"))))-M$3,"")</f>
        <v/>
      </c>
    </row>
    <row r="10" spans="1:5" x14ac:dyDescent="0.25">
      <c r="A10" t="s">
        <v>724</v>
      </c>
      <c r="B10" t="s">
        <v>355</v>
      </c>
      <c r="C10" t="s">
        <v>725</v>
      </c>
      <c r="D10" t="s">
        <v>734</v>
      </c>
      <c r="E10" t="str">
        <f>IFERROR(AVERAGEIFS(Upload_Indiv[Score1],Upload_Indiv[[Player]:[Player]],$A11,Upload_Indiv[[Side]:[Side]],"Raintree Front")-IF(TRUNC(ROUND($B11,0)/9,0)=2,2+IF((ROUND($B11,0)-18)*2&gt;=C$2,1,0),IF(TRUNC(ROUND($B11,0)/9,0)=1,1+IF((ROUND($B11,0)-9)*2&gt;=C$2,1,0),IF(TRUNC(ROUND($B11,0)/9,0)=0,IF(TRUNC(ROUND($B11,0)/9,0)=0,0+IF((ROUND($B11,0))*2&gt;=C$2,1,0),"Not"))))-C$3,"")</f>
        <v/>
      </c>
    </row>
    <row r="11" spans="1:5" x14ac:dyDescent="0.25">
      <c r="A11" t="s">
        <v>724</v>
      </c>
      <c r="B11" t="s">
        <v>355</v>
      </c>
      <c r="C11" t="s">
        <v>725</v>
      </c>
      <c r="D11" t="s">
        <v>735</v>
      </c>
      <c r="E11" t="str">
        <f>IFERROR(AVERAGEIFS(Upload_Indiv[Score1],Upload_Indiv[[Player]:[Player]],$A11,Upload_Indiv[[Side]:[Side]],"Raintree Back")-IF(TRUNC(ROUND($B11,0)/9,0)=2,2+IF((ROUND($B11,0)-18)*2&gt;=M$2,1,0),IF(TRUNC(ROUND($B11,0)/9,0)=1,1+IF((ROUND($B11,0)-9)*2&gt;=M$2,1,0),IF(TRUNC(ROUND($B11,0)/9,0)=0,IF(TRUNC(ROUND($B11,0)/9,0)=0,0+IF((ROUND($B11,0))*2&gt;=M$2,1,0),"Not"))))-M$3,"")</f>
        <v/>
      </c>
    </row>
    <row r="12" spans="1:5" x14ac:dyDescent="0.25">
      <c r="A12" t="s">
        <v>724</v>
      </c>
      <c r="B12" t="s">
        <v>355</v>
      </c>
      <c r="C12" t="s">
        <v>725</v>
      </c>
      <c r="D12" t="s">
        <v>736</v>
      </c>
      <c r="E12" t="str">
        <f>IFERROR(AVERAGEIFS(Upload_Indiv[Score1],Upload_Indiv[[Player]:[Player]],$A12,Upload_Indiv[[Side]:[Side]],"Raintree Front")-IF(TRUNC(ROUND($B12,0)/9,0)=2,2+IF((ROUND($B12,0)-18)*2&gt;=C$2,1,0),IF(TRUNC(ROUND($B12,0)/9,0)=1,1+IF((ROUND($B12,0)-9)*2&gt;=C$2,1,0),IF(TRUNC(ROUND($B12,0)/9,0)=0,IF(TRUNC(ROUND($B12,0)/9,0)=0,0+IF((ROUND($B12,0))*2&gt;=C$2,1,0),"Not"))))-C$3,"")</f>
        <v/>
      </c>
    </row>
    <row r="13" spans="1:5" x14ac:dyDescent="0.25">
      <c r="A13" t="s">
        <v>724</v>
      </c>
      <c r="B13" t="s">
        <v>355</v>
      </c>
      <c r="C13" t="s">
        <v>725</v>
      </c>
      <c r="D13" t="s">
        <v>737</v>
      </c>
      <c r="E13" t="str">
        <f>IFERROR(AVERAGEIFS(Upload_Indiv[Score1],Upload_Indiv[[Player]:[Player]],$A12,Upload_Indiv[[Side]:[Side]],"Raintree Back")-IF(TRUNC(ROUND($B12,0)/9,0)=2,2+IF((ROUND($B12,0)-18)*2&gt;=M$2,1,0),IF(TRUNC(ROUND($B12,0)/9,0)=1,1+IF((ROUND($B12,0)-9)*2&gt;=M$2,1,0),IF(TRUNC(ROUND($B12,0)/9,0)=0,IF(TRUNC(ROUND($B12,0)/9,0)=0,0+IF((ROUND($B12,0))*2&gt;=M$2,1,0),"Not"))))-M$3,"")</f>
        <v/>
      </c>
    </row>
    <row r="14" spans="1:5" x14ac:dyDescent="0.25">
      <c r="A14" t="s">
        <v>724</v>
      </c>
      <c r="B14" t="s">
        <v>355</v>
      </c>
      <c r="C14" t="s">
        <v>725</v>
      </c>
      <c r="D14" t="s">
        <v>738</v>
      </c>
      <c r="E14" t="str">
        <f>IFERROR(AVERAGEIFS(Upload_Indiv[Score1],Upload_Indiv[[Player]:[Player]],$A13,Upload_Indiv[[Side]:[Side]],"Raintree Front")-IF(TRUNC(ROUND($B13,0)/9,0)=2,2+IF((ROUND($B13,0)-18)*2&gt;=C$2,1,0),IF(TRUNC(ROUND($B13,0)/9,0)=1,1+IF((ROUND($B13,0)-9)*2&gt;=C$2,1,0),IF(TRUNC(ROUND($B13,0)/9,0)=0,IF(TRUNC(ROUND($B13,0)/9,0)=0,0+IF((ROUND($B13,0))*2&gt;=C$2,1,0),"Not"))))-C$3,"")</f>
        <v/>
      </c>
    </row>
    <row r="15" spans="1:5" x14ac:dyDescent="0.25">
      <c r="A15" t="s">
        <v>724</v>
      </c>
      <c r="B15" t="s">
        <v>355</v>
      </c>
      <c r="C15" t="s">
        <v>725</v>
      </c>
      <c r="D15" t="s">
        <v>739</v>
      </c>
      <c r="E15" t="str">
        <f>IFERROR(AVERAGEIFS(Upload_Indiv[Score1],Upload_Indiv[[Player]:[Player]],$A13,Upload_Indiv[[Side]:[Side]],"Raintree Back")-IF(TRUNC(ROUND($B13,0)/9,0)=2,2+IF((ROUND($B13,0)-18)*2&gt;=M$2,1,0),IF(TRUNC(ROUND($B13,0)/9,0)=1,1+IF((ROUND($B13,0)-9)*2&gt;=M$2,1,0),IF(TRUNC(ROUND($B13,0)/9,0)=0,IF(TRUNC(ROUND($B13,0)/9,0)=0,0+IF((ROUND($B13,0))*2&gt;=M$2,1,0),"Not"))))-M$3,"")</f>
        <v/>
      </c>
    </row>
    <row r="16" spans="1:5" x14ac:dyDescent="0.25">
      <c r="A16" t="s">
        <v>724</v>
      </c>
      <c r="B16" t="s">
        <v>355</v>
      </c>
      <c r="C16" t="s">
        <v>725</v>
      </c>
      <c r="D16" t="s">
        <v>740</v>
      </c>
      <c r="E16" t="str">
        <f>IFERROR(AVERAGEIFS(Upload_Indiv[Score1],Upload_Indiv[[Player]:[Player]],$A14,Upload_Indiv[[Side]:[Side]],"Raintree Front")-IF(TRUNC(ROUND($B14,0)/9,0)=2,2+IF((ROUND($B14,0)-18)*2&gt;=C$2,1,0),IF(TRUNC(ROUND($B14,0)/9,0)=1,1+IF((ROUND($B14,0)-9)*2&gt;=C$2,1,0),IF(TRUNC(ROUND($B14,0)/9,0)=0,IF(TRUNC(ROUND($B14,0)/9,0)=0,0+IF((ROUND($B14,0))*2&gt;=C$2,1,0),"Not"))))-C$3,"")</f>
        <v/>
      </c>
    </row>
    <row r="17" spans="1:5" x14ac:dyDescent="0.25">
      <c r="A17" t="s">
        <v>724</v>
      </c>
      <c r="B17" t="s">
        <v>355</v>
      </c>
      <c r="C17" t="s">
        <v>725</v>
      </c>
      <c r="D17" t="s">
        <v>741</v>
      </c>
      <c r="E17" t="str">
        <f>IFERROR(AVERAGEIFS(Upload_Indiv[Score1],Upload_Indiv[[Player]:[Player]],$A14,Upload_Indiv[[Side]:[Side]],"Raintree Back")-IF(TRUNC(ROUND($B14,0)/9,0)=2,2+IF((ROUND($B14,0)-18)*2&gt;=M$2,1,0),IF(TRUNC(ROUND($B14,0)/9,0)=1,1+IF((ROUND($B14,0)-9)*2&gt;=M$2,1,0),IF(TRUNC(ROUND($B14,0)/9,0)=0,IF(TRUNC(ROUND($B14,0)/9,0)=0,0+IF((ROUND($B14,0))*2&gt;=M$2,1,0),"Not"))))-M$3,"")</f>
        <v/>
      </c>
    </row>
    <row r="18" spans="1:5" x14ac:dyDescent="0.25">
      <c r="A18" t="s">
        <v>724</v>
      </c>
      <c r="B18" t="s">
        <v>355</v>
      </c>
      <c r="C18" t="s">
        <v>725</v>
      </c>
      <c r="D18" t="s">
        <v>742</v>
      </c>
      <c r="E18" t="str">
        <f>IFERROR(AVERAGEIFS(Upload_Indiv[Score1],Upload_Indiv[[Player]:[Player]],$A15,Upload_Indiv[[Side]:[Side]],"Raintree Front")-IF(TRUNC(ROUND($B15,0)/9,0)=2,2+IF((ROUND($B15,0)-18)*2&gt;=C$2,1,0),IF(TRUNC(ROUND($B15,0)/9,0)=1,1+IF((ROUND($B15,0)-9)*2&gt;=C$2,1,0),IF(TRUNC(ROUND($B15,0)/9,0)=0,IF(TRUNC(ROUND($B15,0)/9,0)=0,0+IF((ROUND($B15,0))*2&gt;=C$2,1,0),"Not"))))-C$3,"")</f>
        <v/>
      </c>
    </row>
    <row r="19" spans="1:5" x14ac:dyDescent="0.25">
      <c r="A19" t="s">
        <v>724</v>
      </c>
      <c r="B19" t="s">
        <v>355</v>
      </c>
      <c r="C19" t="s">
        <v>725</v>
      </c>
      <c r="D19" t="s">
        <v>743</v>
      </c>
      <c r="E19" t="str">
        <f>IFERROR(AVERAGEIFS(Upload_Indiv[Score1],Upload_Indiv[[Player]:[Player]],$A15,Upload_Indiv[[Side]:[Side]],"Raintree Back")-IF(TRUNC(ROUND($B15,0)/9,0)=2,2+IF((ROUND($B15,0)-18)*2&gt;=M$2,1,0),IF(TRUNC(ROUND($B15,0)/9,0)=1,1+IF((ROUND($B15,0)-9)*2&gt;=M$2,1,0),IF(TRUNC(ROUND($B15,0)/9,0)=0,IF(TRUNC(ROUND($B15,0)/9,0)=0,0+IF((ROUND($B15,0))*2&gt;=M$2,1,0),"Not"))))-M$3,"")</f>
        <v/>
      </c>
    </row>
    <row r="20" spans="1:5" x14ac:dyDescent="0.25">
      <c r="A20" t="s">
        <v>724</v>
      </c>
      <c r="B20" t="s">
        <v>355</v>
      </c>
      <c r="C20" t="s">
        <v>725</v>
      </c>
      <c r="D20" t="s">
        <v>744</v>
      </c>
      <c r="E20" t="str">
        <f>IFERROR(AVERAGEIFS(Upload_Indiv[Score1],Upload_Indiv[[Player]:[Player]],$A16,Upload_Indiv[[Side]:[Side]],"Raintree Front")-IF(TRUNC(ROUND($B16,0)/9,0)=2,2+IF((ROUND($B16,0)-18)*2&gt;=C$2,1,0),IF(TRUNC(ROUND($B16,0)/9,0)=1,1+IF((ROUND($B16,0)-9)*2&gt;=C$2,1,0),IF(TRUNC(ROUND($B16,0)/9,0)=0,IF(TRUNC(ROUND($B16,0)/9,0)=0,0+IF((ROUND($B16,0))*2&gt;=C$2,1,0),"Not"))))-C$3,"")</f>
        <v/>
      </c>
    </row>
    <row r="21" spans="1:5" x14ac:dyDescent="0.25">
      <c r="A21" t="s">
        <v>724</v>
      </c>
      <c r="B21" t="s">
        <v>355</v>
      </c>
      <c r="C21" t="s">
        <v>725</v>
      </c>
      <c r="D21" t="s">
        <v>745</v>
      </c>
      <c r="E21" t="str">
        <f>IFERROR(AVERAGEIFS(Upload_Indiv[Score1],Upload_Indiv[[Player]:[Player]],$A16,Upload_Indiv[[Side]:[Side]],"Raintree Back")-IF(TRUNC(ROUND($B16,0)/9,0)=2,2+IF((ROUND($B16,0)-18)*2&gt;=M$2,1,0),IF(TRUNC(ROUND($B16,0)/9,0)=1,1+IF((ROUND($B16,0)-9)*2&gt;=M$2,1,0),IF(TRUNC(ROUND($B16,0)/9,0)=0,IF(TRUNC(ROUND($B16,0)/9,0)=0,0+IF((ROUND($B16,0))*2&gt;=M$2,1,0),"Not"))))-M$3,"")</f>
        <v/>
      </c>
    </row>
    <row r="22" spans="1:5" x14ac:dyDescent="0.25">
      <c r="A22" t="s">
        <v>724</v>
      </c>
      <c r="B22" t="s">
        <v>355</v>
      </c>
      <c r="C22" t="s">
        <v>725</v>
      </c>
      <c r="D22" t="s">
        <v>746</v>
      </c>
      <c r="E22" t="str">
        <f>IFERROR(AVERAGEIFS(Upload_Indiv[Score1],Upload_Indiv[[Player]:[Player]],$A17,Upload_Indiv[[Side]:[Side]],"Raintree Front")-IF(TRUNC(ROUND($B17,0)/9,0)=2,2+IF((ROUND($B17,0)-18)*2&gt;=C$2,1,0),IF(TRUNC(ROUND($B17,0)/9,0)=1,1+IF((ROUND($B17,0)-9)*2&gt;=C$2,1,0),IF(TRUNC(ROUND($B17,0)/9,0)=0,IF(TRUNC(ROUND($B17,0)/9,0)=0,0+IF((ROUND($B17,0))*2&gt;=C$2,1,0),"Not"))))-C$3,"")</f>
        <v/>
      </c>
    </row>
    <row r="23" spans="1:5" x14ac:dyDescent="0.25">
      <c r="A23" t="s">
        <v>724</v>
      </c>
      <c r="B23" t="s">
        <v>355</v>
      </c>
      <c r="C23" t="s">
        <v>725</v>
      </c>
      <c r="D23" t="s">
        <v>747</v>
      </c>
      <c r="E23" t="str">
        <f>IFERROR(AVERAGEIFS(Upload_Indiv[Score1],Upload_Indiv[[Player]:[Player]],$A17,Upload_Indiv[[Side]:[Side]],"Raintree Back")-IF(TRUNC(ROUND($B17,0)/9,0)=2,2+IF((ROUND($B17,0)-18)*2&gt;=M$2,1,0),IF(TRUNC(ROUND($B17,0)/9,0)=1,1+IF((ROUND($B17,0)-9)*2&gt;=M$2,1,0),IF(TRUNC(ROUND($B17,0)/9,0)=0,IF(TRUNC(ROUND($B17,0)/9,0)=0,0+IF((ROUND($B17,0))*2&gt;=M$2,1,0),"Not"))))-M$3,"")</f>
        <v/>
      </c>
    </row>
    <row r="24" spans="1:5" x14ac:dyDescent="0.25">
      <c r="A24" t="s">
        <v>724</v>
      </c>
      <c r="B24" t="s">
        <v>355</v>
      </c>
      <c r="C24" t="s">
        <v>725</v>
      </c>
      <c r="D24" t="s">
        <v>748</v>
      </c>
      <c r="E24" t="str">
        <f>IFERROR(AVERAGEIFS(Upload_Indiv[Score1],Upload_Indiv[[Player]:[Player]],$A18,Upload_Indiv[[Side]:[Side]],"Raintree Front")-IF(TRUNC(ROUND($B18,0)/9,0)=2,2+IF((ROUND($B18,0)-18)*2&gt;=C$2,1,0),IF(TRUNC(ROUND($B18,0)/9,0)=1,1+IF((ROUND($B18,0)-9)*2&gt;=C$2,1,0),IF(TRUNC(ROUND($B18,0)/9,0)=0,IF(TRUNC(ROUND($B18,0)/9,0)=0,0+IF((ROUND($B18,0))*2&gt;=C$2,1,0),"Not"))))-C$3,"")</f>
        <v/>
      </c>
    </row>
    <row r="25" spans="1:5" x14ac:dyDescent="0.25">
      <c r="A25" t="s">
        <v>724</v>
      </c>
      <c r="B25" t="s">
        <v>355</v>
      </c>
      <c r="C25" t="s">
        <v>725</v>
      </c>
      <c r="D25" t="s">
        <v>749</v>
      </c>
      <c r="E25" t="str">
        <f>IFERROR(AVERAGEIFS(Upload_Indiv[Score1],Upload_Indiv[[Player]:[Player]],$A18,Upload_Indiv[[Side]:[Side]],"Raintree Back")-IF(TRUNC(ROUND($B18,0)/9,0)=2,2+IF((ROUND($B18,0)-18)*2&gt;=M$2,1,0),IF(TRUNC(ROUND($B18,0)/9,0)=1,1+IF((ROUND($B18,0)-9)*2&gt;=M$2,1,0),IF(TRUNC(ROUND($B18,0)/9,0)=0,IF(TRUNC(ROUND($B18,0)/9,0)=0,0+IF((ROUND($B18,0))*2&gt;=M$2,1,0),"Not"))))-M$3,"")</f>
        <v/>
      </c>
    </row>
    <row r="26" spans="1:5" x14ac:dyDescent="0.25">
      <c r="A26" t="s">
        <v>724</v>
      </c>
      <c r="B26" t="s">
        <v>355</v>
      </c>
      <c r="C26" t="s">
        <v>725</v>
      </c>
      <c r="D26" t="s">
        <v>750</v>
      </c>
      <c r="E26" t="str">
        <f>IFERROR(AVERAGEIFS(Upload_Indiv[Score1],Upload_Indiv[[Player]:[Player]],$A19,Upload_Indiv[[Side]:[Side]],"Raintree Front")-IF(TRUNC(ROUND($B19,0)/9,0)=2,2+IF((ROUND($B19,0)-18)*2&gt;=C$2,1,0),IF(TRUNC(ROUND($B19,0)/9,0)=1,1+IF((ROUND($B19,0)-9)*2&gt;=C$2,1,0),IF(TRUNC(ROUND($B19,0)/9,0)=0,IF(TRUNC(ROUND($B19,0)/9,0)=0,0+IF((ROUND($B19,0))*2&gt;=C$2,1,0),"Not"))))-C$3,"")</f>
        <v/>
      </c>
    </row>
    <row r="27" spans="1:5" x14ac:dyDescent="0.25">
      <c r="A27" t="s">
        <v>724</v>
      </c>
      <c r="B27" t="s">
        <v>355</v>
      </c>
      <c r="C27" t="s">
        <v>725</v>
      </c>
      <c r="D27" t="s">
        <v>751</v>
      </c>
      <c r="E27" t="str">
        <f>IFERROR(AVERAGEIFS(Upload_Indiv[Score1],Upload_Indiv[[Player]:[Player]],$A19,Upload_Indiv[[Side]:[Side]],"Raintree Back")-IF(TRUNC(ROUND($B19,0)/9,0)=2,2+IF((ROUND($B19,0)-18)*2&gt;=M$2,1,0),IF(TRUNC(ROUND($B19,0)/9,0)=1,1+IF((ROUND($B19,0)-9)*2&gt;=M$2,1,0),IF(TRUNC(ROUND($B19,0)/9,0)=0,IF(TRUNC(ROUND($B19,0)/9,0)=0,0+IF((ROUND($B19,0))*2&gt;=M$2,1,0),"Not"))))-M$3,"")</f>
        <v/>
      </c>
    </row>
    <row r="28" spans="1:5" x14ac:dyDescent="0.25">
      <c r="A28" t="s">
        <v>724</v>
      </c>
      <c r="B28" t="s">
        <v>355</v>
      </c>
      <c r="C28" t="s">
        <v>725</v>
      </c>
      <c r="D28" t="s">
        <v>752</v>
      </c>
      <c r="E28" t="str">
        <f>IFERROR(AVERAGEIFS(Upload_Indiv[Score1],Upload_Indiv[[Player]:[Player]],$A20,Upload_Indiv[[Side]:[Side]],"Raintree Front")-IF(TRUNC(ROUND($B20,0)/9,0)=2,2+IF((ROUND($B20,0)-18)*2&gt;=C$2,1,0),IF(TRUNC(ROUND($B20,0)/9,0)=1,1+IF((ROUND($B20,0)-9)*2&gt;=C$2,1,0),IF(TRUNC(ROUND($B20,0)/9,0)=0,IF(TRUNC(ROUND($B20,0)/9,0)=0,0+IF((ROUND($B20,0))*2&gt;=C$2,1,0),"Not"))))-C$3,"")</f>
        <v/>
      </c>
    </row>
    <row r="29" spans="1:5" x14ac:dyDescent="0.25">
      <c r="A29" t="s">
        <v>724</v>
      </c>
      <c r="B29" t="s">
        <v>355</v>
      </c>
      <c r="C29" t="s">
        <v>725</v>
      </c>
      <c r="D29" t="s">
        <v>753</v>
      </c>
      <c r="E29" t="str">
        <f>IFERROR(AVERAGEIFS(Upload_Indiv[Score1],Upload_Indiv[[Player]:[Player]],$A20,Upload_Indiv[[Side]:[Side]],"Raintree Back")-IF(TRUNC(ROUND($B20,0)/9,0)=2,2+IF((ROUND($B20,0)-18)*2&gt;=M$2,1,0),IF(TRUNC(ROUND($B20,0)/9,0)=1,1+IF((ROUND($B20,0)-9)*2&gt;=M$2,1,0),IF(TRUNC(ROUND($B20,0)/9,0)=0,IF(TRUNC(ROUND($B20,0)/9,0)=0,0+IF((ROUND($B20,0))*2&gt;=M$2,1,0),"Not"))))-M$3,"")</f>
        <v/>
      </c>
    </row>
    <row r="30" spans="1:5" x14ac:dyDescent="0.25">
      <c r="A30" t="s">
        <v>724</v>
      </c>
      <c r="B30" t="s">
        <v>355</v>
      </c>
      <c r="C30" t="s">
        <v>725</v>
      </c>
      <c r="D30" t="s">
        <v>754</v>
      </c>
      <c r="E30" t="str">
        <f>IFERROR(AVERAGEIFS(Upload_Indiv[Score1],Upload_Indiv[[Player]:[Player]],$A21,Upload_Indiv[[Side]:[Side]],"Raintree Front")-IF(TRUNC(ROUND($B21,0)/9,0)=2,2+IF((ROUND($B21,0)-18)*2&gt;=C$2,1,0),IF(TRUNC(ROUND($B21,0)/9,0)=1,1+IF((ROUND($B21,0)-9)*2&gt;=C$2,1,0),IF(TRUNC(ROUND($B21,0)/9,0)=0,IF(TRUNC(ROUND($B21,0)/9,0)=0,0+IF((ROUND($B21,0))*2&gt;=C$2,1,0),"Not"))))-C$3,"")</f>
        <v/>
      </c>
    </row>
    <row r="31" spans="1:5" x14ac:dyDescent="0.25">
      <c r="A31" t="s">
        <v>724</v>
      </c>
      <c r="B31" t="s">
        <v>355</v>
      </c>
      <c r="C31" t="s">
        <v>725</v>
      </c>
      <c r="D31" t="s">
        <v>755</v>
      </c>
      <c r="E31" t="str">
        <f>IFERROR(AVERAGEIFS(Upload_Indiv[Score1],Upload_Indiv[[Player]:[Player]],$A21,Upload_Indiv[[Side]:[Side]],"Raintree Back")-IF(TRUNC(ROUND($B21,0)/9,0)=2,2+IF((ROUND($B21,0)-18)*2&gt;=M$2,1,0),IF(TRUNC(ROUND($B21,0)/9,0)=1,1+IF((ROUND($B21,0)-9)*2&gt;=M$2,1,0),IF(TRUNC(ROUND($B21,0)/9,0)=0,IF(TRUNC(ROUND($B21,0)/9,0)=0,0+IF((ROUND($B21,0))*2&gt;=M$2,1,0),"Not"))))-M$3,"")</f>
        <v/>
      </c>
    </row>
    <row r="32" spans="1:5" x14ac:dyDescent="0.25">
      <c r="A32" t="s">
        <v>724</v>
      </c>
      <c r="B32" t="s">
        <v>355</v>
      </c>
      <c r="C32" t="s">
        <v>725</v>
      </c>
      <c r="D32" t="s">
        <v>756</v>
      </c>
      <c r="E32" t="str">
        <f>IFERROR(AVERAGEIFS(Upload_Indiv[Score1],Upload_Indiv[[Player]:[Player]],$A22,Upload_Indiv[[Side]:[Side]],"Raintree Front")-IF(TRUNC(ROUND($B22,0)/9,0)=2,2+IF((ROUND($B22,0)-18)*2&gt;=C$2,1,0),IF(TRUNC(ROUND($B22,0)/9,0)=1,1+IF((ROUND($B22,0)-9)*2&gt;=C$2,1,0),IF(TRUNC(ROUND($B22,0)/9,0)=0,IF(TRUNC(ROUND($B22,0)/9,0)=0,0+IF((ROUND($B22,0))*2&gt;=C$2,1,0),"Not"))))-C$3,"")</f>
        <v/>
      </c>
    </row>
    <row r="33" spans="1:5" x14ac:dyDescent="0.25">
      <c r="A33" t="s">
        <v>724</v>
      </c>
      <c r="B33" t="s">
        <v>355</v>
      </c>
      <c r="C33" t="s">
        <v>725</v>
      </c>
      <c r="D33" t="s">
        <v>757</v>
      </c>
      <c r="E33" t="str">
        <f>IFERROR(AVERAGEIFS(Upload_Indiv[Score1],Upload_Indiv[[Player]:[Player]],$A22,Upload_Indiv[[Side]:[Side]],"Raintree Back")-IF(TRUNC(ROUND($B22,0)/9,0)=2,2+IF((ROUND($B22,0)-18)*2&gt;=M$2,1,0),IF(TRUNC(ROUND($B22,0)/9,0)=1,1+IF((ROUND($B22,0)-9)*2&gt;=M$2,1,0),IF(TRUNC(ROUND($B22,0)/9,0)=0,IF(TRUNC(ROUND($B22,0)/9,0)=0,0+IF((ROUND($B22,0))*2&gt;=M$2,1,0),"Not"))))-M$3,"")</f>
        <v/>
      </c>
    </row>
    <row r="34" spans="1:5" x14ac:dyDescent="0.25">
      <c r="A34" t="s">
        <v>724</v>
      </c>
      <c r="B34" t="s">
        <v>355</v>
      </c>
      <c r="C34" t="s">
        <v>725</v>
      </c>
      <c r="D34" t="s">
        <v>758</v>
      </c>
      <c r="E34" t="str">
        <f>IFERROR(AVERAGEIFS(Upload_Indiv[Score1],Upload_Indiv[[Player]:[Player]],$A23,Upload_Indiv[[Side]:[Side]],"Raintree Front")-IF(TRUNC(ROUND($B23,0)/9,0)=2,2+IF((ROUND($B23,0)-18)*2&gt;=C$2,1,0),IF(TRUNC(ROUND($B23,0)/9,0)=1,1+IF((ROUND($B23,0)-9)*2&gt;=C$2,1,0),IF(TRUNC(ROUND($B23,0)/9,0)=0,IF(TRUNC(ROUND($B23,0)/9,0)=0,0+IF((ROUND($B23,0))*2&gt;=C$2,1,0),"Not"))))-C$3,"")</f>
        <v/>
      </c>
    </row>
    <row r="35" spans="1:5" x14ac:dyDescent="0.25">
      <c r="A35" t="s">
        <v>724</v>
      </c>
      <c r="B35" t="s">
        <v>355</v>
      </c>
      <c r="C35" t="s">
        <v>725</v>
      </c>
      <c r="D35" t="s">
        <v>759</v>
      </c>
      <c r="E35" t="str">
        <f>IFERROR(AVERAGEIFS(Upload_Indiv[Score1],Upload_Indiv[[Player]:[Player]],$A23,Upload_Indiv[[Side]:[Side]],"Raintree Back")-IF(TRUNC(ROUND($B23,0)/9,0)=2,2+IF((ROUND($B23,0)-18)*2&gt;=M$2,1,0),IF(TRUNC(ROUND($B23,0)/9,0)=1,1+IF((ROUND($B23,0)-9)*2&gt;=M$2,1,0),IF(TRUNC(ROUND($B23,0)/9,0)=0,IF(TRUNC(ROUND($B23,0)/9,0)=0,0+IF((ROUND($B23,0))*2&gt;=M$2,1,0),"Not"))))-M$3,"")</f>
        <v/>
      </c>
    </row>
    <row r="36" spans="1:5" x14ac:dyDescent="0.25">
      <c r="A36" t="s">
        <v>724</v>
      </c>
      <c r="B36" t="s">
        <v>355</v>
      </c>
      <c r="C36" t="s">
        <v>725</v>
      </c>
      <c r="D36" t="s">
        <v>760</v>
      </c>
      <c r="E36" t="str">
        <f>IFERROR(AVERAGEIFS(Upload_Indiv[Score1],Upload_Indiv[[Player]:[Player]],$A24,Upload_Indiv[[Side]:[Side]],"Raintree Front")-IF(TRUNC(ROUND($B24,0)/9,0)=2,2+IF((ROUND($B24,0)-18)*2&gt;=C$2,1,0),IF(TRUNC(ROUND($B24,0)/9,0)=1,1+IF((ROUND($B24,0)-9)*2&gt;=C$2,1,0),IF(TRUNC(ROUND($B24,0)/9,0)=0,IF(TRUNC(ROUND($B24,0)/9,0)=0,0+IF((ROUND($B24,0))*2&gt;=C$2,1,0),"Not"))))-C$3,"")</f>
        <v/>
      </c>
    </row>
    <row r="37" spans="1:5" x14ac:dyDescent="0.25">
      <c r="A37" t="s">
        <v>724</v>
      </c>
      <c r="B37" t="s">
        <v>355</v>
      </c>
      <c r="C37" t="s">
        <v>725</v>
      </c>
      <c r="D37" t="s">
        <v>761</v>
      </c>
      <c r="E37" t="str">
        <f>IFERROR(AVERAGEIFS(Upload_Indiv[Score1],Upload_Indiv[[Player]:[Player]],$A24,Upload_Indiv[[Side]:[Side]],"Raintree Back")-IF(TRUNC(ROUND($B24,0)/9,0)=2,2+IF((ROUND($B24,0)-18)*2&gt;=M$2,1,0),IF(TRUNC(ROUND($B24,0)/9,0)=1,1+IF((ROUND($B24,0)-9)*2&gt;=M$2,1,0),IF(TRUNC(ROUND($B24,0)/9,0)=0,IF(TRUNC(ROUND($B24,0)/9,0)=0,0+IF((ROUND($B24,0))*2&gt;=M$2,1,0),"Not"))))-M$3,"")</f>
        <v/>
      </c>
    </row>
    <row r="38" spans="1:5" x14ac:dyDescent="0.25">
      <c r="A38" t="s">
        <v>724</v>
      </c>
      <c r="B38" t="s">
        <v>355</v>
      </c>
      <c r="C38" t="s">
        <v>725</v>
      </c>
      <c r="D38" t="s">
        <v>762</v>
      </c>
      <c r="E38" t="str">
        <f>IFERROR(AVERAGEIFS(Upload_Indiv[Score1],Upload_Indiv[[Player]:[Player]],$A25,Upload_Indiv[[Side]:[Side]],"Raintree Front")-IF(TRUNC(ROUND($B25,0)/9,0)=2,2+IF((ROUND($B25,0)-18)*2&gt;=C$2,1,0),IF(TRUNC(ROUND($B25,0)/9,0)=1,1+IF((ROUND($B25,0)-9)*2&gt;=C$2,1,0),IF(TRUNC(ROUND($B25,0)/9,0)=0,IF(TRUNC(ROUND($B25,0)/9,0)=0,0+IF((ROUND($B25,0))*2&gt;=C$2,1,0),"Not"))))-C$3,"")</f>
        <v/>
      </c>
    </row>
    <row r="39" spans="1:5" x14ac:dyDescent="0.25">
      <c r="A39" t="s">
        <v>724</v>
      </c>
      <c r="B39" t="s">
        <v>355</v>
      </c>
      <c r="C39" t="s">
        <v>725</v>
      </c>
      <c r="D39" t="s">
        <v>763</v>
      </c>
      <c r="E39" t="str">
        <f>IFERROR(AVERAGEIFS(Upload_Indiv[Score1],Upload_Indiv[[Player]:[Player]],$A25,Upload_Indiv[[Side]:[Side]],"Raintree Back")-IF(TRUNC(ROUND($B25,0)/9,0)=2,2+IF((ROUND($B25,0)-18)*2&gt;=M$2,1,0),IF(TRUNC(ROUND($B25,0)/9,0)=1,1+IF((ROUND($B25,0)-9)*2&gt;=M$2,1,0),IF(TRUNC(ROUND($B25,0)/9,0)=0,IF(TRUNC(ROUND($B25,0)/9,0)=0,0+IF((ROUND($B25,0))*2&gt;=M$2,1,0),"Not"))))-M$3,"")</f>
        <v/>
      </c>
    </row>
    <row r="40" spans="1:5" x14ac:dyDescent="0.25">
      <c r="A40" t="s">
        <v>724</v>
      </c>
      <c r="B40" t="s">
        <v>355</v>
      </c>
      <c r="C40" t="s">
        <v>725</v>
      </c>
      <c r="D40" t="s">
        <v>764</v>
      </c>
      <c r="E40" t="str">
        <f>IFERROR(AVERAGEIFS(Upload_Indiv[Score1],Upload_Indiv[[Player]:[Player]],$A26,Upload_Indiv[[Side]:[Side]],"Raintree Front")-IF(TRUNC(ROUND($B26,0)/9,0)=2,2+IF((ROUND($B26,0)-18)*2&gt;=C$2,1,0),IF(TRUNC(ROUND($B26,0)/9,0)=1,1+IF((ROUND($B26,0)-9)*2&gt;=C$2,1,0),IF(TRUNC(ROUND($B26,0)/9,0)=0,IF(TRUNC(ROUND($B26,0)/9,0)=0,0+IF((ROUND($B26,0))*2&gt;=C$2,1,0),"Not"))))-C$3,"")</f>
        <v/>
      </c>
    </row>
    <row r="41" spans="1:5" x14ac:dyDescent="0.25">
      <c r="A41" t="s">
        <v>724</v>
      </c>
      <c r="B41" t="s">
        <v>355</v>
      </c>
      <c r="C41" t="s">
        <v>725</v>
      </c>
      <c r="D41" t="s">
        <v>765</v>
      </c>
      <c r="E41" t="str">
        <f>IFERROR(AVERAGEIFS(Upload_Indiv[Score1],Upload_Indiv[[Player]:[Player]],$A26,Upload_Indiv[[Side]:[Side]],"Raintree Back")-IF(TRUNC(ROUND($B26,0)/9,0)=2,2+IF((ROUND($B26,0)-18)*2&gt;=M$2,1,0),IF(TRUNC(ROUND($B26,0)/9,0)=1,1+IF((ROUND($B26,0)-9)*2&gt;=M$2,1,0),IF(TRUNC(ROUND($B26,0)/9,0)=0,IF(TRUNC(ROUND($B26,0)/9,0)=0,0+IF((ROUND($B26,0))*2&gt;=M$2,1,0),"Not"))))-M$3,"")</f>
        <v/>
      </c>
    </row>
    <row r="42" spans="1:5" x14ac:dyDescent="0.25">
      <c r="A42" t="s">
        <v>724</v>
      </c>
      <c r="B42" t="s">
        <v>355</v>
      </c>
      <c r="C42" t="s">
        <v>725</v>
      </c>
      <c r="D42" t="s">
        <v>766</v>
      </c>
      <c r="E42" t="str">
        <f>IFERROR(AVERAGEIFS(Upload_Indiv[Score1],Upload_Indiv[[Player]:[Player]],$A27,Upload_Indiv[[Side]:[Side]],"Raintree Front")-IF(TRUNC(ROUND($B27,0)/9,0)=2,2+IF((ROUND($B27,0)-18)*2&gt;=C$2,1,0),IF(TRUNC(ROUND($B27,0)/9,0)=1,1+IF((ROUND($B27,0)-9)*2&gt;=C$2,1,0),IF(TRUNC(ROUND($B27,0)/9,0)=0,IF(TRUNC(ROUND($B27,0)/9,0)=0,0+IF((ROUND($B27,0))*2&gt;=C$2,1,0),"Not"))))-C$3,"")</f>
        <v/>
      </c>
    </row>
    <row r="43" spans="1:5" x14ac:dyDescent="0.25">
      <c r="A43" t="s">
        <v>724</v>
      </c>
      <c r="B43" t="s">
        <v>355</v>
      </c>
      <c r="C43" t="s">
        <v>725</v>
      </c>
      <c r="D43" t="s">
        <v>767</v>
      </c>
      <c r="E43" t="str">
        <f>IFERROR(AVERAGEIFS(Upload_Indiv[Score1],Upload_Indiv[[Player]:[Player]],$A27,Upload_Indiv[[Side]:[Side]],"Raintree Back")-IF(TRUNC(ROUND($B27,0)/9,0)=2,2+IF((ROUND($B27,0)-18)*2&gt;=M$2,1,0),IF(TRUNC(ROUND($B27,0)/9,0)=1,1+IF((ROUND($B27,0)-9)*2&gt;=M$2,1,0),IF(TRUNC(ROUND($B27,0)/9,0)=0,IF(TRUNC(ROUND($B27,0)/9,0)=0,0+IF((ROUND($B27,0))*2&gt;=M$2,1,0),"Not"))))-M$3,"")</f>
        <v/>
      </c>
    </row>
    <row r="44" spans="1:5" x14ac:dyDescent="0.25">
      <c r="A44" t="s">
        <v>724</v>
      </c>
      <c r="B44" t="s">
        <v>355</v>
      </c>
      <c r="C44" t="s">
        <v>725</v>
      </c>
      <c r="D44" t="s">
        <v>768</v>
      </c>
      <c r="E44" t="str">
        <f>IFERROR(AVERAGEIFS(Upload_Indiv[Score1],Upload_Indiv[[Player]:[Player]],$A28,Upload_Indiv[[Side]:[Side]],"Raintree Front")-IF(TRUNC(ROUND($B28,0)/9,0)=2,2+IF((ROUND($B28,0)-18)*2&gt;=C$2,1,0),IF(TRUNC(ROUND($B28,0)/9,0)=1,1+IF((ROUND($B28,0)-9)*2&gt;=C$2,1,0),IF(TRUNC(ROUND($B28,0)/9,0)=0,IF(TRUNC(ROUND($B28,0)/9,0)=0,0+IF((ROUND($B28,0))*2&gt;=C$2,1,0),"Not"))))-C$3,"")</f>
        <v/>
      </c>
    </row>
    <row r="45" spans="1:5" x14ac:dyDescent="0.25">
      <c r="A45" t="s">
        <v>724</v>
      </c>
      <c r="B45" t="s">
        <v>355</v>
      </c>
      <c r="C45" t="s">
        <v>725</v>
      </c>
      <c r="D45" t="s">
        <v>769</v>
      </c>
      <c r="E45" t="str">
        <f>IFERROR(AVERAGEIFS(Upload_Indiv[Score1],Upload_Indiv[[Player]:[Player]],$A28,Upload_Indiv[[Side]:[Side]],"Raintree Back")-IF(TRUNC(ROUND($B28,0)/9,0)=2,2+IF((ROUND($B28,0)-18)*2&gt;=M$2,1,0),IF(TRUNC(ROUND($B28,0)/9,0)=1,1+IF((ROUND($B28,0)-9)*2&gt;=M$2,1,0),IF(TRUNC(ROUND($B28,0)/9,0)=0,IF(TRUNC(ROUND($B28,0)/9,0)=0,0+IF((ROUND($B28,0))*2&gt;=M$2,1,0),"Not"))))-M$3,"")</f>
        <v/>
      </c>
    </row>
    <row r="46" spans="1:5" x14ac:dyDescent="0.25">
      <c r="A46" t="s">
        <v>724</v>
      </c>
      <c r="B46" t="s">
        <v>355</v>
      </c>
      <c r="C46" t="s">
        <v>725</v>
      </c>
      <c r="D46" t="s">
        <v>770</v>
      </c>
      <c r="E46" t="str">
        <f>IFERROR(AVERAGEIFS(Upload_Indiv[Score1],Upload_Indiv[[Player]:[Player]],$A29,Upload_Indiv[[Side]:[Side]],"Raintree Front")-IF(TRUNC(ROUND($B29,0)/9,0)=2,2+IF((ROUND($B29,0)-18)*2&gt;=C$2,1,0),IF(TRUNC(ROUND($B29,0)/9,0)=1,1+IF((ROUND($B29,0)-9)*2&gt;=C$2,1,0),IF(TRUNC(ROUND($B29,0)/9,0)=0,IF(TRUNC(ROUND($B29,0)/9,0)=0,0+IF((ROUND($B29,0))*2&gt;=C$2,1,0),"Not"))))-C$3,"")</f>
        <v/>
      </c>
    </row>
    <row r="47" spans="1:5" x14ac:dyDescent="0.25">
      <c r="A47" t="s">
        <v>724</v>
      </c>
      <c r="B47" t="s">
        <v>355</v>
      </c>
      <c r="C47" t="s">
        <v>725</v>
      </c>
      <c r="D47" t="s">
        <v>771</v>
      </c>
      <c r="E47" t="str">
        <f>IFERROR(AVERAGEIFS(Upload_Indiv[Score1],Upload_Indiv[[Player]:[Player]],$A29,Upload_Indiv[[Side]:[Side]],"Raintree Back")-IF(TRUNC(ROUND($B29,0)/9,0)=2,2+IF((ROUND($B29,0)-18)*2&gt;=M$2,1,0),IF(TRUNC(ROUND($B29,0)/9,0)=1,1+IF((ROUND($B29,0)-9)*2&gt;=M$2,1,0),IF(TRUNC(ROUND($B29,0)/9,0)=0,IF(TRUNC(ROUND($B29,0)/9,0)=0,0+IF((ROUND($B29,0))*2&gt;=M$2,1,0),"Not"))))-M$3,"")</f>
        <v/>
      </c>
    </row>
    <row r="48" spans="1:5" x14ac:dyDescent="0.25">
      <c r="A48" t="s">
        <v>724</v>
      </c>
      <c r="B48" t="s">
        <v>355</v>
      </c>
      <c r="C48" t="s">
        <v>725</v>
      </c>
      <c r="D48" t="s">
        <v>772</v>
      </c>
      <c r="E48" t="str">
        <f>IFERROR(AVERAGEIFS(Upload_Indiv[Score1],Upload_Indiv[[Player]:[Player]],$A30,Upload_Indiv[[Side]:[Side]],"Raintree Front")-IF(TRUNC(ROUND($B30,0)/9,0)=2,2+IF((ROUND($B30,0)-18)*2&gt;=C$2,1,0),IF(TRUNC(ROUND($B30,0)/9,0)=1,1+IF((ROUND($B30,0)-9)*2&gt;=C$2,1,0),IF(TRUNC(ROUND($B30,0)/9,0)=0,IF(TRUNC(ROUND($B30,0)/9,0)=0,0+IF((ROUND($B30,0))*2&gt;=C$2,1,0),"Not"))))-C$3,"")</f>
        <v/>
      </c>
    </row>
    <row r="49" spans="1:5" x14ac:dyDescent="0.25">
      <c r="A49" t="s">
        <v>724</v>
      </c>
      <c r="B49" t="s">
        <v>355</v>
      </c>
      <c r="C49" t="s">
        <v>725</v>
      </c>
      <c r="D49" t="s">
        <v>773</v>
      </c>
      <c r="E49" t="str">
        <f>IFERROR(AVERAGEIFS(Upload_Indiv[Score1],Upload_Indiv[[Player]:[Player]],$A30,Upload_Indiv[[Side]:[Side]],"Raintree Back")-IF(TRUNC(ROUND($B30,0)/9,0)=2,2+IF((ROUND($B30,0)-18)*2&gt;=M$2,1,0),IF(TRUNC(ROUND($B30,0)/9,0)=1,1+IF((ROUND($B30,0)-9)*2&gt;=M$2,1,0),IF(TRUNC(ROUND($B30,0)/9,0)=0,IF(TRUNC(ROUND($B30,0)/9,0)=0,0+IF((ROUND($B30,0))*2&gt;=M$2,1,0),"Not"))))-M$3,"")</f>
        <v/>
      </c>
    </row>
    <row r="50" spans="1:5" x14ac:dyDescent="0.25">
      <c r="A50" t="s">
        <v>724</v>
      </c>
      <c r="B50" t="s">
        <v>355</v>
      </c>
      <c r="C50" t="s">
        <v>725</v>
      </c>
      <c r="D50" t="s">
        <v>774</v>
      </c>
      <c r="E50" t="str">
        <f>IFERROR(AVERAGEIFS(Upload_Indiv[Score1],Upload_Indiv[[Player]:[Player]],$A31,Upload_Indiv[[Side]:[Side]],"Raintree Front")-IF(TRUNC(ROUND($B31,0)/9,0)=2,2+IF((ROUND($B31,0)-18)*2&gt;=C$2,1,0),IF(TRUNC(ROUND($B31,0)/9,0)=1,1+IF((ROUND($B31,0)-9)*2&gt;=C$2,1,0),IF(TRUNC(ROUND($B31,0)/9,0)=0,IF(TRUNC(ROUND($B31,0)/9,0)=0,0+IF((ROUND($B31,0))*2&gt;=C$2,1,0),"Not"))))-C$3,"")</f>
        <v/>
      </c>
    </row>
    <row r="51" spans="1:5" x14ac:dyDescent="0.25">
      <c r="A51" t="s">
        <v>724</v>
      </c>
      <c r="B51" t="s">
        <v>355</v>
      </c>
      <c r="C51" t="s">
        <v>725</v>
      </c>
      <c r="D51" t="s">
        <v>775</v>
      </c>
      <c r="E51" t="str">
        <f>IFERROR(AVERAGEIFS(Upload_Indiv[Score1],Upload_Indiv[[Player]:[Player]],$A31,Upload_Indiv[[Side]:[Side]],"Raintree Back")-IF(TRUNC(ROUND($B31,0)/9,0)=2,2+IF((ROUND($B31,0)-18)*2&gt;=M$2,1,0),IF(TRUNC(ROUND($B31,0)/9,0)=1,1+IF((ROUND($B31,0)-9)*2&gt;=M$2,1,0),IF(TRUNC(ROUND($B31,0)/9,0)=0,IF(TRUNC(ROUND($B31,0)/9,0)=0,0+IF((ROUND($B31,0))*2&gt;=M$2,1,0),"Not"))))-M$3,"")</f>
        <v/>
      </c>
    </row>
    <row r="52" spans="1:5" x14ac:dyDescent="0.25">
      <c r="A52" t="s">
        <v>724</v>
      </c>
      <c r="B52" t="s">
        <v>355</v>
      </c>
      <c r="C52" t="s">
        <v>725</v>
      </c>
      <c r="D52" t="s">
        <v>776</v>
      </c>
      <c r="E52" t="str">
        <f>IFERROR(AVERAGEIFS(Upload_Indiv[Score1],Upload_Indiv[[Player]:[Player]],$A32,Upload_Indiv[[Side]:[Side]],"Raintree Front")-IF(TRUNC(ROUND($B32,0)/9,0)=2,2+IF((ROUND($B32,0)-18)*2&gt;=C$2,1,0),IF(TRUNC(ROUND($B32,0)/9,0)=1,1+IF((ROUND($B32,0)-9)*2&gt;=C$2,1,0),IF(TRUNC(ROUND($B32,0)/9,0)=0,IF(TRUNC(ROUND($B32,0)/9,0)=0,0+IF((ROUND($B32,0))*2&gt;=C$2,1,0),"Not"))))-C$3,"")</f>
        <v/>
      </c>
    </row>
    <row r="53" spans="1:5" x14ac:dyDescent="0.25">
      <c r="A53" t="s">
        <v>724</v>
      </c>
      <c r="B53" t="s">
        <v>355</v>
      </c>
      <c r="C53" t="s">
        <v>725</v>
      </c>
      <c r="D53" t="s">
        <v>777</v>
      </c>
      <c r="E53" t="str">
        <f>IFERROR(AVERAGEIFS(Upload_Indiv[Score1],Upload_Indiv[[Player]:[Player]],$A32,Upload_Indiv[[Side]:[Side]],"Raintree Back")-IF(TRUNC(ROUND($B32,0)/9,0)=2,2+IF((ROUND($B32,0)-18)*2&gt;=M$2,1,0),IF(TRUNC(ROUND($B32,0)/9,0)=1,1+IF((ROUND($B32,0)-9)*2&gt;=M$2,1,0),IF(TRUNC(ROUND($B32,0)/9,0)=0,IF(TRUNC(ROUND($B32,0)/9,0)=0,0+IF((ROUND($B32,0))*2&gt;=M$2,1,0),"Not"))))-M$3,"")</f>
        <v/>
      </c>
    </row>
    <row r="54" spans="1:5" x14ac:dyDescent="0.25">
      <c r="A54" t="s">
        <v>724</v>
      </c>
      <c r="B54" t="s">
        <v>355</v>
      </c>
      <c r="C54" t="s">
        <v>725</v>
      </c>
      <c r="D54" t="s">
        <v>778</v>
      </c>
      <c r="E54" t="str">
        <f>IFERROR(AVERAGEIFS(Upload_Indiv[Score1],Upload_Indiv[[Player]:[Player]],$A33,Upload_Indiv[[Side]:[Side]],"Raintree Front")-IF(TRUNC(ROUND($B33,0)/9,0)=2,2+IF((ROUND($B33,0)-18)*2&gt;=C$2,1,0),IF(TRUNC(ROUND($B33,0)/9,0)=1,1+IF((ROUND($B33,0)-9)*2&gt;=C$2,1,0),IF(TRUNC(ROUND($B33,0)/9,0)=0,IF(TRUNC(ROUND($B33,0)/9,0)=0,0+IF((ROUND($B33,0))*2&gt;=C$2,1,0),"Not"))))-C$3,"")</f>
        <v/>
      </c>
    </row>
    <row r="55" spans="1:5" x14ac:dyDescent="0.25">
      <c r="A55" t="s">
        <v>724</v>
      </c>
      <c r="B55" t="s">
        <v>355</v>
      </c>
      <c r="C55" t="s">
        <v>725</v>
      </c>
      <c r="D55" t="s">
        <v>779</v>
      </c>
      <c r="E55" t="str">
        <f>IFERROR(AVERAGEIFS(Upload_Indiv[Score1],Upload_Indiv[[Player]:[Player]],$A33,Upload_Indiv[[Side]:[Side]],"Raintree Back")-IF(TRUNC(ROUND($B33,0)/9,0)=2,2+IF((ROUND($B33,0)-18)*2&gt;=M$2,1,0),IF(TRUNC(ROUND($B33,0)/9,0)=1,1+IF((ROUND($B33,0)-9)*2&gt;=M$2,1,0),IF(TRUNC(ROUND($B33,0)/9,0)=0,IF(TRUNC(ROUND($B33,0)/9,0)=0,0+IF((ROUND($B33,0))*2&gt;=M$2,1,0),"Not"))))-M$3,"")</f>
        <v/>
      </c>
    </row>
    <row r="56" spans="1:5" x14ac:dyDescent="0.25">
      <c r="A56" t="s">
        <v>724</v>
      </c>
      <c r="B56" t="s">
        <v>355</v>
      </c>
      <c r="C56" t="s">
        <v>725</v>
      </c>
      <c r="D56" t="s">
        <v>780</v>
      </c>
      <c r="E56" t="str">
        <f>IFERROR(AVERAGEIFS(Upload_Indiv[Score1],Upload_Indiv[[Player]:[Player]],$A34,Upload_Indiv[[Side]:[Side]],"Raintree Front")-IF(TRUNC(ROUND($B34,0)/9,0)=2,2+IF((ROUND($B34,0)-18)*2&gt;=C$2,1,0),IF(TRUNC(ROUND($B34,0)/9,0)=1,1+IF((ROUND($B34,0)-9)*2&gt;=C$2,1,0),IF(TRUNC(ROUND($B34,0)/9,0)=0,IF(TRUNC(ROUND($B34,0)/9,0)=0,0+IF((ROUND($B34,0))*2&gt;=C$2,1,0),"Not"))))-C$3,"")</f>
        <v/>
      </c>
    </row>
    <row r="57" spans="1:5" x14ac:dyDescent="0.25">
      <c r="A57" t="s">
        <v>724</v>
      </c>
      <c r="B57" t="s">
        <v>355</v>
      </c>
      <c r="C57" t="s">
        <v>725</v>
      </c>
      <c r="D57" t="s">
        <v>781</v>
      </c>
      <c r="E57" t="str">
        <f>IFERROR(AVERAGEIFS(Upload_Indiv[Score1],Upload_Indiv[[Player]:[Player]],$A34,Upload_Indiv[[Side]:[Side]],"Raintree Back")-IF(TRUNC(ROUND($B34,0)/9,0)=2,2+IF((ROUND($B34,0)-18)*2&gt;=M$2,1,0),IF(TRUNC(ROUND($B34,0)/9,0)=1,1+IF((ROUND($B34,0)-9)*2&gt;=M$2,1,0),IF(TRUNC(ROUND($B34,0)/9,0)=0,IF(TRUNC(ROUND($B34,0)/9,0)=0,0+IF((ROUND($B34,0))*2&gt;=M$2,1,0),"Not"))))-M$3,"")</f>
        <v/>
      </c>
    </row>
    <row r="58" spans="1:5" x14ac:dyDescent="0.25">
      <c r="A58" t="s">
        <v>724</v>
      </c>
      <c r="B58" t="s">
        <v>355</v>
      </c>
      <c r="C58" t="s">
        <v>725</v>
      </c>
      <c r="D58" t="s">
        <v>782</v>
      </c>
      <c r="E58" t="str">
        <f>IFERROR(AVERAGEIFS(Upload_Indiv[Score1],Upload_Indiv[[Player]:[Player]],$A35,Upload_Indiv[[Side]:[Side]],"Raintree Front")-IF(TRUNC(ROUND($B35,0)/9,0)=2,2+IF((ROUND($B35,0)-18)*2&gt;=C$2,1,0),IF(TRUNC(ROUND($B35,0)/9,0)=1,1+IF((ROUND($B35,0)-9)*2&gt;=C$2,1,0),IF(TRUNC(ROUND($B35,0)/9,0)=0,IF(TRUNC(ROUND($B35,0)/9,0)=0,0+IF((ROUND($B35,0))*2&gt;=C$2,1,0),"Not"))))-C$3,"")</f>
        <v/>
      </c>
    </row>
    <row r="59" spans="1:5" x14ac:dyDescent="0.25">
      <c r="A59" t="s">
        <v>724</v>
      </c>
      <c r="B59" t="s">
        <v>355</v>
      </c>
      <c r="C59" t="s">
        <v>725</v>
      </c>
      <c r="D59" t="s">
        <v>783</v>
      </c>
      <c r="E59" t="str">
        <f>IFERROR(AVERAGEIFS(Upload_Indiv[Score1],Upload_Indiv[[Player]:[Player]],$A35,Upload_Indiv[[Side]:[Side]],"Raintree Back")-IF(TRUNC(ROUND($B35,0)/9,0)=2,2+IF((ROUND($B35,0)-18)*2&gt;=M$2,1,0),IF(TRUNC(ROUND($B35,0)/9,0)=1,1+IF((ROUND($B35,0)-9)*2&gt;=M$2,1,0),IF(TRUNC(ROUND($B35,0)/9,0)=0,IF(TRUNC(ROUND($B35,0)/9,0)=0,0+IF((ROUND($B35,0))*2&gt;=M$2,1,0),"Not"))))-M$3,"")</f>
        <v/>
      </c>
    </row>
    <row r="60" spans="1:5" x14ac:dyDescent="0.25">
      <c r="A60" t="s">
        <v>724</v>
      </c>
      <c r="B60" t="s">
        <v>355</v>
      </c>
      <c r="C60" t="s">
        <v>725</v>
      </c>
      <c r="D60" t="s">
        <v>784</v>
      </c>
      <c r="E60" t="str">
        <f>IFERROR(AVERAGEIFS(Upload_Indiv[Score1],Upload_Indiv[[Player]:[Player]],$A36,Upload_Indiv[[Side]:[Side]],"Raintree Front")-IF(TRUNC(ROUND($B36,0)/9,0)=2,2+IF((ROUND($B36,0)-18)*2&gt;=C$2,1,0),IF(TRUNC(ROUND($B36,0)/9,0)=1,1+IF((ROUND($B36,0)-9)*2&gt;=C$2,1,0),IF(TRUNC(ROUND($B36,0)/9,0)=0,IF(TRUNC(ROUND($B36,0)/9,0)=0,0+IF((ROUND($B36,0))*2&gt;=C$2,1,0),"Not"))))-C$3,"")</f>
        <v/>
      </c>
    </row>
    <row r="61" spans="1:5" x14ac:dyDescent="0.25">
      <c r="A61" t="s">
        <v>724</v>
      </c>
      <c r="B61" t="s">
        <v>355</v>
      </c>
      <c r="C61" t="s">
        <v>725</v>
      </c>
      <c r="D61" t="s">
        <v>785</v>
      </c>
      <c r="E61" t="str">
        <f>IFERROR(AVERAGEIFS(Upload_Indiv[Score1],Upload_Indiv[[Player]:[Player]],$A36,Upload_Indiv[[Side]:[Side]],"Raintree Back")-IF(TRUNC(ROUND($B36,0)/9,0)=2,2+IF((ROUND($B36,0)-18)*2&gt;=M$2,1,0),IF(TRUNC(ROUND($B36,0)/9,0)=1,1+IF((ROUND($B36,0)-9)*2&gt;=M$2,1,0),IF(TRUNC(ROUND($B36,0)/9,0)=0,IF(TRUNC(ROUND($B36,0)/9,0)=0,0+IF((ROUND($B36,0))*2&gt;=M$2,1,0),"Not"))))-M$3,"")</f>
        <v/>
      </c>
    </row>
    <row r="62" spans="1:5" x14ac:dyDescent="0.25">
      <c r="A62" t="s">
        <v>724</v>
      </c>
      <c r="B62" t="s">
        <v>355</v>
      </c>
      <c r="C62" t="s">
        <v>725</v>
      </c>
      <c r="D62" t="s">
        <v>786</v>
      </c>
      <c r="E62" t="str">
        <f>IFERROR(AVERAGEIFS(Upload_Indiv[Score1],Upload_Indiv[[Player]:[Player]],$A37,Upload_Indiv[[Side]:[Side]],"Raintree Front")-IF(TRUNC(ROUND($B37,0)/9,0)=2,2+IF((ROUND($B37,0)-18)*2&gt;=C$2,1,0),IF(TRUNC(ROUND($B37,0)/9,0)=1,1+IF((ROUND($B37,0)-9)*2&gt;=C$2,1,0),IF(TRUNC(ROUND($B37,0)/9,0)=0,IF(TRUNC(ROUND($B37,0)/9,0)=0,0+IF((ROUND($B37,0))*2&gt;=C$2,1,0),"Not"))))-C$3,"")</f>
        <v/>
      </c>
    </row>
    <row r="63" spans="1:5" x14ac:dyDescent="0.25">
      <c r="A63" t="s">
        <v>724</v>
      </c>
      <c r="B63" t="s">
        <v>355</v>
      </c>
      <c r="C63" t="s">
        <v>725</v>
      </c>
      <c r="D63" t="s">
        <v>787</v>
      </c>
      <c r="E63" t="str">
        <f>IFERROR(AVERAGEIFS(Upload_Indiv[Score1],Upload_Indiv[[Player]:[Player]],$A37,Upload_Indiv[[Side]:[Side]],"Raintree Back")-IF(TRUNC(ROUND($B37,0)/9,0)=2,2+IF((ROUND($B37,0)-18)*2&gt;=M$2,1,0),IF(TRUNC(ROUND($B37,0)/9,0)=1,1+IF((ROUND($B37,0)-9)*2&gt;=M$2,1,0),IF(TRUNC(ROUND($B37,0)/9,0)=0,IF(TRUNC(ROUND($B37,0)/9,0)=0,0+IF((ROUND($B37,0))*2&gt;=M$2,1,0),"Not"))))-M$3,"")</f>
        <v/>
      </c>
    </row>
    <row r="64" spans="1:5" x14ac:dyDescent="0.25">
      <c r="A64" t="s">
        <v>724</v>
      </c>
      <c r="B64" t="s">
        <v>355</v>
      </c>
      <c r="C64" t="s">
        <v>725</v>
      </c>
      <c r="D64" t="s">
        <v>788</v>
      </c>
      <c r="E64" t="str">
        <f>IFERROR(AVERAGEIFS(Upload_Indiv[Score1],Upload_Indiv[[Player]:[Player]],$A38,Upload_Indiv[[Side]:[Side]],"Raintree Front")-IF(TRUNC(ROUND($B38,0)/9,0)=2,2+IF((ROUND($B38,0)-18)*2&gt;=C$2,1,0),IF(TRUNC(ROUND($B38,0)/9,0)=1,1+IF((ROUND($B38,0)-9)*2&gt;=C$2,1,0),IF(TRUNC(ROUND($B38,0)/9,0)=0,IF(TRUNC(ROUND($B38,0)/9,0)=0,0+IF((ROUND($B38,0))*2&gt;=C$2,1,0),"Not"))))-C$3,"")</f>
        <v/>
      </c>
    </row>
    <row r="65" spans="1:5" x14ac:dyDescent="0.25">
      <c r="A65" t="s">
        <v>724</v>
      </c>
      <c r="B65" t="s">
        <v>355</v>
      </c>
      <c r="C65" t="s">
        <v>725</v>
      </c>
      <c r="D65" t="s">
        <v>789</v>
      </c>
      <c r="E65" t="str">
        <f>IFERROR(AVERAGEIFS(Upload_Indiv[Score1],Upload_Indiv[[Player]:[Player]],$A38,Upload_Indiv[[Side]:[Side]],"Raintree Back")-IF(TRUNC(ROUND($B38,0)/9,0)=2,2+IF((ROUND($B38,0)-18)*2&gt;=M$2,1,0),IF(TRUNC(ROUND($B38,0)/9,0)=1,1+IF((ROUND($B38,0)-9)*2&gt;=M$2,1,0),IF(TRUNC(ROUND($B38,0)/9,0)=0,IF(TRUNC(ROUND($B38,0)/9,0)=0,0+IF((ROUND($B38,0))*2&gt;=M$2,1,0),"Not"))))-M$3,"")</f>
        <v/>
      </c>
    </row>
    <row r="66" spans="1:5" x14ac:dyDescent="0.25">
      <c r="A66" t="s">
        <v>724</v>
      </c>
      <c r="B66" t="s">
        <v>355</v>
      </c>
      <c r="C66" t="s">
        <v>725</v>
      </c>
      <c r="D66" t="s">
        <v>790</v>
      </c>
      <c r="E66" t="str">
        <f>IFERROR(AVERAGEIFS(Upload_Indiv[Score1],Upload_Indiv[[Player]:[Player]],$A39,Upload_Indiv[[Side]:[Side]],"Raintree Front")-IF(TRUNC(ROUND($B39,0)/9,0)=2,2+IF((ROUND($B39,0)-18)*2&gt;=C$2,1,0),IF(TRUNC(ROUND($B39,0)/9,0)=1,1+IF((ROUND($B39,0)-9)*2&gt;=C$2,1,0),IF(TRUNC(ROUND($B39,0)/9,0)=0,IF(TRUNC(ROUND($B39,0)/9,0)=0,0+IF((ROUND($B39,0))*2&gt;=C$2,1,0),"Not"))))-C$3,"")</f>
        <v/>
      </c>
    </row>
    <row r="67" spans="1:5" x14ac:dyDescent="0.25">
      <c r="A67" t="s">
        <v>724</v>
      </c>
      <c r="B67" t="s">
        <v>355</v>
      </c>
      <c r="C67" t="s">
        <v>725</v>
      </c>
      <c r="D67" t="s">
        <v>791</v>
      </c>
      <c r="E67" t="str">
        <f>IFERROR(AVERAGEIFS(Upload_Indiv[Score1],Upload_Indiv[[Player]:[Player]],$A39,Upload_Indiv[[Side]:[Side]],"Raintree Back")-IF(TRUNC(ROUND($B39,0)/9,0)=2,2+IF((ROUND($B39,0)-18)*2&gt;=M$2,1,0),IF(TRUNC(ROUND($B39,0)/9,0)=1,1+IF((ROUND($B39,0)-9)*2&gt;=M$2,1,0),IF(TRUNC(ROUND($B39,0)/9,0)=0,IF(TRUNC(ROUND($B39,0)/9,0)=0,0+IF((ROUND($B39,0))*2&gt;=M$2,1,0),"Not"))))-M$3,"")</f>
        <v/>
      </c>
    </row>
    <row r="68" spans="1:5" x14ac:dyDescent="0.25">
      <c r="A68" t="s">
        <v>724</v>
      </c>
      <c r="B68" t="s">
        <v>355</v>
      </c>
      <c r="C68" t="s">
        <v>725</v>
      </c>
      <c r="D68" t="s">
        <v>792</v>
      </c>
      <c r="E68" t="str">
        <f>IFERROR(AVERAGEIFS(Upload_Indiv[Score1],Upload_Indiv[[Player]:[Player]],$A40,Upload_Indiv[[Side]:[Side]],"Raintree Front")-IF(TRUNC(ROUND($B40,0)/9,0)=2,2+IF((ROUND($B40,0)-18)*2&gt;=C$2,1,0),IF(TRUNC(ROUND($B40,0)/9,0)=1,1+IF((ROUND($B40,0)-9)*2&gt;=C$2,1,0),IF(TRUNC(ROUND($B40,0)/9,0)=0,IF(TRUNC(ROUND($B40,0)/9,0)=0,0+IF((ROUND($B40,0))*2&gt;=C$2,1,0),"Not"))))-C$3,"")</f>
        <v/>
      </c>
    </row>
    <row r="69" spans="1:5" x14ac:dyDescent="0.25">
      <c r="A69" t="s">
        <v>724</v>
      </c>
      <c r="B69" t="s">
        <v>355</v>
      </c>
      <c r="C69" t="s">
        <v>725</v>
      </c>
      <c r="D69" t="s">
        <v>793</v>
      </c>
      <c r="E69" t="str">
        <f>IFERROR(AVERAGEIFS(Upload_Indiv[Score1],Upload_Indiv[[Player]:[Player]],$A40,Upload_Indiv[[Side]:[Side]],"Raintree Back")-IF(TRUNC(ROUND($B40,0)/9,0)=2,2+IF((ROUND($B40,0)-18)*2&gt;=M$2,1,0),IF(TRUNC(ROUND($B40,0)/9,0)=1,1+IF((ROUND($B40,0)-9)*2&gt;=M$2,1,0),IF(TRUNC(ROUND($B40,0)/9,0)=0,IF(TRUNC(ROUND($B40,0)/9,0)=0,0+IF((ROUND($B40,0))*2&gt;=M$2,1,0),"Not"))))-M$3,"")</f>
        <v/>
      </c>
    </row>
    <row r="70" spans="1:5" x14ac:dyDescent="0.25">
      <c r="A70" t="s">
        <v>724</v>
      </c>
      <c r="B70" t="s">
        <v>355</v>
      </c>
      <c r="C70" t="s">
        <v>725</v>
      </c>
      <c r="D70" t="s">
        <v>794</v>
      </c>
      <c r="E70" t="str">
        <f>IFERROR(AVERAGEIFS(Upload_Indiv[Score1],Upload_Indiv[[Player]:[Player]],$A41,Upload_Indiv[[Side]:[Side]],"Raintree Front")-IF(TRUNC(ROUND($B41,0)/9,0)=2,2+IF((ROUND($B41,0)-18)*2&gt;=C$2,1,0),IF(TRUNC(ROUND($B41,0)/9,0)=1,1+IF((ROUND($B41,0)-9)*2&gt;=C$2,1,0),IF(TRUNC(ROUND($B41,0)/9,0)=0,IF(TRUNC(ROUND($B41,0)/9,0)=0,0+IF((ROUND($B41,0))*2&gt;=C$2,1,0),"Not"))))-C$3,"")</f>
        <v/>
      </c>
    </row>
    <row r="71" spans="1:5" x14ac:dyDescent="0.25">
      <c r="A71" t="s">
        <v>724</v>
      </c>
      <c r="B71" t="s">
        <v>355</v>
      </c>
      <c r="C71" t="s">
        <v>725</v>
      </c>
      <c r="D71" t="s">
        <v>795</v>
      </c>
      <c r="E71" t="str">
        <f>IFERROR(AVERAGEIFS(Upload_Indiv[Score1],Upload_Indiv[[Player]:[Player]],$A41,Upload_Indiv[[Side]:[Side]],"Raintree Back")-IF(TRUNC(ROUND($B41,0)/9,0)=2,2+IF((ROUND($B41,0)-18)*2&gt;=M$2,1,0),IF(TRUNC(ROUND($B41,0)/9,0)=1,1+IF((ROUND($B41,0)-9)*2&gt;=M$2,1,0),IF(TRUNC(ROUND($B41,0)/9,0)=0,IF(TRUNC(ROUND($B41,0)/9,0)=0,0+IF((ROUND($B41,0))*2&gt;=M$2,1,0),"Not"))))-M$3,"")</f>
        <v/>
      </c>
    </row>
    <row r="72" spans="1:5" x14ac:dyDescent="0.25">
      <c r="A72" t="s">
        <v>724</v>
      </c>
      <c r="B72" t="s">
        <v>355</v>
      </c>
      <c r="C72" t="s">
        <v>725</v>
      </c>
      <c r="D72" t="s">
        <v>796</v>
      </c>
      <c r="E72" t="str">
        <f>IFERROR(AVERAGEIFS(Upload_Indiv[Score1],Upload_Indiv[[Player]:[Player]],$A42,Upload_Indiv[[Side]:[Side]],"Raintree Front")-IF(TRUNC(ROUND($B42,0)/9,0)=2,2+IF((ROUND($B42,0)-18)*2&gt;=C$2,1,0),IF(TRUNC(ROUND($B42,0)/9,0)=1,1+IF((ROUND($B42,0)-9)*2&gt;=C$2,1,0),IF(TRUNC(ROUND($B42,0)/9,0)=0,IF(TRUNC(ROUND($B42,0)/9,0)=0,0+IF((ROUND($B42,0))*2&gt;=C$2,1,0),"Not"))))-C$3,"")</f>
        <v/>
      </c>
    </row>
    <row r="73" spans="1:5" x14ac:dyDescent="0.25">
      <c r="A73" t="s">
        <v>724</v>
      </c>
      <c r="B73" t="s">
        <v>355</v>
      </c>
      <c r="C73" t="s">
        <v>725</v>
      </c>
      <c r="D73" t="s">
        <v>797</v>
      </c>
      <c r="E73" t="str">
        <f>IFERROR(AVERAGEIFS(Upload_Indiv[Score1],Upload_Indiv[[Player]:[Player]],$A42,Upload_Indiv[[Side]:[Side]],"Raintree Back")-IF(TRUNC(ROUND($B42,0)/9,0)=2,2+IF((ROUND($B42,0)-18)*2&gt;=M$2,1,0),IF(TRUNC(ROUND($B42,0)/9,0)=1,1+IF((ROUND($B42,0)-9)*2&gt;=M$2,1,0),IF(TRUNC(ROUND($B42,0)/9,0)=0,IF(TRUNC(ROUND($B42,0)/9,0)=0,0+IF((ROUND($B42,0))*2&gt;=M$2,1,0),"Not"))))-M$3,"")</f>
        <v/>
      </c>
    </row>
    <row r="74" spans="1:5" x14ac:dyDescent="0.25">
      <c r="A74" t="s">
        <v>724</v>
      </c>
      <c r="B74" t="s">
        <v>355</v>
      </c>
      <c r="C74" t="s">
        <v>725</v>
      </c>
      <c r="D74" t="s">
        <v>798</v>
      </c>
      <c r="E74" t="str">
        <f>IFERROR(AVERAGEIFS(Upload_Indiv[Score1],Upload_Indiv[[Player]:[Player]],$A43,Upload_Indiv[[Side]:[Side]],"Raintree Front")-IF(TRUNC(ROUND($B43,0)/9,0)=2,2+IF((ROUND($B43,0)-18)*2&gt;=C$2,1,0),IF(TRUNC(ROUND($B43,0)/9,0)=1,1+IF((ROUND($B43,0)-9)*2&gt;=C$2,1,0),IF(TRUNC(ROUND($B43,0)/9,0)=0,IF(TRUNC(ROUND($B43,0)/9,0)=0,0+IF((ROUND($B43,0))*2&gt;=C$2,1,0),"Not"))))-C$3,"")</f>
        <v/>
      </c>
    </row>
    <row r="75" spans="1:5" x14ac:dyDescent="0.25">
      <c r="A75" t="s">
        <v>724</v>
      </c>
      <c r="B75" t="s">
        <v>355</v>
      </c>
      <c r="C75" t="s">
        <v>725</v>
      </c>
      <c r="D75" t="s">
        <v>799</v>
      </c>
      <c r="E75" t="str">
        <f>IFERROR(AVERAGEIFS(Upload_Indiv[Score1],Upload_Indiv[[Player]:[Player]],$A43,Upload_Indiv[[Side]:[Side]],"Raintree Back")-IF(TRUNC(ROUND($B43,0)/9,0)=2,2+IF((ROUND($B43,0)-18)*2&gt;=M$2,1,0),IF(TRUNC(ROUND($B43,0)/9,0)=1,1+IF((ROUND($B43,0)-9)*2&gt;=M$2,1,0),IF(TRUNC(ROUND($B43,0)/9,0)=0,IF(TRUNC(ROUND($B43,0)/9,0)=0,0+IF((ROUND($B43,0))*2&gt;=M$2,1,0),"Not"))))-M$3,"")</f>
        <v/>
      </c>
    </row>
    <row r="76" spans="1:5" x14ac:dyDescent="0.25">
      <c r="A76" t="s">
        <v>724</v>
      </c>
      <c r="B76" t="s">
        <v>355</v>
      </c>
      <c r="C76" t="s">
        <v>725</v>
      </c>
      <c r="D76" t="s">
        <v>800</v>
      </c>
      <c r="E76" t="str">
        <f>IFERROR(AVERAGEIFS(Upload_Indiv[Score1],Upload_Indiv[[Player]:[Player]],$A44,Upload_Indiv[[Side]:[Side]],"Raintree Front")-IF(TRUNC(ROUND($B44,0)/9,0)=2,2+IF((ROUND($B44,0)-18)*2&gt;=C$2,1,0),IF(TRUNC(ROUND($B44,0)/9,0)=1,1+IF((ROUND($B44,0)-9)*2&gt;=C$2,1,0),IF(TRUNC(ROUND($B44,0)/9,0)=0,IF(TRUNC(ROUND($B44,0)/9,0)=0,0+IF((ROUND($B44,0))*2&gt;=C$2,1,0),"Not"))))-C$3,"")</f>
        <v/>
      </c>
    </row>
    <row r="77" spans="1:5" x14ac:dyDescent="0.25">
      <c r="A77" t="s">
        <v>724</v>
      </c>
      <c r="B77" t="s">
        <v>355</v>
      </c>
      <c r="C77" t="s">
        <v>725</v>
      </c>
      <c r="D77" t="s">
        <v>801</v>
      </c>
      <c r="E77" t="str">
        <f>IFERROR(AVERAGEIFS(Upload_Indiv[Score1],Upload_Indiv[[Player]:[Player]],$A44,Upload_Indiv[[Side]:[Side]],"Raintree Back")-IF(TRUNC(ROUND($B44,0)/9,0)=2,2+IF((ROUND($B44,0)-18)*2&gt;=M$2,1,0),IF(TRUNC(ROUND($B44,0)/9,0)=1,1+IF((ROUND($B44,0)-9)*2&gt;=M$2,1,0),IF(TRUNC(ROUND($B44,0)/9,0)=0,IF(TRUNC(ROUND($B44,0)/9,0)=0,0+IF((ROUND($B44,0))*2&gt;=M$2,1,0),"Not"))))-M$3,"")</f>
        <v/>
      </c>
    </row>
    <row r="78" spans="1:5" x14ac:dyDescent="0.25">
      <c r="A78" t="s">
        <v>724</v>
      </c>
      <c r="B78" t="s">
        <v>355</v>
      </c>
      <c r="C78" t="s">
        <v>725</v>
      </c>
      <c r="D78" t="s">
        <v>802</v>
      </c>
      <c r="E78" t="str">
        <f>IFERROR(AVERAGEIFS(Upload_Indiv[Score1],Upload_Indiv[[Player]:[Player]],$A45,Upload_Indiv[[Side]:[Side]],"Raintree Front")-IF(TRUNC(ROUND($B45,0)/9,0)=2,2+IF((ROUND($B45,0)-18)*2&gt;=C$2,1,0),IF(TRUNC(ROUND($B45,0)/9,0)=1,1+IF((ROUND($B45,0)-9)*2&gt;=C$2,1,0),IF(TRUNC(ROUND($B45,0)/9,0)=0,IF(TRUNC(ROUND($B45,0)/9,0)=0,0+IF((ROUND($B45,0))*2&gt;=C$2,1,0),"Not"))))-C$3,"")</f>
        <v/>
      </c>
    </row>
    <row r="79" spans="1:5" x14ac:dyDescent="0.25">
      <c r="A79" t="s">
        <v>724</v>
      </c>
      <c r="B79" t="s">
        <v>355</v>
      </c>
      <c r="C79" t="s">
        <v>725</v>
      </c>
      <c r="D79" t="s">
        <v>803</v>
      </c>
      <c r="E79" t="str">
        <f>IFERROR(AVERAGEIFS(Upload_Indiv[Score1],Upload_Indiv[[Player]:[Player]],$A45,Upload_Indiv[[Side]:[Side]],"Raintree Back")-IF(TRUNC(ROUND($B45,0)/9,0)=2,2+IF((ROUND($B45,0)-18)*2&gt;=M$2,1,0),IF(TRUNC(ROUND($B45,0)/9,0)=1,1+IF((ROUND($B45,0)-9)*2&gt;=M$2,1,0),IF(TRUNC(ROUND($B45,0)/9,0)=0,IF(TRUNC(ROUND($B45,0)/9,0)=0,0+IF((ROUND($B45,0))*2&gt;=M$2,1,0),"Not"))))-M$3,"")</f>
        <v/>
      </c>
    </row>
    <row r="80" spans="1:5" x14ac:dyDescent="0.25">
      <c r="A80" t="s">
        <v>724</v>
      </c>
      <c r="B80" t="s">
        <v>355</v>
      </c>
      <c r="C80" t="s">
        <v>725</v>
      </c>
      <c r="D80" t="s">
        <v>804</v>
      </c>
      <c r="E80" t="str">
        <f>IFERROR(AVERAGEIFS(Upload_Indiv[Score1],Upload_Indiv[[Player]:[Player]],$A46,Upload_Indiv[[Side]:[Side]],"Raintree Front")-IF(TRUNC(ROUND($B46,0)/9,0)=2,2+IF((ROUND($B46,0)-18)*2&gt;=C$2,1,0),IF(TRUNC(ROUND($B46,0)/9,0)=1,1+IF((ROUND($B46,0)-9)*2&gt;=C$2,1,0),IF(TRUNC(ROUND($B46,0)/9,0)=0,IF(TRUNC(ROUND($B46,0)/9,0)=0,0+IF((ROUND($B46,0))*2&gt;=C$2,1,0),"Not"))))-C$3,"")</f>
        <v/>
      </c>
    </row>
    <row r="81" spans="1:5" x14ac:dyDescent="0.25">
      <c r="A81" t="s">
        <v>724</v>
      </c>
      <c r="B81" t="s">
        <v>355</v>
      </c>
      <c r="C81" t="s">
        <v>725</v>
      </c>
      <c r="D81" t="s">
        <v>805</v>
      </c>
      <c r="E81" t="str">
        <f>IFERROR(AVERAGEIFS(Upload_Indiv[Score1],Upload_Indiv[[Player]:[Player]],$A46,Upload_Indiv[[Side]:[Side]],"Raintree Back")-IF(TRUNC(ROUND($B46,0)/9,0)=2,2+IF((ROUND($B46,0)-18)*2&gt;=M$2,1,0),IF(TRUNC(ROUND($B46,0)/9,0)=1,1+IF((ROUND($B46,0)-9)*2&gt;=M$2,1,0),IF(TRUNC(ROUND($B46,0)/9,0)=0,IF(TRUNC(ROUND($B46,0)/9,0)=0,0+IF((ROUND($B46,0))*2&gt;=M$2,1,0),"Not"))))-M$3,"")</f>
        <v/>
      </c>
    </row>
    <row r="82" spans="1:5" x14ac:dyDescent="0.25">
      <c r="A82" t="s">
        <v>724</v>
      </c>
      <c r="B82" t="s">
        <v>355</v>
      </c>
      <c r="C82" t="s">
        <v>725</v>
      </c>
      <c r="D82" t="s">
        <v>806</v>
      </c>
      <c r="E82" t="str">
        <f>IFERROR(AVERAGEIFS(Upload_Indiv[Score1],Upload_Indiv[[Player]:[Player]],$A47,Upload_Indiv[[Side]:[Side]],"Raintree Front")-IF(TRUNC(ROUND($B47,0)/9,0)=2,2+IF((ROUND($B47,0)-18)*2&gt;=C$2,1,0),IF(TRUNC(ROUND($B47,0)/9,0)=1,1+IF((ROUND($B47,0)-9)*2&gt;=C$2,1,0),IF(TRUNC(ROUND($B47,0)/9,0)=0,IF(TRUNC(ROUND($B47,0)/9,0)=0,0+IF((ROUND($B47,0))*2&gt;=C$2,1,0),"Not"))))-C$3,"")</f>
        <v/>
      </c>
    </row>
    <row r="83" spans="1:5" x14ac:dyDescent="0.25">
      <c r="A83" t="s">
        <v>724</v>
      </c>
      <c r="B83" t="s">
        <v>355</v>
      </c>
      <c r="C83" t="s">
        <v>725</v>
      </c>
      <c r="D83" t="s">
        <v>807</v>
      </c>
      <c r="E83" t="str">
        <f>IFERROR(AVERAGEIFS(Upload_Indiv[Score1],Upload_Indiv[[Player]:[Player]],$A47,Upload_Indiv[[Side]:[Side]],"Raintree Back")-IF(TRUNC(ROUND($B47,0)/9,0)=2,2+IF((ROUND($B47,0)-18)*2&gt;=M$2,1,0),IF(TRUNC(ROUND($B47,0)/9,0)=1,1+IF((ROUND($B47,0)-9)*2&gt;=M$2,1,0),IF(TRUNC(ROUND($B47,0)/9,0)=0,IF(TRUNC(ROUND($B47,0)/9,0)=0,0+IF((ROUND($B47,0))*2&gt;=M$2,1,0),"Not"))))-M$3,"")</f>
        <v/>
      </c>
    </row>
    <row r="84" spans="1:5" x14ac:dyDescent="0.25">
      <c r="A84" t="s">
        <v>724</v>
      </c>
      <c r="B84" t="s">
        <v>355</v>
      </c>
      <c r="C84" t="s">
        <v>725</v>
      </c>
      <c r="D84" t="s">
        <v>808</v>
      </c>
      <c r="E84" t="str">
        <f>IFERROR(AVERAGEIFS(Upload_Indiv[Score1],Upload_Indiv[[Player]:[Player]],$A48,Upload_Indiv[[Side]:[Side]],"Raintree Front")-IF(TRUNC(ROUND($B48,0)/9,0)=2,2+IF((ROUND($B48,0)-18)*2&gt;=C$2,1,0),IF(TRUNC(ROUND($B48,0)/9,0)=1,1+IF((ROUND($B48,0)-9)*2&gt;=C$2,1,0),IF(TRUNC(ROUND($B48,0)/9,0)=0,IF(TRUNC(ROUND($B48,0)/9,0)=0,0+IF((ROUND($B48,0))*2&gt;=C$2,1,0),"Not"))))-C$3,"")</f>
        <v/>
      </c>
    </row>
    <row r="85" spans="1:5" x14ac:dyDescent="0.25">
      <c r="A85" t="s">
        <v>724</v>
      </c>
      <c r="B85" t="s">
        <v>355</v>
      </c>
      <c r="C85" t="s">
        <v>725</v>
      </c>
      <c r="D85" t="s">
        <v>809</v>
      </c>
      <c r="E85" t="str">
        <f>IFERROR(AVERAGEIFS(Upload_Indiv[Score1],Upload_Indiv[[Player]:[Player]],$A48,Upload_Indiv[[Side]:[Side]],"Raintree Back")-IF(TRUNC(ROUND($B48,0)/9,0)=2,2+IF((ROUND($B48,0)-18)*2&gt;=M$2,1,0),IF(TRUNC(ROUND($B48,0)/9,0)=1,1+IF((ROUND($B48,0)-9)*2&gt;=M$2,1,0),IF(TRUNC(ROUND($B48,0)/9,0)=0,IF(TRUNC(ROUND($B48,0)/9,0)=0,0+IF((ROUND($B48,0))*2&gt;=M$2,1,0),"Not"))))-M$3,"")</f>
        <v/>
      </c>
    </row>
    <row r="86" spans="1:5" x14ac:dyDescent="0.25">
      <c r="A86" t="s">
        <v>724</v>
      </c>
      <c r="B86" t="s">
        <v>355</v>
      </c>
      <c r="C86" t="s">
        <v>725</v>
      </c>
      <c r="D86" t="s">
        <v>810</v>
      </c>
      <c r="E86" t="str">
        <f>IFERROR(AVERAGEIFS(Upload_Indiv[Score1],Upload_Indiv[[Player]:[Player]],$A49,Upload_Indiv[[Side]:[Side]],"Raintree Front")-IF(TRUNC(ROUND($B49,0)/9,0)=2,2+IF((ROUND($B49,0)-18)*2&gt;=C$2,1,0),IF(TRUNC(ROUND($B49,0)/9,0)=1,1+IF((ROUND($B49,0)-9)*2&gt;=C$2,1,0),IF(TRUNC(ROUND($B49,0)/9,0)=0,IF(TRUNC(ROUND($B49,0)/9,0)=0,0+IF((ROUND($B49,0))*2&gt;=C$2,1,0),"Not"))))-C$3,"")</f>
        <v/>
      </c>
    </row>
    <row r="87" spans="1:5" x14ac:dyDescent="0.25">
      <c r="A87" t="s">
        <v>724</v>
      </c>
      <c r="B87" t="s">
        <v>355</v>
      </c>
      <c r="C87" t="s">
        <v>725</v>
      </c>
      <c r="D87" t="s">
        <v>811</v>
      </c>
      <c r="E87" t="str">
        <f>IFERROR(AVERAGEIFS(Upload_Indiv[Score1],Upload_Indiv[[Player]:[Player]],$A49,Upload_Indiv[[Side]:[Side]],"Raintree Back")-IF(TRUNC(ROUND($B49,0)/9,0)=2,2+IF((ROUND($B49,0)-18)*2&gt;=M$2,1,0),IF(TRUNC(ROUND($B49,0)/9,0)=1,1+IF((ROUND($B49,0)-9)*2&gt;=M$2,1,0),IF(TRUNC(ROUND($B49,0)/9,0)=0,IF(TRUNC(ROUND($B49,0)/9,0)=0,0+IF((ROUND($B49,0))*2&gt;=M$2,1,0),"Not"))))-M$3,"")</f>
        <v/>
      </c>
    </row>
    <row r="88" spans="1:5" x14ac:dyDescent="0.25">
      <c r="A88" t="s">
        <v>724</v>
      </c>
      <c r="B88" t="s">
        <v>355</v>
      </c>
      <c r="C88" t="s">
        <v>725</v>
      </c>
      <c r="D88" t="s">
        <v>812</v>
      </c>
      <c r="E88" t="str">
        <f>IFERROR(AVERAGEIFS(Upload_Indiv[Score1],Upload_Indiv[[Player]:[Player]],$A50,Upload_Indiv[[Side]:[Side]],"Raintree Front")-IF(TRUNC(ROUND($B50,0)/9,0)=2,2+IF((ROUND($B50,0)-18)*2&gt;=C$2,1,0),IF(TRUNC(ROUND($B50,0)/9,0)=1,1+IF((ROUND($B50,0)-9)*2&gt;=C$2,1,0),IF(TRUNC(ROUND($B50,0)/9,0)=0,IF(TRUNC(ROUND($B50,0)/9,0)=0,0+IF((ROUND($B50,0))*2&gt;=C$2,1,0),"Not"))))-C$3,"")</f>
        <v/>
      </c>
    </row>
    <row r="89" spans="1:5" x14ac:dyDescent="0.25">
      <c r="A89" t="s">
        <v>724</v>
      </c>
      <c r="B89" t="s">
        <v>355</v>
      </c>
      <c r="C89" t="s">
        <v>725</v>
      </c>
      <c r="D89" t="s">
        <v>813</v>
      </c>
      <c r="E89" t="str">
        <f>IFERROR(AVERAGEIFS(Upload_Indiv[Score1],Upload_Indiv[[Player]:[Player]],$A50,Upload_Indiv[[Side]:[Side]],"Raintree Back")-IF(TRUNC(ROUND($B50,0)/9,0)=2,2+IF((ROUND($B50,0)-18)*2&gt;=M$2,1,0),IF(TRUNC(ROUND($B50,0)/9,0)=1,1+IF((ROUND($B50,0)-9)*2&gt;=M$2,1,0),IF(TRUNC(ROUND($B50,0)/9,0)=0,IF(TRUNC(ROUND($B50,0)/9,0)=0,0+IF((ROUND($B50,0))*2&gt;=M$2,1,0),"Not"))))-M$3,"")</f>
        <v/>
      </c>
    </row>
    <row r="90" spans="1:5" x14ac:dyDescent="0.25">
      <c r="A90" t="s">
        <v>724</v>
      </c>
      <c r="B90" t="s">
        <v>355</v>
      </c>
      <c r="C90" t="s">
        <v>725</v>
      </c>
      <c r="D90" t="s">
        <v>814</v>
      </c>
      <c r="E90" t="str">
        <f>IFERROR(AVERAGEIFS(Upload_Indiv[Score1],Upload_Indiv[[Player]:[Player]],$A51,Upload_Indiv[[Side]:[Side]],"Raintree Front")-IF(TRUNC(ROUND($B51,0)/9,0)=2,2+IF((ROUND($B51,0)-18)*2&gt;=C$2,1,0),IF(TRUNC(ROUND($B51,0)/9,0)=1,1+IF((ROUND($B51,0)-9)*2&gt;=C$2,1,0),IF(TRUNC(ROUND($B51,0)/9,0)=0,IF(TRUNC(ROUND($B51,0)/9,0)=0,0+IF((ROUND($B51,0))*2&gt;=C$2,1,0),"Not"))))-C$3,"")</f>
        <v/>
      </c>
    </row>
    <row r="91" spans="1:5" x14ac:dyDescent="0.25">
      <c r="A91" t="s">
        <v>724</v>
      </c>
      <c r="B91" t="s">
        <v>355</v>
      </c>
      <c r="C91" t="s">
        <v>725</v>
      </c>
      <c r="D91" t="s">
        <v>815</v>
      </c>
      <c r="E91" t="str">
        <f>IFERROR(AVERAGEIFS(Upload_Indiv[Score1],Upload_Indiv[[Player]:[Player]],$A51,Upload_Indiv[[Side]:[Side]],"Raintree Back")-IF(TRUNC(ROUND($B51,0)/9,0)=2,2+IF((ROUND($B51,0)-18)*2&gt;=M$2,1,0),IF(TRUNC(ROUND($B51,0)/9,0)=1,1+IF((ROUND($B51,0)-9)*2&gt;=M$2,1,0),IF(TRUNC(ROUND($B51,0)/9,0)=0,IF(TRUNC(ROUND($B51,0)/9,0)=0,0+IF((ROUND($B51,0))*2&gt;=M$2,1,0),"Not"))))-M$3,"")</f>
        <v/>
      </c>
    </row>
    <row r="92" spans="1:5" x14ac:dyDescent="0.25">
      <c r="A92" t="s">
        <v>724</v>
      </c>
      <c r="B92" t="s">
        <v>355</v>
      </c>
      <c r="C92" t="s">
        <v>725</v>
      </c>
      <c r="D92" t="s">
        <v>816</v>
      </c>
      <c r="E92" t="str">
        <f>IFERROR(AVERAGEIFS(Upload_Indiv[Score1],Upload_Indiv[[Player]:[Player]],$A52,Upload_Indiv[[Side]:[Side]],"Raintree Front")-IF(TRUNC(ROUND($B52,0)/9,0)=2,2+IF((ROUND($B52,0)-18)*2&gt;=C$2,1,0),IF(TRUNC(ROUND($B52,0)/9,0)=1,1+IF((ROUND($B52,0)-9)*2&gt;=C$2,1,0),IF(TRUNC(ROUND($B52,0)/9,0)=0,IF(TRUNC(ROUND($B52,0)/9,0)=0,0+IF((ROUND($B52,0))*2&gt;=C$2,1,0),"Not"))))-C$3,"")</f>
        <v/>
      </c>
    </row>
    <row r="93" spans="1:5" x14ac:dyDescent="0.25">
      <c r="A93" t="s">
        <v>724</v>
      </c>
      <c r="B93" t="s">
        <v>355</v>
      </c>
      <c r="C93" t="s">
        <v>725</v>
      </c>
      <c r="D93" t="s">
        <v>817</v>
      </c>
      <c r="E93" t="str">
        <f>IFERROR(AVERAGEIFS(Upload_Indiv[Score1],Upload_Indiv[[Player]:[Player]],$A52,Upload_Indiv[[Side]:[Side]],"Raintree Back")-IF(TRUNC(ROUND($B52,0)/9,0)=2,2+IF((ROUND($B52,0)-18)*2&gt;=M$2,1,0),IF(TRUNC(ROUND($B52,0)/9,0)=1,1+IF((ROUND($B52,0)-9)*2&gt;=M$2,1,0),IF(TRUNC(ROUND($B52,0)/9,0)=0,IF(TRUNC(ROUND($B52,0)/9,0)=0,0+IF((ROUND($B52,0))*2&gt;=M$2,1,0),"Not"))))-M$3,"")</f>
        <v/>
      </c>
    </row>
    <row r="94" spans="1:5" x14ac:dyDescent="0.25">
      <c r="A94" t="s">
        <v>724</v>
      </c>
      <c r="B94" t="s">
        <v>355</v>
      </c>
      <c r="C94" t="s">
        <v>725</v>
      </c>
      <c r="D94" t="s">
        <v>818</v>
      </c>
      <c r="E94" t="str">
        <f>IFERROR(AVERAGEIFS(Upload_Indiv[Score1],Upload_Indiv[[Player]:[Player]],$A53,Upload_Indiv[[Side]:[Side]],"Raintree Front")-IF(TRUNC(ROUND($B53,0)/9,0)=2,2+IF((ROUND($B53,0)-18)*2&gt;=C$2,1,0),IF(TRUNC(ROUND($B53,0)/9,0)=1,1+IF((ROUND($B53,0)-9)*2&gt;=C$2,1,0),IF(TRUNC(ROUND($B53,0)/9,0)=0,IF(TRUNC(ROUND($B53,0)/9,0)=0,0+IF((ROUND($B53,0))*2&gt;=C$2,1,0),"Not"))))-C$3,"")</f>
        <v/>
      </c>
    </row>
    <row r="95" spans="1:5" x14ac:dyDescent="0.25">
      <c r="A95" t="s">
        <v>724</v>
      </c>
      <c r="B95" t="s">
        <v>355</v>
      </c>
      <c r="C95" t="s">
        <v>725</v>
      </c>
      <c r="D95" t="s">
        <v>819</v>
      </c>
      <c r="E95" t="str">
        <f>IFERROR(AVERAGEIFS(Upload_Indiv[Score1],Upload_Indiv[[Player]:[Player]],$A53,Upload_Indiv[[Side]:[Side]],"Raintree Back")-IF(TRUNC(ROUND($B53,0)/9,0)=2,2+IF((ROUND($B53,0)-18)*2&gt;=M$2,1,0),IF(TRUNC(ROUND($B53,0)/9,0)=1,1+IF((ROUND($B53,0)-9)*2&gt;=M$2,1,0),IF(TRUNC(ROUND($B53,0)/9,0)=0,IF(TRUNC(ROUND($B53,0)/9,0)=0,0+IF((ROUND($B53,0))*2&gt;=M$2,1,0),"Not"))))-M$3,"")</f>
        <v/>
      </c>
    </row>
    <row r="96" spans="1:5" x14ac:dyDescent="0.25">
      <c r="A96" t="s">
        <v>724</v>
      </c>
      <c r="B96" t="s">
        <v>355</v>
      </c>
      <c r="C96" t="s">
        <v>725</v>
      </c>
      <c r="D96" t="s">
        <v>820</v>
      </c>
      <c r="E96" t="str">
        <f>IFERROR(AVERAGEIFS(Upload_Indiv[Score1],Upload_Indiv[[Player]:[Player]],$A54,Upload_Indiv[[Side]:[Side]],"Raintree Front")-IF(TRUNC(ROUND($B54,0)/9,0)=2,2+IF((ROUND($B54,0)-18)*2&gt;=C$2,1,0),IF(TRUNC(ROUND($B54,0)/9,0)=1,1+IF((ROUND($B54,0)-9)*2&gt;=C$2,1,0),IF(TRUNC(ROUND($B54,0)/9,0)=0,IF(TRUNC(ROUND($B54,0)/9,0)=0,0+IF((ROUND($B54,0))*2&gt;=C$2,1,0),"Not"))))-C$3,"")</f>
        <v/>
      </c>
    </row>
    <row r="97" spans="1:5" x14ac:dyDescent="0.25">
      <c r="A97" t="s">
        <v>724</v>
      </c>
      <c r="B97" t="s">
        <v>355</v>
      </c>
      <c r="C97" t="s">
        <v>725</v>
      </c>
      <c r="D97" t="s">
        <v>821</v>
      </c>
      <c r="E97" t="str">
        <f>IFERROR(AVERAGEIFS(Upload_Indiv[Score1],Upload_Indiv[[Player]:[Player]],$A54,Upload_Indiv[[Side]:[Side]],"Raintree Back")-IF(TRUNC(ROUND($B54,0)/9,0)=2,2+IF((ROUND($B54,0)-18)*2&gt;=M$2,1,0),IF(TRUNC(ROUND($B54,0)/9,0)=1,1+IF((ROUND($B54,0)-9)*2&gt;=M$2,1,0),IF(TRUNC(ROUND($B54,0)/9,0)=0,IF(TRUNC(ROUND($B54,0)/9,0)=0,0+IF((ROUND($B54,0))*2&gt;=M$2,1,0),"Not"))))-M$3,"")</f>
        <v/>
      </c>
    </row>
    <row r="98" spans="1:5" x14ac:dyDescent="0.25">
      <c r="A98" t="s">
        <v>724</v>
      </c>
      <c r="B98" t="s">
        <v>355</v>
      </c>
      <c r="C98" t="s">
        <v>725</v>
      </c>
      <c r="D98" t="s">
        <v>822</v>
      </c>
      <c r="E98" t="str">
        <f>IFERROR(AVERAGEIFS(Upload_Indiv[Score1],Upload_Indiv[[Player]:[Player]],$A55,Upload_Indiv[[Side]:[Side]],"Raintree Front")-IF(TRUNC(ROUND($B55,0)/9,0)=2,2+IF((ROUND($B55,0)-18)*2&gt;=C$2,1,0),IF(TRUNC(ROUND($B55,0)/9,0)=1,1+IF((ROUND($B55,0)-9)*2&gt;=C$2,1,0),IF(TRUNC(ROUND($B55,0)/9,0)=0,IF(TRUNC(ROUND($B55,0)/9,0)=0,0+IF((ROUND($B55,0))*2&gt;=C$2,1,0),"Not"))))-C$3,"")</f>
        <v/>
      </c>
    </row>
    <row r="99" spans="1:5" x14ac:dyDescent="0.25">
      <c r="A99" t="s">
        <v>724</v>
      </c>
      <c r="B99" t="s">
        <v>355</v>
      </c>
      <c r="C99" t="s">
        <v>725</v>
      </c>
      <c r="D99" t="s">
        <v>823</v>
      </c>
      <c r="E99" t="str">
        <f>IFERROR(AVERAGEIFS(Upload_Indiv[Score1],Upload_Indiv[[Player]:[Player]],$A55,Upload_Indiv[[Side]:[Side]],"Raintree Back")-IF(TRUNC(ROUND($B55,0)/9,0)=2,2+IF((ROUND($B55,0)-18)*2&gt;=M$2,1,0),IF(TRUNC(ROUND($B55,0)/9,0)=1,1+IF((ROUND($B55,0)-9)*2&gt;=M$2,1,0),IF(TRUNC(ROUND($B55,0)/9,0)=0,IF(TRUNC(ROUND($B55,0)/9,0)=0,0+IF((ROUND($B55,0))*2&gt;=M$2,1,0),"Not"))))-M$3,"")</f>
        <v/>
      </c>
    </row>
    <row r="100" spans="1:5" x14ac:dyDescent="0.25">
      <c r="A100" t="s">
        <v>724</v>
      </c>
      <c r="B100" t="s">
        <v>355</v>
      </c>
      <c r="C100" t="s">
        <v>725</v>
      </c>
      <c r="D100" t="s">
        <v>824</v>
      </c>
      <c r="E100" t="str">
        <f>IFERROR(AVERAGEIFS(Upload_Indiv[Score1],Upload_Indiv[[Player]:[Player]],$A56,Upload_Indiv[[Side]:[Side]],"Raintree Front")-IF(TRUNC(ROUND($B56,0)/9,0)=2,2+IF((ROUND($B56,0)-18)*2&gt;=C$2,1,0),IF(TRUNC(ROUND($B56,0)/9,0)=1,1+IF((ROUND($B56,0)-9)*2&gt;=C$2,1,0),IF(TRUNC(ROUND($B56,0)/9,0)=0,IF(TRUNC(ROUND($B56,0)/9,0)=0,0+IF((ROUND($B56,0))*2&gt;=C$2,1,0),"Not"))))-C$3,"")</f>
        <v/>
      </c>
    </row>
    <row r="101" spans="1:5" x14ac:dyDescent="0.25">
      <c r="A101" t="s">
        <v>724</v>
      </c>
      <c r="B101" t="s">
        <v>355</v>
      </c>
      <c r="C101" t="s">
        <v>725</v>
      </c>
      <c r="D101" t="s">
        <v>825</v>
      </c>
      <c r="E101" t="str">
        <f>IFERROR(AVERAGEIFS(Upload_Indiv[Score1],Upload_Indiv[[Player]:[Player]],$A56,Upload_Indiv[[Side]:[Side]],"Raintree Back")-IF(TRUNC(ROUND($B56,0)/9,0)=2,2+IF((ROUND($B56,0)-18)*2&gt;=M$2,1,0),IF(TRUNC(ROUND($B56,0)/9,0)=1,1+IF((ROUND($B56,0)-9)*2&gt;=M$2,1,0),IF(TRUNC(ROUND($B56,0)/9,0)=0,IF(TRUNC(ROUND($B56,0)/9,0)=0,0+IF((ROUND($B56,0))*2&gt;=M$2,1,0),"Not"))))-M$3,"")</f>
        <v/>
      </c>
    </row>
    <row r="102" spans="1:5" x14ac:dyDescent="0.25">
      <c r="A102" t="s">
        <v>724</v>
      </c>
      <c r="B102" t="s">
        <v>355</v>
      </c>
      <c r="C102" t="s">
        <v>725</v>
      </c>
      <c r="D102" t="s">
        <v>826</v>
      </c>
      <c r="E102" t="str">
        <f>IFERROR(AVERAGEIFS(Upload_Indiv[Score1],Upload_Indiv[[Player]:[Player]],$A57,Upload_Indiv[[Side]:[Side]],"Raintree Front")-IF(TRUNC(ROUND($B57,0)/9,0)=2,2+IF((ROUND($B57,0)-18)*2&gt;=C$2,1,0),IF(TRUNC(ROUND($B57,0)/9,0)=1,1+IF((ROUND($B57,0)-9)*2&gt;=C$2,1,0),IF(TRUNC(ROUND($B57,0)/9,0)=0,IF(TRUNC(ROUND($B57,0)/9,0)=0,0+IF((ROUND($B57,0))*2&gt;=C$2,1,0),"Not"))))-C$3,"")</f>
        <v/>
      </c>
    </row>
    <row r="103" spans="1:5" x14ac:dyDescent="0.25">
      <c r="A103" t="s">
        <v>724</v>
      </c>
      <c r="B103" t="s">
        <v>355</v>
      </c>
      <c r="C103" t="s">
        <v>725</v>
      </c>
      <c r="D103" t="s">
        <v>827</v>
      </c>
      <c r="E103" t="str">
        <f>IFERROR(AVERAGEIFS(Upload_Indiv[Score1],Upload_Indiv[[Player]:[Player]],$A57,Upload_Indiv[[Side]:[Side]],"Raintree Back")-IF(TRUNC(ROUND($B57,0)/9,0)=2,2+IF((ROUND($B57,0)-18)*2&gt;=M$2,1,0),IF(TRUNC(ROUND($B57,0)/9,0)=1,1+IF((ROUND($B57,0)-9)*2&gt;=M$2,1,0),IF(TRUNC(ROUND($B57,0)/9,0)=0,IF(TRUNC(ROUND($B57,0)/9,0)=0,0+IF((ROUND($B57,0))*2&gt;=M$2,1,0),"Not"))))-M$3,"")</f>
        <v/>
      </c>
    </row>
    <row r="104" spans="1:5" x14ac:dyDescent="0.25">
      <c r="A104" t="s">
        <v>724</v>
      </c>
      <c r="B104" t="s">
        <v>355</v>
      </c>
      <c r="C104" t="s">
        <v>725</v>
      </c>
      <c r="D104" t="s">
        <v>828</v>
      </c>
      <c r="E104" t="str">
        <f>IFERROR(AVERAGEIFS(Upload_Indiv[Score1],Upload_Indiv[[Player]:[Player]],$A58,Upload_Indiv[[Side]:[Side]],"Raintree Front")-IF(TRUNC(ROUND($B58,0)/9,0)=2,2+IF((ROUND($B58,0)-18)*2&gt;=C$2,1,0),IF(TRUNC(ROUND($B58,0)/9,0)=1,1+IF((ROUND($B58,0)-9)*2&gt;=C$2,1,0),IF(TRUNC(ROUND($B58,0)/9,0)=0,IF(TRUNC(ROUND($B58,0)/9,0)=0,0+IF((ROUND($B58,0))*2&gt;=C$2,1,0),"Not"))))-C$3,"")</f>
        <v/>
      </c>
    </row>
    <row r="105" spans="1:5" x14ac:dyDescent="0.25">
      <c r="A105" t="s">
        <v>724</v>
      </c>
      <c r="B105" t="s">
        <v>355</v>
      </c>
      <c r="C105" t="s">
        <v>725</v>
      </c>
      <c r="D105" t="s">
        <v>829</v>
      </c>
      <c r="E105" t="str">
        <f>IFERROR(AVERAGEIFS(Upload_Indiv[Score1],Upload_Indiv[[Player]:[Player]],$A58,Upload_Indiv[[Side]:[Side]],"Raintree Back")-IF(TRUNC(ROUND($B58,0)/9,0)=2,2+IF((ROUND($B58,0)-18)*2&gt;=M$2,1,0),IF(TRUNC(ROUND($B58,0)/9,0)=1,1+IF((ROUND($B58,0)-9)*2&gt;=M$2,1,0),IF(TRUNC(ROUND($B58,0)/9,0)=0,IF(TRUNC(ROUND($B58,0)/9,0)=0,0+IF((ROUND($B58,0))*2&gt;=M$2,1,0),"Not"))))-M$3,"")</f>
        <v/>
      </c>
    </row>
    <row r="106" spans="1:5" x14ac:dyDescent="0.25">
      <c r="A106" t="s">
        <v>724</v>
      </c>
      <c r="B106" t="s">
        <v>355</v>
      </c>
      <c r="C106" t="s">
        <v>725</v>
      </c>
      <c r="D106" t="s">
        <v>830</v>
      </c>
      <c r="E106" t="str">
        <f>IFERROR(AVERAGEIFS(Upload_Indiv[Score1],Upload_Indiv[[Player]:[Player]],$A59,Upload_Indiv[[Side]:[Side]],"Raintree Front")-IF(TRUNC(ROUND($B59,0)/9,0)=2,2+IF((ROUND($B59,0)-18)*2&gt;=C$2,1,0),IF(TRUNC(ROUND($B59,0)/9,0)=1,1+IF((ROUND($B59,0)-9)*2&gt;=C$2,1,0),IF(TRUNC(ROUND($B59,0)/9,0)=0,IF(TRUNC(ROUND($B59,0)/9,0)=0,0+IF((ROUND($B59,0))*2&gt;=C$2,1,0),"Not"))))-C$3,"")</f>
        <v/>
      </c>
    </row>
    <row r="107" spans="1:5" x14ac:dyDescent="0.25">
      <c r="A107" t="s">
        <v>724</v>
      </c>
      <c r="B107" t="s">
        <v>355</v>
      </c>
      <c r="C107" t="s">
        <v>725</v>
      </c>
      <c r="D107" t="s">
        <v>831</v>
      </c>
      <c r="E107" t="str">
        <f>IFERROR(AVERAGEIFS(Upload_Indiv[Score1],Upload_Indiv[[Player]:[Player]],$A59,Upload_Indiv[[Side]:[Side]],"Raintree Back")-IF(TRUNC(ROUND($B59,0)/9,0)=2,2+IF((ROUND($B59,0)-18)*2&gt;=M$2,1,0),IF(TRUNC(ROUND($B59,0)/9,0)=1,1+IF((ROUND($B59,0)-9)*2&gt;=M$2,1,0),IF(TRUNC(ROUND($B59,0)/9,0)=0,IF(TRUNC(ROUND($B59,0)/9,0)=0,0+IF((ROUND($B59,0))*2&gt;=M$2,1,0),"Not"))))-M$3,"")</f>
        <v/>
      </c>
    </row>
    <row r="108" spans="1:5" x14ac:dyDescent="0.25">
      <c r="A108" t="s">
        <v>724</v>
      </c>
      <c r="B108" t="s">
        <v>355</v>
      </c>
      <c r="C108" t="s">
        <v>725</v>
      </c>
      <c r="D108" t="s">
        <v>832</v>
      </c>
      <c r="E108" t="str">
        <f>IFERROR(AVERAGEIFS(Upload_Indiv[Score1],Upload_Indiv[[Player]:[Player]],$A60,Upload_Indiv[[Side]:[Side]],"Raintree Front")-IF(TRUNC(ROUND($B60,0)/9,0)=2,2+IF((ROUND($B60,0)-18)*2&gt;=C$2,1,0),IF(TRUNC(ROUND($B60,0)/9,0)=1,1+IF((ROUND($B60,0)-9)*2&gt;=C$2,1,0),IF(TRUNC(ROUND($B60,0)/9,0)=0,IF(TRUNC(ROUND($B60,0)/9,0)=0,0+IF((ROUND($B60,0))*2&gt;=C$2,1,0),"Not"))))-C$3,"")</f>
        <v/>
      </c>
    </row>
    <row r="109" spans="1:5" x14ac:dyDescent="0.25">
      <c r="A109" t="s">
        <v>724</v>
      </c>
      <c r="B109" t="s">
        <v>355</v>
      </c>
      <c r="C109" t="s">
        <v>725</v>
      </c>
      <c r="D109" t="s">
        <v>833</v>
      </c>
      <c r="E109" t="str">
        <f>IFERROR(AVERAGEIFS(Upload_Indiv[Score1],Upload_Indiv[[Player]:[Player]],$A60,Upload_Indiv[[Side]:[Side]],"Raintree Back")-IF(TRUNC(ROUND($B60,0)/9,0)=2,2+IF((ROUND($B60,0)-18)*2&gt;=M$2,1,0),IF(TRUNC(ROUND($B60,0)/9,0)=1,1+IF((ROUND($B60,0)-9)*2&gt;=M$2,1,0),IF(TRUNC(ROUND($B60,0)/9,0)=0,IF(TRUNC(ROUND($B60,0)/9,0)=0,0+IF((ROUND($B60,0))*2&gt;=M$2,1,0),"Not"))))-M$3,"")</f>
        <v/>
      </c>
    </row>
    <row r="110" spans="1:5" x14ac:dyDescent="0.25">
      <c r="A110" t="s">
        <v>724</v>
      </c>
      <c r="B110" t="s">
        <v>355</v>
      </c>
      <c r="C110" t="s">
        <v>834</v>
      </c>
      <c r="D110" t="s">
        <v>835</v>
      </c>
      <c r="E110">
        <f>IFERROR(AVERAGEIFS(Upload_Indiv[Score1],Upload_Indiv[[Side]:[Side]],"Raintree Front",Upload_Indiv[[Excl Score]:[Excl Score]],0),"")</f>
        <v>5.8684210526315788</v>
      </c>
    </row>
    <row r="111" spans="1:5" x14ac:dyDescent="0.25">
      <c r="A111" t="s">
        <v>724</v>
      </c>
      <c r="B111" t="s">
        <v>355</v>
      </c>
      <c r="C111" t="s">
        <v>834</v>
      </c>
      <c r="D111" t="s">
        <v>836</v>
      </c>
      <c r="E111">
        <f>IFERROR(AVERAGEIFS(Upload_Indiv[Score1],Upload_Indiv[[Side]:[Side]],"Raintree Back",Upload_Indiv[[Excl Score]:[Excl Score]],0),"")</f>
        <v>5.1194690265486722</v>
      </c>
    </row>
    <row r="112" spans="1:5" x14ac:dyDescent="0.25">
      <c r="A112" t="s">
        <v>724</v>
      </c>
      <c r="B112" t="s">
        <v>355</v>
      </c>
      <c r="C112" t="s">
        <v>834</v>
      </c>
      <c r="D112" t="s">
        <v>837</v>
      </c>
      <c r="E112" t="str">
        <f>IFERROR(AVERAGEIFS(Upload_Indiv[Score1],Upload_Indiv[[Player]:[Player]],$A9,Upload_Indiv[[Side]:[Side]],"Raintree Front",Upload_Indiv[[Excl Score]:[Excl Score]],0),"")</f>
        <v/>
      </c>
    </row>
    <row r="113" spans="1:5" x14ac:dyDescent="0.25">
      <c r="A113" t="s">
        <v>724</v>
      </c>
      <c r="B113" t="s">
        <v>355</v>
      </c>
      <c r="C113" t="s">
        <v>834</v>
      </c>
      <c r="D113" t="s">
        <v>838</v>
      </c>
      <c r="E113" t="str">
        <f>IFERROR(AVERAGEIFS(Upload_Indiv[Score1],Upload_Indiv[[Player]:[Player]],$A9,Upload_Indiv[[Side]:[Side]],"Raintree Back",Upload_Indiv[[Excl Score]:[Excl Score]],0),"")</f>
        <v/>
      </c>
    </row>
    <row r="114" spans="1:5" x14ac:dyDescent="0.25">
      <c r="A114" t="s">
        <v>724</v>
      </c>
      <c r="B114" t="s">
        <v>355</v>
      </c>
      <c r="C114" t="s">
        <v>834</v>
      </c>
      <c r="D114" t="s">
        <v>839</v>
      </c>
      <c r="E114" t="str">
        <f>IFERROR(AVERAGEIFS(Upload_Indiv[Score1],Upload_Indiv[[Player]:[Player]],$A10,Upload_Indiv[[Side]:[Side]],"Raintree Front",Upload_Indiv[[Excl Score]:[Excl Score]],0),"")</f>
        <v/>
      </c>
    </row>
    <row r="115" spans="1:5" x14ac:dyDescent="0.25">
      <c r="A115" t="s">
        <v>724</v>
      </c>
      <c r="B115" t="s">
        <v>355</v>
      </c>
      <c r="C115" t="s">
        <v>834</v>
      </c>
      <c r="D115" t="s">
        <v>840</v>
      </c>
      <c r="E115" t="str">
        <f>IFERROR(AVERAGEIFS(Upload_Indiv[Score1],Upload_Indiv[[Player]:[Player]],$A10,Upload_Indiv[[Side]:[Side]],"Raintree Back",Upload_Indiv[[Excl Score]:[Excl Score]],0),"")</f>
        <v/>
      </c>
    </row>
    <row r="116" spans="1:5" x14ac:dyDescent="0.25">
      <c r="A116" t="s">
        <v>724</v>
      </c>
      <c r="B116" t="s">
        <v>355</v>
      </c>
      <c r="C116" t="s">
        <v>834</v>
      </c>
      <c r="D116" t="s">
        <v>841</v>
      </c>
      <c r="E116" t="str">
        <f>IFERROR(AVERAGEIFS(Upload_Indiv[Score1],Upload_Indiv[[Player]:[Player]],$A11,Upload_Indiv[[Side]:[Side]],"Raintree Front",Upload_Indiv[[Excl Score]:[Excl Score]],0),"")</f>
        <v/>
      </c>
    </row>
    <row r="117" spans="1:5" x14ac:dyDescent="0.25">
      <c r="A117" t="s">
        <v>724</v>
      </c>
      <c r="B117" t="s">
        <v>355</v>
      </c>
      <c r="C117" t="s">
        <v>834</v>
      </c>
      <c r="D117" t="s">
        <v>842</v>
      </c>
      <c r="E117" t="str">
        <f>IFERROR(AVERAGEIFS(Upload_Indiv[Score1],Upload_Indiv[[Player]:[Player]],$A11,Upload_Indiv[[Side]:[Side]],"Raintree Back",Upload_Indiv[[Excl Score]:[Excl Score]],0),"")</f>
        <v/>
      </c>
    </row>
    <row r="118" spans="1:5" x14ac:dyDescent="0.25">
      <c r="A118" t="s">
        <v>724</v>
      </c>
      <c r="B118" t="s">
        <v>355</v>
      </c>
      <c r="C118" t="s">
        <v>834</v>
      </c>
      <c r="D118" t="s">
        <v>843</v>
      </c>
      <c r="E118" t="str">
        <f>IFERROR(AVERAGEIFS(Upload_Indiv[Score1],Upload_Indiv[[Player]:[Player]],$A12,Upload_Indiv[[Side]:[Side]],"Raintree Front",Upload_Indiv[[Excl Score]:[Excl Score]],0),"")</f>
        <v/>
      </c>
    </row>
    <row r="119" spans="1:5" x14ac:dyDescent="0.25">
      <c r="A119" t="s">
        <v>724</v>
      </c>
      <c r="B119" t="s">
        <v>355</v>
      </c>
      <c r="C119" t="s">
        <v>834</v>
      </c>
      <c r="D119" t="s">
        <v>844</v>
      </c>
      <c r="E119" t="str">
        <f>IFERROR(AVERAGEIFS(Upload_Indiv[Score1],Upload_Indiv[[Player]:[Player]],$A12,Upload_Indiv[[Side]:[Side]],"Raintree Back",Upload_Indiv[[Excl Score]:[Excl Score]],0),"")</f>
        <v/>
      </c>
    </row>
    <row r="120" spans="1:5" x14ac:dyDescent="0.25">
      <c r="A120" t="s">
        <v>724</v>
      </c>
      <c r="B120" t="s">
        <v>355</v>
      </c>
      <c r="C120" t="s">
        <v>834</v>
      </c>
      <c r="D120" t="s">
        <v>845</v>
      </c>
      <c r="E120" t="str">
        <f>IFERROR(AVERAGEIFS(Upload_Indiv[Score1],Upload_Indiv[[Player]:[Player]],$A13,Upload_Indiv[[Side]:[Side]],"Raintree Front",Upload_Indiv[[Excl Score]:[Excl Score]],0),"")</f>
        <v/>
      </c>
    </row>
    <row r="121" spans="1:5" x14ac:dyDescent="0.25">
      <c r="A121" t="s">
        <v>724</v>
      </c>
      <c r="B121" t="s">
        <v>355</v>
      </c>
      <c r="C121" t="s">
        <v>834</v>
      </c>
      <c r="D121" t="s">
        <v>846</v>
      </c>
      <c r="E121" t="str">
        <f>IFERROR(AVERAGEIFS(Upload_Indiv[Score1],Upload_Indiv[[Player]:[Player]],$A13,Upload_Indiv[[Side]:[Side]],"Raintree Back",Upload_Indiv[[Excl Score]:[Excl Score]],0),"")</f>
        <v/>
      </c>
    </row>
    <row r="122" spans="1:5" x14ac:dyDescent="0.25">
      <c r="A122" t="s">
        <v>724</v>
      </c>
      <c r="B122" t="s">
        <v>355</v>
      </c>
      <c r="C122" t="s">
        <v>834</v>
      </c>
      <c r="D122" t="s">
        <v>847</v>
      </c>
      <c r="E122" t="str">
        <f>IFERROR(AVERAGEIFS(Upload_Indiv[Score1],Upload_Indiv[[Player]:[Player]],$A14,Upload_Indiv[[Side]:[Side]],"Raintree Front",Upload_Indiv[[Excl Score]:[Excl Score]],0),"")</f>
        <v/>
      </c>
    </row>
    <row r="123" spans="1:5" x14ac:dyDescent="0.25">
      <c r="A123" t="s">
        <v>724</v>
      </c>
      <c r="B123" t="s">
        <v>355</v>
      </c>
      <c r="C123" t="s">
        <v>834</v>
      </c>
      <c r="D123" t="s">
        <v>848</v>
      </c>
      <c r="E123" t="str">
        <f>IFERROR(AVERAGEIFS(Upload_Indiv[Score1],Upload_Indiv[[Player]:[Player]],$A14,Upload_Indiv[[Side]:[Side]],"Raintree Back",Upload_Indiv[[Excl Score]:[Excl Score]],0),"")</f>
        <v/>
      </c>
    </row>
    <row r="124" spans="1:5" x14ac:dyDescent="0.25">
      <c r="A124" t="s">
        <v>724</v>
      </c>
      <c r="B124" t="s">
        <v>355</v>
      </c>
      <c r="C124" t="s">
        <v>834</v>
      </c>
      <c r="D124" t="s">
        <v>849</v>
      </c>
      <c r="E124" t="str">
        <f>IFERROR(AVERAGEIFS(Upload_Indiv[Score1],Upload_Indiv[[Player]:[Player]],$A15,Upload_Indiv[[Side]:[Side]],"Raintree Front",Upload_Indiv[[Excl Score]:[Excl Score]],0),"")</f>
        <v/>
      </c>
    </row>
    <row r="125" spans="1:5" x14ac:dyDescent="0.25">
      <c r="A125" t="s">
        <v>724</v>
      </c>
      <c r="B125" t="s">
        <v>355</v>
      </c>
      <c r="C125" t="s">
        <v>834</v>
      </c>
      <c r="D125" t="s">
        <v>850</v>
      </c>
      <c r="E125" t="str">
        <f>IFERROR(AVERAGEIFS(Upload_Indiv[Score1],Upload_Indiv[[Player]:[Player]],$A15,Upload_Indiv[[Side]:[Side]],"Raintree Back",Upload_Indiv[[Excl Score]:[Excl Score]],0),"")</f>
        <v/>
      </c>
    </row>
    <row r="126" spans="1:5" x14ac:dyDescent="0.25">
      <c r="A126" t="s">
        <v>724</v>
      </c>
      <c r="B126" t="s">
        <v>355</v>
      </c>
      <c r="C126" t="s">
        <v>834</v>
      </c>
      <c r="D126" t="s">
        <v>851</v>
      </c>
      <c r="E126" t="str">
        <f>IFERROR(AVERAGEIFS(Upload_Indiv[Score1],Upload_Indiv[[Player]:[Player]],$A16,Upload_Indiv[[Side]:[Side]],"Raintree Front",Upload_Indiv[[Excl Score]:[Excl Score]],0),"")</f>
        <v/>
      </c>
    </row>
    <row r="127" spans="1:5" x14ac:dyDescent="0.25">
      <c r="A127" t="s">
        <v>724</v>
      </c>
      <c r="B127" t="s">
        <v>355</v>
      </c>
      <c r="C127" t="s">
        <v>834</v>
      </c>
      <c r="D127" t="s">
        <v>852</v>
      </c>
      <c r="E127" t="str">
        <f>IFERROR(AVERAGEIFS(Upload_Indiv[Score1],Upload_Indiv[[Player]:[Player]],$A16,Upload_Indiv[[Side]:[Side]],"Raintree Back",Upload_Indiv[[Excl Score]:[Excl Score]],0),"")</f>
        <v/>
      </c>
    </row>
    <row r="128" spans="1:5" x14ac:dyDescent="0.25">
      <c r="A128" t="s">
        <v>724</v>
      </c>
      <c r="B128" t="s">
        <v>355</v>
      </c>
      <c r="C128" t="s">
        <v>834</v>
      </c>
      <c r="D128" t="s">
        <v>853</v>
      </c>
      <c r="E128" t="str">
        <f>IFERROR(AVERAGEIFS(Upload_Indiv[Score1],Upload_Indiv[[Player]:[Player]],$A17,Upload_Indiv[[Side]:[Side]],"Raintree Front",Upload_Indiv[[Excl Score]:[Excl Score]],0),"")</f>
        <v/>
      </c>
    </row>
    <row r="129" spans="1:5" x14ac:dyDescent="0.25">
      <c r="A129" t="s">
        <v>724</v>
      </c>
      <c r="B129" t="s">
        <v>355</v>
      </c>
      <c r="C129" t="s">
        <v>834</v>
      </c>
      <c r="D129" t="s">
        <v>854</v>
      </c>
      <c r="E129" t="str">
        <f>IFERROR(AVERAGEIFS(Upload_Indiv[Score1],Upload_Indiv[[Player]:[Player]],$A17,Upload_Indiv[[Side]:[Side]],"Raintree Back",Upload_Indiv[[Excl Score]:[Excl Score]],0),"")</f>
        <v/>
      </c>
    </row>
    <row r="130" spans="1:5" x14ac:dyDescent="0.25">
      <c r="A130" t="s">
        <v>724</v>
      </c>
      <c r="B130" t="s">
        <v>355</v>
      </c>
      <c r="C130" t="s">
        <v>834</v>
      </c>
      <c r="D130" t="s">
        <v>855</v>
      </c>
      <c r="E130" t="str">
        <f>IFERROR(AVERAGEIFS(Upload_Indiv[Score1],Upload_Indiv[[Player]:[Player]],$A18,Upload_Indiv[[Side]:[Side]],"Raintree Front",Upload_Indiv[[Excl Score]:[Excl Score]],0),"")</f>
        <v/>
      </c>
    </row>
    <row r="131" spans="1:5" x14ac:dyDescent="0.25">
      <c r="A131" t="s">
        <v>724</v>
      </c>
      <c r="B131" t="s">
        <v>355</v>
      </c>
      <c r="C131" t="s">
        <v>834</v>
      </c>
      <c r="D131" t="s">
        <v>856</v>
      </c>
      <c r="E131" t="str">
        <f>IFERROR(AVERAGEIFS(Upload_Indiv[Score1],Upload_Indiv[[Player]:[Player]],$A18,Upload_Indiv[[Side]:[Side]],"Raintree Back",Upload_Indiv[[Excl Score]:[Excl Score]],0),"")</f>
        <v/>
      </c>
    </row>
    <row r="132" spans="1:5" x14ac:dyDescent="0.25">
      <c r="A132" t="s">
        <v>724</v>
      </c>
      <c r="B132" t="s">
        <v>355</v>
      </c>
      <c r="C132" t="s">
        <v>834</v>
      </c>
      <c r="D132" t="s">
        <v>857</v>
      </c>
      <c r="E132" t="str">
        <f>IFERROR(AVERAGEIFS(Upload_Indiv[Score1],Upload_Indiv[[Player]:[Player]],$A19,Upload_Indiv[[Side]:[Side]],"Raintree Front",Upload_Indiv[[Excl Score]:[Excl Score]],0),"")</f>
        <v/>
      </c>
    </row>
    <row r="133" spans="1:5" x14ac:dyDescent="0.25">
      <c r="A133" t="s">
        <v>724</v>
      </c>
      <c r="B133" t="s">
        <v>355</v>
      </c>
      <c r="C133" t="s">
        <v>834</v>
      </c>
      <c r="D133" t="s">
        <v>858</v>
      </c>
      <c r="E133" t="str">
        <f>IFERROR(AVERAGEIFS(Upload_Indiv[Score1],Upload_Indiv[[Player]:[Player]],$A19,Upload_Indiv[[Side]:[Side]],"Raintree Back",Upload_Indiv[[Excl Score]:[Excl Score]],0),"")</f>
        <v/>
      </c>
    </row>
    <row r="134" spans="1:5" x14ac:dyDescent="0.25">
      <c r="A134" t="s">
        <v>724</v>
      </c>
      <c r="B134" t="s">
        <v>355</v>
      </c>
      <c r="C134" t="s">
        <v>834</v>
      </c>
      <c r="D134" t="s">
        <v>859</v>
      </c>
      <c r="E134" t="str">
        <f>IFERROR(AVERAGEIFS(Upload_Indiv[Score1],Upload_Indiv[[Player]:[Player]],$A20,Upload_Indiv[[Side]:[Side]],"Raintree Front",Upload_Indiv[[Excl Score]:[Excl Score]],0),"")</f>
        <v/>
      </c>
    </row>
    <row r="135" spans="1:5" x14ac:dyDescent="0.25">
      <c r="A135" t="s">
        <v>724</v>
      </c>
      <c r="B135" t="s">
        <v>355</v>
      </c>
      <c r="C135" t="s">
        <v>834</v>
      </c>
      <c r="D135" t="s">
        <v>860</v>
      </c>
      <c r="E135" t="str">
        <f>IFERROR(AVERAGEIFS(Upload_Indiv[Score1],Upload_Indiv[[Player]:[Player]],$A20,Upload_Indiv[[Side]:[Side]],"Raintree Back",Upload_Indiv[[Excl Score]:[Excl Score]],0),"")</f>
        <v/>
      </c>
    </row>
    <row r="136" spans="1:5" x14ac:dyDescent="0.25">
      <c r="A136" t="s">
        <v>724</v>
      </c>
      <c r="B136" t="s">
        <v>355</v>
      </c>
      <c r="C136" t="s">
        <v>834</v>
      </c>
      <c r="D136" t="s">
        <v>861</v>
      </c>
      <c r="E136" t="str">
        <f>IFERROR(AVERAGEIFS(Upload_Indiv[Score1],Upload_Indiv[[Player]:[Player]],$A21,Upload_Indiv[[Side]:[Side]],"Raintree Front",Upload_Indiv[[Excl Score]:[Excl Score]],0),"")</f>
        <v/>
      </c>
    </row>
    <row r="137" spans="1:5" x14ac:dyDescent="0.25">
      <c r="A137" t="s">
        <v>724</v>
      </c>
      <c r="B137" t="s">
        <v>355</v>
      </c>
      <c r="C137" t="s">
        <v>834</v>
      </c>
      <c r="D137" t="s">
        <v>862</v>
      </c>
      <c r="E137" t="str">
        <f>IFERROR(AVERAGEIFS(Upload_Indiv[Score1],Upload_Indiv[[Player]:[Player]],$A21,Upload_Indiv[[Side]:[Side]],"Raintree Back",Upload_Indiv[[Excl Score]:[Excl Score]],0),"")</f>
        <v/>
      </c>
    </row>
    <row r="138" spans="1:5" x14ac:dyDescent="0.25">
      <c r="A138" t="s">
        <v>724</v>
      </c>
      <c r="B138" t="s">
        <v>355</v>
      </c>
      <c r="C138" t="s">
        <v>834</v>
      </c>
      <c r="D138" t="s">
        <v>863</v>
      </c>
      <c r="E138" t="str">
        <f>IFERROR(AVERAGEIFS(Upload_Indiv[Score1],Upload_Indiv[[Player]:[Player]],$A22,Upload_Indiv[[Side]:[Side]],"Raintree Front",Upload_Indiv[[Excl Score]:[Excl Score]],0),"")</f>
        <v/>
      </c>
    </row>
    <row r="139" spans="1:5" x14ac:dyDescent="0.25">
      <c r="A139" t="s">
        <v>724</v>
      </c>
      <c r="B139" t="s">
        <v>355</v>
      </c>
      <c r="C139" t="s">
        <v>834</v>
      </c>
      <c r="D139" t="s">
        <v>864</v>
      </c>
      <c r="E139" t="str">
        <f>IFERROR(AVERAGEIFS(Upload_Indiv[Score1],Upload_Indiv[[Player]:[Player]],$A22,Upload_Indiv[[Side]:[Side]],"Raintree Back",Upload_Indiv[[Excl Score]:[Excl Score]],0),"")</f>
        <v/>
      </c>
    </row>
    <row r="140" spans="1:5" x14ac:dyDescent="0.25">
      <c r="A140" t="s">
        <v>724</v>
      </c>
      <c r="B140" t="s">
        <v>355</v>
      </c>
      <c r="C140" t="s">
        <v>834</v>
      </c>
      <c r="D140" t="s">
        <v>865</v>
      </c>
      <c r="E140" t="str">
        <f>IFERROR(AVERAGEIFS(Upload_Indiv[Score1],Upload_Indiv[[Player]:[Player]],$A23,Upload_Indiv[[Side]:[Side]],"Raintree Front",Upload_Indiv[[Excl Score]:[Excl Score]],0),"")</f>
        <v/>
      </c>
    </row>
    <row r="141" spans="1:5" x14ac:dyDescent="0.25">
      <c r="A141" t="s">
        <v>724</v>
      </c>
      <c r="B141" t="s">
        <v>355</v>
      </c>
      <c r="C141" t="s">
        <v>834</v>
      </c>
      <c r="D141" t="s">
        <v>866</v>
      </c>
      <c r="E141" t="str">
        <f>IFERROR(AVERAGEIFS(Upload_Indiv[Score1],Upload_Indiv[[Player]:[Player]],$A23,Upload_Indiv[[Side]:[Side]],"Raintree Back",Upload_Indiv[[Excl Score]:[Excl Score]],0),"")</f>
        <v/>
      </c>
    </row>
    <row r="142" spans="1:5" x14ac:dyDescent="0.25">
      <c r="A142" t="s">
        <v>724</v>
      </c>
      <c r="B142" t="s">
        <v>355</v>
      </c>
      <c r="C142" t="s">
        <v>834</v>
      </c>
      <c r="D142" t="s">
        <v>867</v>
      </c>
      <c r="E142" t="str">
        <f>IFERROR(AVERAGEIFS(Upload_Indiv[Score1],Upload_Indiv[[Player]:[Player]],$A24,Upload_Indiv[[Side]:[Side]],"Raintree Front",Upload_Indiv[[Excl Score]:[Excl Score]],0),"")</f>
        <v/>
      </c>
    </row>
    <row r="143" spans="1:5" x14ac:dyDescent="0.25">
      <c r="A143" t="s">
        <v>724</v>
      </c>
      <c r="B143" t="s">
        <v>355</v>
      </c>
      <c r="C143" t="s">
        <v>834</v>
      </c>
      <c r="D143" t="s">
        <v>868</v>
      </c>
      <c r="E143" t="str">
        <f>IFERROR(AVERAGEIFS(Upload_Indiv[Score1],Upload_Indiv[[Player]:[Player]],$A24,Upload_Indiv[[Side]:[Side]],"Raintree Back",Upload_Indiv[[Excl Score]:[Excl Score]],0),"")</f>
        <v/>
      </c>
    </row>
    <row r="144" spans="1:5" x14ac:dyDescent="0.25">
      <c r="A144" t="s">
        <v>724</v>
      </c>
      <c r="B144" t="s">
        <v>355</v>
      </c>
      <c r="C144" t="s">
        <v>834</v>
      </c>
      <c r="D144" t="s">
        <v>869</v>
      </c>
      <c r="E144" t="str">
        <f>IFERROR(AVERAGEIFS(Upload_Indiv[Score1],Upload_Indiv[[Player]:[Player]],$A25,Upload_Indiv[[Side]:[Side]],"Raintree Front",Upload_Indiv[[Excl Score]:[Excl Score]],0),"")</f>
        <v/>
      </c>
    </row>
    <row r="145" spans="1:5" x14ac:dyDescent="0.25">
      <c r="A145" t="s">
        <v>724</v>
      </c>
      <c r="B145" t="s">
        <v>355</v>
      </c>
      <c r="C145" t="s">
        <v>834</v>
      </c>
      <c r="D145" t="s">
        <v>870</v>
      </c>
      <c r="E145" t="str">
        <f>IFERROR(AVERAGEIFS(Upload_Indiv[Score1],Upload_Indiv[[Player]:[Player]],$A25,Upload_Indiv[[Side]:[Side]],"Raintree Back",Upload_Indiv[[Excl Score]:[Excl Score]],0),"")</f>
        <v/>
      </c>
    </row>
    <row r="146" spans="1:5" x14ac:dyDescent="0.25">
      <c r="A146" t="s">
        <v>724</v>
      </c>
      <c r="B146" t="s">
        <v>355</v>
      </c>
      <c r="C146" t="s">
        <v>834</v>
      </c>
      <c r="D146" t="s">
        <v>871</v>
      </c>
      <c r="E146" t="str">
        <f>IFERROR(AVERAGEIFS(Upload_Indiv[Score1],Upload_Indiv[[Player]:[Player]],$A26,Upload_Indiv[[Side]:[Side]],"Raintree Front",Upload_Indiv[[Excl Score]:[Excl Score]],0),"")</f>
        <v/>
      </c>
    </row>
    <row r="147" spans="1:5" x14ac:dyDescent="0.25">
      <c r="A147" t="s">
        <v>724</v>
      </c>
      <c r="B147" t="s">
        <v>355</v>
      </c>
      <c r="C147" t="s">
        <v>834</v>
      </c>
      <c r="D147" t="s">
        <v>872</v>
      </c>
      <c r="E147" t="str">
        <f>IFERROR(AVERAGEIFS(Upload_Indiv[Score1],Upload_Indiv[[Player]:[Player]],$A26,Upload_Indiv[[Side]:[Side]],"Raintree Back",Upload_Indiv[[Excl Score]:[Excl Score]],0),"")</f>
        <v/>
      </c>
    </row>
    <row r="148" spans="1:5" x14ac:dyDescent="0.25">
      <c r="A148" t="s">
        <v>724</v>
      </c>
      <c r="B148" t="s">
        <v>355</v>
      </c>
      <c r="C148" t="s">
        <v>834</v>
      </c>
      <c r="D148" t="s">
        <v>873</v>
      </c>
      <c r="E148" t="str">
        <f>IFERROR(AVERAGEIFS(Upload_Indiv[Score1],Upload_Indiv[[Player]:[Player]],$A27,Upload_Indiv[[Side]:[Side]],"Raintree Front",Upload_Indiv[[Excl Score]:[Excl Score]],0),"")</f>
        <v/>
      </c>
    </row>
    <row r="149" spans="1:5" x14ac:dyDescent="0.25">
      <c r="A149" t="s">
        <v>724</v>
      </c>
      <c r="B149" t="s">
        <v>355</v>
      </c>
      <c r="C149" t="s">
        <v>834</v>
      </c>
      <c r="D149" t="s">
        <v>874</v>
      </c>
      <c r="E149" t="str">
        <f>IFERROR(AVERAGEIFS(Upload_Indiv[Score1],Upload_Indiv[[Player]:[Player]],$A27,Upload_Indiv[[Side]:[Side]],"Raintree Back",Upload_Indiv[[Excl Score]:[Excl Score]],0),"")</f>
        <v/>
      </c>
    </row>
    <row r="150" spans="1:5" x14ac:dyDescent="0.25">
      <c r="A150" t="s">
        <v>724</v>
      </c>
      <c r="B150" t="s">
        <v>355</v>
      </c>
      <c r="C150" t="s">
        <v>834</v>
      </c>
      <c r="D150" t="s">
        <v>875</v>
      </c>
      <c r="E150" t="str">
        <f>IFERROR(AVERAGEIFS(Upload_Indiv[Score1],Upload_Indiv[[Player]:[Player]],$A28,Upload_Indiv[[Side]:[Side]],"Raintree Front",Upload_Indiv[[Excl Score]:[Excl Score]],0),"")</f>
        <v/>
      </c>
    </row>
    <row r="151" spans="1:5" x14ac:dyDescent="0.25">
      <c r="A151" t="s">
        <v>724</v>
      </c>
      <c r="B151" t="s">
        <v>355</v>
      </c>
      <c r="C151" t="s">
        <v>834</v>
      </c>
      <c r="D151" t="s">
        <v>876</v>
      </c>
      <c r="E151" t="str">
        <f>IFERROR(AVERAGEIFS(Upload_Indiv[Score1],Upload_Indiv[[Player]:[Player]],$A28,Upload_Indiv[[Side]:[Side]],"Raintree Back",Upload_Indiv[[Excl Score]:[Excl Score]],0),"")</f>
        <v/>
      </c>
    </row>
    <row r="152" spans="1:5" x14ac:dyDescent="0.25">
      <c r="A152" t="s">
        <v>724</v>
      </c>
      <c r="B152" t="s">
        <v>355</v>
      </c>
      <c r="C152" t="s">
        <v>834</v>
      </c>
      <c r="D152" t="s">
        <v>877</v>
      </c>
      <c r="E152" t="str">
        <f>IFERROR(AVERAGEIFS(Upload_Indiv[Score1],Upload_Indiv[[Player]:[Player]],$A29,Upload_Indiv[[Side]:[Side]],"Raintree Front",Upload_Indiv[[Excl Score]:[Excl Score]],0),"")</f>
        <v/>
      </c>
    </row>
    <row r="153" spans="1:5" x14ac:dyDescent="0.25">
      <c r="A153" t="s">
        <v>724</v>
      </c>
      <c r="B153" t="s">
        <v>355</v>
      </c>
      <c r="C153" t="s">
        <v>834</v>
      </c>
      <c r="D153" t="s">
        <v>878</v>
      </c>
      <c r="E153" t="str">
        <f>IFERROR(AVERAGEIFS(Upload_Indiv[Score1],Upload_Indiv[[Player]:[Player]],$A29,Upload_Indiv[[Side]:[Side]],"Raintree Back",Upload_Indiv[[Excl Score]:[Excl Score]],0),"")</f>
        <v/>
      </c>
    </row>
    <row r="154" spans="1:5" x14ac:dyDescent="0.25">
      <c r="A154" t="s">
        <v>724</v>
      </c>
      <c r="B154" t="s">
        <v>355</v>
      </c>
      <c r="C154" t="s">
        <v>834</v>
      </c>
      <c r="D154" t="s">
        <v>879</v>
      </c>
      <c r="E154" t="str">
        <f>IFERROR(AVERAGEIFS(Upload_Indiv[Score1],Upload_Indiv[[Player]:[Player]],$A30,Upload_Indiv[[Side]:[Side]],"Raintree Front",Upload_Indiv[[Excl Score]:[Excl Score]],0),"")</f>
        <v/>
      </c>
    </row>
    <row r="155" spans="1:5" x14ac:dyDescent="0.25">
      <c r="A155" t="s">
        <v>724</v>
      </c>
      <c r="B155" t="s">
        <v>355</v>
      </c>
      <c r="C155" t="s">
        <v>834</v>
      </c>
      <c r="D155" t="s">
        <v>880</v>
      </c>
      <c r="E155" t="str">
        <f>IFERROR(AVERAGEIFS(Upload_Indiv[Score1],Upload_Indiv[[Player]:[Player]],$A30,Upload_Indiv[[Side]:[Side]],"Raintree Back",Upload_Indiv[[Excl Score]:[Excl Score]],0),"")</f>
        <v/>
      </c>
    </row>
    <row r="156" spans="1:5" x14ac:dyDescent="0.25">
      <c r="A156" t="s">
        <v>724</v>
      </c>
      <c r="B156" t="s">
        <v>355</v>
      </c>
      <c r="C156" t="s">
        <v>834</v>
      </c>
      <c r="D156" t="s">
        <v>881</v>
      </c>
      <c r="E156" t="str">
        <f>IFERROR(AVERAGEIFS(Upload_Indiv[Score1],Upload_Indiv[[Player]:[Player]],$A31,Upload_Indiv[[Side]:[Side]],"Raintree Front",Upload_Indiv[[Excl Score]:[Excl Score]],0),"")</f>
        <v/>
      </c>
    </row>
    <row r="157" spans="1:5" x14ac:dyDescent="0.25">
      <c r="A157" t="s">
        <v>724</v>
      </c>
      <c r="B157" t="s">
        <v>355</v>
      </c>
      <c r="C157" t="s">
        <v>834</v>
      </c>
      <c r="D157" t="s">
        <v>882</v>
      </c>
      <c r="E157" t="str">
        <f>IFERROR(AVERAGEIFS(Upload_Indiv[Score1],Upload_Indiv[[Player]:[Player]],$A31,Upload_Indiv[[Side]:[Side]],"Raintree Back",Upload_Indiv[[Excl Score]:[Excl Score]],0),"")</f>
        <v/>
      </c>
    </row>
    <row r="158" spans="1:5" x14ac:dyDescent="0.25">
      <c r="A158" t="s">
        <v>724</v>
      </c>
      <c r="B158" t="s">
        <v>355</v>
      </c>
      <c r="C158" t="s">
        <v>834</v>
      </c>
      <c r="D158" t="s">
        <v>883</v>
      </c>
      <c r="E158" t="str">
        <f>IFERROR(AVERAGEIFS(Upload_Indiv[Score1],Upload_Indiv[[Player]:[Player]],$A32,Upload_Indiv[[Side]:[Side]],"Raintree Front",Upload_Indiv[[Excl Score]:[Excl Score]],0),"")</f>
        <v/>
      </c>
    </row>
    <row r="159" spans="1:5" x14ac:dyDescent="0.25">
      <c r="A159" t="s">
        <v>724</v>
      </c>
      <c r="B159" t="s">
        <v>355</v>
      </c>
      <c r="C159" t="s">
        <v>834</v>
      </c>
      <c r="D159" t="s">
        <v>884</v>
      </c>
      <c r="E159" t="str">
        <f>IFERROR(AVERAGEIFS(Upload_Indiv[Score1],Upload_Indiv[[Player]:[Player]],$A32,Upload_Indiv[[Side]:[Side]],"Raintree Back",Upload_Indiv[[Excl Score]:[Excl Score]],0),"")</f>
        <v/>
      </c>
    </row>
    <row r="160" spans="1:5" x14ac:dyDescent="0.25">
      <c r="A160" t="s">
        <v>724</v>
      </c>
      <c r="B160" t="s">
        <v>355</v>
      </c>
      <c r="C160" t="s">
        <v>834</v>
      </c>
      <c r="D160" t="s">
        <v>885</v>
      </c>
      <c r="E160" t="str">
        <f>IFERROR(AVERAGEIFS(Upload_Indiv[Score1],Upload_Indiv[[Player]:[Player]],$A33,Upload_Indiv[[Side]:[Side]],"Raintree Front",Upload_Indiv[[Excl Score]:[Excl Score]],0),"")</f>
        <v/>
      </c>
    </row>
    <row r="161" spans="1:5" x14ac:dyDescent="0.25">
      <c r="A161" t="s">
        <v>724</v>
      </c>
      <c r="B161" t="s">
        <v>355</v>
      </c>
      <c r="C161" t="s">
        <v>834</v>
      </c>
      <c r="D161" t="s">
        <v>886</v>
      </c>
      <c r="E161" t="str">
        <f>IFERROR(AVERAGEIFS(Upload_Indiv[Score1],Upload_Indiv[[Player]:[Player]],$A33,Upload_Indiv[[Side]:[Side]],"Raintree Back",Upload_Indiv[[Excl Score]:[Excl Score]],0),"")</f>
        <v/>
      </c>
    </row>
    <row r="162" spans="1:5" x14ac:dyDescent="0.25">
      <c r="A162" t="s">
        <v>724</v>
      </c>
      <c r="B162" t="s">
        <v>355</v>
      </c>
      <c r="C162" t="s">
        <v>834</v>
      </c>
      <c r="D162" t="s">
        <v>887</v>
      </c>
      <c r="E162" t="str">
        <f>IFERROR(AVERAGEIFS(Upload_Indiv[Score1],Upload_Indiv[[Player]:[Player]],$A34,Upload_Indiv[[Side]:[Side]],"Raintree Front",Upload_Indiv[[Excl Score]:[Excl Score]],0),"")</f>
        <v/>
      </c>
    </row>
    <row r="163" spans="1:5" x14ac:dyDescent="0.25">
      <c r="A163" t="s">
        <v>724</v>
      </c>
      <c r="B163" t="s">
        <v>355</v>
      </c>
      <c r="C163" t="s">
        <v>834</v>
      </c>
      <c r="D163" t="s">
        <v>888</v>
      </c>
      <c r="E163" t="str">
        <f>IFERROR(AVERAGEIFS(Upload_Indiv[Score1],Upload_Indiv[[Player]:[Player]],$A34,Upload_Indiv[[Side]:[Side]],"Raintree Back",Upload_Indiv[[Excl Score]:[Excl Score]],0),"")</f>
        <v/>
      </c>
    </row>
    <row r="164" spans="1:5" x14ac:dyDescent="0.25">
      <c r="A164" t="s">
        <v>724</v>
      </c>
      <c r="B164" t="s">
        <v>355</v>
      </c>
      <c r="C164" t="s">
        <v>834</v>
      </c>
      <c r="D164" t="s">
        <v>889</v>
      </c>
      <c r="E164" t="str">
        <f>IFERROR(AVERAGEIFS(Upload_Indiv[Score1],Upload_Indiv[[Player]:[Player]],$A35,Upload_Indiv[[Side]:[Side]],"Raintree Front",Upload_Indiv[[Excl Score]:[Excl Score]],0),"")</f>
        <v/>
      </c>
    </row>
    <row r="165" spans="1:5" x14ac:dyDescent="0.25">
      <c r="A165" t="s">
        <v>724</v>
      </c>
      <c r="B165" t="s">
        <v>355</v>
      </c>
      <c r="C165" t="s">
        <v>834</v>
      </c>
      <c r="D165" t="s">
        <v>890</v>
      </c>
      <c r="E165" t="str">
        <f>IFERROR(AVERAGEIFS(Upload_Indiv[Score1],Upload_Indiv[[Player]:[Player]],$A35,Upload_Indiv[[Side]:[Side]],"Raintree Back",Upload_Indiv[[Excl Score]:[Excl Score]],0),"")</f>
        <v/>
      </c>
    </row>
    <row r="166" spans="1:5" x14ac:dyDescent="0.25">
      <c r="A166" t="s">
        <v>724</v>
      </c>
      <c r="B166" t="s">
        <v>355</v>
      </c>
      <c r="C166" t="s">
        <v>834</v>
      </c>
      <c r="D166" t="s">
        <v>891</v>
      </c>
      <c r="E166" t="str">
        <f>IFERROR(AVERAGEIFS(Upload_Indiv[Score1],Upload_Indiv[[Player]:[Player]],$A36,Upload_Indiv[[Side]:[Side]],"Raintree Front",Upload_Indiv[[Excl Score]:[Excl Score]],0),"")</f>
        <v/>
      </c>
    </row>
    <row r="167" spans="1:5" x14ac:dyDescent="0.25">
      <c r="A167" t="s">
        <v>724</v>
      </c>
      <c r="B167" t="s">
        <v>355</v>
      </c>
      <c r="C167" t="s">
        <v>834</v>
      </c>
      <c r="D167" t="s">
        <v>892</v>
      </c>
      <c r="E167" t="str">
        <f>IFERROR(AVERAGEIFS(Upload_Indiv[Score1],Upload_Indiv[[Player]:[Player]],$A36,Upload_Indiv[[Side]:[Side]],"Raintree Back",Upload_Indiv[[Excl Score]:[Excl Score]],0),"")</f>
        <v/>
      </c>
    </row>
    <row r="168" spans="1:5" x14ac:dyDescent="0.25">
      <c r="A168" t="s">
        <v>724</v>
      </c>
      <c r="B168" t="s">
        <v>355</v>
      </c>
      <c r="C168" t="s">
        <v>834</v>
      </c>
      <c r="D168" t="s">
        <v>893</v>
      </c>
      <c r="E168" t="str">
        <f>IFERROR(AVERAGEIFS(Upload_Indiv[Score1],Upload_Indiv[[Player]:[Player]],$A37,Upload_Indiv[[Side]:[Side]],"Raintree Front",Upload_Indiv[[Excl Score]:[Excl Score]],0),"")</f>
        <v/>
      </c>
    </row>
    <row r="169" spans="1:5" x14ac:dyDescent="0.25">
      <c r="A169" t="s">
        <v>724</v>
      </c>
      <c r="B169" t="s">
        <v>355</v>
      </c>
      <c r="C169" t="s">
        <v>834</v>
      </c>
      <c r="D169" t="s">
        <v>894</v>
      </c>
      <c r="E169" t="str">
        <f>IFERROR(AVERAGEIFS(Upload_Indiv[Score1],Upload_Indiv[[Player]:[Player]],$A37,Upload_Indiv[[Side]:[Side]],"Raintree Back",Upload_Indiv[[Excl Score]:[Excl Score]],0),"")</f>
        <v/>
      </c>
    </row>
    <row r="170" spans="1:5" x14ac:dyDescent="0.25">
      <c r="A170" t="s">
        <v>724</v>
      </c>
      <c r="B170" t="s">
        <v>355</v>
      </c>
      <c r="C170" t="s">
        <v>834</v>
      </c>
      <c r="D170" t="s">
        <v>895</v>
      </c>
      <c r="E170" t="str">
        <f>IFERROR(AVERAGEIFS(Upload_Indiv[Score1],Upload_Indiv[[Player]:[Player]],$A38,Upload_Indiv[[Side]:[Side]],"Raintree Front",Upload_Indiv[[Excl Score]:[Excl Score]],0),"")</f>
        <v/>
      </c>
    </row>
    <row r="171" spans="1:5" x14ac:dyDescent="0.25">
      <c r="A171" t="s">
        <v>724</v>
      </c>
      <c r="B171" t="s">
        <v>355</v>
      </c>
      <c r="C171" t="s">
        <v>834</v>
      </c>
      <c r="D171" t="s">
        <v>896</v>
      </c>
      <c r="E171" t="str">
        <f>IFERROR(AVERAGEIFS(Upload_Indiv[Score1],Upload_Indiv[[Player]:[Player]],$A38,Upload_Indiv[[Side]:[Side]],"Raintree Back",Upload_Indiv[[Excl Score]:[Excl Score]],0),"")</f>
        <v/>
      </c>
    </row>
    <row r="172" spans="1:5" x14ac:dyDescent="0.25">
      <c r="A172" t="s">
        <v>724</v>
      </c>
      <c r="B172" t="s">
        <v>355</v>
      </c>
      <c r="C172" t="s">
        <v>834</v>
      </c>
      <c r="D172" t="s">
        <v>897</v>
      </c>
      <c r="E172" t="str">
        <f>IFERROR(AVERAGEIFS(Upload_Indiv[Score1],Upload_Indiv[[Player]:[Player]],$A39,Upload_Indiv[[Side]:[Side]],"Raintree Front",Upload_Indiv[[Excl Score]:[Excl Score]],0),"")</f>
        <v/>
      </c>
    </row>
    <row r="173" spans="1:5" x14ac:dyDescent="0.25">
      <c r="A173" t="s">
        <v>724</v>
      </c>
      <c r="B173" t="s">
        <v>355</v>
      </c>
      <c r="C173" t="s">
        <v>834</v>
      </c>
      <c r="D173" t="s">
        <v>898</v>
      </c>
      <c r="E173" t="str">
        <f>IFERROR(AVERAGEIFS(Upload_Indiv[Score1],Upload_Indiv[[Player]:[Player]],$A39,Upload_Indiv[[Side]:[Side]],"Raintree Back",Upload_Indiv[[Excl Score]:[Excl Score]],0),"")</f>
        <v/>
      </c>
    </row>
    <row r="174" spans="1:5" x14ac:dyDescent="0.25">
      <c r="A174" t="s">
        <v>724</v>
      </c>
      <c r="B174" t="s">
        <v>355</v>
      </c>
      <c r="C174" t="s">
        <v>834</v>
      </c>
      <c r="D174" t="s">
        <v>899</v>
      </c>
      <c r="E174" t="str">
        <f>IFERROR(AVERAGEIFS(Upload_Indiv[Score1],Upload_Indiv[[Player]:[Player]],$A40,Upload_Indiv[[Side]:[Side]],"Raintree Front",Upload_Indiv[[Excl Score]:[Excl Score]],0),"")</f>
        <v/>
      </c>
    </row>
    <row r="175" spans="1:5" x14ac:dyDescent="0.25">
      <c r="A175" t="s">
        <v>724</v>
      </c>
      <c r="B175" t="s">
        <v>355</v>
      </c>
      <c r="C175" t="s">
        <v>834</v>
      </c>
      <c r="D175" t="s">
        <v>900</v>
      </c>
      <c r="E175" t="str">
        <f>IFERROR(AVERAGEIFS(Upload_Indiv[Score1],Upload_Indiv[[Player]:[Player]],$A40,Upload_Indiv[[Side]:[Side]],"Raintree Back",Upload_Indiv[[Excl Score]:[Excl Score]],0),"")</f>
        <v/>
      </c>
    </row>
    <row r="176" spans="1:5" x14ac:dyDescent="0.25">
      <c r="A176" t="s">
        <v>724</v>
      </c>
      <c r="B176" t="s">
        <v>355</v>
      </c>
      <c r="C176" t="s">
        <v>834</v>
      </c>
      <c r="D176" t="s">
        <v>901</v>
      </c>
      <c r="E176" t="str">
        <f>IFERROR(AVERAGEIFS(Upload_Indiv[Score1],Upload_Indiv[[Player]:[Player]],$A41,Upload_Indiv[[Side]:[Side]],"Raintree Front",Upload_Indiv[[Excl Score]:[Excl Score]],0),"")</f>
        <v/>
      </c>
    </row>
    <row r="177" spans="1:5" x14ac:dyDescent="0.25">
      <c r="A177" t="s">
        <v>724</v>
      </c>
      <c r="B177" t="s">
        <v>355</v>
      </c>
      <c r="C177" t="s">
        <v>834</v>
      </c>
      <c r="D177" t="s">
        <v>902</v>
      </c>
      <c r="E177" t="str">
        <f>IFERROR(AVERAGEIFS(Upload_Indiv[Score1],Upload_Indiv[[Player]:[Player]],$A41,Upload_Indiv[[Side]:[Side]],"Raintree Back",Upload_Indiv[[Excl Score]:[Excl Score]],0),"")</f>
        <v/>
      </c>
    </row>
    <row r="178" spans="1:5" x14ac:dyDescent="0.25">
      <c r="A178" t="s">
        <v>724</v>
      </c>
      <c r="B178" t="s">
        <v>355</v>
      </c>
      <c r="C178" t="s">
        <v>834</v>
      </c>
      <c r="D178" t="s">
        <v>903</v>
      </c>
      <c r="E178" t="str">
        <f>IFERROR(AVERAGEIFS(Upload_Indiv[Score1],Upload_Indiv[[Player]:[Player]],$A42,Upload_Indiv[[Side]:[Side]],"Raintree Front",Upload_Indiv[[Excl Score]:[Excl Score]],0),"")</f>
        <v/>
      </c>
    </row>
    <row r="179" spans="1:5" x14ac:dyDescent="0.25">
      <c r="A179" t="s">
        <v>724</v>
      </c>
      <c r="B179" t="s">
        <v>355</v>
      </c>
      <c r="C179" t="s">
        <v>834</v>
      </c>
      <c r="D179" t="s">
        <v>904</v>
      </c>
      <c r="E179" t="str">
        <f>IFERROR(AVERAGEIFS(Upload_Indiv[Score1],Upload_Indiv[[Player]:[Player]],$A42,Upload_Indiv[[Side]:[Side]],"Raintree Back",Upload_Indiv[[Excl Score]:[Excl Score]],0),"")</f>
        <v/>
      </c>
    </row>
    <row r="180" spans="1:5" x14ac:dyDescent="0.25">
      <c r="A180" t="s">
        <v>724</v>
      </c>
      <c r="B180" t="s">
        <v>355</v>
      </c>
      <c r="C180" t="s">
        <v>834</v>
      </c>
      <c r="D180" t="s">
        <v>905</v>
      </c>
      <c r="E180" t="str">
        <f>IFERROR(AVERAGEIFS(Upload_Indiv[Score1],Upload_Indiv[[Player]:[Player]],$A43,Upload_Indiv[[Side]:[Side]],"Raintree Front",Upload_Indiv[[Excl Score]:[Excl Score]],0),"")</f>
        <v/>
      </c>
    </row>
    <row r="181" spans="1:5" x14ac:dyDescent="0.25">
      <c r="A181" t="s">
        <v>724</v>
      </c>
      <c r="B181" t="s">
        <v>355</v>
      </c>
      <c r="C181" t="s">
        <v>834</v>
      </c>
      <c r="D181" t="s">
        <v>906</v>
      </c>
      <c r="E181" t="str">
        <f>IFERROR(AVERAGEIFS(Upload_Indiv[Score1],Upload_Indiv[[Player]:[Player]],$A43,Upload_Indiv[[Side]:[Side]],"Raintree Back",Upload_Indiv[[Excl Score]:[Excl Score]],0),"")</f>
        <v/>
      </c>
    </row>
    <row r="182" spans="1:5" x14ac:dyDescent="0.25">
      <c r="A182" t="s">
        <v>724</v>
      </c>
      <c r="B182" t="s">
        <v>355</v>
      </c>
      <c r="C182" t="s">
        <v>834</v>
      </c>
      <c r="D182" t="s">
        <v>907</v>
      </c>
      <c r="E182" t="str">
        <f>IFERROR(AVERAGEIFS(Upload_Indiv[Score1],Upload_Indiv[[Player]:[Player]],$A44,Upload_Indiv[[Side]:[Side]],"Raintree Front",Upload_Indiv[[Excl Score]:[Excl Score]],0),"")</f>
        <v/>
      </c>
    </row>
    <row r="183" spans="1:5" x14ac:dyDescent="0.25">
      <c r="A183" t="s">
        <v>724</v>
      </c>
      <c r="B183" t="s">
        <v>355</v>
      </c>
      <c r="C183" t="s">
        <v>834</v>
      </c>
      <c r="D183" t="s">
        <v>908</v>
      </c>
      <c r="E183" t="str">
        <f>IFERROR(AVERAGEIFS(Upload_Indiv[Score1],Upload_Indiv[[Player]:[Player]],$A44,Upload_Indiv[[Side]:[Side]],"Raintree Back",Upload_Indiv[[Excl Score]:[Excl Score]],0),"")</f>
        <v/>
      </c>
    </row>
    <row r="184" spans="1:5" x14ac:dyDescent="0.25">
      <c r="A184" t="s">
        <v>724</v>
      </c>
      <c r="B184" t="s">
        <v>355</v>
      </c>
      <c r="C184" t="s">
        <v>834</v>
      </c>
      <c r="D184" t="s">
        <v>909</v>
      </c>
      <c r="E184" t="str">
        <f>IFERROR(AVERAGEIFS(Upload_Indiv[Score1],Upload_Indiv[[Player]:[Player]],$A45,Upload_Indiv[[Side]:[Side]],"Raintree Front",Upload_Indiv[[Excl Score]:[Excl Score]],0),"")</f>
        <v/>
      </c>
    </row>
    <row r="185" spans="1:5" x14ac:dyDescent="0.25">
      <c r="A185" t="s">
        <v>724</v>
      </c>
      <c r="B185" t="s">
        <v>355</v>
      </c>
      <c r="C185" t="s">
        <v>834</v>
      </c>
      <c r="D185" t="s">
        <v>910</v>
      </c>
      <c r="E185" t="str">
        <f>IFERROR(AVERAGEIFS(Upload_Indiv[Score1],Upload_Indiv[[Player]:[Player]],$A45,Upload_Indiv[[Side]:[Side]],"Raintree Back",Upload_Indiv[[Excl Score]:[Excl Score]],0),"")</f>
        <v/>
      </c>
    </row>
    <row r="186" spans="1:5" x14ac:dyDescent="0.25">
      <c r="A186" t="s">
        <v>724</v>
      </c>
      <c r="B186" t="s">
        <v>355</v>
      </c>
      <c r="C186" t="s">
        <v>834</v>
      </c>
      <c r="D186" t="s">
        <v>911</v>
      </c>
      <c r="E186" t="str">
        <f>IFERROR(AVERAGEIFS(Upload_Indiv[Score1],Upload_Indiv[[Player]:[Player]],$A46,Upload_Indiv[[Side]:[Side]],"Raintree Front",Upload_Indiv[[Excl Score]:[Excl Score]],0),"")</f>
        <v/>
      </c>
    </row>
    <row r="187" spans="1:5" x14ac:dyDescent="0.25">
      <c r="A187" t="s">
        <v>724</v>
      </c>
      <c r="B187" t="s">
        <v>355</v>
      </c>
      <c r="C187" t="s">
        <v>834</v>
      </c>
      <c r="D187" t="s">
        <v>912</v>
      </c>
      <c r="E187" t="str">
        <f>IFERROR(AVERAGEIFS(Upload_Indiv[Score1],Upload_Indiv[[Player]:[Player]],$A46,Upload_Indiv[[Side]:[Side]],"Raintree Back",Upload_Indiv[[Excl Score]:[Excl Score]],0),"")</f>
        <v/>
      </c>
    </row>
    <row r="188" spans="1:5" x14ac:dyDescent="0.25">
      <c r="A188" t="s">
        <v>724</v>
      </c>
      <c r="B188" t="s">
        <v>355</v>
      </c>
      <c r="C188" t="s">
        <v>834</v>
      </c>
      <c r="D188" t="s">
        <v>913</v>
      </c>
      <c r="E188" t="str">
        <f>IFERROR(AVERAGEIFS(Upload_Indiv[Score1],Upload_Indiv[[Player]:[Player]],$A47,Upload_Indiv[[Side]:[Side]],"Raintree Front",Upload_Indiv[[Excl Score]:[Excl Score]],0),"")</f>
        <v/>
      </c>
    </row>
    <row r="189" spans="1:5" x14ac:dyDescent="0.25">
      <c r="A189" t="s">
        <v>724</v>
      </c>
      <c r="B189" t="s">
        <v>355</v>
      </c>
      <c r="C189" t="s">
        <v>834</v>
      </c>
      <c r="D189" t="s">
        <v>914</v>
      </c>
      <c r="E189" t="str">
        <f>IFERROR(AVERAGEIFS(Upload_Indiv[Score1],Upload_Indiv[[Player]:[Player]],$A47,Upload_Indiv[[Side]:[Side]],"Raintree Back",Upload_Indiv[[Excl Score]:[Excl Score]],0),"")</f>
        <v/>
      </c>
    </row>
    <row r="190" spans="1:5" x14ac:dyDescent="0.25">
      <c r="A190" t="s">
        <v>724</v>
      </c>
      <c r="B190" t="s">
        <v>355</v>
      </c>
      <c r="C190" t="s">
        <v>834</v>
      </c>
      <c r="D190" t="s">
        <v>915</v>
      </c>
      <c r="E190" t="str">
        <f>IFERROR(AVERAGEIFS(Upload_Indiv[Score1],Upload_Indiv[[Player]:[Player]],$A48,Upload_Indiv[[Side]:[Side]],"Raintree Front",Upload_Indiv[[Excl Score]:[Excl Score]],0),"")</f>
        <v/>
      </c>
    </row>
    <row r="191" spans="1:5" x14ac:dyDescent="0.25">
      <c r="A191" t="s">
        <v>724</v>
      </c>
      <c r="B191" t="s">
        <v>355</v>
      </c>
      <c r="C191" t="s">
        <v>834</v>
      </c>
      <c r="D191" t="s">
        <v>916</v>
      </c>
      <c r="E191" t="str">
        <f>IFERROR(AVERAGEIFS(Upload_Indiv[Score1],Upload_Indiv[[Player]:[Player]],$A48,Upload_Indiv[[Side]:[Side]],"Raintree Back",Upload_Indiv[[Excl Score]:[Excl Score]],0),"")</f>
        <v/>
      </c>
    </row>
    <row r="192" spans="1:5" x14ac:dyDescent="0.25">
      <c r="A192" t="s">
        <v>724</v>
      </c>
      <c r="B192" t="s">
        <v>355</v>
      </c>
      <c r="C192" t="s">
        <v>834</v>
      </c>
      <c r="D192" t="s">
        <v>917</v>
      </c>
      <c r="E192" t="str">
        <f>IFERROR(AVERAGEIFS(Upload_Indiv[Score1],Upload_Indiv[[Player]:[Player]],$A49,Upload_Indiv[[Side]:[Side]],"Raintree Front",Upload_Indiv[[Excl Score]:[Excl Score]],0),"")</f>
        <v/>
      </c>
    </row>
    <row r="193" spans="1:5" x14ac:dyDescent="0.25">
      <c r="A193" t="s">
        <v>724</v>
      </c>
      <c r="B193" t="s">
        <v>355</v>
      </c>
      <c r="C193" t="s">
        <v>834</v>
      </c>
      <c r="D193" t="s">
        <v>918</v>
      </c>
      <c r="E193" t="str">
        <f>IFERROR(AVERAGEIFS(Upload_Indiv[Score1],Upload_Indiv[[Player]:[Player]],$A49,Upload_Indiv[[Side]:[Side]],"Raintree Back",Upload_Indiv[[Excl Score]:[Excl Score]],0),"")</f>
        <v/>
      </c>
    </row>
    <row r="194" spans="1:5" x14ac:dyDescent="0.25">
      <c r="A194" t="s">
        <v>724</v>
      </c>
      <c r="B194" t="s">
        <v>355</v>
      </c>
      <c r="C194" t="s">
        <v>834</v>
      </c>
      <c r="D194" t="s">
        <v>919</v>
      </c>
      <c r="E194" t="str">
        <f>IFERROR(AVERAGEIFS(Upload_Indiv[Score1],Upload_Indiv[[Player]:[Player]],$A50,Upload_Indiv[[Side]:[Side]],"Raintree Front",Upload_Indiv[[Excl Score]:[Excl Score]],0),"")</f>
        <v/>
      </c>
    </row>
    <row r="195" spans="1:5" x14ac:dyDescent="0.25">
      <c r="A195" t="s">
        <v>724</v>
      </c>
      <c r="B195" t="s">
        <v>355</v>
      </c>
      <c r="C195" t="s">
        <v>834</v>
      </c>
      <c r="D195" t="s">
        <v>920</v>
      </c>
      <c r="E195" t="str">
        <f>IFERROR(AVERAGEIFS(Upload_Indiv[Score1],Upload_Indiv[[Player]:[Player]],$A50,Upload_Indiv[[Side]:[Side]],"Raintree Back",Upload_Indiv[[Excl Score]:[Excl Score]],0),"")</f>
        <v/>
      </c>
    </row>
    <row r="196" spans="1:5" x14ac:dyDescent="0.25">
      <c r="A196" t="s">
        <v>724</v>
      </c>
      <c r="B196" t="s">
        <v>355</v>
      </c>
      <c r="C196" t="s">
        <v>834</v>
      </c>
      <c r="D196" t="s">
        <v>921</v>
      </c>
      <c r="E196" t="str">
        <f>IFERROR(AVERAGEIFS(Upload_Indiv[Score1],Upload_Indiv[[Player]:[Player]],$A51,Upload_Indiv[[Side]:[Side]],"Raintree Front",Upload_Indiv[[Excl Score]:[Excl Score]],0),"")</f>
        <v/>
      </c>
    </row>
    <row r="197" spans="1:5" x14ac:dyDescent="0.25">
      <c r="A197" t="s">
        <v>724</v>
      </c>
      <c r="B197" t="s">
        <v>355</v>
      </c>
      <c r="C197" t="s">
        <v>834</v>
      </c>
      <c r="D197" t="s">
        <v>922</v>
      </c>
      <c r="E197" t="str">
        <f>IFERROR(AVERAGEIFS(Upload_Indiv[Score1],Upload_Indiv[[Player]:[Player]],$A51,Upload_Indiv[[Side]:[Side]],"Raintree Back",Upload_Indiv[[Excl Score]:[Excl Score]],0),"")</f>
        <v/>
      </c>
    </row>
    <row r="198" spans="1:5" x14ac:dyDescent="0.25">
      <c r="A198" t="s">
        <v>724</v>
      </c>
      <c r="B198" t="s">
        <v>355</v>
      </c>
      <c r="C198" t="s">
        <v>834</v>
      </c>
      <c r="D198" t="s">
        <v>923</v>
      </c>
      <c r="E198" t="str">
        <f>IFERROR(AVERAGEIFS(Upload_Indiv[Score1],Upload_Indiv[[Player]:[Player]],$A52,Upload_Indiv[[Side]:[Side]],"Raintree Front",Upload_Indiv[[Excl Score]:[Excl Score]],0),"")</f>
        <v/>
      </c>
    </row>
    <row r="199" spans="1:5" x14ac:dyDescent="0.25">
      <c r="A199" t="s">
        <v>724</v>
      </c>
      <c r="B199" t="s">
        <v>355</v>
      </c>
      <c r="C199" t="s">
        <v>834</v>
      </c>
      <c r="D199" t="s">
        <v>924</v>
      </c>
      <c r="E199" t="str">
        <f>IFERROR(AVERAGEIFS(Upload_Indiv[Score1],Upload_Indiv[[Player]:[Player]],$A52,Upload_Indiv[[Side]:[Side]],"Raintree Back",Upload_Indiv[[Excl Score]:[Excl Score]],0),"")</f>
        <v/>
      </c>
    </row>
    <row r="200" spans="1:5" x14ac:dyDescent="0.25">
      <c r="A200" t="s">
        <v>724</v>
      </c>
      <c r="B200" t="s">
        <v>355</v>
      </c>
      <c r="C200" t="s">
        <v>834</v>
      </c>
      <c r="D200" t="s">
        <v>925</v>
      </c>
      <c r="E200" t="str">
        <f>IFERROR(AVERAGEIFS(Upload_Indiv[Score1],Upload_Indiv[[Player]:[Player]],$A53,Upload_Indiv[[Side]:[Side]],"Raintree Front",Upload_Indiv[[Excl Score]:[Excl Score]],0),"")</f>
        <v/>
      </c>
    </row>
    <row r="201" spans="1:5" x14ac:dyDescent="0.25">
      <c r="A201" t="s">
        <v>724</v>
      </c>
      <c r="B201" t="s">
        <v>355</v>
      </c>
      <c r="C201" t="s">
        <v>834</v>
      </c>
      <c r="D201" t="s">
        <v>926</v>
      </c>
      <c r="E201" t="str">
        <f>IFERROR(AVERAGEIFS(Upload_Indiv[Score1],Upload_Indiv[[Player]:[Player]],$A53,Upload_Indiv[[Side]:[Side]],"Raintree Back",Upload_Indiv[[Excl Score]:[Excl Score]],0),"")</f>
        <v/>
      </c>
    </row>
    <row r="202" spans="1:5" x14ac:dyDescent="0.25">
      <c r="A202" t="s">
        <v>724</v>
      </c>
      <c r="B202" t="s">
        <v>355</v>
      </c>
      <c r="C202" t="s">
        <v>834</v>
      </c>
      <c r="D202" t="s">
        <v>927</v>
      </c>
      <c r="E202" t="str">
        <f>IFERROR(AVERAGEIFS(Upload_Indiv[Score1],Upload_Indiv[[Player]:[Player]],$A54,Upload_Indiv[[Side]:[Side]],"Raintree Front",Upload_Indiv[[Excl Score]:[Excl Score]],0),"")</f>
        <v/>
      </c>
    </row>
    <row r="203" spans="1:5" x14ac:dyDescent="0.25">
      <c r="A203" t="s">
        <v>724</v>
      </c>
      <c r="B203" t="s">
        <v>355</v>
      </c>
      <c r="C203" t="s">
        <v>834</v>
      </c>
      <c r="D203" t="s">
        <v>928</v>
      </c>
      <c r="E203" t="str">
        <f>IFERROR(AVERAGEIFS(Upload_Indiv[Score1],Upload_Indiv[[Player]:[Player]],$A54,Upload_Indiv[[Side]:[Side]],"Raintree Back",Upload_Indiv[[Excl Score]:[Excl Score]],0),"")</f>
        <v/>
      </c>
    </row>
    <row r="204" spans="1:5" x14ac:dyDescent="0.25">
      <c r="A204" t="s">
        <v>724</v>
      </c>
      <c r="B204" t="s">
        <v>356</v>
      </c>
      <c r="C204" t="s">
        <v>725</v>
      </c>
      <c r="D204" t="s">
        <v>929</v>
      </c>
      <c r="E204" t="str">
        <f>IFERROR(AVERAGEIFS(Upload_Indiv[Score2],Upload_Indiv[[Side]:[Side]],"Raintree Front")-IF(TRUNC(ROUND($B6,0)/9,0)=2,2+IF((ROUND($B6,0)-18)*2&gt;=D$2,1,0),IF(TRUNC(ROUND($B6,0)/9,0)=1,1+IF((ROUND($B6,0)-9)*2&gt;=D$2,1,0),IF(TRUNC(ROUND($B6,0)/9,0)=0,IF(TRUNC(ROUND($B6,0)/9,0)=0,0+IF((ROUND($B6,0))*2&gt;=D$2,1,0),"Not"))))-D$3,"")</f>
        <v/>
      </c>
    </row>
    <row r="205" spans="1:5" x14ac:dyDescent="0.25">
      <c r="A205" t="s">
        <v>724</v>
      </c>
      <c r="B205" t="s">
        <v>356</v>
      </c>
      <c r="C205" t="s">
        <v>725</v>
      </c>
      <c r="D205" t="s">
        <v>930</v>
      </c>
      <c r="E205" t="str">
        <f>IFERROR(AVERAGEIFS(Upload_Indiv[Score2],Upload_Indiv[[Side]:[Side]],"Raintree Back")-IF(TRUNC(ROUND($B6,0)/9,0)=2,2+IF((ROUND($B6,0)-18)*2&gt;=N$2,1,0),IF(TRUNC(ROUND($B6,0)/9,0)=1,1+IF((ROUND($B6,0)-9)*2&gt;=N$2,1,0),IF(TRUNC(ROUND($B6,0)/9,0)=0,IF(TRUNC(ROUND($B6,0)/9,0)=0,0+IF((ROUND($B6,0))*2&gt;=N$2,1,0),"Not"))))-N$3,"")</f>
        <v/>
      </c>
    </row>
    <row r="206" spans="1:5" x14ac:dyDescent="0.25">
      <c r="A206" t="s">
        <v>724</v>
      </c>
      <c r="B206" t="s">
        <v>356</v>
      </c>
      <c r="C206" t="s">
        <v>725</v>
      </c>
      <c r="D206" t="s">
        <v>931</v>
      </c>
      <c r="E206" t="str">
        <f>IFERROR(AVERAGEIFS(Upload_Indiv[Score2],Upload_Indiv[[Player]:[Player]],$A8,Upload_Indiv[[Side]:[Side]],"Raintree Front")-IF(TRUNC(ROUND($B8,0)/9,0)=2,2+IF((ROUND($B8,0)-18)*2&gt;=D$2,1,0),IF(TRUNC(ROUND($B8,0)/9,0)=1,1+IF((ROUND($B8,0)-9)*2&gt;=D$2,1,0),IF(TRUNC(ROUND($B8,0)/9,0)=0,IF(TRUNC(ROUND($B8,0)/9,0)=0,0+IF((ROUND($B8,0))*2&gt;=D$2,1,0),"Not"))))-D$3,"")</f>
        <v/>
      </c>
    </row>
    <row r="207" spans="1:5" x14ac:dyDescent="0.25">
      <c r="A207" t="s">
        <v>724</v>
      </c>
      <c r="B207" t="s">
        <v>356</v>
      </c>
      <c r="C207" t="s">
        <v>725</v>
      </c>
      <c r="D207" t="s">
        <v>932</v>
      </c>
      <c r="E207" t="str">
        <f>IFERROR(AVERAGEIFS(Upload_Indiv[Score2],Upload_Indiv[[Player]:[Player]],$A8,Upload_Indiv[[Side]:[Side]],"Raintree Back")-IF(TRUNC(ROUND($B8,0)/9,0)=2,2+IF((ROUND($B8,0)-18)*2&gt;=N$2,1,0),IF(TRUNC(ROUND($B8,0)/9,0)=1,1+IF((ROUND($B8,0)-9)*2&gt;=N$2,1,0),IF(TRUNC(ROUND($B8,0)/9,0)=0,IF(TRUNC(ROUND($B8,0)/9,0)=0,0+IF((ROUND($B8,0))*2&gt;=N$2,1,0),"Not"))))-N$3,"")</f>
        <v/>
      </c>
    </row>
    <row r="208" spans="1:5" x14ac:dyDescent="0.25">
      <c r="A208" t="s">
        <v>724</v>
      </c>
      <c r="B208" t="s">
        <v>356</v>
      </c>
      <c r="C208" t="s">
        <v>725</v>
      </c>
      <c r="D208" t="s">
        <v>837</v>
      </c>
      <c r="E208" t="str">
        <f>IFERROR(AVERAGEIFS(Upload_Indiv[Score2],Upload_Indiv[[Player]:[Player]],$A9,Upload_Indiv[[Side]:[Side]],"Raintree Front")-IF(TRUNC(ROUND($B9,0)/9,0)=2,2+IF((ROUND($B9,0)-18)*2&gt;=D$2,1,0),IF(TRUNC(ROUND($B9,0)/9,0)=1,1+IF((ROUND($B9,0)-9)*2&gt;=D$2,1,0),IF(TRUNC(ROUND($B9,0)/9,0)=0,IF(TRUNC(ROUND($B9,0)/9,0)=0,0+IF((ROUND($B9,0))*2&gt;=D$2,1,0),"Not"))))-D$3,"")</f>
        <v/>
      </c>
    </row>
    <row r="209" spans="1:5" x14ac:dyDescent="0.25">
      <c r="A209" t="s">
        <v>724</v>
      </c>
      <c r="B209" t="s">
        <v>356</v>
      </c>
      <c r="C209" t="s">
        <v>725</v>
      </c>
      <c r="D209" t="s">
        <v>933</v>
      </c>
      <c r="E209" t="str">
        <f>IFERROR(AVERAGEIFS(Upload_Indiv[Score2],Upload_Indiv[[Player]:[Player]],$A9,Upload_Indiv[[Side]:[Side]],"Raintree Back")-IF(TRUNC(ROUND($B9,0)/9,0)=2,2+IF((ROUND($B9,0)-18)*2&gt;=N$2,1,0),IF(TRUNC(ROUND($B9,0)/9,0)=1,1+IF((ROUND($B9,0)-9)*2&gt;=N$2,1,0),IF(TRUNC(ROUND($B9,0)/9,0)=0,IF(TRUNC(ROUND($B9,0)/9,0)=0,0+IF((ROUND($B9,0))*2&gt;=N$2,1,0),"Not"))))-N$3,"")</f>
        <v/>
      </c>
    </row>
    <row r="210" spans="1:5" x14ac:dyDescent="0.25">
      <c r="A210" t="s">
        <v>724</v>
      </c>
      <c r="B210" t="s">
        <v>356</v>
      </c>
      <c r="C210" t="s">
        <v>725</v>
      </c>
      <c r="D210" t="s">
        <v>839</v>
      </c>
      <c r="E210" t="str">
        <f>IFERROR(AVERAGEIFS(Upload_Indiv[Score2],Upload_Indiv[[Player]:[Player]],$A10,Upload_Indiv[[Side]:[Side]],"Raintree Front")-IF(TRUNC(ROUND($B10,0)/9,0)=2,2+IF((ROUND($B10,0)-18)*2&gt;=D$2,1,0),IF(TRUNC(ROUND($B10,0)/9,0)=1,1+IF((ROUND($B10,0)-9)*2&gt;=D$2,1,0),IF(TRUNC(ROUND($B10,0)/9,0)=0,IF(TRUNC(ROUND($B10,0)/9,0)=0,0+IF((ROUND($B10,0))*2&gt;=D$2,1,0),"Not"))))-D$3,"")</f>
        <v/>
      </c>
    </row>
    <row r="211" spans="1:5" x14ac:dyDescent="0.25">
      <c r="A211" t="s">
        <v>724</v>
      </c>
      <c r="B211" t="s">
        <v>356</v>
      </c>
      <c r="C211" t="s">
        <v>725</v>
      </c>
      <c r="D211" t="s">
        <v>934</v>
      </c>
      <c r="E211" t="str">
        <f>IFERROR(AVERAGEIFS(Upload_Indiv[Score2],Upload_Indiv[[Player]:[Player]],$A10,Upload_Indiv[[Side]:[Side]],"Raintree Back")-IF(TRUNC(ROUND($B10,0)/9,0)=2,2+IF((ROUND($B10,0)-18)*2&gt;=N$2,1,0),IF(TRUNC(ROUND($B10,0)/9,0)=1,1+IF((ROUND($B10,0)-9)*2&gt;=N$2,1,0),IF(TRUNC(ROUND($B10,0)/9,0)=0,IF(TRUNC(ROUND($B10,0)/9,0)=0,0+IF((ROUND($B10,0))*2&gt;=N$2,1,0),"Not"))))-N$3,"")</f>
        <v/>
      </c>
    </row>
    <row r="212" spans="1:5" x14ac:dyDescent="0.25">
      <c r="A212" t="s">
        <v>724</v>
      </c>
      <c r="B212" t="s">
        <v>356</v>
      </c>
      <c r="C212" t="s">
        <v>725</v>
      </c>
      <c r="D212" t="s">
        <v>841</v>
      </c>
      <c r="E212" t="str">
        <f>IFERROR(AVERAGEIFS(Upload_Indiv[Score2],Upload_Indiv[[Player]:[Player]],$A11,Upload_Indiv[[Side]:[Side]],"Raintree Front")-IF(TRUNC(ROUND($B11,0)/9,0)=2,2+IF((ROUND($B11,0)-18)*2&gt;=D$2,1,0),IF(TRUNC(ROUND($B11,0)/9,0)=1,1+IF((ROUND($B11,0)-9)*2&gt;=D$2,1,0),IF(TRUNC(ROUND($B11,0)/9,0)=0,IF(TRUNC(ROUND($B11,0)/9,0)=0,0+IF((ROUND($B11,0))*2&gt;=D$2,1,0),"Not"))))-D$3,"")</f>
        <v/>
      </c>
    </row>
    <row r="213" spans="1:5" x14ac:dyDescent="0.25">
      <c r="A213" t="s">
        <v>724</v>
      </c>
      <c r="B213" t="s">
        <v>356</v>
      </c>
      <c r="C213" t="s">
        <v>725</v>
      </c>
      <c r="D213" t="s">
        <v>935</v>
      </c>
      <c r="E213" t="str">
        <f>IFERROR(AVERAGEIFS(Upload_Indiv[Score2],Upload_Indiv[[Player]:[Player]],$A11,Upload_Indiv[[Side]:[Side]],"Raintree Back")-IF(TRUNC(ROUND($B11,0)/9,0)=2,2+IF((ROUND($B11,0)-18)*2&gt;=N$2,1,0),IF(TRUNC(ROUND($B11,0)/9,0)=1,1+IF((ROUND($B11,0)-9)*2&gt;=N$2,1,0),IF(TRUNC(ROUND($B11,0)/9,0)=0,IF(TRUNC(ROUND($B11,0)/9,0)=0,0+IF((ROUND($B11,0))*2&gt;=N$2,1,0),"Not"))))-N$3,"")</f>
        <v/>
      </c>
    </row>
    <row r="214" spans="1:5" x14ac:dyDescent="0.25">
      <c r="A214" t="s">
        <v>724</v>
      </c>
      <c r="B214" t="s">
        <v>356</v>
      </c>
      <c r="C214" t="s">
        <v>725</v>
      </c>
      <c r="D214" t="s">
        <v>843</v>
      </c>
      <c r="E214" t="str">
        <f>IFERROR(AVERAGEIFS(Upload_Indiv[Score2],Upload_Indiv[[Player]:[Player]],$A12,Upload_Indiv[[Side]:[Side]],"Raintree Front")-IF(TRUNC(ROUND($B12,0)/9,0)=2,2+IF((ROUND($B12,0)-18)*2&gt;=D$2,1,0),IF(TRUNC(ROUND($B12,0)/9,0)=1,1+IF((ROUND($B12,0)-9)*2&gt;=D$2,1,0),IF(TRUNC(ROUND($B12,0)/9,0)=0,IF(TRUNC(ROUND($B12,0)/9,0)=0,0+IF((ROUND($B12,0))*2&gt;=D$2,1,0),"Not"))))-D$3,"")</f>
        <v/>
      </c>
    </row>
    <row r="215" spans="1:5" x14ac:dyDescent="0.25">
      <c r="A215" t="s">
        <v>724</v>
      </c>
      <c r="B215" t="s">
        <v>356</v>
      </c>
      <c r="C215" t="s">
        <v>725</v>
      </c>
      <c r="D215" t="s">
        <v>936</v>
      </c>
      <c r="E215" t="str">
        <f>IFERROR(AVERAGEIFS(Upload_Indiv[Score2],Upload_Indiv[[Player]:[Player]],$A12,Upload_Indiv[[Side]:[Side]],"Raintree Back")-IF(TRUNC(ROUND($B12,0)/9,0)=2,2+IF((ROUND($B12,0)-18)*2&gt;=N$2,1,0),IF(TRUNC(ROUND($B12,0)/9,0)=1,1+IF((ROUND($B12,0)-9)*2&gt;=N$2,1,0),IF(TRUNC(ROUND($B12,0)/9,0)=0,IF(TRUNC(ROUND($B12,0)/9,0)=0,0+IF((ROUND($B12,0))*2&gt;=N$2,1,0),"Not"))))-N$3,"")</f>
        <v/>
      </c>
    </row>
    <row r="216" spans="1:5" x14ac:dyDescent="0.25">
      <c r="A216" t="s">
        <v>724</v>
      </c>
      <c r="B216" t="s">
        <v>356</v>
      </c>
      <c r="C216" t="s">
        <v>725</v>
      </c>
      <c r="D216" t="s">
        <v>845</v>
      </c>
      <c r="E216" t="str">
        <f>IFERROR(AVERAGEIFS(Upload_Indiv[Score2],Upload_Indiv[[Player]:[Player]],$A13,Upload_Indiv[[Side]:[Side]],"Raintree Front")-IF(TRUNC(ROUND($B13,0)/9,0)=2,2+IF((ROUND($B13,0)-18)*2&gt;=D$2,1,0),IF(TRUNC(ROUND($B13,0)/9,0)=1,1+IF((ROUND($B13,0)-9)*2&gt;=D$2,1,0),IF(TRUNC(ROUND($B13,0)/9,0)=0,IF(TRUNC(ROUND($B13,0)/9,0)=0,0+IF((ROUND($B13,0))*2&gt;=D$2,1,0),"Not"))))-D$3,"")</f>
        <v/>
      </c>
    </row>
    <row r="217" spans="1:5" x14ac:dyDescent="0.25">
      <c r="A217" t="s">
        <v>724</v>
      </c>
      <c r="B217" t="s">
        <v>356</v>
      </c>
      <c r="C217" t="s">
        <v>725</v>
      </c>
      <c r="D217" t="s">
        <v>937</v>
      </c>
      <c r="E217" t="str">
        <f>IFERROR(AVERAGEIFS(Upload_Indiv[Score2],Upload_Indiv[[Player]:[Player]],$A13,Upload_Indiv[[Side]:[Side]],"Raintree Back")-IF(TRUNC(ROUND($B13,0)/9,0)=2,2+IF((ROUND($B13,0)-18)*2&gt;=N$2,1,0),IF(TRUNC(ROUND($B13,0)/9,0)=1,1+IF((ROUND($B13,0)-9)*2&gt;=N$2,1,0),IF(TRUNC(ROUND($B13,0)/9,0)=0,IF(TRUNC(ROUND($B13,0)/9,0)=0,0+IF((ROUND($B13,0))*2&gt;=N$2,1,0),"Not"))))-N$3,"")</f>
        <v/>
      </c>
    </row>
    <row r="218" spans="1:5" x14ac:dyDescent="0.25">
      <c r="A218" t="s">
        <v>724</v>
      </c>
      <c r="B218" t="s">
        <v>356</v>
      </c>
      <c r="C218" t="s">
        <v>725</v>
      </c>
      <c r="D218" t="s">
        <v>847</v>
      </c>
      <c r="E218" t="str">
        <f>IFERROR(AVERAGEIFS(Upload_Indiv[Score2],Upload_Indiv[[Player]:[Player]],$A14,Upload_Indiv[[Side]:[Side]],"Raintree Front")-IF(TRUNC(ROUND($B14,0)/9,0)=2,2+IF((ROUND($B14,0)-18)*2&gt;=D$2,1,0),IF(TRUNC(ROUND($B14,0)/9,0)=1,1+IF((ROUND($B14,0)-9)*2&gt;=D$2,1,0),IF(TRUNC(ROUND($B14,0)/9,0)=0,IF(TRUNC(ROUND($B14,0)/9,0)=0,0+IF((ROUND($B14,0))*2&gt;=D$2,1,0),"Not"))))-D$3,"")</f>
        <v/>
      </c>
    </row>
    <row r="219" spans="1:5" x14ac:dyDescent="0.25">
      <c r="A219" t="s">
        <v>724</v>
      </c>
      <c r="B219" t="s">
        <v>356</v>
      </c>
      <c r="C219" t="s">
        <v>725</v>
      </c>
      <c r="D219" t="s">
        <v>938</v>
      </c>
      <c r="E219" t="str">
        <f>IFERROR(AVERAGEIFS(Upload_Indiv[Score2],Upload_Indiv[[Player]:[Player]],$A14,Upload_Indiv[[Side]:[Side]],"Raintree Back")-IF(TRUNC(ROUND($B14,0)/9,0)=2,2+IF((ROUND($B14,0)-18)*2&gt;=N$2,1,0),IF(TRUNC(ROUND($B14,0)/9,0)=1,1+IF((ROUND($B14,0)-9)*2&gt;=N$2,1,0),IF(TRUNC(ROUND($B14,0)/9,0)=0,IF(TRUNC(ROUND($B14,0)/9,0)=0,0+IF((ROUND($B14,0))*2&gt;=N$2,1,0),"Not"))))-N$3,"")</f>
        <v/>
      </c>
    </row>
    <row r="220" spans="1:5" x14ac:dyDescent="0.25">
      <c r="A220" t="s">
        <v>724</v>
      </c>
      <c r="B220" t="s">
        <v>356</v>
      </c>
      <c r="C220" t="s">
        <v>725</v>
      </c>
      <c r="D220" t="s">
        <v>849</v>
      </c>
      <c r="E220" t="str">
        <f>IFERROR(AVERAGEIFS(Upload_Indiv[Score2],Upload_Indiv[[Player]:[Player]],$A15,Upload_Indiv[[Side]:[Side]],"Raintree Front")-IF(TRUNC(ROUND($B15,0)/9,0)=2,2+IF((ROUND($B15,0)-18)*2&gt;=D$2,1,0),IF(TRUNC(ROUND($B15,0)/9,0)=1,1+IF((ROUND($B15,0)-9)*2&gt;=D$2,1,0),IF(TRUNC(ROUND($B15,0)/9,0)=0,IF(TRUNC(ROUND($B15,0)/9,0)=0,0+IF((ROUND($B15,0))*2&gt;=D$2,1,0),"Not"))))-D$3,"")</f>
        <v/>
      </c>
    </row>
    <row r="221" spans="1:5" x14ac:dyDescent="0.25">
      <c r="A221" t="s">
        <v>724</v>
      </c>
      <c r="B221" t="s">
        <v>356</v>
      </c>
      <c r="C221" t="s">
        <v>725</v>
      </c>
      <c r="D221" t="s">
        <v>939</v>
      </c>
      <c r="E221" t="str">
        <f>IFERROR(AVERAGEIFS(Upload_Indiv[Score2],Upload_Indiv[[Player]:[Player]],$A15,Upload_Indiv[[Side]:[Side]],"Raintree Back")-IF(TRUNC(ROUND($B15,0)/9,0)=2,2+IF((ROUND($B15,0)-18)*2&gt;=N$2,1,0),IF(TRUNC(ROUND($B15,0)/9,0)=1,1+IF((ROUND($B15,0)-9)*2&gt;=N$2,1,0),IF(TRUNC(ROUND($B15,0)/9,0)=0,IF(TRUNC(ROUND($B15,0)/9,0)=0,0+IF((ROUND($B15,0))*2&gt;=N$2,1,0),"Not"))))-N$3,"")</f>
        <v/>
      </c>
    </row>
    <row r="222" spans="1:5" x14ac:dyDescent="0.25">
      <c r="A222" t="s">
        <v>724</v>
      </c>
      <c r="B222" t="s">
        <v>356</v>
      </c>
      <c r="C222" t="s">
        <v>725</v>
      </c>
      <c r="D222" t="s">
        <v>851</v>
      </c>
      <c r="E222" t="str">
        <f>IFERROR(AVERAGEIFS(Upload_Indiv[Score2],Upload_Indiv[[Player]:[Player]],$A16,Upload_Indiv[[Side]:[Side]],"Raintree Front")-IF(TRUNC(ROUND($B16,0)/9,0)=2,2+IF((ROUND($B16,0)-18)*2&gt;=D$2,1,0),IF(TRUNC(ROUND($B16,0)/9,0)=1,1+IF((ROUND($B16,0)-9)*2&gt;=D$2,1,0),IF(TRUNC(ROUND($B16,0)/9,0)=0,IF(TRUNC(ROUND($B16,0)/9,0)=0,0+IF((ROUND($B16,0))*2&gt;=D$2,1,0),"Not"))))-D$3,"")</f>
        <v/>
      </c>
    </row>
    <row r="223" spans="1:5" x14ac:dyDescent="0.25">
      <c r="A223" t="s">
        <v>724</v>
      </c>
      <c r="B223" t="s">
        <v>356</v>
      </c>
      <c r="C223" t="s">
        <v>725</v>
      </c>
      <c r="D223" t="s">
        <v>940</v>
      </c>
      <c r="E223" t="str">
        <f>IFERROR(AVERAGEIFS(Upload_Indiv[Score2],Upload_Indiv[[Player]:[Player]],$A16,Upload_Indiv[[Side]:[Side]],"Raintree Back")-IF(TRUNC(ROUND($B16,0)/9,0)=2,2+IF((ROUND($B16,0)-18)*2&gt;=N$2,1,0),IF(TRUNC(ROUND($B16,0)/9,0)=1,1+IF((ROUND($B16,0)-9)*2&gt;=N$2,1,0),IF(TRUNC(ROUND($B16,0)/9,0)=0,IF(TRUNC(ROUND($B16,0)/9,0)=0,0+IF((ROUND($B16,0))*2&gt;=N$2,1,0),"Not"))))-N$3,"")</f>
        <v/>
      </c>
    </row>
    <row r="224" spans="1:5" x14ac:dyDescent="0.25">
      <c r="A224" t="s">
        <v>724</v>
      </c>
      <c r="B224" t="s">
        <v>356</v>
      </c>
      <c r="C224" t="s">
        <v>725</v>
      </c>
      <c r="D224" t="s">
        <v>853</v>
      </c>
      <c r="E224" t="str">
        <f>IFERROR(AVERAGEIFS(Upload_Indiv[Score2],Upload_Indiv[[Player]:[Player]],$A17,Upload_Indiv[[Side]:[Side]],"Raintree Front")-IF(TRUNC(ROUND($B17,0)/9,0)=2,2+IF((ROUND($B17,0)-18)*2&gt;=D$2,1,0),IF(TRUNC(ROUND($B17,0)/9,0)=1,1+IF((ROUND($B17,0)-9)*2&gt;=D$2,1,0),IF(TRUNC(ROUND($B17,0)/9,0)=0,IF(TRUNC(ROUND($B17,0)/9,0)=0,0+IF((ROUND($B17,0))*2&gt;=D$2,1,0),"Not"))))-D$3,"")</f>
        <v/>
      </c>
    </row>
    <row r="225" spans="1:5" x14ac:dyDescent="0.25">
      <c r="A225" t="s">
        <v>724</v>
      </c>
      <c r="B225" t="s">
        <v>356</v>
      </c>
      <c r="C225" t="s">
        <v>725</v>
      </c>
      <c r="D225" t="s">
        <v>941</v>
      </c>
      <c r="E225" t="str">
        <f>IFERROR(AVERAGEIFS(Upload_Indiv[Score2],Upload_Indiv[[Player]:[Player]],$A17,Upload_Indiv[[Side]:[Side]],"Raintree Back")-IF(TRUNC(ROUND($B17,0)/9,0)=2,2+IF((ROUND($B17,0)-18)*2&gt;=N$2,1,0),IF(TRUNC(ROUND($B17,0)/9,0)=1,1+IF((ROUND($B17,0)-9)*2&gt;=N$2,1,0),IF(TRUNC(ROUND($B17,0)/9,0)=0,IF(TRUNC(ROUND($B17,0)/9,0)=0,0+IF((ROUND($B17,0))*2&gt;=N$2,1,0),"Not"))))-N$3,"")</f>
        <v/>
      </c>
    </row>
    <row r="226" spans="1:5" x14ac:dyDescent="0.25">
      <c r="A226" t="s">
        <v>724</v>
      </c>
      <c r="B226" t="s">
        <v>356</v>
      </c>
      <c r="C226" t="s">
        <v>725</v>
      </c>
      <c r="D226" t="s">
        <v>855</v>
      </c>
      <c r="E226" t="str">
        <f>IFERROR(AVERAGEIFS(Upload_Indiv[Score2],Upload_Indiv[[Player]:[Player]],$A18,Upload_Indiv[[Side]:[Side]],"Raintree Front")-IF(TRUNC(ROUND($B18,0)/9,0)=2,2+IF((ROUND($B18,0)-18)*2&gt;=D$2,1,0),IF(TRUNC(ROUND($B18,0)/9,0)=1,1+IF((ROUND($B18,0)-9)*2&gt;=D$2,1,0),IF(TRUNC(ROUND($B18,0)/9,0)=0,IF(TRUNC(ROUND($B18,0)/9,0)=0,0+IF((ROUND($B18,0))*2&gt;=D$2,1,0),"Not"))))-D$3,"")</f>
        <v/>
      </c>
    </row>
    <row r="227" spans="1:5" x14ac:dyDescent="0.25">
      <c r="A227" t="s">
        <v>724</v>
      </c>
      <c r="B227" t="s">
        <v>356</v>
      </c>
      <c r="C227" t="s">
        <v>725</v>
      </c>
      <c r="D227" t="s">
        <v>942</v>
      </c>
      <c r="E227" t="str">
        <f>IFERROR(AVERAGEIFS(Upload_Indiv[Score2],Upload_Indiv[[Player]:[Player]],$A18,Upload_Indiv[[Side]:[Side]],"Raintree Back")-IF(TRUNC(ROUND($B18,0)/9,0)=2,2+IF((ROUND($B18,0)-18)*2&gt;=N$2,1,0),IF(TRUNC(ROUND($B18,0)/9,0)=1,1+IF((ROUND($B18,0)-9)*2&gt;=N$2,1,0),IF(TRUNC(ROUND($B18,0)/9,0)=0,IF(TRUNC(ROUND($B18,0)/9,0)=0,0+IF((ROUND($B18,0))*2&gt;=N$2,1,0),"Not"))))-N$3,"")</f>
        <v/>
      </c>
    </row>
    <row r="228" spans="1:5" x14ac:dyDescent="0.25">
      <c r="A228" t="s">
        <v>724</v>
      </c>
      <c r="B228" t="s">
        <v>356</v>
      </c>
      <c r="C228" t="s">
        <v>725</v>
      </c>
      <c r="D228" t="s">
        <v>857</v>
      </c>
      <c r="E228" t="str">
        <f>IFERROR(AVERAGEIFS(Upload_Indiv[Score2],Upload_Indiv[[Player]:[Player]],$A19,Upload_Indiv[[Side]:[Side]],"Raintree Front")-IF(TRUNC(ROUND($B19,0)/9,0)=2,2+IF((ROUND($B19,0)-18)*2&gt;=D$2,1,0),IF(TRUNC(ROUND($B19,0)/9,0)=1,1+IF((ROUND($B19,0)-9)*2&gt;=D$2,1,0),IF(TRUNC(ROUND($B19,0)/9,0)=0,IF(TRUNC(ROUND($B19,0)/9,0)=0,0+IF((ROUND($B19,0))*2&gt;=D$2,1,0),"Not"))))-D$3,"")</f>
        <v/>
      </c>
    </row>
    <row r="229" spans="1:5" x14ac:dyDescent="0.25">
      <c r="A229" t="s">
        <v>724</v>
      </c>
      <c r="B229" t="s">
        <v>356</v>
      </c>
      <c r="C229" t="s">
        <v>725</v>
      </c>
      <c r="D229" t="s">
        <v>943</v>
      </c>
      <c r="E229" t="str">
        <f>IFERROR(AVERAGEIFS(Upload_Indiv[Score2],Upload_Indiv[[Player]:[Player]],$A19,Upload_Indiv[[Side]:[Side]],"Raintree Back")-IF(TRUNC(ROUND($B19,0)/9,0)=2,2+IF((ROUND($B19,0)-18)*2&gt;=N$2,1,0),IF(TRUNC(ROUND($B19,0)/9,0)=1,1+IF((ROUND($B19,0)-9)*2&gt;=N$2,1,0),IF(TRUNC(ROUND($B19,0)/9,0)=0,IF(TRUNC(ROUND($B19,0)/9,0)=0,0+IF((ROUND($B19,0))*2&gt;=N$2,1,0),"Not"))))-N$3,"")</f>
        <v/>
      </c>
    </row>
    <row r="230" spans="1:5" x14ac:dyDescent="0.25">
      <c r="A230" t="s">
        <v>724</v>
      </c>
      <c r="B230" t="s">
        <v>356</v>
      </c>
      <c r="C230" t="s">
        <v>725</v>
      </c>
      <c r="D230" t="s">
        <v>859</v>
      </c>
      <c r="E230" t="str">
        <f>IFERROR(AVERAGEIFS(Upload_Indiv[Score2],Upload_Indiv[[Player]:[Player]],$A20,Upload_Indiv[[Side]:[Side]],"Raintree Front")-IF(TRUNC(ROUND($B20,0)/9,0)=2,2+IF((ROUND($B20,0)-18)*2&gt;=D$2,1,0),IF(TRUNC(ROUND($B20,0)/9,0)=1,1+IF((ROUND($B20,0)-9)*2&gt;=D$2,1,0),IF(TRUNC(ROUND($B20,0)/9,0)=0,IF(TRUNC(ROUND($B20,0)/9,0)=0,0+IF((ROUND($B20,0))*2&gt;=D$2,1,0),"Not"))))-D$3,"")</f>
        <v/>
      </c>
    </row>
    <row r="231" spans="1:5" x14ac:dyDescent="0.25">
      <c r="A231" t="s">
        <v>724</v>
      </c>
      <c r="B231" t="s">
        <v>356</v>
      </c>
      <c r="C231" t="s">
        <v>725</v>
      </c>
      <c r="D231" t="s">
        <v>944</v>
      </c>
      <c r="E231" t="str">
        <f>IFERROR(AVERAGEIFS(Upload_Indiv[Score2],Upload_Indiv[[Player]:[Player]],$A20,Upload_Indiv[[Side]:[Side]],"Raintree Back")-IF(TRUNC(ROUND($B20,0)/9,0)=2,2+IF((ROUND($B20,0)-18)*2&gt;=N$2,1,0),IF(TRUNC(ROUND($B20,0)/9,0)=1,1+IF((ROUND($B20,0)-9)*2&gt;=N$2,1,0),IF(TRUNC(ROUND($B20,0)/9,0)=0,IF(TRUNC(ROUND($B20,0)/9,0)=0,0+IF((ROUND($B20,0))*2&gt;=N$2,1,0),"Not"))))-N$3,"")</f>
        <v/>
      </c>
    </row>
    <row r="232" spans="1:5" x14ac:dyDescent="0.25">
      <c r="A232" t="s">
        <v>724</v>
      </c>
      <c r="B232" t="s">
        <v>356</v>
      </c>
      <c r="C232" t="s">
        <v>725</v>
      </c>
      <c r="D232" t="s">
        <v>861</v>
      </c>
      <c r="E232" t="str">
        <f>IFERROR(AVERAGEIFS(Upload_Indiv[Score2],Upload_Indiv[[Player]:[Player]],$A21,Upload_Indiv[[Side]:[Side]],"Raintree Front")-IF(TRUNC(ROUND($B21,0)/9,0)=2,2+IF((ROUND($B21,0)-18)*2&gt;=D$2,1,0),IF(TRUNC(ROUND($B21,0)/9,0)=1,1+IF((ROUND($B21,0)-9)*2&gt;=D$2,1,0),IF(TRUNC(ROUND($B21,0)/9,0)=0,IF(TRUNC(ROUND($B21,0)/9,0)=0,0+IF((ROUND($B21,0))*2&gt;=D$2,1,0),"Not"))))-D$3,"")</f>
        <v/>
      </c>
    </row>
    <row r="233" spans="1:5" x14ac:dyDescent="0.25">
      <c r="A233" t="s">
        <v>724</v>
      </c>
      <c r="B233" t="s">
        <v>356</v>
      </c>
      <c r="C233" t="s">
        <v>725</v>
      </c>
      <c r="D233" t="s">
        <v>945</v>
      </c>
      <c r="E233" t="str">
        <f>IFERROR(AVERAGEIFS(Upload_Indiv[Score2],Upload_Indiv[[Player]:[Player]],$A21,Upload_Indiv[[Side]:[Side]],"Raintree Back")-IF(TRUNC(ROUND($B21,0)/9,0)=2,2+IF((ROUND($B21,0)-18)*2&gt;=N$2,1,0),IF(TRUNC(ROUND($B21,0)/9,0)=1,1+IF((ROUND($B21,0)-9)*2&gt;=N$2,1,0),IF(TRUNC(ROUND($B21,0)/9,0)=0,IF(TRUNC(ROUND($B21,0)/9,0)=0,0+IF((ROUND($B21,0))*2&gt;=N$2,1,0),"Not"))))-N$3,"")</f>
        <v/>
      </c>
    </row>
    <row r="234" spans="1:5" x14ac:dyDescent="0.25">
      <c r="A234" t="s">
        <v>724</v>
      </c>
      <c r="B234" t="s">
        <v>356</v>
      </c>
      <c r="C234" t="s">
        <v>725</v>
      </c>
      <c r="D234" t="s">
        <v>863</v>
      </c>
      <c r="E234" t="str">
        <f>IFERROR(AVERAGEIFS(Upload_Indiv[Score2],Upload_Indiv[[Player]:[Player]],$A22,Upload_Indiv[[Side]:[Side]],"Raintree Front")-IF(TRUNC(ROUND($B22,0)/9,0)=2,2+IF((ROUND($B22,0)-18)*2&gt;=D$2,1,0),IF(TRUNC(ROUND($B22,0)/9,0)=1,1+IF((ROUND($B22,0)-9)*2&gt;=D$2,1,0),IF(TRUNC(ROUND($B22,0)/9,0)=0,IF(TRUNC(ROUND($B22,0)/9,0)=0,0+IF((ROUND($B22,0))*2&gt;=D$2,1,0),"Not"))))-D$3,"")</f>
        <v/>
      </c>
    </row>
    <row r="235" spans="1:5" x14ac:dyDescent="0.25">
      <c r="A235" t="s">
        <v>724</v>
      </c>
      <c r="B235" t="s">
        <v>356</v>
      </c>
      <c r="C235" t="s">
        <v>725</v>
      </c>
      <c r="D235" t="s">
        <v>946</v>
      </c>
      <c r="E235" t="str">
        <f>IFERROR(AVERAGEIFS(Upload_Indiv[Score2],Upload_Indiv[[Player]:[Player]],$A22,Upload_Indiv[[Side]:[Side]],"Raintree Back")-IF(TRUNC(ROUND($B22,0)/9,0)=2,2+IF((ROUND($B22,0)-18)*2&gt;=N$2,1,0),IF(TRUNC(ROUND($B22,0)/9,0)=1,1+IF((ROUND($B22,0)-9)*2&gt;=N$2,1,0),IF(TRUNC(ROUND($B22,0)/9,0)=0,IF(TRUNC(ROUND($B22,0)/9,0)=0,0+IF((ROUND($B22,0))*2&gt;=N$2,1,0),"Not"))))-N$3,"")</f>
        <v/>
      </c>
    </row>
    <row r="236" spans="1:5" x14ac:dyDescent="0.25">
      <c r="A236" t="s">
        <v>724</v>
      </c>
      <c r="B236" t="s">
        <v>356</v>
      </c>
      <c r="C236" t="s">
        <v>725</v>
      </c>
      <c r="D236" t="s">
        <v>865</v>
      </c>
      <c r="E236" t="str">
        <f>IFERROR(AVERAGEIFS(Upload_Indiv[Score2],Upload_Indiv[[Player]:[Player]],$A23,Upload_Indiv[[Side]:[Side]],"Raintree Front")-IF(TRUNC(ROUND($B23,0)/9,0)=2,2+IF((ROUND($B23,0)-18)*2&gt;=D$2,1,0),IF(TRUNC(ROUND($B23,0)/9,0)=1,1+IF((ROUND($B23,0)-9)*2&gt;=D$2,1,0),IF(TRUNC(ROUND($B23,0)/9,0)=0,IF(TRUNC(ROUND($B23,0)/9,0)=0,0+IF((ROUND($B23,0))*2&gt;=D$2,1,0),"Not"))))-D$3,"")</f>
        <v/>
      </c>
    </row>
    <row r="237" spans="1:5" x14ac:dyDescent="0.25">
      <c r="A237" t="s">
        <v>724</v>
      </c>
      <c r="B237" t="s">
        <v>356</v>
      </c>
      <c r="C237" t="s">
        <v>725</v>
      </c>
      <c r="D237" t="s">
        <v>947</v>
      </c>
      <c r="E237" t="str">
        <f>IFERROR(AVERAGEIFS(Upload_Indiv[Score2],Upload_Indiv[[Player]:[Player]],$A23,Upload_Indiv[[Side]:[Side]],"Raintree Back")-IF(TRUNC(ROUND($B23,0)/9,0)=2,2+IF((ROUND($B23,0)-18)*2&gt;=N$2,1,0),IF(TRUNC(ROUND($B23,0)/9,0)=1,1+IF((ROUND($B23,0)-9)*2&gt;=N$2,1,0),IF(TRUNC(ROUND($B23,0)/9,0)=0,IF(TRUNC(ROUND($B23,0)/9,0)=0,0+IF((ROUND($B23,0))*2&gt;=N$2,1,0),"Not"))))-N$3,"")</f>
        <v/>
      </c>
    </row>
    <row r="238" spans="1:5" x14ac:dyDescent="0.25">
      <c r="A238" t="s">
        <v>724</v>
      </c>
      <c r="B238" t="s">
        <v>356</v>
      </c>
      <c r="C238" t="s">
        <v>725</v>
      </c>
      <c r="D238" t="s">
        <v>867</v>
      </c>
      <c r="E238" t="str">
        <f>IFERROR(AVERAGEIFS(Upload_Indiv[Score2],Upload_Indiv[[Player]:[Player]],$A24,Upload_Indiv[[Side]:[Side]],"Raintree Front")-IF(TRUNC(ROUND($B24,0)/9,0)=2,2+IF((ROUND($B24,0)-18)*2&gt;=D$2,1,0),IF(TRUNC(ROUND($B24,0)/9,0)=1,1+IF((ROUND($B24,0)-9)*2&gt;=D$2,1,0),IF(TRUNC(ROUND($B24,0)/9,0)=0,IF(TRUNC(ROUND($B24,0)/9,0)=0,0+IF((ROUND($B24,0))*2&gt;=D$2,1,0),"Not"))))-D$3,"")</f>
        <v/>
      </c>
    </row>
    <row r="239" spans="1:5" x14ac:dyDescent="0.25">
      <c r="A239" t="s">
        <v>724</v>
      </c>
      <c r="B239" t="s">
        <v>356</v>
      </c>
      <c r="C239" t="s">
        <v>725</v>
      </c>
      <c r="D239" t="s">
        <v>948</v>
      </c>
      <c r="E239" t="str">
        <f>IFERROR(AVERAGEIFS(Upload_Indiv[Score2],Upload_Indiv[[Player]:[Player]],$A24,Upload_Indiv[[Side]:[Side]],"Raintree Back")-IF(TRUNC(ROUND($B24,0)/9,0)=2,2+IF((ROUND($B24,0)-18)*2&gt;=N$2,1,0),IF(TRUNC(ROUND($B24,0)/9,0)=1,1+IF((ROUND($B24,0)-9)*2&gt;=N$2,1,0),IF(TRUNC(ROUND($B24,0)/9,0)=0,IF(TRUNC(ROUND($B24,0)/9,0)=0,0+IF((ROUND($B24,0))*2&gt;=N$2,1,0),"Not"))))-N$3,"")</f>
        <v/>
      </c>
    </row>
    <row r="240" spans="1:5" x14ac:dyDescent="0.25">
      <c r="A240" t="s">
        <v>724</v>
      </c>
      <c r="B240" t="s">
        <v>356</v>
      </c>
      <c r="C240" t="s">
        <v>725</v>
      </c>
      <c r="D240" t="s">
        <v>869</v>
      </c>
      <c r="E240" t="str">
        <f>IFERROR(AVERAGEIFS(Upload_Indiv[Score2],Upload_Indiv[[Player]:[Player]],$A25,Upload_Indiv[[Side]:[Side]],"Raintree Front")-IF(TRUNC(ROUND($B25,0)/9,0)=2,2+IF((ROUND($B25,0)-18)*2&gt;=D$2,1,0),IF(TRUNC(ROUND($B25,0)/9,0)=1,1+IF((ROUND($B25,0)-9)*2&gt;=D$2,1,0),IF(TRUNC(ROUND($B25,0)/9,0)=0,IF(TRUNC(ROUND($B25,0)/9,0)=0,0+IF((ROUND($B25,0))*2&gt;=D$2,1,0),"Not"))))-D$3,"")</f>
        <v/>
      </c>
    </row>
    <row r="241" spans="1:5" x14ac:dyDescent="0.25">
      <c r="A241" t="s">
        <v>724</v>
      </c>
      <c r="B241" t="s">
        <v>356</v>
      </c>
      <c r="C241" t="s">
        <v>725</v>
      </c>
      <c r="D241" t="s">
        <v>949</v>
      </c>
      <c r="E241" t="str">
        <f>IFERROR(AVERAGEIFS(Upload_Indiv[Score2],Upload_Indiv[[Player]:[Player]],$A25,Upload_Indiv[[Side]:[Side]],"Raintree Back")-IF(TRUNC(ROUND($B25,0)/9,0)=2,2+IF((ROUND($B25,0)-18)*2&gt;=N$2,1,0),IF(TRUNC(ROUND($B25,0)/9,0)=1,1+IF((ROUND($B25,0)-9)*2&gt;=N$2,1,0),IF(TRUNC(ROUND($B25,0)/9,0)=0,IF(TRUNC(ROUND($B25,0)/9,0)=0,0+IF((ROUND($B25,0))*2&gt;=N$2,1,0),"Not"))))-N$3,"")</f>
        <v/>
      </c>
    </row>
    <row r="242" spans="1:5" x14ac:dyDescent="0.25">
      <c r="A242" t="s">
        <v>724</v>
      </c>
      <c r="B242" t="s">
        <v>356</v>
      </c>
      <c r="C242" t="s">
        <v>725</v>
      </c>
      <c r="D242" t="s">
        <v>871</v>
      </c>
      <c r="E242" t="str">
        <f>IFERROR(AVERAGEIFS(Upload_Indiv[Score2],Upload_Indiv[[Player]:[Player]],$A26,Upload_Indiv[[Side]:[Side]],"Raintree Front")-IF(TRUNC(ROUND($B26,0)/9,0)=2,2+IF((ROUND($B26,0)-18)*2&gt;=D$2,1,0),IF(TRUNC(ROUND($B26,0)/9,0)=1,1+IF((ROUND($B26,0)-9)*2&gt;=D$2,1,0),IF(TRUNC(ROUND($B26,0)/9,0)=0,IF(TRUNC(ROUND($B26,0)/9,0)=0,0+IF((ROUND($B26,0))*2&gt;=D$2,1,0),"Not"))))-D$3,"")</f>
        <v/>
      </c>
    </row>
    <row r="243" spans="1:5" x14ac:dyDescent="0.25">
      <c r="A243" t="s">
        <v>724</v>
      </c>
      <c r="B243" t="s">
        <v>356</v>
      </c>
      <c r="C243" t="s">
        <v>725</v>
      </c>
      <c r="D243" t="s">
        <v>950</v>
      </c>
      <c r="E243" t="str">
        <f>IFERROR(AVERAGEIFS(Upload_Indiv[Score2],Upload_Indiv[[Player]:[Player]],$A26,Upload_Indiv[[Side]:[Side]],"Raintree Back")-IF(TRUNC(ROUND($B26,0)/9,0)=2,2+IF((ROUND($B26,0)-18)*2&gt;=N$2,1,0),IF(TRUNC(ROUND($B26,0)/9,0)=1,1+IF((ROUND($B26,0)-9)*2&gt;=N$2,1,0),IF(TRUNC(ROUND($B26,0)/9,0)=0,IF(TRUNC(ROUND($B26,0)/9,0)=0,0+IF((ROUND($B26,0))*2&gt;=N$2,1,0),"Not"))))-N$3,"")</f>
        <v/>
      </c>
    </row>
    <row r="244" spans="1:5" x14ac:dyDescent="0.25">
      <c r="A244" t="s">
        <v>724</v>
      </c>
      <c r="B244" t="s">
        <v>356</v>
      </c>
      <c r="C244" t="s">
        <v>725</v>
      </c>
      <c r="D244" t="s">
        <v>873</v>
      </c>
      <c r="E244" t="str">
        <f>IFERROR(AVERAGEIFS(Upload_Indiv[Score2],Upload_Indiv[[Player]:[Player]],$A27,Upload_Indiv[[Side]:[Side]],"Raintree Front")-IF(TRUNC(ROUND($B27,0)/9,0)=2,2+IF((ROUND($B27,0)-18)*2&gt;=D$2,1,0),IF(TRUNC(ROUND($B27,0)/9,0)=1,1+IF((ROUND($B27,0)-9)*2&gt;=D$2,1,0),IF(TRUNC(ROUND($B27,0)/9,0)=0,IF(TRUNC(ROUND($B27,0)/9,0)=0,0+IF((ROUND($B27,0))*2&gt;=D$2,1,0),"Not"))))-D$3,"")</f>
        <v/>
      </c>
    </row>
    <row r="245" spans="1:5" x14ac:dyDescent="0.25">
      <c r="A245" t="s">
        <v>724</v>
      </c>
      <c r="B245" t="s">
        <v>356</v>
      </c>
      <c r="C245" t="s">
        <v>725</v>
      </c>
      <c r="D245" t="s">
        <v>951</v>
      </c>
      <c r="E245" t="str">
        <f>IFERROR(AVERAGEIFS(Upload_Indiv[Score2],Upload_Indiv[[Player]:[Player]],$A27,Upload_Indiv[[Side]:[Side]],"Raintree Back")-IF(TRUNC(ROUND($B27,0)/9,0)=2,2+IF((ROUND($B27,0)-18)*2&gt;=N$2,1,0),IF(TRUNC(ROUND($B27,0)/9,0)=1,1+IF((ROUND($B27,0)-9)*2&gt;=N$2,1,0),IF(TRUNC(ROUND($B27,0)/9,0)=0,IF(TRUNC(ROUND($B27,0)/9,0)=0,0+IF((ROUND($B27,0))*2&gt;=N$2,1,0),"Not"))))-N$3,"")</f>
        <v/>
      </c>
    </row>
    <row r="246" spans="1:5" x14ac:dyDescent="0.25">
      <c r="A246" t="s">
        <v>724</v>
      </c>
      <c r="B246" t="s">
        <v>356</v>
      </c>
      <c r="C246" t="s">
        <v>725</v>
      </c>
      <c r="D246" t="s">
        <v>875</v>
      </c>
      <c r="E246" t="str">
        <f>IFERROR(AVERAGEIFS(Upload_Indiv[Score2],Upload_Indiv[[Player]:[Player]],$A28,Upload_Indiv[[Side]:[Side]],"Raintree Front")-IF(TRUNC(ROUND($B28,0)/9,0)=2,2+IF((ROUND($B28,0)-18)*2&gt;=D$2,1,0),IF(TRUNC(ROUND($B28,0)/9,0)=1,1+IF((ROUND($B28,0)-9)*2&gt;=D$2,1,0),IF(TRUNC(ROUND($B28,0)/9,0)=0,IF(TRUNC(ROUND($B28,0)/9,0)=0,0+IF((ROUND($B28,0))*2&gt;=D$2,1,0),"Not"))))-D$3,"")</f>
        <v/>
      </c>
    </row>
    <row r="247" spans="1:5" x14ac:dyDescent="0.25">
      <c r="A247" t="s">
        <v>724</v>
      </c>
      <c r="B247" t="s">
        <v>356</v>
      </c>
      <c r="C247" t="s">
        <v>725</v>
      </c>
      <c r="D247" t="s">
        <v>952</v>
      </c>
      <c r="E247" t="str">
        <f>IFERROR(AVERAGEIFS(Upload_Indiv[Score2],Upload_Indiv[[Player]:[Player]],$A28,Upload_Indiv[[Side]:[Side]],"Raintree Back")-IF(TRUNC(ROUND($B28,0)/9,0)=2,2+IF((ROUND($B28,0)-18)*2&gt;=N$2,1,0),IF(TRUNC(ROUND($B28,0)/9,0)=1,1+IF((ROUND($B28,0)-9)*2&gt;=N$2,1,0),IF(TRUNC(ROUND($B28,0)/9,0)=0,IF(TRUNC(ROUND($B28,0)/9,0)=0,0+IF((ROUND($B28,0))*2&gt;=N$2,1,0),"Not"))))-N$3,"")</f>
        <v/>
      </c>
    </row>
    <row r="248" spans="1:5" x14ac:dyDescent="0.25">
      <c r="A248" t="s">
        <v>724</v>
      </c>
      <c r="B248" t="s">
        <v>356</v>
      </c>
      <c r="C248" t="s">
        <v>725</v>
      </c>
      <c r="D248" t="s">
        <v>877</v>
      </c>
      <c r="E248" t="str">
        <f>IFERROR(AVERAGEIFS(Upload_Indiv[Score2],Upload_Indiv[[Player]:[Player]],$A29,Upload_Indiv[[Side]:[Side]],"Raintree Front")-IF(TRUNC(ROUND($B29,0)/9,0)=2,2+IF((ROUND($B29,0)-18)*2&gt;=D$2,1,0),IF(TRUNC(ROUND($B29,0)/9,0)=1,1+IF((ROUND($B29,0)-9)*2&gt;=D$2,1,0),IF(TRUNC(ROUND($B29,0)/9,0)=0,IF(TRUNC(ROUND($B29,0)/9,0)=0,0+IF((ROUND($B29,0))*2&gt;=D$2,1,0),"Not"))))-D$3,"")</f>
        <v/>
      </c>
    </row>
    <row r="249" spans="1:5" x14ac:dyDescent="0.25">
      <c r="A249" t="s">
        <v>724</v>
      </c>
      <c r="B249" t="s">
        <v>356</v>
      </c>
      <c r="C249" t="s">
        <v>725</v>
      </c>
      <c r="D249" t="s">
        <v>953</v>
      </c>
      <c r="E249" t="str">
        <f>IFERROR(AVERAGEIFS(Upload_Indiv[Score2],Upload_Indiv[[Player]:[Player]],$A29,Upload_Indiv[[Side]:[Side]],"Raintree Back")-IF(TRUNC(ROUND($B29,0)/9,0)=2,2+IF((ROUND($B29,0)-18)*2&gt;=N$2,1,0),IF(TRUNC(ROUND($B29,0)/9,0)=1,1+IF((ROUND($B29,0)-9)*2&gt;=N$2,1,0),IF(TRUNC(ROUND($B29,0)/9,0)=0,IF(TRUNC(ROUND($B29,0)/9,0)=0,0+IF((ROUND($B29,0))*2&gt;=N$2,1,0),"Not"))))-N$3,"")</f>
        <v/>
      </c>
    </row>
    <row r="250" spans="1:5" x14ac:dyDescent="0.25">
      <c r="A250" t="s">
        <v>724</v>
      </c>
      <c r="B250" t="s">
        <v>356</v>
      </c>
      <c r="C250" t="s">
        <v>725</v>
      </c>
      <c r="D250" t="s">
        <v>879</v>
      </c>
      <c r="E250" t="str">
        <f>IFERROR(AVERAGEIFS(Upload_Indiv[Score2],Upload_Indiv[[Player]:[Player]],$A30,Upload_Indiv[[Side]:[Side]],"Raintree Front")-IF(TRUNC(ROUND($B30,0)/9,0)=2,2+IF((ROUND($B30,0)-18)*2&gt;=D$2,1,0),IF(TRUNC(ROUND($B30,0)/9,0)=1,1+IF((ROUND($B30,0)-9)*2&gt;=D$2,1,0),IF(TRUNC(ROUND($B30,0)/9,0)=0,IF(TRUNC(ROUND($B30,0)/9,0)=0,0+IF((ROUND($B30,0))*2&gt;=D$2,1,0),"Not"))))-D$3,"")</f>
        <v/>
      </c>
    </row>
    <row r="251" spans="1:5" x14ac:dyDescent="0.25">
      <c r="A251" t="s">
        <v>724</v>
      </c>
      <c r="B251" t="s">
        <v>356</v>
      </c>
      <c r="C251" t="s">
        <v>725</v>
      </c>
      <c r="D251" t="s">
        <v>954</v>
      </c>
      <c r="E251" t="str">
        <f>IFERROR(AVERAGEIFS(Upload_Indiv[Score2],Upload_Indiv[[Player]:[Player]],$A30,Upload_Indiv[[Side]:[Side]],"Raintree Back")-IF(TRUNC(ROUND($B30,0)/9,0)=2,2+IF((ROUND($B30,0)-18)*2&gt;=N$2,1,0),IF(TRUNC(ROUND($B30,0)/9,0)=1,1+IF((ROUND($B30,0)-9)*2&gt;=N$2,1,0),IF(TRUNC(ROUND($B30,0)/9,0)=0,IF(TRUNC(ROUND($B30,0)/9,0)=0,0+IF((ROUND($B30,0))*2&gt;=N$2,1,0),"Not"))))-N$3,"")</f>
        <v/>
      </c>
    </row>
    <row r="252" spans="1:5" x14ac:dyDescent="0.25">
      <c r="A252" t="s">
        <v>724</v>
      </c>
      <c r="B252" t="s">
        <v>356</v>
      </c>
      <c r="C252" t="s">
        <v>725</v>
      </c>
      <c r="D252" t="s">
        <v>881</v>
      </c>
      <c r="E252" t="str">
        <f>IFERROR(AVERAGEIFS(Upload_Indiv[Score2],Upload_Indiv[[Player]:[Player]],$A31,Upload_Indiv[[Side]:[Side]],"Raintree Front")-IF(TRUNC(ROUND($B31,0)/9,0)=2,2+IF((ROUND($B31,0)-18)*2&gt;=D$2,1,0),IF(TRUNC(ROUND($B31,0)/9,0)=1,1+IF((ROUND($B31,0)-9)*2&gt;=D$2,1,0),IF(TRUNC(ROUND($B31,0)/9,0)=0,IF(TRUNC(ROUND($B31,0)/9,0)=0,0+IF((ROUND($B31,0))*2&gt;=D$2,1,0),"Not"))))-D$3,"")</f>
        <v/>
      </c>
    </row>
    <row r="253" spans="1:5" x14ac:dyDescent="0.25">
      <c r="A253" t="s">
        <v>724</v>
      </c>
      <c r="B253" t="s">
        <v>356</v>
      </c>
      <c r="C253" t="s">
        <v>725</v>
      </c>
      <c r="D253" t="s">
        <v>955</v>
      </c>
      <c r="E253" t="str">
        <f>IFERROR(AVERAGEIFS(Upload_Indiv[Score2],Upload_Indiv[[Player]:[Player]],$A31,Upload_Indiv[[Side]:[Side]],"Raintree Back")-IF(TRUNC(ROUND($B31,0)/9,0)=2,2+IF((ROUND($B31,0)-18)*2&gt;=N$2,1,0),IF(TRUNC(ROUND($B31,0)/9,0)=1,1+IF((ROUND($B31,0)-9)*2&gt;=N$2,1,0),IF(TRUNC(ROUND($B31,0)/9,0)=0,IF(TRUNC(ROUND($B31,0)/9,0)=0,0+IF((ROUND($B31,0))*2&gt;=N$2,1,0),"Not"))))-N$3,"")</f>
        <v/>
      </c>
    </row>
    <row r="254" spans="1:5" x14ac:dyDescent="0.25">
      <c r="A254" t="s">
        <v>724</v>
      </c>
      <c r="B254" t="s">
        <v>356</v>
      </c>
      <c r="C254" t="s">
        <v>725</v>
      </c>
      <c r="D254" t="s">
        <v>883</v>
      </c>
      <c r="E254" t="str">
        <f>IFERROR(AVERAGEIFS(Upload_Indiv[Score2],Upload_Indiv[[Player]:[Player]],$A32,Upload_Indiv[[Side]:[Side]],"Raintree Front")-IF(TRUNC(ROUND($B32,0)/9,0)=2,2+IF((ROUND($B32,0)-18)*2&gt;=D$2,1,0),IF(TRUNC(ROUND($B32,0)/9,0)=1,1+IF((ROUND($B32,0)-9)*2&gt;=D$2,1,0),IF(TRUNC(ROUND($B32,0)/9,0)=0,IF(TRUNC(ROUND($B32,0)/9,0)=0,0+IF((ROUND($B32,0))*2&gt;=D$2,1,0),"Not"))))-D$3,"")</f>
        <v/>
      </c>
    </row>
    <row r="255" spans="1:5" x14ac:dyDescent="0.25">
      <c r="A255" t="s">
        <v>724</v>
      </c>
      <c r="B255" t="s">
        <v>356</v>
      </c>
      <c r="C255" t="s">
        <v>725</v>
      </c>
      <c r="D255" t="s">
        <v>956</v>
      </c>
      <c r="E255" t="str">
        <f>IFERROR(AVERAGEIFS(Upload_Indiv[Score2],Upload_Indiv[[Player]:[Player]],$A32,Upload_Indiv[[Side]:[Side]],"Raintree Back")-IF(TRUNC(ROUND($B32,0)/9,0)=2,2+IF((ROUND($B32,0)-18)*2&gt;=N$2,1,0),IF(TRUNC(ROUND($B32,0)/9,0)=1,1+IF((ROUND($B32,0)-9)*2&gt;=N$2,1,0),IF(TRUNC(ROUND($B32,0)/9,0)=0,IF(TRUNC(ROUND($B32,0)/9,0)=0,0+IF((ROUND($B32,0))*2&gt;=N$2,1,0),"Not"))))-N$3,"")</f>
        <v/>
      </c>
    </row>
    <row r="256" spans="1:5" x14ac:dyDescent="0.25">
      <c r="A256" t="s">
        <v>724</v>
      </c>
      <c r="B256" t="s">
        <v>356</v>
      </c>
      <c r="C256" t="s">
        <v>725</v>
      </c>
      <c r="D256" t="s">
        <v>885</v>
      </c>
      <c r="E256" t="str">
        <f>IFERROR(AVERAGEIFS(Upload_Indiv[Score2],Upload_Indiv[[Player]:[Player]],$A33,Upload_Indiv[[Side]:[Side]],"Raintree Front")-IF(TRUNC(ROUND($B33,0)/9,0)=2,2+IF((ROUND($B33,0)-18)*2&gt;=D$2,1,0),IF(TRUNC(ROUND($B33,0)/9,0)=1,1+IF((ROUND($B33,0)-9)*2&gt;=D$2,1,0),IF(TRUNC(ROUND($B33,0)/9,0)=0,IF(TRUNC(ROUND($B33,0)/9,0)=0,0+IF((ROUND($B33,0))*2&gt;=D$2,1,0),"Not"))))-D$3,"")</f>
        <v/>
      </c>
    </row>
    <row r="257" spans="1:5" x14ac:dyDescent="0.25">
      <c r="A257" t="s">
        <v>724</v>
      </c>
      <c r="B257" t="s">
        <v>356</v>
      </c>
      <c r="C257" t="s">
        <v>725</v>
      </c>
      <c r="D257" t="s">
        <v>957</v>
      </c>
      <c r="E257" t="str">
        <f>IFERROR(AVERAGEIFS(Upload_Indiv[Score2],Upload_Indiv[[Player]:[Player]],$A33,Upload_Indiv[[Side]:[Side]],"Raintree Back")-IF(TRUNC(ROUND($B33,0)/9,0)=2,2+IF((ROUND($B33,0)-18)*2&gt;=N$2,1,0),IF(TRUNC(ROUND($B33,0)/9,0)=1,1+IF((ROUND($B33,0)-9)*2&gt;=N$2,1,0),IF(TRUNC(ROUND($B33,0)/9,0)=0,IF(TRUNC(ROUND($B33,0)/9,0)=0,0+IF((ROUND($B33,0))*2&gt;=N$2,1,0),"Not"))))-N$3,"")</f>
        <v/>
      </c>
    </row>
    <row r="258" spans="1:5" x14ac:dyDescent="0.25">
      <c r="A258" t="s">
        <v>724</v>
      </c>
      <c r="B258" t="s">
        <v>356</v>
      </c>
      <c r="C258" t="s">
        <v>725</v>
      </c>
      <c r="D258" t="s">
        <v>887</v>
      </c>
      <c r="E258" t="str">
        <f>IFERROR(AVERAGEIFS(Upload_Indiv[Score2],Upload_Indiv[[Player]:[Player]],$A34,Upload_Indiv[[Side]:[Side]],"Raintree Front")-IF(TRUNC(ROUND($B34,0)/9,0)=2,2+IF((ROUND($B34,0)-18)*2&gt;=D$2,1,0),IF(TRUNC(ROUND($B34,0)/9,0)=1,1+IF((ROUND($B34,0)-9)*2&gt;=D$2,1,0),IF(TRUNC(ROUND($B34,0)/9,0)=0,IF(TRUNC(ROUND($B34,0)/9,0)=0,0+IF((ROUND($B34,0))*2&gt;=D$2,1,0),"Not"))))-D$3,"")</f>
        <v/>
      </c>
    </row>
    <row r="259" spans="1:5" x14ac:dyDescent="0.25">
      <c r="A259" t="s">
        <v>724</v>
      </c>
      <c r="B259" t="s">
        <v>356</v>
      </c>
      <c r="C259" t="s">
        <v>725</v>
      </c>
      <c r="D259" t="s">
        <v>958</v>
      </c>
      <c r="E259" t="str">
        <f>IFERROR(AVERAGEIFS(Upload_Indiv[Score2],Upload_Indiv[[Player]:[Player]],$A34,Upload_Indiv[[Side]:[Side]],"Raintree Back")-IF(TRUNC(ROUND($B34,0)/9,0)=2,2+IF((ROUND($B34,0)-18)*2&gt;=N$2,1,0),IF(TRUNC(ROUND($B34,0)/9,0)=1,1+IF((ROUND($B34,0)-9)*2&gt;=N$2,1,0),IF(TRUNC(ROUND($B34,0)/9,0)=0,IF(TRUNC(ROUND($B34,0)/9,0)=0,0+IF((ROUND($B34,0))*2&gt;=N$2,1,0),"Not"))))-N$3,"")</f>
        <v/>
      </c>
    </row>
    <row r="260" spans="1:5" x14ac:dyDescent="0.25">
      <c r="A260" t="s">
        <v>724</v>
      </c>
      <c r="B260" t="s">
        <v>356</v>
      </c>
      <c r="C260" t="s">
        <v>725</v>
      </c>
      <c r="D260" t="s">
        <v>889</v>
      </c>
      <c r="E260" t="str">
        <f>IFERROR(AVERAGEIFS(Upload_Indiv[Score2],Upload_Indiv[[Player]:[Player]],$A35,Upload_Indiv[[Side]:[Side]],"Raintree Front")-IF(TRUNC(ROUND($B35,0)/9,0)=2,2+IF((ROUND($B35,0)-18)*2&gt;=D$2,1,0),IF(TRUNC(ROUND($B35,0)/9,0)=1,1+IF((ROUND($B35,0)-9)*2&gt;=D$2,1,0),IF(TRUNC(ROUND($B35,0)/9,0)=0,IF(TRUNC(ROUND($B35,0)/9,0)=0,0+IF((ROUND($B35,0))*2&gt;=D$2,1,0),"Not"))))-D$3,"")</f>
        <v/>
      </c>
    </row>
    <row r="261" spans="1:5" x14ac:dyDescent="0.25">
      <c r="A261" t="s">
        <v>724</v>
      </c>
      <c r="B261" t="s">
        <v>356</v>
      </c>
      <c r="C261" t="s">
        <v>725</v>
      </c>
      <c r="D261" t="s">
        <v>959</v>
      </c>
      <c r="E261" t="str">
        <f>IFERROR(AVERAGEIFS(Upload_Indiv[Score2],Upload_Indiv[[Player]:[Player]],$A35,Upload_Indiv[[Side]:[Side]],"Raintree Back")-IF(TRUNC(ROUND($B35,0)/9,0)=2,2+IF((ROUND($B35,0)-18)*2&gt;=N$2,1,0),IF(TRUNC(ROUND($B35,0)/9,0)=1,1+IF((ROUND($B35,0)-9)*2&gt;=N$2,1,0),IF(TRUNC(ROUND($B35,0)/9,0)=0,IF(TRUNC(ROUND($B35,0)/9,0)=0,0+IF((ROUND($B35,0))*2&gt;=N$2,1,0),"Not"))))-N$3,"")</f>
        <v/>
      </c>
    </row>
    <row r="262" spans="1:5" x14ac:dyDescent="0.25">
      <c r="A262" t="s">
        <v>724</v>
      </c>
      <c r="B262" t="s">
        <v>356</v>
      </c>
      <c r="C262" t="s">
        <v>725</v>
      </c>
      <c r="D262" t="s">
        <v>891</v>
      </c>
      <c r="E262" t="str">
        <f>IFERROR(AVERAGEIFS(Upload_Indiv[Score2],Upload_Indiv[[Player]:[Player]],$A36,Upload_Indiv[[Side]:[Side]],"Raintree Front")-IF(TRUNC(ROUND($B36,0)/9,0)=2,2+IF((ROUND($B36,0)-18)*2&gt;=D$2,1,0),IF(TRUNC(ROUND($B36,0)/9,0)=1,1+IF((ROUND($B36,0)-9)*2&gt;=D$2,1,0),IF(TRUNC(ROUND($B36,0)/9,0)=0,IF(TRUNC(ROUND($B36,0)/9,0)=0,0+IF((ROUND($B36,0))*2&gt;=D$2,1,0),"Not"))))-D$3,"")</f>
        <v/>
      </c>
    </row>
    <row r="263" spans="1:5" x14ac:dyDescent="0.25">
      <c r="A263" t="s">
        <v>724</v>
      </c>
      <c r="B263" t="s">
        <v>356</v>
      </c>
      <c r="C263" t="s">
        <v>725</v>
      </c>
      <c r="D263" t="s">
        <v>960</v>
      </c>
      <c r="E263" t="str">
        <f>IFERROR(AVERAGEIFS(Upload_Indiv[Score2],Upload_Indiv[[Player]:[Player]],$A36,Upload_Indiv[[Side]:[Side]],"Raintree Back")-IF(TRUNC(ROUND($B36,0)/9,0)=2,2+IF((ROUND($B36,0)-18)*2&gt;=N$2,1,0),IF(TRUNC(ROUND($B36,0)/9,0)=1,1+IF((ROUND($B36,0)-9)*2&gt;=N$2,1,0),IF(TRUNC(ROUND($B36,0)/9,0)=0,IF(TRUNC(ROUND($B36,0)/9,0)=0,0+IF((ROUND($B36,0))*2&gt;=N$2,1,0),"Not"))))-N$3,"")</f>
        <v/>
      </c>
    </row>
    <row r="264" spans="1:5" x14ac:dyDescent="0.25">
      <c r="A264" t="s">
        <v>724</v>
      </c>
      <c r="B264" t="s">
        <v>356</v>
      </c>
      <c r="C264" t="s">
        <v>725</v>
      </c>
      <c r="D264" t="s">
        <v>893</v>
      </c>
      <c r="E264" t="str">
        <f>IFERROR(AVERAGEIFS(Upload_Indiv[Score2],Upload_Indiv[[Player]:[Player]],$A37,Upload_Indiv[[Side]:[Side]],"Raintree Front")-IF(TRUNC(ROUND($B37,0)/9,0)=2,2+IF((ROUND($B37,0)-18)*2&gt;=D$2,1,0),IF(TRUNC(ROUND($B37,0)/9,0)=1,1+IF((ROUND($B37,0)-9)*2&gt;=D$2,1,0),IF(TRUNC(ROUND($B37,0)/9,0)=0,IF(TRUNC(ROUND($B37,0)/9,0)=0,0+IF((ROUND($B37,0))*2&gt;=D$2,1,0),"Not"))))-D$3,"")</f>
        <v/>
      </c>
    </row>
    <row r="265" spans="1:5" x14ac:dyDescent="0.25">
      <c r="A265" t="s">
        <v>724</v>
      </c>
      <c r="B265" t="s">
        <v>356</v>
      </c>
      <c r="C265" t="s">
        <v>725</v>
      </c>
      <c r="D265" t="s">
        <v>961</v>
      </c>
      <c r="E265" t="str">
        <f>IFERROR(AVERAGEIFS(Upload_Indiv[Score2],Upload_Indiv[[Player]:[Player]],$A37,Upload_Indiv[[Side]:[Side]],"Raintree Back")-IF(TRUNC(ROUND($B37,0)/9,0)=2,2+IF((ROUND($B37,0)-18)*2&gt;=N$2,1,0),IF(TRUNC(ROUND($B37,0)/9,0)=1,1+IF((ROUND($B37,0)-9)*2&gt;=N$2,1,0),IF(TRUNC(ROUND($B37,0)/9,0)=0,IF(TRUNC(ROUND($B37,0)/9,0)=0,0+IF((ROUND($B37,0))*2&gt;=N$2,1,0),"Not"))))-N$3,"")</f>
        <v/>
      </c>
    </row>
    <row r="266" spans="1:5" x14ac:dyDescent="0.25">
      <c r="A266" t="s">
        <v>724</v>
      </c>
      <c r="B266" t="s">
        <v>356</v>
      </c>
      <c r="C266" t="s">
        <v>725</v>
      </c>
      <c r="D266" t="s">
        <v>895</v>
      </c>
      <c r="E266" t="str">
        <f>IFERROR(AVERAGEIFS(Upload_Indiv[Score2],Upload_Indiv[[Player]:[Player]],$A38,Upload_Indiv[[Side]:[Side]],"Raintree Front")-IF(TRUNC(ROUND($B38,0)/9,0)=2,2+IF((ROUND($B38,0)-18)*2&gt;=D$2,1,0),IF(TRUNC(ROUND($B38,0)/9,0)=1,1+IF((ROUND($B38,0)-9)*2&gt;=D$2,1,0),IF(TRUNC(ROUND($B38,0)/9,0)=0,IF(TRUNC(ROUND($B38,0)/9,0)=0,0+IF((ROUND($B38,0))*2&gt;=D$2,1,0),"Not"))))-D$3,"")</f>
        <v/>
      </c>
    </row>
    <row r="267" spans="1:5" x14ac:dyDescent="0.25">
      <c r="A267" t="s">
        <v>724</v>
      </c>
      <c r="B267" t="s">
        <v>356</v>
      </c>
      <c r="C267" t="s">
        <v>725</v>
      </c>
      <c r="D267" t="s">
        <v>962</v>
      </c>
      <c r="E267" t="str">
        <f>IFERROR(AVERAGEIFS(Upload_Indiv[Score2],Upload_Indiv[[Player]:[Player]],$A38,Upload_Indiv[[Side]:[Side]],"Raintree Back")-IF(TRUNC(ROUND($B38,0)/9,0)=2,2+IF((ROUND($B38,0)-18)*2&gt;=N$2,1,0),IF(TRUNC(ROUND($B38,0)/9,0)=1,1+IF((ROUND($B38,0)-9)*2&gt;=N$2,1,0),IF(TRUNC(ROUND($B38,0)/9,0)=0,IF(TRUNC(ROUND($B38,0)/9,0)=0,0+IF((ROUND($B38,0))*2&gt;=N$2,1,0),"Not"))))-N$3,"")</f>
        <v/>
      </c>
    </row>
    <row r="268" spans="1:5" x14ac:dyDescent="0.25">
      <c r="A268" t="s">
        <v>724</v>
      </c>
      <c r="B268" t="s">
        <v>356</v>
      </c>
      <c r="C268" t="s">
        <v>725</v>
      </c>
      <c r="D268" t="s">
        <v>897</v>
      </c>
      <c r="E268" t="str">
        <f>IFERROR(AVERAGEIFS(Upload_Indiv[Score2],Upload_Indiv[[Player]:[Player]],$A39,Upload_Indiv[[Side]:[Side]],"Raintree Front")-IF(TRUNC(ROUND($B39,0)/9,0)=2,2+IF((ROUND($B39,0)-18)*2&gt;=D$2,1,0),IF(TRUNC(ROUND($B39,0)/9,0)=1,1+IF((ROUND($B39,0)-9)*2&gt;=D$2,1,0),IF(TRUNC(ROUND($B39,0)/9,0)=0,IF(TRUNC(ROUND($B39,0)/9,0)=0,0+IF((ROUND($B39,0))*2&gt;=D$2,1,0),"Not"))))-D$3,"")</f>
        <v/>
      </c>
    </row>
    <row r="269" spans="1:5" x14ac:dyDescent="0.25">
      <c r="A269" t="s">
        <v>724</v>
      </c>
      <c r="B269" t="s">
        <v>356</v>
      </c>
      <c r="C269" t="s">
        <v>725</v>
      </c>
      <c r="D269" t="s">
        <v>963</v>
      </c>
      <c r="E269" t="str">
        <f>IFERROR(AVERAGEIFS(Upload_Indiv[Score2],Upload_Indiv[[Player]:[Player]],$A39,Upload_Indiv[[Side]:[Side]],"Raintree Back")-IF(TRUNC(ROUND($B39,0)/9,0)=2,2+IF((ROUND($B39,0)-18)*2&gt;=N$2,1,0),IF(TRUNC(ROUND($B39,0)/9,0)=1,1+IF((ROUND($B39,0)-9)*2&gt;=N$2,1,0),IF(TRUNC(ROUND($B39,0)/9,0)=0,IF(TRUNC(ROUND($B39,0)/9,0)=0,0+IF((ROUND($B39,0))*2&gt;=N$2,1,0),"Not"))))-N$3,"")</f>
        <v/>
      </c>
    </row>
    <row r="270" spans="1:5" x14ac:dyDescent="0.25">
      <c r="A270" t="s">
        <v>724</v>
      </c>
      <c r="B270" t="s">
        <v>356</v>
      </c>
      <c r="C270" t="s">
        <v>725</v>
      </c>
      <c r="D270" t="s">
        <v>899</v>
      </c>
      <c r="E270" t="str">
        <f>IFERROR(AVERAGEIFS(Upload_Indiv[Score2],Upload_Indiv[[Player]:[Player]],$A40,Upload_Indiv[[Side]:[Side]],"Raintree Front")-IF(TRUNC(ROUND($B40,0)/9,0)=2,2+IF((ROUND($B40,0)-18)*2&gt;=D$2,1,0),IF(TRUNC(ROUND($B40,0)/9,0)=1,1+IF((ROUND($B40,0)-9)*2&gt;=D$2,1,0),IF(TRUNC(ROUND($B40,0)/9,0)=0,IF(TRUNC(ROUND($B40,0)/9,0)=0,0+IF((ROUND($B40,0))*2&gt;=D$2,1,0),"Not"))))-D$3,"")</f>
        <v/>
      </c>
    </row>
    <row r="271" spans="1:5" x14ac:dyDescent="0.25">
      <c r="A271" t="s">
        <v>724</v>
      </c>
      <c r="B271" t="s">
        <v>356</v>
      </c>
      <c r="C271" t="s">
        <v>725</v>
      </c>
      <c r="D271" t="s">
        <v>964</v>
      </c>
      <c r="E271" t="str">
        <f>IFERROR(AVERAGEIFS(Upload_Indiv[Score2],Upload_Indiv[[Player]:[Player]],$A40,Upload_Indiv[[Side]:[Side]],"Raintree Back")-IF(TRUNC(ROUND($B40,0)/9,0)=2,2+IF((ROUND($B40,0)-18)*2&gt;=N$2,1,0),IF(TRUNC(ROUND($B40,0)/9,0)=1,1+IF((ROUND($B40,0)-9)*2&gt;=N$2,1,0),IF(TRUNC(ROUND($B40,0)/9,0)=0,IF(TRUNC(ROUND($B40,0)/9,0)=0,0+IF((ROUND($B40,0))*2&gt;=N$2,1,0),"Not"))))-N$3,"")</f>
        <v/>
      </c>
    </row>
    <row r="272" spans="1:5" x14ac:dyDescent="0.25">
      <c r="A272" t="s">
        <v>724</v>
      </c>
      <c r="B272" t="s">
        <v>356</v>
      </c>
      <c r="C272" t="s">
        <v>725</v>
      </c>
      <c r="D272" t="s">
        <v>901</v>
      </c>
      <c r="E272" t="str">
        <f>IFERROR(AVERAGEIFS(Upload_Indiv[Score2],Upload_Indiv[[Player]:[Player]],$A41,Upload_Indiv[[Side]:[Side]],"Raintree Front")-IF(TRUNC(ROUND($B41,0)/9,0)=2,2+IF((ROUND($B41,0)-18)*2&gt;=D$2,1,0),IF(TRUNC(ROUND($B41,0)/9,0)=1,1+IF((ROUND($B41,0)-9)*2&gt;=D$2,1,0),IF(TRUNC(ROUND($B41,0)/9,0)=0,IF(TRUNC(ROUND($B41,0)/9,0)=0,0+IF((ROUND($B41,0))*2&gt;=D$2,1,0),"Not"))))-D$3,"")</f>
        <v/>
      </c>
    </row>
    <row r="273" spans="1:5" x14ac:dyDescent="0.25">
      <c r="A273" t="s">
        <v>724</v>
      </c>
      <c r="B273" t="s">
        <v>356</v>
      </c>
      <c r="C273" t="s">
        <v>725</v>
      </c>
      <c r="D273" t="s">
        <v>965</v>
      </c>
      <c r="E273" t="str">
        <f>IFERROR(AVERAGEIFS(Upload_Indiv[Score2],Upload_Indiv[[Player]:[Player]],$A41,Upload_Indiv[[Side]:[Side]],"Raintree Back")-IF(TRUNC(ROUND($B41,0)/9,0)=2,2+IF((ROUND($B41,0)-18)*2&gt;=N$2,1,0),IF(TRUNC(ROUND($B41,0)/9,0)=1,1+IF((ROUND($B41,0)-9)*2&gt;=N$2,1,0),IF(TRUNC(ROUND($B41,0)/9,0)=0,IF(TRUNC(ROUND($B41,0)/9,0)=0,0+IF((ROUND($B41,0))*2&gt;=N$2,1,0),"Not"))))-N$3,"")</f>
        <v/>
      </c>
    </row>
    <row r="274" spans="1:5" x14ac:dyDescent="0.25">
      <c r="A274" t="s">
        <v>724</v>
      </c>
      <c r="B274" t="s">
        <v>356</v>
      </c>
      <c r="C274" t="s">
        <v>725</v>
      </c>
      <c r="D274" t="s">
        <v>903</v>
      </c>
      <c r="E274" t="str">
        <f>IFERROR(AVERAGEIFS(Upload_Indiv[Score2],Upload_Indiv[[Player]:[Player]],$A42,Upload_Indiv[[Side]:[Side]],"Raintree Front")-IF(TRUNC(ROUND($B42,0)/9,0)=2,2+IF((ROUND($B42,0)-18)*2&gt;=D$2,1,0),IF(TRUNC(ROUND($B42,0)/9,0)=1,1+IF((ROUND($B42,0)-9)*2&gt;=D$2,1,0),IF(TRUNC(ROUND($B42,0)/9,0)=0,IF(TRUNC(ROUND($B42,0)/9,0)=0,0+IF((ROUND($B42,0))*2&gt;=D$2,1,0),"Not"))))-D$3,"")</f>
        <v/>
      </c>
    </row>
    <row r="275" spans="1:5" x14ac:dyDescent="0.25">
      <c r="A275" t="s">
        <v>724</v>
      </c>
      <c r="B275" t="s">
        <v>356</v>
      </c>
      <c r="C275" t="s">
        <v>725</v>
      </c>
      <c r="D275" t="s">
        <v>966</v>
      </c>
      <c r="E275" t="str">
        <f>IFERROR(AVERAGEIFS(Upload_Indiv[Score2],Upload_Indiv[[Player]:[Player]],$A42,Upload_Indiv[[Side]:[Side]],"Raintree Back")-IF(TRUNC(ROUND($B42,0)/9,0)=2,2+IF((ROUND($B42,0)-18)*2&gt;=N$2,1,0),IF(TRUNC(ROUND($B42,0)/9,0)=1,1+IF((ROUND($B42,0)-9)*2&gt;=N$2,1,0),IF(TRUNC(ROUND($B42,0)/9,0)=0,IF(TRUNC(ROUND($B42,0)/9,0)=0,0+IF((ROUND($B42,0))*2&gt;=N$2,1,0),"Not"))))-N$3,"")</f>
        <v/>
      </c>
    </row>
    <row r="276" spans="1:5" x14ac:dyDescent="0.25">
      <c r="A276" t="s">
        <v>724</v>
      </c>
      <c r="B276" t="s">
        <v>356</v>
      </c>
      <c r="C276" t="s">
        <v>725</v>
      </c>
      <c r="D276" t="s">
        <v>905</v>
      </c>
      <c r="E276" t="str">
        <f>IFERROR(AVERAGEIFS(Upload_Indiv[Score2],Upload_Indiv[[Player]:[Player]],$A43,Upload_Indiv[[Side]:[Side]],"Raintree Front")-IF(TRUNC(ROUND($B43,0)/9,0)=2,2+IF((ROUND($B43,0)-18)*2&gt;=D$2,1,0),IF(TRUNC(ROUND($B43,0)/9,0)=1,1+IF((ROUND($B43,0)-9)*2&gt;=D$2,1,0),IF(TRUNC(ROUND($B43,0)/9,0)=0,IF(TRUNC(ROUND($B43,0)/9,0)=0,0+IF((ROUND($B43,0))*2&gt;=D$2,1,0),"Not"))))-D$3,"")</f>
        <v/>
      </c>
    </row>
    <row r="277" spans="1:5" x14ac:dyDescent="0.25">
      <c r="A277" t="s">
        <v>724</v>
      </c>
      <c r="B277" t="s">
        <v>356</v>
      </c>
      <c r="C277" t="s">
        <v>725</v>
      </c>
      <c r="D277" t="s">
        <v>967</v>
      </c>
      <c r="E277" t="str">
        <f>IFERROR(AVERAGEIFS(Upload_Indiv[Score2],Upload_Indiv[[Player]:[Player]],$A43,Upload_Indiv[[Side]:[Side]],"Raintree Back")-IF(TRUNC(ROUND($B43,0)/9,0)=2,2+IF((ROUND($B43,0)-18)*2&gt;=N$2,1,0),IF(TRUNC(ROUND($B43,0)/9,0)=1,1+IF((ROUND($B43,0)-9)*2&gt;=N$2,1,0),IF(TRUNC(ROUND($B43,0)/9,0)=0,IF(TRUNC(ROUND($B43,0)/9,0)=0,0+IF((ROUND($B43,0))*2&gt;=N$2,1,0),"Not"))))-N$3,"")</f>
        <v/>
      </c>
    </row>
    <row r="278" spans="1:5" x14ac:dyDescent="0.25">
      <c r="A278" t="s">
        <v>724</v>
      </c>
      <c r="B278" t="s">
        <v>356</v>
      </c>
      <c r="C278" t="s">
        <v>725</v>
      </c>
      <c r="D278" t="s">
        <v>907</v>
      </c>
      <c r="E278" t="str">
        <f>IFERROR(AVERAGEIFS(Upload_Indiv[Score2],Upload_Indiv[[Player]:[Player]],$A44,Upload_Indiv[[Side]:[Side]],"Raintree Front")-IF(TRUNC(ROUND($B44,0)/9,0)=2,2+IF((ROUND($B44,0)-18)*2&gt;=D$2,1,0),IF(TRUNC(ROUND($B44,0)/9,0)=1,1+IF((ROUND($B44,0)-9)*2&gt;=D$2,1,0),IF(TRUNC(ROUND($B44,0)/9,0)=0,IF(TRUNC(ROUND($B44,0)/9,0)=0,0+IF((ROUND($B44,0))*2&gt;=D$2,1,0),"Not"))))-D$3,"")</f>
        <v/>
      </c>
    </row>
    <row r="279" spans="1:5" x14ac:dyDescent="0.25">
      <c r="A279" t="s">
        <v>724</v>
      </c>
      <c r="B279" t="s">
        <v>356</v>
      </c>
      <c r="C279" t="s">
        <v>725</v>
      </c>
      <c r="D279" t="s">
        <v>968</v>
      </c>
      <c r="E279" t="str">
        <f>IFERROR(AVERAGEIFS(Upload_Indiv[Score2],Upload_Indiv[[Player]:[Player]],$A44,Upload_Indiv[[Side]:[Side]],"Raintree Back")-IF(TRUNC(ROUND($B44,0)/9,0)=2,2+IF((ROUND($B44,0)-18)*2&gt;=N$2,1,0),IF(TRUNC(ROUND($B44,0)/9,0)=1,1+IF((ROUND($B44,0)-9)*2&gt;=N$2,1,0),IF(TRUNC(ROUND($B44,0)/9,0)=0,IF(TRUNC(ROUND($B44,0)/9,0)=0,0+IF((ROUND($B44,0))*2&gt;=N$2,1,0),"Not"))))-N$3,"")</f>
        <v/>
      </c>
    </row>
    <row r="280" spans="1:5" x14ac:dyDescent="0.25">
      <c r="A280" t="s">
        <v>724</v>
      </c>
      <c r="B280" t="s">
        <v>356</v>
      </c>
      <c r="C280" t="s">
        <v>725</v>
      </c>
      <c r="D280" t="s">
        <v>909</v>
      </c>
      <c r="E280" t="str">
        <f>IFERROR(AVERAGEIFS(Upload_Indiv[Score2],Upload_Indiv[[Player]:[Player]],$A45,Upload_Indiv[[Side]:[Side]],"Raintree Front")-IF(TRUNC(ROUND($B45,0)/9,0)=2,2+IF((ROUND($B45,0)-18)*2&gt;=D$2,1,0),IF(TRUNC(ROUND($B45,0)/9,0)=1,1+IF((ROUND($B45,0)-9)*2&gt;=D$2,1,0),IF(TRUNC(ROUND($B45,0)/9,0)=0,IF(TRUNC(ROUND($B45,0)/9,0)=0,0+IF((ROUND($B45,0))*2&gt;=D$2,1,0),"Not"))))-D$3,"")</f>
        <v/>
      </c>
    </row>
    <row r="281" spans="1:5" x14ac:dyDescent="0.25">
      <c r="A281" t="s">
        <v>724</v>
      </c>
      <c r="B281" t="s">
        <v>356</v>
      </c>
      <c r="C281" t="s">
        <v>725</v>
      </c>
      <c r="D281" t="s">
        <v>969</v>
      </c>
      <c r="E281" t="str">
        <f>IFERROR(AVERAGEIFS(Upload_Indiv[Score2],Upload_Indiv[[Player]:[Player]],$A45,Upload_Indiv[[Side]:[Side]],"Raintree Back")-IF(TRUNC(ROUND($B45,0)/9,0)=2,2+IF((ROUND($B45,0)-18)*2&gt;=N$2,1,0),IF(TRUNC(ROUND($B45,0)/9,0)=1,1+IF((ROUND($B45,0)-9)*2&gt;=N$2,1,0),IF(TRUNC(ROUND($B45,0)/9,0)=0,IF(TRUNC(ROUND($B45,0)/9,0)=0,0+IF((ROUND($B45,0))*2&gt;=N$2,1,0),"Not"))))-N$3,"")</f>
        <v/>
      </c>
    </row>
    <row r="282" spans="1:5" x14ac:dyDescent="0.25">
      <c r="A282" t="s">
        <v>724</v>
      </c>
      <c r="B282" t="s">
        <v>356</v>
      </c>
      <c r="C282" t="s">
        <v>725</v>
      </c>
      <c r="D282" t="s">
        <v>911</v>
      </c>
      <c r="E282" t="str">
        <f>IFERROR(AVERAGEIFS(Upload_Indiv[Score2],Upload_Indiv[[Player]:[Player]],$A46,Upload_Indiv[[Side]:[Side]],"Raintree Front")-IF(TRUNC(ROUND($B46,0)/9,0)=2,2+IF((ROUND($B46,0)-18)*2&gt;=D$2,1,0),IF(TRUNC(ROUND($B46,0)/9,0)=1,1+IF((ROUND($B46,0)-9)*2&gt;=D$2,1,0),IF(TRUNC(ROUND($B46,0)/9,0)=0,IF(TRUNC(ROUND($B46,0)/9,0)=0,0+IF((ROUND($B46,0))*2&gt;=D$2,1,0),"Not"))))-D$3,"")</f>
        <v/>
      </c>
    </row>
    <row r="283" spans="1:5" x14ac:dyDescent="0.25">
      <c r="A283" t="s">
        <v>724</v>
      </c>
      <c r="B283" t="s">
        <v>356</v>
      </c>
      <c r="C283" t="s">
        <v>725</v>
      </c>
      <c r="D283" t="s">
        <v>970</v>
      </c>
      <c r="E283" t="str">
        <f>IFERROR(AVERAGEIFS(Upload_Indiv[Score2],Upload_Indiv[[Player]:[Player]],$A46,Upload_Indiv[[Side]:[Side]],"Raintree Back")-IF(TRUNC(ROUND($B46,0)/9,0)=2,2+IF((ROUND($B46,0)-18)*2&gt;=N$2,1,0),IF(TRUNC(ROUND($B46,0)/9,0)=1,1+IF((ROUND($B46,0)-9)*2&gt;=N$2,1,0),IF(TRUNC(ROUND($B46,0)/9,0)=0,IF(TRUNC(ROUND($B46,0)/9,0)=0,0+IF((ROUND($B46,0))*2&gt;=N$2,1,0),"Not"))))-N$3,"")</f>
        <v/>
      </c>
    </row>
    <row r="284" spans="1:5" x14ac:dyDescent="0.25">
      <c r="A284" t="s">
        <v>724</v>
      </c>
      <c r="B284" t="s">
        <v>356</v>
      </c>
      <c r="C284" t="s">
        <v>725</v>
      </c>
      <c r="D284" t="s">
        <v>913</v>
      </c>
      <c r="E284" t="str">
        <f>IFERROR(AVERAGEIFS(Upload_Indiv[Score2],Upload_Indiv[[Player]:[Player]],$A47,Upload_Indiv[[Side]:[Side]],"Raintree Front")-IF(TRUNC(ROUND($B47,0)/9,0)=2,2+IF((ROUND($B47,0)-18)*2&gt;=D$2,1,0),IF(TRUNC(ROUND($B47,0)/9,0)=1,1+IF((ROUND($B47,0)-9)*2&gt;=D$2,1,0),IF(TRUNC(ROUND($B47,0)/9,0)=0,IF(TRUNC(ROUND($B47,0)/9,0)=0,0+IF((ROUND($B47,0))*2&gt;=D$2,1,0),"Not"))))-D$3,"")</f>
        <v/>
      </c>
    </row>
    <row r="285" spans="1:5" x14ac:dyDescent="0.25">
      <c r="A285" t="s">
        <v>724</v>
      </c>
      <c r="B285" t="s">
        <v>356</v>
      </c>
      <c r="C285" t="s">
        <v>725</v>
      </c>
      <c r="D285" t="s">
        <v>971</v>
      </c>
      <c r="E285" t="str">
        <f>IFERROR(AVERAGEIFS(Upload_Indiv[Score2],Upload_Indiv[[Player]:[Player]],$A47,Upload_Indiv[[Side]:[Side]],"Raintree Back")-IF(TRUNC(ROUND($B47,0)/9,0)=2,2+IF((ROUND($B47,0)-18)*2&gt;=N$2,1,0),IF(TRUNC(ROUND($B47,0)/9,0)=1,1+IF((ROUND($B47,0)-9)*2&gt;=N$2,1,0),IF(TRUNC(ROUND($B47,0)/9,0)=0,IF(TRUNC(ROUND($B47,0)/9,0)=0,0+IF((ROUND($B47,0))*2&gt;=N$2,1,0),"Not"))))-N$3,"")</f>
        <v/>
      </c>
    </row>
    <row r="286" spans="1:5" x14ac:dyDescent="0.25">
      <c r="A286" t="s">
        <v>724</v>
      </c>
      <c r="B286" t="s">
        <v>356</v>
      </c>
      <c r="C286" t="s">
        <v>725</v>
      </c>
      <c r="D286" t="s">
        <v>915</v>
      </c>
      <c r="E286" t="str">
        <f>IFERROR(AVERAGEIFS(Upload_Indiv[Score2],Upload_Indiv[[Player]:[Player]],$A48,Upload_Indiv[[Side]:[Side]],"Raintree Front")-IF(TRUNC(ROUND($B48,0)/9,0)=2,2+IF((ROUND($B48,0)-18)*2&gt;=D$2,1,0),IF(TRUNC(ROUND($B48,0)/9,0)=1,1+IF((ROUND($B48,0)-9)*2&gt;=D$2,1,0),IF(TRUNC(ROUND($B48,0)/9,0)=0,IF(TRUNC(ROUND($B48,0)/9,0)=0,0+IF((ROUND($B48,0))*2&gt;=D$2,1,0),"Not"))))-D$3,"")</f>
        <v/>
      </c>
    </row>
    <row r="287" spans="1:5" x14ac:dyDescent="0.25">
      <c r="A287" t="s">
        <v>724</v>
      </c>
      <c r="B287" t="s">
        <v>356</v>
      </c>
      <c r="C287" t="s">
        <v>725</v>
      </c>
      <c r="D287" t="s">
        <v>972</v>
      </c>
      <c r="E287" t="str">
        <f>IFERROR(AVERAGEIFS(Upload_Indiv[Score2],Upload_Indiv[[Player]:[Player]],$A48,Upload_Indiv[[Side]:[Side]],"Raintree Back")-IF(TRUNC(ROUND($B48,0)/9,0)=2,2+IF((ROUND($B48,0)-18)*2&gt;=N$2,1,0),IF(TRUNC(ROUND($B48,0)/9,0)=1,1+IF((ROUND($B48,0)-9)*2&gt;=N$2,1,0),IF(TRUNC(ROUND($B48,0)/9,0)=0,IF(TRUNC(ROUND($B48,0)/9,0)=0,0+IF((ROUND($B48,0))*2&gt;=N$2,1,0),"Not"))))-N$3,"")</f>
        <v/>
      </c>
    </row>
    <row r="288" spans="1:5" x14ac:dyDescent="0.25">
      <c r="A288" t="s">
        <v>724</v>
      </c>
      <c r="B288" t="s">
        <v>356</v>
      </c>
      <c r="C288" t="s">
        <v>725</v>
      </c>
      <c r="D288" t="s">
        <v>917</v>
      </c>
      <c r="E288" t="str">
        <f>IFERROR(AVERAGEIFS(Upload_Indiv[Score2],Upload_Indiv[[Player]:[Player]],$A49,Upload_Indiv[[Side]:[Side]],"Raintree Front")-IF(TRUNC(ROUND($B49,0)/9,0)=2,2+IF((ROUND($B49,0)-18)*2&gt;=D$2,1,0),IF(TRUNC(ROUND($B49,0)/9,0)=1,1+IF((ROUND($B49,0)-9)*2&gt;=D$2,1,0),IF(TRUNC(ROUND($B49,0)/9,0)=0,IF(TRUNC(ROUND($B49,0)/9,0)=0,0+IF((ROUND($B49,0))*2&gt;=D$2,1,0),"Not"))))-D$3,"")</f>
        <v/>
      </c>
    </row>
    <row r="289" spans="1:5" x14ac:dyDescent="0.25">
      <c r="A289" t="s">
        <v>724</v>
      </c>
      <c r="B289" t="s">
        <v>356</v>
      </c>
      <c r="C289" t="s">
        <v>725</v>
      </c>
      <c r="D289" t="s">
        <v>973</v>
      </c>
      <c r="E289" t="str">
        <f>IFERROR(AVERAGEIFS(Upload_Indiv[Score2],Upload_Indiv[[Player]:[Player]],$A49,Upload_Indiv[[Side]:[Side]],"Raintree Back")-IF(TRUNC(ROUND($B49,0)/9,0)=2,2+IF((ROUND($B49,0)-18)*2&gt;=N$2,1,0),IF(TRUNC(ROUND($B49,0)/9,0)=1,1+IF((ROUND($B49,0)-9)*2&gt;=N$2,1,0),IF(TRUNC(ROUND($B49,0)/9,0)=0,IF(TRUNC(ROUND($B49,0)/9,0)=0,0+IF((ROUND($B49,0))*2&gt;=N$2,1,0),"Not"))))-N$3,"")</f>
        <v/>
      </c>
    </row>
    <row r="290" spans="1:5" x14ac:dyDescent="0.25">
      <c r="A290" t="s">
        <v>724</v>
      </c>
      <c r="B290" t="s">
        <v>356</v>
      </c>
      <c r="C290" t="s">
        <v>725</v>
      </c>
      <c r="D290" t="s">
        <v>919</v>
      </c>
      <c r="E290" t="str">
        <f>IFERROR(AVERAGEIFS(Upload_Indiv[Score2],Upload_Indiv[[Player]:[Player]],$A50,Upload_Indiv[[Side]:[Side]],"Raintree Front")-IF(TRUNC(ROUND($B50,0)/9,0)=2,2+IF((ROUND($B50,0)-18)*2&gt;=D$2,1,0),IF(TRUNC(ROUND($B50,0)/9,0)=1,1+IF((ROUND($B50,0)-9)*2&gt;=D$2,1,0),IF(TRUNC(ROUND($B50,0)/9,0)=0,IF(TRUNC(ROUND($B50,0)/9,0)=0,0+IF((ROUND($B50,0))*2&gt;=D$2,1,0),"Not"))))-D$3,"")</f>
        <v/>
      </c>
    </row>
    <row r="291" spans="1:5" x14ac:dyDescent="0.25">
      <c r="A291" t="s">
        <v>724</v>
      </c>
      <c r="B291" t="s">
        <v>356</v>
      </c>
      <c r="C291" t="s">
        <v>725</v>
      </c>
      <c r="D291" t="s">
        <v>974</v>
      </c>
      <c r="E291" t="str">
        <f>IFERROR(AVERAGEIFS(Upload_Indiv[Score2],Upload_Indiv[[Player]:[Player]],$A50,Upload_Indiv[[Side]:[Side]],"Raintree Back")-IF(TRUNC(ROUND($B50,0)/9,0)=2,2+IF((ROUND($B50,0)-18)*2&gt;=N$2,1,0),IF(TRUNC(ROUND($B50,0)/9,0)=1,1+IF((ROUND($B50,0)-9)*2&gt;=N$2,1,0),IF(TRUNC(ROUND($B50,0)/9,0)=0,IF(TRUNC(ROUND($B50,0)/9,0)=0,0+IF((ROUND($B50,0))*2&gt;=N$2,1,0),"Not"))))-N$3,"")</f>
        <v/>
      </c>
    </row>
    <row r="292" spans="1:5" x14ac:dyDescent="0.25">
      <c r="A292" t="s">
        <v>724</v>
      </c>
      <c r="B292" t="s">
        <v>356</v>
      </c>
      <c r="C292" t="s">
        <v>725</v>
      </c>
      <c r="D292" t="s">
        <v>921</v>
      </c>
      <c r="E292" t="str">
        <f>IFERROR(AVERAGEIFS(Upload_Indiv[Score2],Upload_Indiv[[Player]:[Player]],$A51,Upload_Indiv[[Side]:[Side]],"Raintree Front")-IF(TRUNC(ROUND($B51,0)/9,0)=2,2+IF((ROUND($B51,0)-18)*2&gt;=D$2,1,0),IF(TRUNC(ROUND($B51,0)/9,0)=1,1+IF((ROUND($B51,0)-9)*2&gt;=D$2,1,0),IF(TRUNC(ROUND($B51,0)/9,0)=0,IF(TRUNC(ROUND($B51,0)/9,0)=0,0+IF((ROUND($B51,0))*2&gt;=D$2,1,0),"Not"))))-D$3,"")</f>
        <v/>
      </c>
    </row>
    <row r="293" spans="1:5" x14ac:dyDescent="0.25">
      <c r="A293" t="s">
        <v>724</v>
      </c>
      <c r="B293" t="s">
        <v>356</v>
      </c>
      <c r="C293" t="s">
        <v>725</v>
      </c>
      <c r="D293" t="s">
        <v>975</v>
      </c>
      <c r="E293" t="str">
        <f>IFERROR(AVERAGEIFS(Upload_Indiv[Score2],Upload_Indiv[[Player]:[Player]],$A51,Upload_Indiv[[Side]:[Side]],"Raintree Back")-IF(TRUNC(ROUND($B51,0)/9,0)=2,2+IF((ROUND($B51,0)-18)*2&gt;=N$2,1,0),IF(TRUNC(ROUND($B51,0)/9,0)=1,1+IF((ROUND($B51,0)-9)*2&gt;=N$2,1,0),IF(TRUNC(ROUND($B51,0)/9,0)=0,IF(TRUNC(ROUND($B51,0)/9,0)=0,0+IF((ROUND($B51,0))*2&gt;=N$2,1,0),"Not"))))-N$3,"")</f>
        <v/>
      </c>
    </row>
    <row r="294" spans="1:5" x14ac:dyDescent="0.25">
      <c r="A294" t="s">
        <v>724</v>
      </c>
      <c r="B294" t="s">
        <v>356</v>
      </c>
      <c r="C294" t="s">
        <v>725</v>
      </c>
      <c r="D294" t="s">
        <v>923</v>
      </c>
      <c r="E294" t="str">
        <f>IFERROR(AVERAGEIFS(Upload_Indiv[Score2],Upload_Indiv[[Player]:[Player]],$A52,Upload_Indiv[[Side]:[Side]],"Raintree Front")-IF(TRUNC(ROUND($B52,0)/9,0)=2,2+IF((ROUND($B52,0)-18)*2&gt;=D$2,1,0),IF(TRUNC(ROUND($B52,0)/9,0)=1,1+IF((ROUND($B52,0)-9)*2&gt;=D$2,1,0),IF(TRUNC(ROUND($B52,0)/9,0)=0,IF(TRUNC(ROUND($B52,0)/9,0)=0,0+IF((ROUND($B52,0))*2&gt;=D$2,1,0),"Not"))))-D$3,"")</f>
        <v/>
      </c>
    </row>
    <row r="295" spans="1:5" x14ac:dyDescent="0.25">
      <c r="A295" t="s">
        <v>724</v>
      </c>
      <c r="B295" t="s">
        <v>356</v>
      </c>
      <c r="C295" t="s">
        <v>725</v>
      </c>
      <c r="D295" t="s">
        <v>976</v>
      </c>
      <c r="E295" t="str">
        <f>IFERROR(AVERAGEIFS(Upload_Indiv[Score2],Upload_Indiv[[Player]:[Player]],$A52,Upload_Indiv[[Side]:[Side]],"Raintree Back")-IF(TRUNC(ROUND($B52,0)/9,0)=2,2+IF((ROUND($B52,0)-18)*2&gt;=N$2,1,0),IF(TRUNC(ROUND($B52,0)/9,0)=1,1+IF((ROUND($B52,0)-9)*2&gt;=N$2,1,0),IF(TRUNC(ROUND($B52,0)/9,0)=0,IF(TRUNC(ROUND($B52,0)/9,0)=0,0+IF((ROUND($B52,0))*2&gt;=N$2,1,0),"Not"))))-N$3,"")</f>
        <v/>
      </c>
    </row>
    <row r="296" spans="1:5" x14ac:dyDescent="0.25">
      <c r="A296" t="s">
        <v>724</v>
      </c>
      <c r="B296" t="s">
        <v>356</v>
      </c>
      <c r="C296" t="s">
        <v>725</v>
      </c>
      <c r="D296" t="s">
        <v>925</v>
      </c>
      <c r="E296" t="str">
        <f>IFERROR(AVERAGEIFS(Upload_Indiv[Score2],Upload_Indiv[[Player]:[Player]],$A53,Upload_Indiv[[Side]:[Side]],"Raintree Front")-IF(TRUNC(ROUND($B53,0)/9,0)=2,2+IF((ROUND($B53,0)-18)*2&gt;=D$2,1,0),IF(TRUNC(ROUND($B53,0)/9,0)=1,1+IF((ROUND($B53,0)-9)*2&gt;=D$2,1,0),IF(TRUNC(ROUND($B53,0)/9,0)=0,IF(TRUNC(ROUND($B53,0)/9,0)=0,0+IF((ROUND($B53,0))*2&gt;=D$2,1,0),"Not"))))-D$3,"")</f>
        <v/>
      </c>
    </row>
    <row r="297" spans="1:5" x14ac:dyDescent="0.25">
      <c r="A297" t="s">
        <v>724</v>
      </c>
      <c r="B297" t="s">
        <v>356</v>
      </c>
      <c r="C297" t="s">
        <v>725</v>
      </c>
      <c r="D297" t="s">
        <v>977</v>
      </c>
      <c r="E297" t="str">
        <f>IFERROR(AVERAGEIFS(Upload_Indiv[Score2],Upload_Indiv[[Player]:[Player]],$A53,Upload_Indiv[[Side]:[Side]],"Raintree Back")-IF(TRUNC(ROUND($B53,0)/9,0)=2,2+IF((ROUND($B53,0)-18)*2&gt;=N$2,1,0),IF(TRUNC(ROUND($B53,0)/9,0)=1,1+IF((ROUND($B53,0)-9)*2&gt;=N$2,1,0),IF(TRUNC(ROUND($B53,0)/9,0)=0,IF(TRUNC(ROUND($B53,0)/9,0)=0,0+IF((ROUND($B53,0))*2&gt;=N$2,1,0),"Not"))))-N$3,"")</f>
        <v/>
      </c>
    </row>
    <row r="298" spans="1:5" x14ac:dyDescent="0.25">
      <c r="A298" t="s">
        <v>724</v>
      </c>
      <c r="B298" t="s">
        <v>356</v>
      </c>
      <c r="C298" t="s">
        <v>725</v>
      </c>
      <c r="D298" t="s">
        <v>927</v>
      </c>
      <c r="E298" t="str">
        <f>IFERROR(AVERAGEIFS(Upload_Indiv[Score2],Upload_Indiv[[Player]:[Player]],$A54,Upload_Indiv[[Side]:[Side]],"Raintree Front")-IF(TRUNC(ROUND($B54,0)/9,0)=2,2+IF((ROUND($B54,0)-18)*2&gt;=D$2,1,0),IF(TRUNC(ROUND($B54,0)/9,0)=1,1+IF((ROUND($B54,0)-9)*2&gt;=D$2,1,0),IF(TRUNC(ROUND($B54,0)/9,0)=0,IF(TRUNC(ROUND($B54,0)/9,0)=0,0+IF((ROUND($B54,0))*2&gt;=D$2,1,0),"Not"))))-D$3,"")</f>
        <v/>
      </c>
    </row>
    <row r="299" spans="1:5" x14ac:dyDescent="0.25">
      <c r="A299" t="s">
        <v>724</v>
      </c>
      <c r="B299" t="s">
        <v>356</v>
      </c>
      <c r="C299" t="s">
        <v>725</v>
      </c>
      <c r="D299" t="s">
        <v>978</v>
      </c>
      <c r="E299" t="str">
        <f>IFERROR(AVERAGEIFS(Upload_Indiv[Score2],Upload_Indiv[[Player]:[Player]],$A54,Upload_Indiv[[Side]:[Side]],"Raintree Back")-IF(TRUNC(ROUND($B54,0)/9,0)=2,2+IF((ROUND($B54,0)-18)*2&gt;=N$2,1,0),IF(TRUNC(ROUND($B54,0)/9,0)=1,1+IF((ROUND($B54,0)-9)*2&gt;=N$2,1,0),IF(TRUNC(ROUND($B54,0)/9,0)=0,IF(TRUNC(ROUND($B54,0)/9,0)=0,0+IF((ROUND($B54,0))*2&gt;=N$2,1,0),"Not"))))-N$3,"")</f>
        <v/>
      </c>
    </row>
    <row r="300" spans="1:5" x14ac:dyDescent="0.25">
      <c r="A300" t="s">
        <v>724</v>
      </c>
      <c r="B300" t="s">
        <v>356</v>
      </c>
      <c r="C300" t="s">
        <v>725</v>
      </c>
      <c r="D300" t="s">
        <v>979</v>
      </c>
      <c r="E300" t="str">
        <f>IFERROR(AVERAGEIFS(Upload_Indiv[Score2],Upload_Indiv[[Player]:[Player]],$A55,Upload_Indiv[[Side]:[Side]],"Raintree Front")-IF(TRUNC(ROUND($B55,0)/9,0)=2,2+IF((ROUND($B55,0)-18)*2&gt;=D$2,1,0),IF(TRUNC(ROUND($B55,0)/9,0)=1,1+IF((ROUND($B55,0)-9)*2&gt;=D$2,1,0),IF(TRUNC(ROUND($B55,0)/9,0)=0,IF(TRUNC(ROUND($B55,0)/9,0)=0,0+IF((ROUND($B55,0))*2&gt;=D$2,1,0),"Not"))))-D$3,"")</f>
        <v/>
      </c>
    </row>
    <row r="301" spans="1:5" x14ac:dyDescent="0.25">
      <c r="A301" t="s">
        <v>724</v>
      </c>
      <c r="B301" t="s">
        <v>356</v>
      </c>
      <c r="C301" t="s">
        <v>725</v>
      </c>
      <c r="D301" t="s">
        <v>980</v>
      </c>
      <c r="E301" t="str">
        <f>IFERROR(AVERAGEIFS(Upload_Indiv[Score2],Upload_Indiv[[Player]:[Player]],$A55,Upload_Indiv[[Side]:[Side]],"Raintree Back")-IF(TRUNC(ROUND($B55,0)/9,0)=2,2+IF((ROUND($B55,0)-18)*2&gt;=N$2,1,0),IF(TRUNC(ROUND($B55,0)/9,0)=1,1+IF((ROUND($B55,0)-9)*2&gt;=N$2,1,0),IF(TRUNC(ROUND($B55,0)/9,0)=0,IF(TRUNC(ROUND($B55,0)/9,0)=0,0+IF((ROUND($B55,0))*2&gt;=N$2,1,0),"Not"))))-N$3,"")</f>
        <v/>
      </c>
    </row>
    <row r="302" spans="1:5" x14ac:dyDescent="0.25">
      <c r="A302" t="s">
        <v>724</v>
      </c>
      <c r="B302" t="s">
        <v>356</v>
      </c>
      <c r="C302" t="s">
        <v>725</v>
      </c>
      <c r="D302" t="s">
        <v>981</v>
      </c>
      <c r="E302" t="str">
        <f>IFERROR(AVERAGEIFS(Upload_Indiv[Score2],Upload_Indiv[[Player]:[Player]],$A56,Upload_Indiv[[Side]:[Side]],"Raintree Front")-IF(TRUNC(ROUND($B56,0)/9,0)=2,2+IF((ROUND($B56,0)-18)*2&gt;=D$2,1,0),IF(TRUNC(ROUND($B56,0)/9,0)=1,1+IF((ROUND($B56,0)-9)*2&gt;=D$2,1,0),IF(TRUNC(ROUND($B56,0)/9,0)=0,IF(TRUNC(ROUND($B56,0)/9,0)=0,0+IF((ROUND($B56,0))*2&gt;=D$2,1,0),"Not"))))-D$3,"")</f>
        <v/>
      </c>
    </row>
    <row r="303" spans="1:5" x14ac:dyDescent="0.25">
      <c r="A303" t="s">
        <v>724</v>
      </c>
      <c r="B303" t="s">
        <v>356</v>
      </c>
      <c r="C303" t="s">
        <v>725</v>
      </c>
      <c r="D303" t="s">
        <v>982</v>
      </c>
      <c r="E303" t="str">
        <f>IFERROR(AVERAGEIFS(Upload_Indiv[Score2],Upload_Indiv[[Player]:[Player]],$A56,Upload_Indiv[[Side]:[Side]],"Raintree Back")-IF(TRUNC(ROUND($B56,0)/9,0)=2,2+IF((ROUND($B56,0)-18)*2&gt;=N$2,1,0),IF(TRUNC(ROUND($B56,0)/9,0)=1,1+IF((ROUND($B56,0)-9)*2&gt;=N$2,1,0),IF(TRUNC(ROUND($B56,0)/9,0)=0,IF(TRUNC(ROUND($B56,0)/9,0)=0,0+IF((ROUND($B56,0))*2&gt;=N$2,1,0),"Not"))))-N$3,"")</f>
        <v/>
      </c>
    </row>
    <row r="304" spans="1:5" x14ac:dyDescent="0.25">
      <c r="A304" t="s">
        <v>724</v>
      </c>
      <c r="B304" t="s">
        <v>356</v>
      </c>
      <c r="C304" t="s">
        <v>725</v>
      </c>
      <c r="D304" t="s">
        <v>983</v>
      </c>
      <c r="E304" t="str">
        <f>IFERROR(AVERAGEIFS(Upload_Indiv[Score2],Upload_Indiv[[Player]:[Player]],$A57,Upload_Indiv[[Side]:[Side]],"Raintree Front")-IF(TRUNC(ROUND($B57,0)/9,0)=2,2+IF((ROUND($B57,0)-18)*2&gt;=D$2,1,0),IF(TRUNC(ROUND($B57,0)/9,0)=1,1+IF((ROUND($B57,0)-9)*2&gt;=D$2,1,0),IF(TRUNC(ROUND($B57,0)/9,0)=0,IF(TRUNC(ROUND($B57,0)/9,0)=0,0+IF((ROUND($B57,0))*2&gt;=D$2,1,0),"Not"))))-D$3,"")</f>
        <v/>
      </c>
    </row>
    <row r="305" spans="1:5" x14ac:dyDescent="0.25">
      <c r="A305" t="s">
        <v>724</v>
      </c>
      <c r="B305" t="s">
        <v>356</v>
      </c>
      <c r="C305" t="s">
        <v>725</v>
      </c>
      <c r="D305" t="s">
        <v>984</v>
      </c>
      <c r="E305" t="str">
        <f>IFERROR(AVERAGEIFS(Upload_Indiv[Score2],Upload_Indiv[[Player]:[Player]],$A57,Upload_Indiv[[Side]:[Side]],"Raintree Back")-IF(TRUNC(ROUND($B57,0)/9,0)=2,2+IF((ROUND($B57,0)-18)*2&gt;=N$2,1,0),IF(TRUNC(ROUND($B57,0)/9,0)=1,1+IF((ROUND($B57,0)-9)*2&gt;=N$2,1,0),IF(TRUNC(ROUND($B57,0)/9,0)=0,IF(TRUNC(ROUND($B57,0)/9,0)=0,0+IF((ROUND($B57,0))*2&gt;=N$2,1,0),"Not"))))-N$3,"")</f>
        <v/>
      </c>
    </row>
    <row r="306" spans="1:5" x14ac:dyDescent="0.25">
      <c r="A306" t="s">
        <v>724</v>
      </c>
      <c r="B306" t="s">
        <v>356</v>
      </c>
      <c r="C306" t="s">
        <v>725</v>
      </c>
      <c r="D306" t="s">
        <v>985</v>
      </c>
      <c r="E306" t="str">
        <f>IFERROR(AVERAGEIFS(Upload_Indiv[Score2],Upload_Indiv[[Player]:[Player]],$A58,Upload_Indiv[[Side]:[Side]],"Raintree Front")-IF(TRUNC(ROUND($B58,0)/9,0)=2,2+IF((ROUND($B58,0)-18)*2&gt;=D$2,1,0),IF(TRUNC(ROUND($B58,0)/9,0)=1,1+IF((ROUND($B58,0)-9)*2&gt;=D$2,1,0),IF(TRUNC(ROUND($B58,0)/9,0)=0,IF(TRUNC(ROUND($B58,0)/9,0)=0,0+IF((ROUND($B58,0))*2&gt;=D$2,1,0),"Not"))))-D$3,"")</f>
        <v/>
      </c>
    </row>
    <row r="307" spans="1:5" x14ac:dyDescent="0.25">
      <c r="A307" t="s">
        <v>724</v>
      </c>
      <c r="B307" t="s">
        <v>356</v>
      </c>
      <c r="C307" t="s">
        <v>725</v>
      </c>
      <c r="D307" t="s">
        <v>986</v>
      </c>
      <c r="E307" t="str">
        <f>IFERROR(AVERAGEIFS(Upload_Indiv[Score2],Upload_Indiv[[Player]:[Player]],$A58,Upload_Indiv[[Side]:[Side]],"Raintree Back")-IF(TRUNC(ROUND($B58,0)/9,0)=2,2+IF((ROUND($B58,0)-18)*2&gt;=N$2,1,0),IF(TRUNC(ROUND($B58,0)/9,0)=1,1+IF((ROUND($B58,0)-9)*2&gt;=N$2,1,0),IF(TRUNC(ROUND($B58,0)/9,0)=0,IF(TRUNC(ROUND($B58,0)/9,0)=0,0+IF((ROUND($B58,0))*2&gt;=N$2,1,0),"Not"))))-N$3,"")</f>
        <v/>
      </c>
    </row>
    <row r="308" spans="1:5" x14ac:dyDescent="0.25">
      <c r="A308" t="s">
        <v>724</v>
      </c>
      <c r="B308" t="s">
        <v>356</v>
      </c>
      <c r="C308" t="s">
        <v>725</v>
      </c>
      <c r="D308" t="s">
        <v>987</v>
      </c>
      <c r="E308" t="str">
        <f>IFERROR(AVERAGEIFS(Upload_Indiv[Score2],Upload_Indiv[[Player]:[Player]],$A59,Upload_Indiv[[Side]:[Side]],"Raintree Front")-IF(TRUNC(ROUND($B59,0)/9,0)=2,2+IF((ROUND($B59,0)-18)*2&gt;=D$2,1,0),IF(TRUNC(ROUND($B59,0)/9,0)=1,1+IF((ROUND($B59,0)-9)*2&gt;=D$2,1,0),IF(TRUNC(ROUND($B59,0)/9,0)=0,IF(TRUNC(ROUND($B59,0)/9,0)=0,0+IF((ROUND($B59,0))*2&gt;=D$2,1,0),"Not"))))-D$3,"")</f>
        <v/>
      </c>
    </row>
    <row r="309" spans="1:5" x14ac:dyDescent="0.25">
      <c r="A309" t="s">
        <v>724</v>
      </c>
      <c r="B309" t="s">
        <v>356</v>
      </c>
      <c r="C309" t="s">
        <v>725</v>
      </c>
      <c r="D309" t="s">
        <v>988</v>
      </c>
      <c r="E309" t="str">
        <f>IFERROR(AVERAGEIFS(Upload_Indiv[Score2],Upload_Indiv[[Player]:[Player]],$A59,Upload_Indiv[[Side]:[Side]],"Raintree Back")-IF(TRUNC(ROUND($B59,0)/9,0)=2,2+IF((ROUND($B59,0)-18)*2&gt;=N$2,1,0),IF(TRUNC(ROUND($B59,0)/9,0)=1,1+IF((ROUND($B59,0)-9)*2&gt;=N$2,1,0),IF(TRUNC(ROUND($B59,0)/9,0)=0,IF(TRUNC(ROUND($B59,0)/9,0)=0,0+IF((ROUND($B59,0))*2&gt;=N$2,1,0),"Not"))))-N$3,"")</f>
        <v/>
      </c>
    </row>
    <row r="310" spans="1:5" x14ac:dyDescent="0.25">
      <c r="A310" t="s">
        <v>724</v>
      </c>
      <c r="B310" t="s">
        <v>356</v>
      </c>
      <c r="C310" t="s">
        <v>725</v>
      </c>
      <c r="D310" t="s">
        <v>989</v>
      </c>
      <c r="E310" t="str">
        <f>IFERROR(AVERAGEIFS(Upload_Indiv[Score2],Upload_Indiv[[Player]:[Player]],$A60,Upload_Indiv[[Side]:[Side]],"Raintree Front")-IF(TRUNC(ROUND($B60,0)/9,0)=2,2+IF((ROUND($B60,0)-18)*2&gt;=D$2,1,0),IF(TRUNC(ROUND($B60,0)/9,0)=1,1+IF((ROUND($B60,0)-9)*2&gt;=D$2,1,0),IF(TRUNC(ROUND($B60,0)/9,0)=0,IF(TRUNC(ROUND($B60,0)/9,0)=0,0+IF((ROUND($B60,0))*2&gt;=D$2,1,0),"Not"))))-D$3,"")</f>
        <v/>
      </c>
    </row>
    <row r="311" spans="1:5" x14ac:dyDescent="0.25">
      <c r="A311" t="s">
        <v>724</v>
      </c>
      <c r="B311" t="s">
        <v>356</v>
      </c>
      <c r="C311" t="s">
        <v>725</v>
      </c>
      <c r="D311" t="s">
        <v>990</v>
      </c>
      <c r="E311" t="str">
        <f>IFERROR(AVERAGEIFS(Upload_Indiv[Score2],Upload_Indiv[[Player]:[Player]],$A60,Upload_Indiv[[Side]:[Side]],"Raintree Back")-IF(TRUNC(ROUND($B60,0)/9,0)=2,2+IF((ROUND($B60,0)-18)*2&gt;=N$2,1,0),IF(TRUNC(ROUND($B60,0)/9,0)=1,1+IF((ROUND($B60,0)-9)*2&gt;=N$2,1,0),IF(TRUNC(ROUND($B60,0)/9,0)=0,IF(TRUNC(ROUND($B60,0)/9,0)=0,0+IF((ROUND($B60,0))*2&gt;=N$2,1,0),"Not"))))-N$3,"")</f>
        <v/>
      </c>
    </row>
    <row r="312" spans="1:5" x14ac:dyDescent="0.25">
      <c r="A312" t="s">
        <v>724</v>
      </c>
      <c r="B312" t="s">
        <v>356</v>
      </c>
      <c r="C312" t="s">
        <v>834</v>
      </c>
      <c r="D312" t="s">
        <v>991</v>
      </c>
      <c r="E312">
        <f>IFERROR(AVERAGEIFS(Upload_Indiv[Score2],Upload_Indiv[[Side]:[Side]],"Raintree Front",Upload_Indiv[[Excl Score]:[Excl Score]],0),"")</f>
        <v>6.2894736842105265</v>
      </c>
    </row>
    <row r="313" spans="1:5" x14ac:dyDescent="0.25">
      <c r="A313" t="s">
        <v>724</v>
      </c>
      <c r="B313" t="s">
        <v>356</v>
      </c>
      <c r="C313" t="s">
        <v>834</v>
      </c>
      <c r="D313" t="s">
        <v>992</v>
      </c>
      <c r="E313">
        <f>IFERROR(AVERAGEIFS(Upload_Indiv[Score2],Upload_Indiv[[Side]:[Side]],"Raintree Back",Upload_Indiv[[Excl Score]:[Excl Score]],0),"")</f>
        <v>4.2920353982300883</v>
      </c>
    </row>
    <row r="314" spans="1:5" x14ac:dyDescent="0.25">
      <c r="A314" t="s">
        <v>724</v>
      </c>
      <c r="B314" t="s">
        <v>356</v>
      </c>
      <c r="C314" t="s">
        <v>834</v>
      </c>
      <c r="D314" t="s">
        <v>993</v>
      </c>
      <c r="E314" t="str">
        <f>IFERROR(AVERAGEIFS(Upload_Indiv[Score2],Upload_Indiv[[Player]:[Player]],$A9,Upload_Indiv[[Side]:[Side]],"Raintree Front",Upload_Indiv[[Excl Score]:[Excl Score]],0),"")</f>
        <v/>
      </c>
    </row>
    <row r="315" spans="1:5" x14ac:dyDescent="0.25">
      <c r="A315" t="s">
        <v>724</v>
      </c>
      <c r="B315" t="s">
        <v>356</v>
      </c>
      <c r="C315" t="s">
        <v>834</v>
      </c>
      <c r="D315" t="s">
        <v>994</v>
      </c>
      <c r="E315" t="str">
        <f>IFERROR(AVERAGEIFS(Upload_Indiv[Score2],Upload_Indiv[[Player]:[Player]],$A9,Upload_Indiv[[Side]:[Side]],"Raintree Back",Upload_Indiv[[Excl Score]:[Excl Score]],0),"")</f>
        <v/>
      </c>
    </row>
    <row r="316" spans="1:5" x14ac:dyDescent="0.25">
      <c r="A316" t="s">
        <v>724</v>
      </c>
      <c r="B316" t="s">
        <v>356</v>
      </c>
      <c r="C316" t="s">
        <v>834</v>
      </c>
      <c r="D316" t="s">
        <v>995</v>
      </c>
      <c r="E316" t="str">
        <f>IFERROR(AVERAGEIFS(Upload_Indiv[Score2],Upload_Indiv[[Player]:[Player]],$A10,Upload_Indiv[[Side]:[Side]],"Raintree Front",Upload_Indiv[[Excl Score]:[Excl Score]],0),"")</f>
        <v/>
      </c>
    </row>
    <row r="317" spans="1:5" x14ac:dyDescent="0.25">
      <c r="A317" t="s">
        <v>724</v>
      </c>
      <c r="B317" t="s">
        <v>356</v>
      </c>
      <c r="C317" t="s">
        <v>834</v>
      </c>
      <c r="D317" t="s">
        <v>996</v>
      </c>
      <c r="E317" t="str">
        <f>IFERROR(AVERAGEIFS(Upload_Indiv[Score2],Upload_Indiv[[Player]:[Player]],$A10,Upload_Indiv[[Side]:[Side]],"Raintree Back",Upload_Indiv[[Excl Score]:[Excl Score]],0),"")</f>
        <v/>
      </c>
    </row>
    <row r="318" spans="1:5" x14ac:dyDescent="0.25">
      <c r="A318" t="s">
        <v>724</v>
      </c>
      <c r="B318" t="s">
        <v>356</v>
      </c>
      <c r="C318" t="s">
        <v>834</v>
      </c>
      <c r="D318" t="s">
        <v>997</v>
      </c>
      <c r="E318" t="str">
        <f>IFERROR(AVERAGEIFS(Upload_Indiv[Score2],Upload_Indiv[[Player]:[Player]],$A11,Upload_Indiv[[Side]:[Side]],"Raintree Front",Upload_Indiv[[Excl Score]:[Excl Score]],0),"")</f>
        <v/>
      </c>
    </row>
    <row r="319" spans="1:5" x14ac:dyDescent="0.25">
      <c r="A319" t="s">
        <v>724</v>
      </c>
      <c r="B319" t="s">
        <v>356</v>
      </c>
      <c r="C319" t="s">
        <v>834</v>
      </c>
      <c r="D319" t="s">
        <v>998</v>
      </c>
      <c r="E319" t="str">
        <f>IFERROR(AVERAGEIFS(Upload_Indiv[Score2],Upload_Indiv[[Player]:[Player]],$A11,Upload_Indiv[[Side]:[Side]],"Raintree Back",Upload_Indiv[[Excl Score]:[Excl Score]],0),"")</f>
        <v/>
      </c>
    </row>
    <row r="320" spans="1:5" x14ac:dyDescent="0.25">
      <c r="A320" t="s">
        <v>724</v>
      </c>
      <c r="B320" t="s">
        <v>356</v>
      </c>
      <c r="C320" t="s">
        <v>834</v>
      </c>
      <c r="D320" t="s">
        <v>999</v>
      </c>
      <c r="E320" t="str">
        <f>IFERROR(AVERAGEIFS(Upload_Indiv[Score2],Upload_Indiv[[Player]:[Player]],$A12,Upload_Indiv[[Side]:[Side]],"Raintree Front",Upload_Indiv[[Excl Score]:[Excl Score]],0),"")</f>
        <v/>
      </c>
    </row>
    <row r="321" spans="1:5" x14ac:dyDescent="0.25">
      <c r="A321" t="s">
        <v>724</v>
      </c>
      <c r="B321" t="s">
        <v>356</v>
      </c>
      <c r="C321" t="s">
        <v>834</v>
      </c>
      <c r="D321" t="s">
        <v>1000</v>
      </c>
      <c r="E321" t="str">
        <f>IFERROR(AVERAGEIFS(Upload_Indiv[Score2],Upload_Indiv[[Player]:[Player]],$A12,Upload_Indiv[[Side]:[Side]],"Raintree Back",Upload_Indiv[[Excl Score]:[Excl Score]],0),"")</f>
        <v/>
      </c>
    </row>
    <row r="322" spans="1:5" x14ac:dyDescent="0.25">
      <c r="A322" t="s">
        <v>724</v>
      </c>
      <c r="B322" t="s">
        <v>356</v>
      </c>
      <c r="C322" t="s">
        <v>834</v>
      </c>
      <c r="D322" t="s">
        <v>1001</v>
      </c>
      <c r="E322" t="str">
        <f>IFERROR(AVERAGEIFS(Upload_Indiv[Score2],Upload_Indiv[[Player]:[Player]],$A13,Upload_Indiv[[Side]:[Side]],"Raintree Front",Upload_Indiv[[Excl Score]:[Excl Score]],0),"")</f>
        <v/>
      </c>
    </row>
    <row r="323" spans="1:5" x14ac:dyDescent="0.25">
      <c r="A323" t="s">
        <v>724</v>
      </c>
      <c r="B323" t="s">
        <v>356</v>
      </c>
      <c r="C323" t="s">
        <v>834</v>
      </c>
      <c r="D323" t="s">
        <v>1002</v>
      </c>
      <c r="E323" t="str">
        <f>IFERROR(AVERAGEIFS(Upload_Indiv[Score2],Upload_Indiv[[Player]:[Player]],$A13,Upload_Indiv[[Side]:[Side]],"Raintree Back",Upload_Indiv[[Excl Score]:[Excl Score]],0),"")</f>
        <v/>
      </c>
    </row>
    <row r="324" spans="1:5" x14ac:dyDescent="0.25">
      <c r="A324" t="s">
        <v>724</v>
      </c>
      <c r="B324" t="s">
        <v>356</v>
      </c>
      <c r="C324" t="s">
        <v>834</v>
      </c>
      <c r="D324" t="s">
        <v>1003</v>
      </c>
      <c r="E324" t="str">
        <f>IFERROR(AVERAGEIFS(Upload_Indiv[Score2],Upload_Indiv[[Player]:[Player]],$A14,Upload_Indiv[[Side]:[Side]],"Raintree Front",Upload_Indiv[[Excl Score]:[Excl Score]],0),"")</f>
        <v/>
      </c>
    </row>
    <row r="325" spans="1:5" x14ac:dyDescent="0.25">
      <c r="A325" t="s">
        <v>724</v>
      </c>
      <c r="B325" t="s">
        <v>356</v>
      </c>
      <c r="C325" t="s">
        <v>834</v>
      </c>
      <c r="D325" t="s">
        <v>1004</v>
      </c>
      <c r="E325" t="str">
        <f>IFERROR(AVERAGEIFS(Upload_Indiv[Score2],Upload_Indiv[[Player]:[Player]],$A14,Upload_Indiv[[Side]:[Side]],"Raintree Back",Upload_Indiv[[Excl Score]:[Excl Score]],0),"")</f>
        <v/>
      </c>
    </row>
    <row r="326" spans="1:5" x14ac:dyDescent="0.25">
      <c r="A326" t="s">
        <v>724</v>
      </c>
      <c r="B326" t="s">
        <v>356</v>
      </c>
      <c r="C326" t="s">
        <v>834</v>
      </c>
      <c r="D326" t="s">
        <v>1005</v>
      </c>
      <c r="E326" t="str">
        <f>IFERROR(AVERAGEIFS(Upload_Indiv[Score2],Upload_Indiv[[Player]:[Player]],$A15,Upload_Indiv[[Side]:[Side]],"Raintree Front",Upload_Indiv[[Excl Score]:[Excl Score]],0),"")</f>
        <v/>
      </c>
    </row>
    <row r="327" spans="1:5" x14ac:dyDescent="0.25">
      <c r="A327" t="s">
        <v>724</v>
      </c>
      <c r="B327" t="s">
        <v>356</v>
      </c>
      <c r="C327" t="s">
        <v>834</v>
      </c>
      <c r="D327" t="s">
        <v>1006</v>
      </c>
      <c r="E327" t="str">
        <f>IFERROR(AVERAGEIFS(Upload_Indiv[Score2],Upload_Indiv[[Player]:[Player]],$A15,Upload_Indiv[[Side]:[Side]],"Raintree Back",Upload_Indiv[[Excl Score]:[Excl Score]],0),"")</f>
        <v/>
      </c>
    </row>
    <row r="328" spans="1:5" x14ac:dyDescent="0.25">
      <c r="A328" t="s">
        <v>724</v>
      </c>
      <c r="B328" t="s">
        <v>356</v>
      </c>
      <c r="C328" t="s">
        <v>834</v>
      </c>
      <c r="D328" t="s">
        <v>1007</v>
      </c>
      <c r="E328" t="str">
        <f>IFERROR(AVERAGEIFS(Upload_Indiv[Score2],Upload_Indiv[[Player]:[Player]],$A16,Upload_Indiv[[Side]:[Side]],"Raintree Front",Upload_Indiv[[Excl Score]:[Excl Score]],0),"")</f>
        <v/>
      </c>
    </row>
    <row r="329" spans="1:5" x14ac:dyDescent="0.25">
      <c r="A329" t="s">
        <v>724</v>
      </c>
      <c r="B329" t="s">
        <v>356</v>
      </c>
      <c r="C329" t="s">
        <v>834</v>
      </c>
      <c r="D329" t="s">
        <v>1008</v>
      </c>
      <c r="E329" t="str">
        <f>IFERROR(AVERAGEIFS(Upload_Indiv[Score2],Upload_Indiv[[Player]:[Player]],$A16,Upload_Indiv[[Side]:[Side]],"Raintree Back",Upload_Indiv[[Excl Score]:[Excl Score]],0),"")</f>
        <v/>
      </c>
    </row>
    <row r="330" spans="1:5" x14ac:dyDescent="0.25">
      <c r="A330" t="s">
        <v>724</v>
      </c>
      <c r="B330" t="s">
        <v>356</v>
      </c>
      <c r="C330" t="s">
        <v>834</v>
      </c>
      <c r="D330" t="s">
        <v>1009</v>
      </c>
      <c r="E330" t="str">
        <f>IFERROR(AVERAGEIFS(Upload_Indiv[Score2],Upload_Indiv[[Player]:[Player]],$A17,Upload_Indiv[[Side]:[Side]],"Raintree Front",Upload_Indiv[[Excl Score]:[Excl Score]],0),"")</f>
        <v/>
      </c>
    </row>
    <row r="331" spans="1:5" x14ac:dyDescent="0.25">
      <c r="A331" t="s">
        <v>724</v>
      </c>
      <c r="B331" t="s">
        <v>356</v>
      </c>
      <c r="C331" t="s">
        <v>834</v>
      </c>
      <c r="D331" t="s">
        <v>1010</v>
      </c>
      <c r="E331" t="str">
        <f>IFERROR(AVERAGEIFS(Upload_Indiv[Score2],Upload_Indiv[[Player]:[Player]],$A17,Upload_Indiv[[Side]:[Side]],"Raintree Back",Upload_Indiv[[Excl Score]:[Excl Score]],0),"")</f>
        <v/>
      </c>
    </row>
    <row r="332" spans="1:5" x14ac:dyDescent="0.25">
      <c r="A332" t="s">
        <v>724</v>
      </c>
      <c r="B332" t="s">
        <v>356</v>
      </c>
      <c r="C332" t="s">
        <v>834</v>
      </c>
      <c r="D332" t="s">
        <v>1011</v>
      </c>
      <c r="E332" t="str">
        <f>IFERROR(AVERAGEIFS(Upload_Indiv[Score2],Upload_Indiv[[Player]:[Player]],$A18,Upload_Indiv[[Side]:[Side]],"Raintree Front",Upload_Indiv[[Excl Score]:[Excl Score]],0),"")</f>
        <v/>
      </c>
    </row>
    <row r="333" spans="1:5" x14ac:dyDescent="0.25">
      <c r="A333" t="s">
        <v>724</v>
      </c>
      <c r="B333" t="s">
        <v>356</v>
      </c>
      <c r="C333" t="s">
        <v>834</v>
      </c>
      <c r="D333" t="s">
        <v>1012</v>
      </c>
      <c r="E333" t="str">
        <f>IFERROR(AVERAGEIFS(Upload_Indiv[Score2],Upload_Indiv[[Player]:[Player]],$A18,Upload_Indiv[[Side]:[Side]],"Raintree Back",Upload_Indiv[[Excl Score]:[Excl Score]],0),"")</f>
        <v/>
      </c>
    </row>
    <row r="334" spans="1:5" x14ac:dyDescent="0.25">
      <c r="A334" t="s">
        <v>724</v>
      </c>
      <c r="B334" t="s">
        <v>356</v>
      </c>
      <c r="C334" t="s">
        <v>834</v>
      </c>
      <c r="D334" t="s">
        <v>1013</v>
      </c>
      <c r="E334" t="str">
        <f>IFERROR(AVERAGEIFS(Upload_Indiv[Score2],Upload_Indiv[[Player]:[Player]],$A19,Upload_Indiv[[Side]:[Side]],"Raintree Front",Upload_Indiv[[Excl Score]:[Excl Score]],0),"")</f>
        <v/>
      </c>
    </row>
    <row r="335" spans="1:5" x14ac:dyDescent="0.25">
      <c r="A335" t="s">
        <v>724</v>
      </c>
      <c r="B335" t="s">
        <v>356</v>
      </c>
      <c r="C335" t="s">
        <v>834</v>
      </c>
      <c r="D335" t="s">
        <v>1014</v>
      </c>
      <c r="E335" t="str">
        <f>IFERROR(AVERAGEIFS(Upload_Indiv[Score2],Upload_Indiv[[Player]:[Player]],$A19,Upload_Indiv[[Side]:[Side]],"Raintree Back",Upload_Indiv[[Excl Score]:[Excl Score]],0),"")</f>
        <v/>
      </c>
    </row>
    <row r="336" spans="1:5" x14ac:dyDescent="0.25">
      <c r="A336" t="s">
        <v>724</v>
      </c>
      <c r="B336" t="s">
        <v>356</v>
      </c>
      <c r="C336" t="s">
        <v>834</v>
      </c>
      <c r="D336" t="s">
        <v>1015</v>
      </c>
      <c r="E336" t="str">
        <f>IFERROR(AVERAGEIFS(Upload_Indiv[Score2],Upload_Indiv[[Player]:[Player]],$A20,Upload_Indiv[[Side]:[Side]],"Raintree Front",Upload_Indiv[[Excl Score]:[Excl Score]],0),"")</f>
        <v/>
      </c>
    </row>
    <row r="337" spans="1:5" x14ac:dyDescent="0.25">
      <c r="A337" t="s">
        <v>724</v>
      </c>
      <c r="B337" t="s">
        <v>356</v>
      </c>
      <c r="C337" t="s">
        <v>834</v>
      </c>
      <c r="D337" t="s">
        <v>1016</v>
      </c>
      <c r="E337" t="str">
        <f>IFERROR(AVERAGEIFS(Upload_Indiv[Score2],Upload_Indiv[[Player]:[Player]],$A20,Upload_Indiv[[Side]:[Side]],"Raintree Back",Upload_Indiv[[Excl Score]:[Excl Score]],0),"")</f>
        <v/>
      </c>
    </row>
    <row r="338" spans="1:5" x14ac:dyDescent="0.25">
      <c r="A338" t="s">
        <v>724</v>
      </c>
      <c r="B338" t="s">
        <v>356</v>
      </c>
      <c r="C338" t="s">
        <v>834</v>
      </c>
      <c r="D338" t="s">
        <v>1017</v>
      </c>
      <c r="E338" t="str">
        <f>IFERROR(AVERAGEIFS(Upload_Indiv[Score2],Upload_Indiv[[Player]:[Player]],$A21,Upload_Indiv[[Side]:[Side]],"Raintree Front",Upload_Indiv[[Excl Score]:[Excl Score]],0),"")</f>
        <v/>
      </c>
    </row>
    <row r="339" spans="1:5" x14ac:dyDescent="0.25">
      <c r="A339" t="s">
        <v>724</v>
      </c>
      <c r="B339" t="s">
        <v>356</v>
      </c>
      <c r="C339" t="s">
        <v>834</v>
      </c>
      <c r="D339" t="s">
        <v>1018</v>
      </c>
      <c r="E339" t="str">
        <f>IFERROR(AVERAGEIFS(Upload_Indiv[Score2],Upload_Indiv[[Player]:[Player]],$A21,Upload_Indiv[[Side]:[Side]],"Raintree Back",Upload_Indiv[[Excl Score]:[Excl Score]],0),"")</f>
        <v/>
      </c>
    </row>
    <row r="340" spans="1:5" x14ac:dyDescent="0.25">
      <c r="A340" t="s">
        <v>724</v>
      </c>
      <c r="B340" t="s">
        <v>356</v>
      </c>
      <c r="C340" t="s">
        <v>834</v>
      </c>
      <c r="D340" t="s">
        <v>1019</v>
      </c>
      <c r="E340" t="str">
        <f>IFERROR(AVERAGEIFS(Upload_Indiv[Score2],Upload_Indiv[[Player]:[Player]],$A22,Upload_Indiv[[Side]:[Side]],"Raintree Front",Upload_Indiv[[Excl Score]:[Excl Score]],0),"")</f>
        <v/>
      </c>
    </row>
    <row r="341" spans="1:5" x14ac:dyDescent="0.25">
      <c r="A341" t="s">
        <v>724</v>
      </c>
      <c r="B341" t="s">
        <v>356</v>
      </c>
      <c r="C341" t="s">
        <v>834</v>
      </c>
      <c r="D341" t="s">
        <v>1020</v>
      </c>
      <c r="E341" t="str">
        <f>IFERROR(AVERAGEIFS(Upload_Indiv[Score2],Upload_Indiv[[Player]:[Player]],$A22,Upload_Indiv[[Side]:[Side]],"Raintree Back",Upload_Indiv[[Excl Score]:[Excl Score]],0),"")</f>
        <v/>
      </c>
    </row>
    <row r="342" spans="1:5" x14ac:dyDescent="0.25">
      <c r="A342" t="s">
        <v>724</v>
      </c>
      <c r="B342" t="s">
        <v>356</v>
      </c>
      <c r="C342" t="s">
        <v>834</v>
      </c>
      <c r="D342" t="s">
        <v>1021</v>
      </c>
      <c r="E342" t="str">
        <f>IFERROR(AVERAGEIFS(Upload_Indiv[Score2],Upload_Indiv[[Player]:[Player]],$A23,Upload_Indiv[[Side]:[Side]],"Raintree Front",Upload_Indiv[[Excl Score]:[Excl Score]],0),"")</f>
        <v/>
      </c>
    </row>
    <row r="343" spans="1:5" x14ac:dyDescent="0.25">
      <c r="A343" t="s">
        <v>724</v>
      </c>
      <c r="B343" t="s">
        <v>356</v>
      </c>
      <c r="C343" t="s">
        <v>834</v>
      </c>
      <c r="D343" t="s">
        <v>1022</v>
      </c>
      <c r="E343" t="str">
        <f>IFERROR(AVERAGEIFS(Upload_Indiv[Score2],Upload_Indiv[[Player]:[Player]],$A23,Upload_Indiv[[Side]:[Side]],"Raintree Back",Upload_Indiv[[Excl Score]:[Excl Score]],0),"")</f>
        <v/>
      </c>
    </row>
    <row r="344" spans="1:5" x14ac:dyDescent="0.25">
      <c r="A344" t="s">
        <v>724</v>
      </c>
      <c r="B344" t="s">
        <v>356</v>
      </c>
      <c r="C344" t="s">
        <v>834</v>
      </c>
      <c r="D344" t="s">
        <v>1023</v>
      </c>
      <c r="E344" t="str">
        <f>IFERROR(AVERAGEIFS(Upload_Indiv[Score2],Upload_Indiv[[Player]:[Player]],$A24,Upload_Indiv[[Side]:[Side]],"Raintree Front",Upload_Indiv[[Excl Score]:[Excl Score]],0),"")</f>
        <v/>
      </c>
    </row>
    <row r="345" spans="1:5" x14ac:dyDescent="0.25">
      <c r="A345" t="s">
        <v>724</v>
      </c>
      <c r="B345" t="s">
        <v>356</v>
      </c>
      <c r="C345" t="s">
        <v>834</v>
      </c>
      <c r="D345" t="s">
        <v>1024</v>
      </c>
      <c r="E345" t="str">
        <f>IFERROR(AVERAGEIFS(Upload_Indiv[Score2],Upload_Indiv[[Player]:[Player]],$A24,Upload_Indiv[[Side]:[Side]],"Raintree Back",Upload_Indiv[[Excl Score]:[Excl Score]],0),"")</f>
        <v/>
      </c>
    </row>
    <row r="346" spans="1:5" x14ac:dyDescent="0.25">
      <c r="A346" t="s">
        <v>724</v>
      </c>
      <c r="B346" t="s">
        <v>356</v>
      </c>
      <c r="C346" t="s">
        <v>834</v>
      </c>
      <c r="D346" t="s">
        <v>1025</v>
      </c>
      <c r="E346" t="str">
        <f>IFERROR(AVERAGEIFS(Upload_Indiv[Score2],Upload_Indiv[[Player]:[Player]],$A25,Upload_Indiv[[Side]:[Side]],"Raintree Front",Upload_Indiv[[Excl Score]:[Excl Score]],0),"")</f>
        <v/>
      </c>
    </row>
    <row r="347" spans="1:5" x14ac:dyDescent="0.25">
      <c r="A347" t="s">
        <v>724</v>
      </c>
      <c r="B347" t="s">
        <v>356</v>
      </c>
      <c r="C347" t="s">
        <v>834</v>
      </c>
      <c r="D347" t="s">
        <v>1026</v>
      </c>
      <c r="E347" t="str">
        <f>IFERROR(AVERAGEIFS(Upload_Indiv[Score2],Upload_Indiv[[Player]:[Player]],$A25,Upload_Indiv[[Side]:[Side]],"Raintree Back",Upload_Indiv[[Excl Score]:[Excl Score]],0),"")</f>
        <v/>
      </c>
    </row>
    <row r="348" spans="1:5" x14ac:dyDescent="0.25">
      <c r="A348" t="s">
        <v>724</v>
      </c>
      <c r="B348" t="s">
        <v>356</v>
      </c>
      <c r="C348" t="s">
        <v>834</v>
      </c>
      <c r="D348" t="s">
        <v>1027</v>
      </c>
      <c r="E348" t="str">
        <f>IFERROR(AVERAGEIFS(Upload_Indiv[Score2],Upload_Indiv[[Player]:[Player]],$A26,Upload_Indiv[[Side]:[Side]],"Raintree Front",Upload_Indiv[[Excl Score]:[Excl Score]],0),"")</f>
        <v/>
      </c>
    </row>
    <row r="349" spans="1:5" x14ac:dyDescent="0.25">
      <c r="A349" t="s">
        <v>724</v>
      </c>
      <c r="B349" t="s">
        <v>356</v>
      </c>
      <c r="C349" t="s">
        <v>834</v>
      </c>
      <c r="D349" t="s">
        <v>1028</v>
      </c>
      <c r="E349" t="str">
        <f>IFERROR(AVERAGEIFS(Upload_Indiv[Score2],Upload_Indiv[[Player]:[Player]],$A26,Upload_Indiv[[Side]:[Side]],"Raintree Back",Upload_Indiv[[Excl Score]:[Excl Score]],0),"")</f>
        <v/>
      </c>
    </row>
    <row r="350" spans="1:5" x14ac:dyDescent="0.25">
      <c r="A350" t="s">
        <v>724</v>
      </c>
      <c r="B350" t="s">
        <v>356</v>
      </c>
      <c r="C350" t="s">
        <v>834</v>
      </c>
      <c r="D350" t="s">
        <v>1029</v>
      </c>
      <c r="E350" t="str">
        <f>IFERROR(AVERAGEIFS(Upload_Indiv[Score2],Upload_Indiv[[Player]:[Player]],$A27,Upload_Indiv[[Side]:[Side]],"Raintree Front",Upload_Indiv[[Excl Score]:[Excl Score]],0),"")</f>
        <v/>
      </c>
    </row>
    <row r="351" spans="1:5" x14ac:dyDescent="0.25">
      <c r="A351" t="s">
        <v>724</v>
      </c>
      <c r="B351" t="s">
        <v>356</v>
      </c>
      <c r="C351" t="s">
        <v>834</v>
      </c>
      <c r="D351" t="s">
        <v>1030</v>
      </c>
      <c r="E351" t="str">
        <f>IFERROR(AVERAGEIFS(Upload_Indiv[Score2],Upload_Indiv[[Player]:[Player]],$A27,Upload_Indiv[[Side]:[Side]],"Raintree Back",Upload_Indiv[[Excl Score]:[Excl Score]],0),"")</f>
        <v/>
      </c>
    </row>
    <row r="352" spans="1:5" x14ac:dyDescent="0.25">
      <c r="A352" t="s">
        <v>724</v>
      </c>
      <c r="B352" t="s">
        <v>356</v>
      </c>
      <c r="C352" t="s">
        <v>834</v>
      </c>
      <c r="D352" t="s">
        <v>1031</v>
      </c>
      <c r="E352" t="str">
        <f>IFERROR(AVERAGEIFS(Upload_Indiv[Score2],Upload_Indiv[[Player]:[Player]],$A28,Upload_Indiv[[Side]:[Side]],"Raintree Front",Upload_Indiv[[Excl Score]:[Excl Score]],0),"")</f>
        <v/>
      </c>
    </row>
    <row r="353" spans="1:5" x14ac:dyDescent="0.25">
      <c r="A353" t="s">
        <v>724</v>
      </c>
      <c r="B353" t="s">
        <v>356</v>
      </c>
      <c r="C353" t="s">
        <v>834</v>
      </c>
      <c r="D353" t="s">
        <v>1032</v>
      </c>
      <c r="E353" t="str">
        <f>IFERROR(AVERAGEIFS(Upload_Indiv[Score2],Upload_Indiv[[Player]:[Player]],$A28,Upload_Indiv[[Side]:[Side]],"Raintree Back",Upload_Indiv[[Excl Score]:[Excl Score]],0),"")</f>
        <v/>
      </c>
    </row>
    <row r="354" spans="1:5" x14ac:dyDescent="0.25">
      <c r="A354" t="s">
        <v>724</v>
      </c>
      <c r="B354" t="s">
        <v>356</v>
      </c>
      <c r="C354" t="s">
        <v>834</v>
      </c>
      <c r="D354" t="s">
        <v>1033</v>
      </c>
      <c r="E354" t="str">
        <f>IFERROR(AVERAGEIFS(Upload_Indiv[Score2],Upload_Indiv[[Player]:[Player]],$A29,Upload_Indiv[[Side]:[Side]],"Raintree Front",Upload_Indiv[[Excl Score]:[Excl Score]],0),"")</f>
        <v/>
      </c>
    </row>
    <row r="355" spans="1:5" x14ac:dyDescent="0.25">
      <c r="A355" t="s">
        <v>724</v>
      </c>
      <c r="B355" t="s">
        <v>356</v>
      </c>
      <c r="C355" t="s">
        <v>834</v>
      </c>
      <c r="D355" t="s">
        <v>1034</v>
      </c>
      <c r="E355" t="str">
        <f>IFERROR(AVERAGEIFS(Upload_Indiv[Score2],Upload_Indiv[[Player]:[Player]],$A29,Upload_Indiv[[Side]:[Side]],"Raintree Back",Upload_Indiv[[Excl Score]:[Excl Score]],0),"")</f>
        <v/>
      </c>
    </row>
    <row r="356" spans="1:5" x14ac:dyDescent="0.25">
      <c r="A356" t="s">
        <v>724</v>
      </c>
      <c r="B356" t="s">
        <v>356</v>
      </c>
      <c r="C356" t="s">
        <v>834</v>
      </c>
      <c r="D356" t="s">
        <v>1035</v>
      </c>
      <c r="E356" t="str">
        <f>IFERROR(AVERAGEIFS(Upload_Indiv[Score2],Upload_Indiv[[Player]:[Player]],$A30,Upload_Indiv[[Side]:[Side]],"Raintree Front",Upload_Indiv[[Excl Score]:[Excl Score]],0),"")</f>
        <v/>
      </c>
    </row>
    <row r="357" spans="1:5" x14ac:dyDescent="0.25">
      <c r="A357" t="s">
        <v>724</v>
      </c>
      <c r="B357" t="s">
        <v>356</v>
      </c>
      <c r="C357" t="s">
        <v>834</v>
      </c>
      <c r="D357" t="s">
        <v>1036</v>
      </c>
      <c r="E357" t="str">
        <f>IFERROR(AVERAGEIFS(Upload_Indiv[Score2],Upload_Indiv[[Player]:[Player]],$A30,Upload_Indiv[[Side]:[Side]],"Raintree Back",Upload_Indiv[[Excl Score]:[Excl Score]],0),"")</f>
        <v/>
      </c>
    </row>
    <row r="358" spans="1:5" x14ac:dyDescent="0.25">
      <c r="A358" t="s">
        <v>724</v>
      </c>
      <c r="B358" t="s">
        <v>356</v>
      </c>
      <c r="C358" t="s">
        <v>834</v>
      </c>
      <c r="D358" t="s">
        <v>1037</v>
      </c>
      <c r="E358" t="str">
        <f>IFERROR(AVERAGEIFS(Upload_Indiv[Score2],Upload_Indiv[[Player]:[Player]],$A31,Upload_Indiv[[Side]:[Side]],"Raintree Front",Upload_Indiv[[Excl Score]:[Excl Score]],0),"")</f>
        <v/>
      </c>
    </row>
    <row r="359" spans="1:5" x14ac:dyDescent="0.25">
      <c r="A359" t="s">
        <v>724</v>
      </c>
      <c r="B359" t="s">
        <v>356</v>
      </c>
      <c r="C359" t="s">
        <v>834</v>
      </c>
      <c r="D359" t="s">
        <v>1038</v>
      </c>
      <c r="E359" t="str">
        <f>IFERROR(AVERAGEIFS(Upload_Indiv[Score2],Upload_Indiv[[Player]:[Player]],$A31,Upload_Indiv[[Side]:[Side]],"Raintree Back",Upload_Indiv[[Excl Score]:[Excl Score]],0),"")</f>
        <v/>
      </c>
    </row>
    <row r="360" spans="1:5" x14ac:dyDescent="0.25">
      <c r="A360" t="s">
        <v>724</v>
      </c>
      <c r="B360" t="s">
        <v>356</v>
      </c>
      <c r="C360" t="s">
        <v>834</v>
      </c>
      <c r="D360" t="s">
        <v>1039</v>
      </c>
      <c r="E360" t="str">
        <f>IFERROR(AVERAGEIFS(Upload_Indiv[Score2],Upload_Indiv[[Player]:[Player]],$A32,Upload_Indiv[[Side]:[Side]],"Raintree Front",Upload_Indiv[[Excl Score]:[Excl Score]],0),"")</f>
        <v/>
      </c>
    </row>
    <row r="361" spans="1:5" x14ac:dyDescent="0.25">
      <c r="A361" t="s">
        <v>724</v>
      </c>
      <c r="B361" t="s">
        <v>356</v>
      </c>
      <c r="C361" t="s">
        <v>834</v>
      </c>
      <c r="D361" t="s">
        <v>1040</v>
      </c>
      <c r="E361" t="str">
        <f>IFERROR(AVERAGEIFS(Upload_Indiv[Score2],Upload_Indiv[[Player]:[Player]],$A32,Upload_Indiv[[Side]:[Side]],"Raintree Back",Upload_Indiv[[Excl Score]:[Excl Score]],0),"")</f>
        <v/>
      </c>
    </row>
    <row r="362" spans="1:5" x14ac:dyDescent="0.25">
      <c r="A362" t="s">
        <v>724</v>
      </c>
      <c r="B362" t="s">
        <v>356</v>
      </c>
      <c r="C362" t="s">
        <v>834</v>
      </c>
      <c r="D362" t="s">
        <v>1041</v>
      </c>
      <c r="E362" t="str">
        <f>IFERROR(AVERAGEIFS(Upload_Indiv[Score2],Upload_Indiv[[Player]:[Player]],$A33,Upload_Indiv[[Side]:[Side]],"Raintree Front",Upload_Indiv[[Excl Score]:[Excl Score]],0),"")</f>
        <v/>
      </c>
    </row>
    <row r="363" spans="1:5" x14ac:dyDescent="0.25">
      <c r="A363" t="s">
        <v>724</v>
      </c>
      <c r="B363" t="s">
        <v>356</v>
      </c>
      <c r="C363" t="s">
        <v>834</v>
      </c>
      <c r="D363" t="s">
        <v>1042</v>
      </c>
      <c r="E363" t="str">
        <f>IFERROR(AVERAGEIFS(Upload_Indiv[Score2],Upload_Indiv[[Player]:[Player]],$A33,Upload_Indiv[[Side]:[Side]],"Raintree Back",Upload_Indiv[[Excl Score]:[Excl Score]],0),"")</f>
        <v/>
      </c>
    </row>
    <row r="364" spans="1:5" x14ac:dyDescent="0.25">
      <c r="A364" t="s">
        <v>724</v>
      </c>
      <c r="B364" t="s">
        <v>356</v>
      </c>
      <c r="C364" t="s">
        <v>834</v>
      </c>
      <c r="D364" t="s">
        <v>1043</v>
      </c>
      <c r="E364" t="str">
        <f>IFERROR(AVERAGEIFS(Upload_Indiv[Score2],Upload_Indiv[[Player]:[Player]],$A34,Upload_Indiv[[Side]:[Side]],"Raintree Front",Upload_Indiv[[Excl Score]:[Excl Score]],0),"")</f>
        <v/>
      </c>
    </row>
    <row r="365" spans="1:5" x14ac:dyDescent="0.25">
      <c r="A365" t="s">
        <v>724</v>
      </c>
      <c r="B365" t="s">
        <v>356</v>
      </c>
      <c r="C365" t="s">
        <v>834</v>
      </c>
      <c r="D365" t="s">
        <v>1044</v>
      </c>
      <c r="E365" t="str">
        <f>IFERROR(AVERAGEIFS(Upload_Indiv[Score2],Upload_Indiv[[Player]:[Player]],$A34,Upload_Indiv[[Side]:[Side]],"Raintree Back",Upload_Indiv[[Excl Score]:[Excl Score]],0),"")</f>
        <v/>
      </c>
    </row>
    <row r="366" spans="1:5" x14ac:dyDescent="0.25">
      <c r="A366" t="s">
        <v>724</v>
      </c>
      <c r="B366" t="s">
        <v>356</v>
      </c>
      <c r="C366" t="s">
        <v>834</v>
      </c>
      <c r="D366" t="s">
        <v>1045</v>
      </c>
      <c r="E366" t="str">
        <f>IFERROR(AVERAGEIFS(Upload_Indiv[Score2],Upload_Indiv[[Player]:[Player]],$A35,Upload_Indiv[[Side]:[Side]],"Raintree Front",Upload_Indiv[[Excl Score]:[Excl Score]],0),"")</f>
        <v/>
      </c>
    </row>
    <row r="367" spans="1:5" x14ac:dyDescent="0.25">
      <c r="A367" t="s">
        <v>724</v>
      </c>
      <c r="B367" t="s">
        <v>356</v>
      </c>
      <c r="C367" t="s">
        <v>834</v>
      </c>
      <c r="D367" t="s">
        <v>1046</v>
      </c>
      <c r="E367" t="str">
        <f>IFERROR(AVERAGEIFS(Upload_Indiv[Score2],Upload_Indiv[[Player]:[Player]],$A35,Upload_Indiv[[Side]:[Side]],"Raintree Back",Upload_Indiv[[Excl Score]:[Excl Score]],0),"")</f>
        <v/>
      </c>
    </row>
    <row r="368" spans="1:5" x14ac:dyDescent="0.25">
      <c r="A368" t="s">
        <v>724</v>
      </c>
      <c r="B368" t="s">
        <v>356</v>
      </c>
      <c r="C368" t="s">
        <v>834</v>
      </c>
      <c r="D368" t="s">
        <v>1047</v>
      </c>
      <c r="E368" t="str">
        <f>IFERROR(AVERAGEIFS(Upload_Indiv[Score2],Upload_Indiv[[Player]:[Player]],$A36,Upload_Indiv[[Side]:[Side]],"Raintree Front",Upload_Indiv[[Excl Score]:[Excl Score]],0),"")</f>
        <v/>
      </c>
    </row>
    <row r="369" spans="1:5" x14ac:dyDescent="0.25">
      <c r="A369" t="s">
        <v>724</v>
      </c>
      <c r="B369" t="s">
        <v>356</v>
      </c>
      <c r="C369" t="s">
        <v>834</v>
      </c>
      <c r="D369" t="s">
        <v>1048</v>
      </c>
      <c r="E369" t="str">
        <f>IFERROR(AVERAGEIFS(Upload_Indiv[Score2],Upload_Indiv[[Player]:[Player]],$A36,Upload_Indiv[[Side]:[Side]],"Raintree Back",Upload_Indiv[[Excl Score]:[Excl Score]],0),"")</f>
        <v/>
      </c>
    </row>
    <row r="370" spans="1:5" x14ac:dyDescent="0.25">
      <c r="A370" t="s">
        <v>724</v>
      </c>
      <c r="B370" t="s">
        <v>356</v>
      </c>
      <c r="C370" t="s">
        <v>834</v>
      </c>
      <c r="D370" t="s">
        <v>1049</v>
      </c>
      <c r="E370" t="str">
        <f>IFERROR(AVERAGEIFS(Upload_Indiv[Score2],Upload_Indiv[[Player]:[Player]],$A37,Upload_Indiv[[Side]:[Side]],"Raintree Front",Upload_Indiv[[Excl Score]:[Excl Score]],0),"")</f>
        <v/>
      </c>
    </row>
    <row r="371" spans="1:5" x14ac:dyDescent="0.25">
      <c r="A371" t="s">
        <v>724</v>
      </c>
      <c r="B371" t="s">
        <v>356</v>
      </c>
      <c r="C371" t="s">
        <v>834</v>
      </c>
      <c r="D371" t="s">
        <v>1050</v>
      </c>
      <c r="E371" t="str">
        <f>IFERROR(AVERAGEIFS(Upload_Indiv[Score2],Upload_Indiv[[Player]:[Player]],$A37,Upload_Indiv[[Side]:[Side]],"Raintree Back",Upload_Indiv[[Excl Score]:[Excl Score]],0),"")</f>
        <v/>
      </c>
    </row>
    <row r="372" spans="1:5" x14ac:dyDescent="0.25">
      <c r="A372" t="s">
        <v>724</v>
      </c>
      <c r="B372" t="s">
        <v>356</v>
      </c>
      <c r="C372" t="s">
        <v>834</v>
      </c>
      <c r="D372" t="s">
        <v>1051</v>
      </c>
      <c r="E372" t="str">
        <f>IFERROR(AVERAGEIFS(Upload_Indiv[Score2],Upload_Indiv[[Player]:[Player]],$A38,Upload_Indiv[[Side]:[Side]],"Raintree Front",Upload_Indiv[[Excl Score]:[Excl Score]],0),"")</f>
        <v/>
      </c>
    </row>
    <row r="373" spans="1:5" x14ac:dyDescent="0.25">
      <c r="A373" t="s">
        <v>724</v>
      </c>
      <c r="B373" t="s">
        <v>356</v>
      </c>
      <c r="C373" t="s">
        <v>834</v>
      </c>
      <c r="D373" t="s">
        <v>1052</v>
      </c>
      <c r="E373" t="str">
        <f>IFERROR(AVERAGEIFS(Upload_Indiv[Score2],Upload_Indiv[[Player]:[Player]],$A38,Upload_Indiv[[Side]:[Side]],"Raintree Back",Upload_Indiv[[Excl Score]:[Excl Score]],0),"")</f>
        <v/>
      </c>
    </row>
    <row r="374" spans="1:5" x14ac:dyDescent="0.25">
      <c r="A374" t="s">
        <v>724</v>
      </c>
      <c r="B374" t="s">
        <v>356</v>
      </c>
      <c r="C374" t="s">
        <v>834</v>
      </c>
      <c r="D374" t="s">
        <v>1053</v>
      </c>
      <c r="E374" t="str">
        <f>IFERROR(AVERAGEIFS(Upload_Indiv[Score2],Upload_Indiv[[Player]:[Player]],$A39,Upload_Indiv[[Side]:[Side]],"Raintree Front",Upload_Indiv[[Excl Score]:[Excl Score]],0),"")</f>
        <v/>
      </c>
    </row>
    <row r="375" spans="1:5" x14ac:dyDescent="0.25">
      <c r="A375" t="s">
        <v>724</v>
      </c>
      <c r="B375" t="s">
        <v>356</v>
      </c>
      <c r="C375" t="s">
        <v>834</v>
      </c>
      <c r="D375" t="s">
        <v>1054</v>
      </c>
      <c r="E375" t="str">
        <f>IFERROR(AVERAGEIFS(Upload_Indiv[Score2],Upload_Indiv[[Player]:[Player]],$A39,Upload_Indiv[[Side]:[Side]],"Raintree Back",Upload_Indiv[[Excl Score]:[Excl Score]],0),"")</f>
        <v/>
      </c>
    </row>
    <row r="376" spans="1:5" x14ac:dyDescent="0.25">
      <c r="A376" t="s">
        <v>724</v>
      </c>
      <c r="B376" t="s">
        <v>356</v>
      </c>
      <c r="C376" t="s">
        <v>834</v>
      </c>
      <c r="D376" t="s">
        <v>1055</v>
      </c>
      <c r="E376" t="str">
        <f>IFERROR(AVERAGEIFS(Upload_Indiv[Score2],Upload_Indiv[[Player]:[Player]],$A40,Upload_Indiv[[Side]:[Side]],"Raintree Front",Upload_Indiv[[Excl Score]:[Excl Score]],0),"")</f>
        <v/>
      </c>
    </row>
    <row r="377" spans="1:5" x14ac:dyDescent="0.25">
      <c r="A377" t="s">
        <v>724</v>
      </c>
      <c r="B377" t="s">
        <v>356</v>
      </c>
      <c r="C377" t="s">
        <v>834</v>
      </c>
      <c r="D377" t="s">
        <v>1056</v>
      </c>
      <c r="E377" t="str">
        <f>IFERROR(AVERAGEIFS(Upload_Indiv[Score2],Upload_Indiv[[Player]:[Player]],$A40,Upload_Indiv[[Side]:[Side]],"Raintree Back",Upload_Indiv[[Excl Score]:[Excl Score]],0),"")</f>
        <v/>
      </c>
    </row>
    <row r="378" spans="1:5" x14ac:dyDescent="0.25">
      <c r="A378" t="s">
        <v>724</v>
      </c>
      <c r="B378" t="s">
        <v>356</v>
      </c>
      <c r="C378" t="s">
        <v>834</v>
      </c>
      <c r="D378" t="s">
        <v>1057</v>
      </c>
      <c r="E378" t="str">
        <f>IFERROR(AVERAGEIFS(Upload_Indiv[Score2],Upload_Indiv[[Player]:[Player]],$A41,Upload_Indiv[[Side]:[Side]],"Raintree Front",Upload_Indiv[[Excl Score]:[Excl Score]],0),"")</f>
        <v/>
      </c>
    </row>
    <row r="379" spans="1:5" x14ac:dyDescent="0.25">
      <c r="A379" t="s">
        <v>724</v>
      </c>
      <c r="B379" t="s">
        <v>356</v>
      </c>
      <c r="C379" t="s">
        <v>834</v>
      </c>
      <c r="D379" t="s">
        <v>1058</v>
      </c>
      <c r="E379" t="str">
        <f>IFERROR(AVERAGEIFS(Upload_Indiv[Score2],Upload_Indiv[[Player]:[Player]],$A41,Upload_Indiv[[Side]:[Side]],"Raintree Back",Upload_Indiv[[Excl Score]:[Excl Score]],0),"")</f>
        <v/>
      </c>
    </row>
    <row r="380" spans="1:5" x14ac:dyDescent="0.25">
      <c r="A380" t="s">
        <v>724</v>
      </c>
      <c r="B380" t="s">
        <v>356</v>
      </c>
      <c r="C380" t="s">
        <v>834</v>
      </c>
      <c r="D380" t="s">
        <v>1059</v>
      </c>
      <c r="E380" t="str">
        <f>IFERROR(AVERAGEIFS(Upload_Indiv[Score2],Upload_Indiv[[Player]:[Player]],$A42,Upload_Indiv[[Side]:[Side]],"Raintree Front",Upload_Indiv[[Excl Score]:[Excl Score]],0),"")</f>
        <v/>
      </c>
    </row>
    <row r="381" spans="1:5" x14ac:dyDescent="0.25">
      <c r="A381" t="s">
        <v>724</v>
      </c>
      <c r="B381" t="s">
        <v>356</v>
      </c>
      <c r="C381" t="s">
        <v>834</v>
      </c>
      <c r="D381" t="s">
        <v>1060</v>
      </c>
      <c r="E381" t="str">
        <f>IFERROR(AVERAGEIFS(Upload_Indiv[Score2],Upload_Indiv[[Player]:[Player]],$A42,Upload_Indiv[[Side]:[Side]],"Raintree Back",Upload_Indiv[[Excl Score]:[Excl Score]],0),"")</f>
        <v/>
      </c>
    </row>
    <row r="382" spans="1:5" x14ac:dyDescent="0.25">
      <c r="A382" t="s">
        <v>724</v>
      </c>
      <c r="B382" t="s">
        <v>356</v>
      </c>
      <c r="C382" t="s">
        <v>834</v>
      </c>
      <c r="D382" t="s">
        <v>1061</v>
      </c>
      <c r="E382" t="str">
        <f>IFERROR(AVERAGEIFS(Upload_Indiv[Score2],Upload_Indiv[[Player]:[Player]],$A43,Upload_Indiv[[Side]:[Side]],"Raintree Front",Upload_Indiv[[Excl Score]:[Excl Score]],0),"")</f>
        <v/>
      </c>
    </row>
    <row r="383" spans="1:5" x14ac:dyDescent="0.25">
      <c r="A383" t="s">
        <v>724</v>
      </c>
      <c r="B383" t="s">
        <v>356</v>
      </c>
      <c r="C383" t="s">
        <v>834</v>
      </c>
      <c r="D383" t="s">
        <v>1062</v>
      </c>
      <c r="E383" t="str">
        <f>IFERROR(AVERAGEIFS(Upload_Indiv[Score2],Upload_Indiv[[Player]:[Player]],$A43,Upload_Indiv[[Side]:[Side]],"Raintree Back",Upload_Indiv[[Excl Score]:[Excl Score]],0),"")</f>
        <v/>
      </c>
    </row>
    <row r="384" spans="1:5" x14ac:dyDescent="0.25">
      <c r="A384" t="s">
        <v>724</v>
      </c>
      <c r="B384" t="s">
        <v>356</v>
      </c>
      <c r="C384" t="s">
        <v>834</v>
      </c>
      <c r="D384" t="s">
        <v>1063</v>
      </c>
      <c r="E384" t="str">
        <f>IFERROR(AVERAGEIFS(Upload_Indiv[Score2],Upload_Indiv[[Player]:[Player]],$A44,Upload_Indiv[[Side]:[Side]],"Raintree Front",Upload_Indiv[[Excl Score]:[Excl Score]],0),"")</f>
        <v/>
      </c>
    </row>
    <row r="385" spans="1:5" x14ac:dyDescent="0.25">
      <c r="A385" t="s">
        <v>724</v>
      </c>
      <c r="B385" t="s">
        <v>356</v>
      </c>
      <c r="C385" t="s">
        <v>834</v>
      </c>
      <c r="D385" t="s">
        <v>1064</v>
      </c>
      <c r="E385" t="str">
        <f>IFERROR(AVERAGEIFS(Upload_Indiv[Score2],Upload_Indiv[[Player]:[Player]],$A44,Upload_Indiv[[Side]:[Side]],"Raintree Back",Upload_Indiv[[Excl Score]:[Excl Score]],0),"")</f>
        <v/>
      </c>
    </row>
    <row r="386" spans="1:5" x14ac:dyDescent="0.25">
      <c r="A386" t="s">
        <v>724</v>
      </c>
      <c r="B386" t="s">
        <v>356</v>
      </c>
      <c r="C386" t="s">
        <v>834</v>
      </c>
      <c r="D386" t="s">
        <v>1065</v>
      </c>
      <c r="E386" t="str">
        <f>IFERROR(AVERAGEIFS(Upload_Indiv[Score2],Upload_Indiv[[Player]:[Player]],$A45,Upload_Indiv[[Side]:[Side]],"Raintree Front",Upload_Indiv[[Excl Score]:[Excl Score]],0),"")</f>
        <v/>
      </c>
    </row>
    <row r="387" spans="1:5" x14ac:dyDescent="0.25">
      <c r="A387" t="s">
        <v>724</v>
      </c>
      <c r="B387" t="s">
        <v>356</v>
      </c>
      <c r="C387" t="s">
        <v>834</v>
      </c>
      <c r="D387" t="s">
        <v>1066</v>
      </c>
      <c r="E387" t="str">
        <f>IFERROR(AVERAGEIFS(Upload_Indiv[Score2],Upload_Indiv[[Player]:[Player]],$A45,Upload_Indiv[[Side]:[Side]],"Raintree Back",Upload_Indiv[[Excl Score]:[Excl Score]],0),"")</f>
        <v/>
      </c>
    </row>
    <row r="388" spans="1:5" x14ac:dyDescent="0.25">
      <c r="A388" t="s">
        <v>724</v>
      </c>
      <c r="B388" t="s">
        <v>356</v>
      </c>
      <c r="C388" t="s">
        <v>834</v>
      </c>
      <c r="D388" t="s">
        <v>1067</v>
      </c>
      <c r="E388" t="str">
        <f>IFERROR(AVERAGEIFS(Upload_Indiv[Score2],Upload_Indiv[[Player]:[Player]],$A46,Upload_Indiv[[Side]:[Side]],"Raintree Front",Upload_Indiv[[Excl Score]:[Excl Score]],0),"")</f>
        <v/>
      </c>
    </row>
    <row r="389" spans="1:5" x14ac:dyDescent="0.25">
      <c r="A389" t="s">
        <v>724</v>
      </c>
      <c r="B389" t="s">
        <v>356</v>
      </c>
      <c r="C389" t="s">
        <v>834</v>
      </c>
      <c r="D389" t="s">
        <v>1068</v>
      </c>
      <c r="E389" t="str">
        <f>IFERROR(AVERAGEIFS(Upload_Indiv[Score2],Upload_Indiv[[Player]:[Player]],$A46,Upload_Indiv[[Side]:[Side]],"Raintree Back",Upload_Indiv[[Excl Score]:[Excl Score]],0),"")</f>
        <v/>
      </c>
    </row>
    <row r="390" spans="1:5" x14ac:dyDescent="0.25">
      <c r="A390" t="s">
        <v>724</v>
      </c>
      <c r="B390" t="s">
        <v>356</v>
      </c>
      <c r="C390" t="s">
        <v>834</v>
      </c>
      <c r="D390" t="s">
        <v>1069</v>
      </c>
      <c r="E390" t="str">
        <f>IFERROR(AVERAGEIFS(Upload_Indiv[Score2],Upload_Indiv[[Player]:[Player]],$A47,Upload_Indiv[[Side]:[Side]],"Raintree Front",Upload_Indiv[[Excl Score]:[Excl Score]],0),"")</f>
        <v/>
      </c>
    </row>
    <row r="391" spans="1:5" x14ac:dyDescent="0.25">
      <c r="A391" t="s">
        <v>724</v>
      </c>
      <c r="B391" t="s">
        <v>356</v>
      </c>
      <c r="C391" t="s">
        <v>834</v>
      </c>
      <c r="D391" t="s">
        <v>1070</v>
      </c>
      <c r="E391" t="str">
        <f>IFERROR(AVERAGEIFS(Upload_Indiv[Score2],Upload_Indiv[[Player]:[Player]],$A47,Upload_Indiv[[Side]:[Side]],"Raintree Back",Upload_Indiv[[Excl Score]:[Excl Score]],0),"")</f>
        <v/>
      </c>
    </row>
    <row r="392" spans="1:5" x14ac:dyDescent="0.25">
      <c r="A392" t="s">
        <v>724</v>
      </c>
      <c r="B392" t="s">
        <v>356</v>
      </c>
      <c r="C392" t="s">
        <v>834</v>
      </c>
      <c r="D392" t="s">
        <v>1071</v>
      </c>
      <c r="E392" t="str">
        <f>IFERROR(AVERAGEIFS(Upload_Indiv[Score2],Upload_Indiv[[Player]:[Player]],$A48,Upload_Indiv[[Side]:[Side]],"Raintree Front",Upload_Indiv[[Excl Score]:[Excl Score]],0),"")</f>
        <v/>
      </c>
    </row>
    <row r="393" spans="1:5" x14ac:dyDescent="0.25">
      <c r="A393" t="s">
        <v>724</v>
      </c>
      <c r="B393" t="s">
        <v>356</v>
      </c>
      <c r="C393" t="s">
        <v>834</v>
      </c>
      <c r="D393" t="s">
        <v>1072</v>
      </c>
      <c r="E393" t="str">
        <f>IFERROR(AVERAGEIFS(Upload_Indiv[Score2],Upload_Indiv[[Player]:[Player]],$A48,Upload_Indiv[[Side]:[Side]],"Raintree Back",Upload_Indiv[[Excl Score]:[Excl Score]],0),"")</f>
        <v/>
      </c>
    </row>
    <row r="394" spans="1:5" x14ac:dyDescent="0.25">
      <c r="A394" t="s">
        <v>724</v>
      </c>
      <c r="B394" t="s">
        <v>356</v>
      </c>
      <c r="C394" t="s">
        <v>834</v>
      </c>
      <c r="D394" t="s">
        <v>1073</v>
      </c>
      <c r="E394" t="str">
        <f>IFERROR(AVERAGEIFS(Upload_Indiv[Score2],Upload_Indiv[[Player]:[Player]],$A49,Upload_Indiv[[Side]:[Side]],"Raintree Front",Upload_Indiv[[Excl Score]:[Excl Score]],0),"")</f>
        <v/>
      </c>
    </row>
    <row r="395" spans="1:5" x14ac:dyDescent="0.25">
      <c r="A395" t="s">
        <v>724</v>
      </c>
      <c r="B395" t="s">
        <v>356</v>
      </c>
      <c r="C395" t="s">
        <v>834</v>
      </c>
      <c r="D395" t="s">
        <v>1074</v>
      </c>
      <c r="E395" t="str">
        <f>IFERROR(AVERAGEIFS(Upload_Indiv[Score2],Upload_Indiv[[Player]:[Player]],$A49,Upload_Indiv[[Side]:[Side]],"Raintree Back",Upload_Indiv[[Excl Score]:[Excl Score]],0),"")</f>
        <v/>
      </c>
    </row>
    <row r="396" spans="1:5" x14ac:dyDescent="0.25">
      <c r="A396" t="s">
        <v>724</v>
      </c>
      <c r="B396" t="s">
        <v>356</v>
      </c>
      <c r="C396" t="s">
        <v>834</v>
      </c>
      <c r="D396" t="s">
        <v>1075</v>
      </c>
      <c r="E396" t="str">
        <f>IFERROR(AVERAGEIFS(Upload_Indiv[Score2],Upload_Indiv[[Player]:[Player]],$A50,Upload_Indiv[[Side]:[Side]],"Raintree Front",Upload_Indiv[[Excl Score]:[Excl Score]],0),"")</f>
        <v/>
      </c>
    </row>
    <row r="397" spans="1:5" x14ac:dyDescent="0.25">
      <c r="A397" t="s">
        <v>724</v>
      </c>
      <c r="B397" t="s">
        <v>356</v>
      </c>
      <c r="C397" t="s">
        <v>834</v>
      </c>
      <c r="D397" t="s">
        <v>1076</v>
      </c>
      <c r="E397" t="str">
        <f>IFERROR(AVERAGEIFS(Upload_Indiv[Score2],Upload_Indiv[[Player]:[Player]],$A50,Upload_Indiv[[Side]:[Side]],"Raintree Back",Upload_Indiv[[Excl Score]:[Excl Score]],0),"")</f>
        <v/>
      </c>
    </row>
    <row r="398" spans="1:5" x14ac:dyDescent="0.25">
      <c r="A398" t="s">
        <v>724</v>
      </c>
      <c r="B398" t="s">
        <v>356</v>
      </c>
      <c r="C398" t="s">
        <v>834</v>
      </c>
      <c r="D398" t="s">
        <v>1077</v>
      </c>
      <c r="E398" t="str">
        <f>IFERROR(AVERAGEIFS(Upload_Indiv[Score2],Upload_Indiv[[Player]:[Player]],$A51,Upload_Indiv[[Side]:[Side]],"Raintree Front",Upload_Indiv[[Excl Score]:[Excl Score]],0),"")</f>
        <v/>
      </c>
    </row>
    <row r="399" spans="1:5" x14ac:dyDescent="0.25">
      <c r="A399" t="s">
        <v>724</v>
      </c>
      <c r="B399" t="s">
        <v>356</v>
      </c>
      <c r="C399" t="s">
        <v>834</v>
      </c>
      <c r="D399" t="s">
        <v>1078</v>
      </c>
      <c r="E399" t="str">
        <f>IFERROR(AVERAGEIFS(Upload_Indiv[Score2],Upload_Indiv[[Player]:[Player]],$A51,Upload_Indiv[[Side]:[Side]],"Raintree Back",Upload_Indiv[[Excl Score]:[Excl Score]],0),"")</f>
        <v/>
      </c>
    </row>
    <row r="400" spans="1:5" x14ac:dyDescent="0.25">
      <c r="A400" t="s">
        <v>724</v>
      </c>
      <c r="B400" t="s">
        <v>356</v>
      </c>
      <c r="C400" t="s">
        <v>834</v>
      </c>
      <c r="D400" t="s">
        <v>1079</v>
      </c>
      <c r="E400" t="str">
        <f>IFERROR(AVERAGEIFS(Upload_Indiv[Score2],Upload_Indiv[[Player]:[Player]],$A52,Upload_Indiv[[Side]:[Side]],"Raintree Front",Upload_Indiv[[Excl Score]:[Excl Score]],0),"")</f>
        <v/>
      </c>
    </row>
    <row r="401" spans="1:5" x14ac:dyDescent="0.25">
      <c r="A401" t="s">
        <v>724</v>
      </c>
      <c r="B401" t="s">
        <v>356</v>
      </c>
      <c r="C401" t="s">
        <v>834</v>
      </c>
      <c r="D401" t="s">
        <v>1080</v>
      </c>
      <c r="E401" t="str">
        <f>IFERROR(AVERAGEIFS(Upload_Indiv[Score2],Upload_Indiv[[Player]:[Player]],$A52,Upload_Indiv[[Side]:[Side]],"Raintree Back",Upload_Indiv[[Excl Score]:[Excl Score]],0),"")</f>
        <v/>
      </c>
    </row>
    <row r="402" spans="1:5" x14ac:dyDescent="0.25">
      <c r="A402" t="s">
        <v>724</v>
      </c>
      <c r="B402" t="s">
        <v>356</v>
      </c>
      <c r="C402" t="s">
        <v>834</v>
      </c>
      <c r="D402" t="s">
        <v>1081</v>
      </c>
      <c r="E402" t="str">
        <f>IFERROR(AVERAGEIFS(Upload_Indiv[Score2],Upload_Indiv[[Player]:[Player]],$A53,Upload_Indiv[[Side]:[Side]],"Raintree Front",Upload_Indiv[[Excl Score]:[Excl Score]],0),"")</f>
        <v/>
      </c>
    </row>
    <row r="403" spans="1:5" x14ac:dyDescent="0.25">
      <c r="A403" t="s">
        <v>724</v>
      </c>
      <c r="B403" t="s">
        <v>356</v>
      </c>
      <c r="C403" t="s">
        <v>834</v>
      </c>
      <c r="D403" t="s">
        <v>1082</v>
      </c>
      <c r="E403" t="str">
        <f>IFERROR(AVERAGEIFS(Upload_Indiv[Score2],Upload_Indiv[[Player]:[Player]],$A53,Upload_Indiv[[Side]:[Side]],"Raintree Back",Upload_Indiv[[Excl Score]:[Excl Score]],0),"")</f>
        <v/>
      </c>
    </row>
    <row r="404" spans="1:5" x14ac:dyDescent="0.25">
      <c r="A404" t="s">
        <v>724</v>
      </c>
      <c r="B404" t="s">
        <v>356</v>
      </c>
      <c r="C404" t="s">
        <v>834</v>
      </c>
      <c r="D404" t="s">
        <v>1083</v>
      </c>
      <c r="E404" t="str">
        <f>IFERROR(AVERAGEIFS(Upload_Indiv[Score2],Upload_Indiv[[Player]:[Player]],$A54,Upload_Indiv[[Side]:[Side]],"Raintree Front",Upload_Indiv[[Excl Score]:[Excl Score]],0),"")</f>
        <v/>
      </c>
    </row>
    <row r="405" spans="1:5" x14ac:dyDescent="0.25">
      <c r="A405" t="s">
        <v>724</v>
      </c>
      <c r="B405" t="s">
        <v>356</v>
      </c>
      <c r="C405" t="s">
        <v>834</v>
      </c>
      <c r="D405" t="s">
        <v>1084</v>
      </c>
      <c r="E405" t="str">
        <f>IFERROR(AVERAGEIFS(Upload_Indiv[Score2],Upload_Indiv[[Player]:[Player]],$A54,Upload_Indiv[[Side]:[Side]],"Raintree Back",Upload_Indiv[[Excl Score]:[Excl Score]],0),"")</f>
        <v/>
      </c>
    </row>
    <row r="406" spans="1:5" x14ac:dyDescent="0.25">
      <c r="A406" t="s">
        <v>724</v>
      </c>
      <c r="B406" t="s">
        <v>357</v>
      </c>
      <c r="C406" t="s">
        <v>725</v>
      </c>
      <c r="D406" t="s">
        <v>1085</v>
      </c>
      <c r="E406" t="str">
        <f>IFERROR(AVERAGEIFS(Upload_Indiv[Score3],Upload_Indiv[[Side]:[Side]],"Raintree Front")-IF(TRUNC(ROUND($B6,0)/9,0)=2,2+IF((ROUND($B6,0)-18)*2&gt;=E$2,1,0),IF(TRUNC(ROUND($B6,0)/9,0)=1,1+IF((ROUND($B6,0)-9)*2&gt;=E$2,1,0),IF(TRUNC(ROUND($B6,0)/9,0)=0,IF(TRUNC(ROUND($B6,0)/9,0)=0,0+IF((ROUND($B6,0))*2&gt;=E$2,1,0),"Not"))))-E$3,"")</f>
        <v/>
      </c>
    </row>
    <row r="407" spans="1:5" x14ac:dyDescent="0.25">
      <c r="A407" t="s">
        <v>724</v>
      </c>
      <c r="B407" t="s">
        <v>357</v>
      </c>
      <c r="C407" t="s">
        <v>725</v>
      </c>
      <c r="D407" t="s">
        <v>1086</v>
      </c>
      <c r="E407" t="str">
        <f>IFERROR(AVERAGEIFS(Upload_Indiv[Score3],Upload_Indiv[[Side]:[Side]],"Raintree Back")-IF(TRUNC(ROUND($B6,0)/9,0)=2,2+IF((ROUND($B6,0)-18)*2&gt;=O$2,1,0),IF(TRUNC(ROUND($B6,0)/9,0)=1,1+IF((ROUND($B6,0)-9)*2&gt;=O$2,1,0),IF(TRUNC(ROUND($B6,0)/9,0)=0,IF(TRUNC(ROUND($B6,0)/9,0)=0,0+IF((ROUND($B6,0))*2&gt;=O$2,1,0),"Not"))))-O$3,"")</f>
        <v/>
      </c>
    </row>
    <row r="408" spans="1:5" x14ac:dyDescent="0.25">
      <c r="A408" t="s">
        <v>724</v>
      </c>
      <c r="B408" t="s">
        <v>357</v>
      </c>
      <c r="C408" t="s">
        <v>725</v>
      </c>
      <c r="D408" t="s">
        <v>1087</v>
      </c>
      <c r="E408" t="str">
        <f>IFERROR(AVERAGEIFS(Upload_Indiv[Score3],Upload_Indiv[[Player]:[Player]],$A8,Upload_Indiv[[Side]:[Side]],"Raintree Front")-IF(TRUNC(ROUND($B8,0)/9,0)=2,2+IF((ROUND($B8,0)-18)*2&gt;=E$2,1,0),IF(TRUNC(ROUND($B8,0)/9,0)=1,1+IF((ROUND($B8,0)-9)*2&gt;=E$2,1,0),IF(TRUNC(ROUND($B8,0)/9,0)=0,IF(TRUNC(ROUND($B8,0)/9,0)=0,0+IF((ROUND($B8,0))*2&gt;=E$2,1,0),"Not"))))-E$3,"")</f>
        <v/>
      </c>
    </row>
    <row r="409" spans="1:5" x14ac:dyDescent="0.25">
      <c r="A409" t="s">
        <v>724</v>
      </c>
      <c r="B409" t="s">
        <v>357</v>
      </c>
      <c r="C409" t="s">
        <v>725</v>
      </c>
      <c r="D409" t="s">
        <v>1088</v>
      </c>
      <c r="E409" t="str">
        <f>IFERROR(AVERAGEIFS(Upload_Indiv[Score3],Upload_Indiv[[Player]:[Player]],$A8,Upload_Indiv[[Side]:[Side]],"Raintree Back")-IF(TRUNC(ROUND($B8,0)/9,0)=2,2+IF((ROUND($B8,0)-18)*2&gt;=O$2,1,0),IF(TRUNC(ROUND($B8,0)/9,0)=1,1+IF((ROUND($B8,0)-9)*2&gt;=O$2,1,0),IF(TRUNC(ROUND($B8,0)/9,0)=0,IF(TRUNC(ROUND($B8,0)/9,0)=0,0+IF((ROUND($B8,0))*2&gt;=O$2,1,0),"Not"))))-O$3,"")</f>
        <v/>
      </c>
    </row>
    <row r="410" spans="1:5" x14ac:dyDescent="0.25">
      <c r="A410" t="s">
        <v>724</v>
      </c>
      <c r="B410" t="s">
        <v>357</v>
      </c>
      <c r="C410" t="s">
        <v>725</v>
      </c>
      <c r="D410" t="s">
        <v>1089</v>
      </c>
      <c r="E410" t="str">
        <f>IFERROR(AVERAGEIFS(Upload_Indiv[Score3],Upload_Indiv[[Player]:[Player]],$A9,Upload_Indiv[[Side]:[Side]],"Raintree Front")-IF(TRUNC(ROUND($B9,0)/9,0)=2,2+IF((ROUND($B9,0)-18)*2&gt;=E$2,1,0),IF(TRUNC(ROUND($B9,0)/9,0)=1,1+IF((ROUND($B9,0)-9)*2&gt;=E$2,1,0),IF(TRUNC(ROUND($B9,0)/9,0)=0,IF(TRUNC(ROUND($B9,0)/9,0)=0,0+IF((ROUND($B9,0))*2&gt;=E$2,1,0),"Not"))))-E$3,"")</f>
        <v/>
      </c>
    </row>
    <row r="411" spans="1:5" x14ac:dyDescent="0.25">
      <c r="A411" t="s">
        <v>724</v>
      </c>
      <c r="B411" t="s">
        <v>357</v>
      </c>
      <c r="C411" t="s">
        <v>725</v>
      </c>
      <c r="D411" t="s">
        <v>1090</v>
      </c>
      <c r="E411" t="str">
        <f>IFERROR(AVERAGEIFS(Upload_Indiv[Score3],Upload_Indiv[[Player]:[Player]],$A9,Upload_Indiv[[Side]:[Side]],"Raintree Back")-IF(TRUNC(ROUND($B9,0)/9,0)=2,2+IF((ROUND($B9,0)-18)*2&gt;=O$2,1,0),IF(TRUNC(ROUND($B9,0)/9,0)=1,1+IF((ROUND($B9,0)-9)*2&gt;=O$2,1,0),IF(TRUNC(ROUND($B9,0)/9,0)=0,IF(TRUNC(ROUND($B9,0)/9,0)=0,0+IF((ROUND($B9,0))*2&gt;=O$2,1,0),"Not"))))-O$3,"")</f>
        <v/>
      </c>
    </row>
    <row r="412" spans="1:5" x14ac:dyDescent="0.25">
      <c r="A412" t="s">
        <v>724</v>
      </c>
      <c r="B412" t="s">
        <v>357</v>
      </c>
      <c r="C412" t="s">
        <v>725</v>
      </c>
      <c r="D412" t="s">
        <v>1091</v>
      </c>
      <c r="E412" t="str">
        <f>IFERROR(AVERAGEIFS(Upload_Indiv[Score3],Upload_Indiv[[Player]:[Player]],$A10,Upload_Indiv[[Side]:[Side]],"Raintree Front")-IF(TRUNC(ROUND($B10,0)/9,0)=2,2+IF((ROUND($B10,0)-18)*2&gt;=E$2,1,0),IF(TRUNC(ROUND($B10,0)/9,0)=1,1+IF((ROUND($B10,0)-9)*2&gt;=E$2,1,0),IF(TRUNC(ROUND($B10,0)/9,0)=0,IF(TRUNC(ROUND($B10,0)/9,0)=0,0+IF((ROUND($B10,0))*2&gt;=E$2,1,0),"Not"))))-E$3,"")</f>
        <v/>
      </c>
    </row>
    <row r="413" spans="1:5" x14ac:dyDescent="0.25">
      <c r="A413" t="s">
        <v>724</v>
      </c>
      <c r="B413" t="s">
        <v>357</v>
      </c>
      <c r="C413" t="s">
        <v>725</v>
      </c>
      <c r="D413" t="s">
        <v>1092</v>
      </c>
      <c r="E413" t="str">
        <f>IFERROR(AVERAGEIFS(Upload_Indiv[Score3],Upload_Indiv[[Player]:[Player]],$A10,Upload_Indiv[[Side]:[Side]],"Raintree Back")-IF(TRUNC(ROUND($B10,0)/9,0)=2,2+IF((ROUND($B10,0)-18)*2&gt;=O$2,1,0),IF(TRUNC(ROUND($B10,0)/9,0)=1,1+IF((ROUND($B10,0)-9)*2&gt;=O$2,1,0),IF(TRUNC(ROUND($B10,0)/9,0)=0,IF(TRUNC(ROUND($B10,0)/9,0)=0,0+IF((ROUND($B10,0))*2&gt;=O$2,1,0),"Not"))))-O$3,"")</f>
        <v/>
      </c>
    </row>
    <row r="414" spans="1:5" x14ac:dyDescent="0.25">
      <c r="A414" t="s">
        <v>724</v>
      </c>
      <c r="B414" t="s">
        <v>357</v>
      </c>
      <c r="C414" t="s">
        <v>725</v>
      </c>
      <c r="D414" t="s">
        <v>1093</v>
      </c>
      <c r="E414" t="str">
        <f>IFERROR(AVERAGEIFS(Upload_Indiv[Score3],Upload_Indiv[[Player]:[Player]],$A11,Upload_Indiv[[Side]:[Side]],"Raintree Front")-IF(TRUNC(ROUND($B11,0)/9,0)=2,2+IF((ROUND($B11,0)-18)*2&gt;=E$2,1,0),IF(TRUNC(ROUND($B11,0)/9,0)=1,1+IF((ROUND($B11,0)-9)*2&gt;=E$2,1,0),IF(TRUNC(ROUND($B11,0)/9,0)=0,IF(TRUNC(ROUND($B11,0)/9,0)=0,0+IF((ROUND($B11,0))*2&gt;=E$2,1,0),"Not"))))-E$3,"")</f>
        <v/>
      </c>
    </row>
    <row r="415" spans="1:5" x14ac:dyDescent="0.25">
      <c r="A415" t="s">
        <v>724</v>
      </c>
      <c r="B415" t="s">
        <v>357</v>
      </c>
      <c r="C415" t="s">
        <v>725</v>
      </c>
      <c r="D415" t="s">
        <v>1094</v>
      </c>
      <c r="E415" t="str">
        <f>IFERROR(AVERAGEIFS(Upload_Indiv[Score3],Upload_Indiv[[Player]:[Player]],$A11,Upload_Indiv[[Side]:[Side]],"Raintree Back")-IF(TRUNC(ROUND($B11,0)/9,0)=2,2+IF((ROUND($B11,0)-18)*2&gt;=O$2,1,0),IF(TRUNC(ROUND($B11,0)/9,0)=1,1+IF((ROUND($B11,0)-9)*2&gt;=O$2,1,0),IF(TRUNC(ROUND($B11,0)/9,0)=0,IF(TRUNC(ROUND($B11,0)/9,0)=0,0+IF((ROUND($B11,0))*2&gt;=O$2,1,0),"Not"))))-O$3,"")</f>
        <v/>
      </c>
    </row>
    <row r="416" spans="1:5" x14ac:dyDescent="0.25">
      <c r="A416" t="s">
        <v>724</v>
      </c>
      <c r="B416" t="s">
        <v>357</v>
      </c>
      <c r="C416" t="s">
        <v>725</v>
      </c>
      <c r="D416" t="s">
        <v>1095</v>
      </c>
      <c r="E416" t="str">
        <f>IFERROR(AVERAGEIFS(Upload_Indiv[Score3],Upload_Indiv[[Player]:[Player]],$A12,Upload_Indiv[[Side]:[Side]],"Raintree Front")-IF(TRUNC(ROUND($B12,0)/9,0)=2,2+IF((ROUND($B12,0)-18)*2&gt;=E$2,1,0),IF(TRUNC(ROUND($B12,0)/9,0)=1,1+IF((ROUND($B12,0)-9)*2&gt;=E$2,1,0),IF(TRUNC(ROUND($B12,0)/9,0)=0,IF(TRUNC(ROUND($B12,0)/9,0)=0,0+IF((ROUND($B12,0))*2&gt;=E$2,1,0),"Not"))))-E$3,"")</f>
        <v/>
      </c>
    </row>
    <row r="417" spans="1:5" x14ac:dyDescent="0.25">
      <c r="A417" t="s">
        <v>724</v>
      </c>
      <c r="B417" t="s">
        <v>357</v>
      </c>
      <c r="C417" t="s">
        <v>725</v>
      </c>
      <c r="D417" t="s">
        <v>1096</v>
      </c>
      <c r="E417" t="str">
        <f>IFERROR(AVERAGEIFS(Upload_Indiv[Score3],Upload_Indiv[[Player]:[Player]],$A12,Upload_Indiv[[Side]:[Side]],"Raintree Back")-IF(TRUNC(ROUND($B12,0)/9,0)=2,2+IF((ROUND($B12,0)-18)*2&gt;=O$2,1,0),IF(TRUNC(ROUND($B12,0)/9,0)=1,1+IF((ROUND($B12,0)-9)*2&gt;=O$2,1,0),IF(TRUNC(ROUND($B12,0)/9,0)=0,IF(TRUNC(ROUND($B12,0)/9,0)=0,0+IF((ROUND($B12,0))*2&gt;=O$2,1,0),"Not"))))-O$3,"")</f>
        <v/>
      </c>
    </row>
    <row r="418" spans="1:5" x14ac:dyDescent="0.25">
      <c r="A418" t="s">
        <v>724</v>
      </c>
      <c r="B418" t="s">
        <v>357</v>
      </c>
      <c r="C418" t="s">
        <v>725</v>
      </c>
      <c r="D418" t="s">
        <v>1097</v>
      </c>
      <c r="E418" t="str">
        <f>IFERROR(AVERAGEIFS(Upload_Indiv[Score3],Upload_Indiv[[Player]:[Player]],$A13,Upload_Indiv[[Side]:[Side]],"Raintree Front")-IF(TRUNC(ROUND($B13,0)/9,0)=2,2+IF((ROUND($B13,0)-18)*2&gt;=E$2,1,0),IF(TRUNC(ROUND($B13,0)/9,0)=1,1+IF((ROUND($B13,0)-9)*2&gt;=E$2,1,0),IF(TRUNC(ROUND($B13,0)/9,0)=0,IF(TRUNC(ROUND($B13,0)/9,0)=0,0+IF((ROUND($B13,0))*2&gt;=E$2,1,0),"Not"))))-E$3,"")</f>
        <v/>
      </c>
    </row>
    <row r="419" spans="1:5" x14ac:dyDescent="0.25">
      <c r="A419" t="s">
        <v>724</v>
      </c>
      <c r="B419" t="s">
        <v>357</v>
      </c>
      <c r="C419" t="s">
        <v>725</v>
      </c>
      <c r="D419" t="s">
        <v>1098</v>
      </c>
      <c r="E419" t="str">
        <f>IFERROR(AVERAGEIFS(Upload_Indiv[Score3],Upload_Indiv[[Player]:[Player]],$A13,Upload_Indiv[[Side]:[Side]],"Raintree Back")-IF(TRUNC(ROUND($B13,0)/9,0)=2,2+IF((ROUND($B13,0)-18)*2&gt;=O$2,1,0),IF(TRUNC(ROUND($B13,0)/9,0)=1,1+IF((ROUND($B13,0)-9)*2&gt;=O$2,1,0),IF(TRUNC(ROUND($B13,0)/9,0)=0,IF(TRUNC(ROUND($B13,0)/9,0)=0,0+IF((ROUND($B13,0))*2&gt;=O$2,1,0),"Not"))))-O$3,"")</f>
        <v/>
      </c>
    </row>
    <row r="420" spans="1:5" x14ac:dyDescent="0.25">
      <c r="A420" t="s">
        <v>724</v>
      </c>
      <c r="B420" t="s">
        <v>357</v>
      </c>
      <c r="C420" t="s">
        <v>725</v>
      </c>
      <c r="D420" t="s">
        <v>1099</v>
      </c>
      <c r="E420" t="str">
        <f>IFERROR(AVERAGEIFS(Upload_Indiv[Score3],Upload_Indiv[[Player]:[Player]],$A14,Upload_Indiv[[Side]:[Side]],"Raintree Front")-IF(TRUNC(ROUND($B14,0)/9,0)=2,2+IF((ROUND($B14,0)-18)*2&gt;=E$2,1,0),IF(TRUNC(ROUND($B14,0)/9,0)=1,1+IF((ROUND($B14,0)-9)*2&gt;=E$2,1,0),IF(TRUNC(ROUND($B14,0)/9,0)=0,IF(TRUNC(ROUND($B14,0)/9,0)=0,0+IF((ROUND($B14,0))*2&gt;=E$2,1,0),"Not"))))-E$3,"")</f>
        <v/>
      </c>
    </row>
    <row r="421" spans="1:5" x14ac:dyDescent="0.25">
      <c r="A421" t="s">
        <v>724</v>
      </c>
      <c r="B421" t="s">
        <v>357</v>
      </c>
      <c r="C421" t="s">
        <v>725</v>
      </c>
      <c r="D421" t="s">
        <v>1100</v>
      </c>
      <c r="E421" t="str">
        <f>IFERROR(AVERAGEIFS(Upload_Indiv[Score3],Upload_Indiv[[Player]:[Player]],$A14,Upload_Indiv[[Side]:[Side]],"Raintree Back")-IF(TRUNC(ROUND($B14,0)/9,0)=2,2+IF((ROUND($B14,0)-18)*2&gt;=O$2,1,0),IF(TRUNC(ROUND($B14,0)/9,0)=1,1+IF((ROUND($B14,0)-9)*2&gt;=O$2,1,0),IF(TRUNC(ROUND($B14,0)/9,0)=0,IF(TRUNC(ROUND($B14,0)/9,0)=0,0+IF((ROUND($B14,0))*2&gt;=O$2,1,0),"Not"))))-O$3,"")</f>
        <v/>
      </c>
    </row>
    <row r="422" spans="1:5" x14ac:dyDescent="0.25">
      <c r="A422" t="s">
        <v>724</v>
      </c>
      <c r="B422" t="s">
        <v>357</v>
      </c>
      <c r="C422" t="s">
        <v>725</v>
      </c>
      <c r="D422" t="s">
        <v>1101</v>
      </c>
      <c r="E422" t="str">
        <f>IFERROR(AVERAGEIFS(Upload_Indiv[Score3],Upload_Indiv[[Player]:[Player]],$A15,Upload_Indiv[[Side]:[Side]],"Raintree Front")-IF(TRUNC(ROUND($B15,0)/9,0)=2,2+IF((ROUND($B15,0)-18)*2&gt;=E$2,1,0),IF(TRUNC(ROUND($B15,0)/9,0)=1,1+IF((ROUND($B15,0)-9)*2&gt;=E$2,1,0),IF(TRUNC(ROUND($B15,0)/9,0)=0,IF(TRUNC(ROUND($B15,0)/9,0)=0,0+IF((ROUND($B15,0))*2&gt;=E$2,1,0),"Not"))))-E$3,"")</f>
        <v/>
      </c>
    </row>
    <row r="423" spans="1:5" x14ac:dyDescent="0.25">
      <c r="A423" t="s">
        <v>724</v>
      </c>
      <c r="B423" t="s">
        <v>357</v>
      </c>
      <c r="C423" t="s">
        <v>725</v>
      </c>
      <c r="D423" t="s">
        <v>1102</v>
      </c>
      <c r="E423" t="str">
        <f>IFERROR(AVERAGEIFS(Upload_Indiv[Score3],Upload_Indiv[[Player]:[Player]],$A15,Upload_Indiv[[Side]:[Side]],"Raintree Back")-IF(TRUNC(ROUND($B15,0)/9,0)=2,2+IF((ROUND($B15,0)-18)*2&gt;=O$2,1,0),IF(TRUNC(ROUND($B15,0)/9,0)=1,1+IF((ROUND($B15,0)-9)*2&gt;=O$2,1,0),IF(TRUNC(ROUND($B15,0)/9,0)=0,IF(TRUNC(ROUND($B15,0)/9,0)=0,0+IF((ROUND($B15,0))*2&gt;=O$2,1,0),"Not"))))-O$3,"")</f>
        <v/>
      </c>
    </row>
    <row r="424" spans="1:5" x14ac:dyDescent="0.25">
      <c r="A424" t="s">
        <v>724</v>
      </c>
      <c r="B424" t="s">
        <v>357</v>
      </c>
      <c r="C424" t="s">
        <v>725</v>
      </c>
      <c r="D424" t="s">
        <v>1103</v>
      </c>
      <c r="E424" t="str">
        <f>IFERROR(AVERAGEIFS(Upload_Indiv[Score3],Upload_Indiv[[Player]:[Player]],$A16,Upload_Indiv[[Side]:[Side]],"Raintree Front")-IF(TRUNC(ROUND($B16,0)/9,0)=2,2+IF((ROUND($B16,0)-18)*2&gt;=E$2,1,0),IF(TRUNC(ROUND($B16,0)/9,0)=1,1+IF((ROUND($B16,0)-9)*2&gt;=E$2,1,0),IF(TRUNC(ROUND($B16,0)/9,0)=0,IF(TRUNC(ROUND($B16,0)/9,0)=0,0+IF((ROUND($B16,0))*2&gt;=E$2,1,0),"Not"))))-E$3,"")</f>
        <v/>
      </c>
    </row>
    <row r="425" spans="1:5" x14ac:dyDescent="0.25">
      <c r="A425" t="s">
        <v>724</v>
      </c>
      <c r="B425" t="s">
        <v>357</v>
      </c>
      <c r="C425" t="s">
        <v>725</v>
      </c>
      <c r="D425" t="s">
        <v>1104</v>
      </c>
      <c r="E425" t="str">
        <f>IFERROR(AVERAGEIFS(Upload_Indiv[Score3],Upload_Indiv[[Player]:[Player]],$A16,Upload_Indiv[[Side]:[Side]],"Raintree Back")-IF(TRUNC(ROUND($B16,0)/9,0)=2,2+IF((ROUND($B16,0)-18)*2&gt;=O$2,1,0),IF(TRUNC(ROUND($B16,0)/9,0)=1,1+IF((ROUND($B16,0)-9)*2&gt;=O$2,1,0),IF(TRUNC(ROUND($B16,0)/9,0)=0,IF(TRUNC(ROUND($B16,0)/9,0)=0,0+IF((ROUND($B16,0))*2&gt;=O$2,1,0),"Not"))))-O$3,"")</f>
        <v/>
      </c>
    </row>
    <row r="426" spans="1:5" x14ac:dyDescent="0.25">
      <c r="A426" t="s">
        <v>724</v>
      </c>
      <c r="B426" t="s">
        <v>357</v>
      </c>
      <c r="C426" t="s">
        <v>725</v>
      </c>
      <c r="D426" t="s">
        <v>1105</v>
      </c>
      <c r="E426" t="str">
        <f>IFERROR(AVERAGEIFS(Upload_Indiv[Score3],Upload_Indiv[[Player]:[Player]],$A17,Upload_Indiv[[Side]:[Side]],"Raintree Front")-IF(TRUNC(ROUND($B17,0)/9,0)=2,2+IF((ROUND($B17,0)-18)*2&gt;=E$2,1,0),IF(TRUNC(ROUND($B17,0)/9,0)=1,1+IF((ROUND($B17,0)-9)*2&gt;=E$2,1,0),IF(TRUNC(ROUND($B17,0)/9,0)=0,IF(TRUNC(ROUND($B17,0)/9,0)=0,0+IF((ROUND($B17,0))*2&gt;=E$2,1,0),"Not"))))-E$3,"")</f>
        <v/>
      </c>
    </row>
    <row r="427" spans="1:5" x14ac:dyDescent="0.25">
      <c r="A427" t="s">
        <v>724</v>
      </c>
      <c r="B427" t="s">
        <v>357</v>
      </c>
      <c r="C427" t="s">
        <v>725</v>
      </c>
      <c r="D427" t="s">
        <v>1106</v>
      </c>
      <c r="E427" t="str">
        <f>IFERROR(AVERAGEIFS(Upload_Indiv[Score3],Upload_Indiv[[Player]:[Player]],$A17,Upload_Indiv[[Side]:[Side]],"Raintree Back")-IF(TRUNC(ROUND($B17,0)/9,0)=2,2+IF((ROUND($B17,0)-18)*2&gt;=O$2,1,0),IF(TRUNC(ROUND($B17,0)/9,0)=1,1+IF((ROUND($B17,0)-9)*2&gt;=O$2,1,0),IF(TRUNC(ROUND($B17,0)/9,0)=0,IF(TRUNC(ROUND($B17,0)/9,0)=0,0+IF((ROUND($B17,0))*2&gt;=O$2,1,0),"Not"))))-O$3,"")</f>
        <v/>
      </c>
    </row>
    <row r="428" spans="1:5" x14ac:dyDescent="0.25">
      <c r="A428" t="s">
        <v>724</v>
      </c>
      <c r="B428" t="s">
        <v>357</v>
      </c>
      <c r="C428" t="s">
        <v>725</v>
      </c>
      <c r="D428" t="s">
        <v>1107</v>
      </c>
      <c r="E428" t="str">
        <f>IFERROR(AVERAGEIFS(Upload_Indiv[Score3],Upload_Indiv[[Player]:[Player]],$A18,Upload_Indiv[[Side]:[Side]],"Raintree Front")-IF(TRUNC(ROUND($B18,0)/9,0)=2,2+IF((ROUND($B18,0)-18)*2&gt;=E$2,1,0),IF(TRUNC(ROUND($B18,0)/9,0)=1,1+IF((ROUND($B18,0)-9)*2&gt;=E$2,1,0),IF(TRUNC(ROUND($B18,0)/9,0)=0,IF(TRUNC(ROUND($B18,0)/9,0)=0,0+IF((ROUND($B18,0))*2&gt;=E$2,1,0),"Not"))))-E$3,"")</f>
        <v/>
      </c>
    </row>
    <row r="429" spans="1:5" x14ac:dyDescent="0.25">
      <c r="A429" t="s">
        <v>724</v>
      </c>
      <c r="B429" t="s">
        <v>357</v>
      </c>
      <c r="C429" t="s">
        <v>725</v>
      </c>
      <c r="D429" t="s">
        <v>1108</v>
      </c>
      <c r="E429" t="str">
        <f>IFERROR(AVERAGEIFS(Upload_Indiv[Score3],Upload_Indiv[[Player]:[Player]],$A18,Upload_Indiv[[Side]:[Side]],"Raintree Back")-IF(TRUNC(ROUND($B18,0)/9,0)=2,2+IF((ROUND($B18,0)-18)*2&gt;=O$2,1,0),IF(TRUNC(ROUND($B18,0)/9,0)=1,1+IF((ROUND($B18,0)-9)*2&gt;=O$2,1,0),IF(TRUNC(ROUND($B18,0)/9,0)=0,IF(TRUNC(ROUND($B18,0)/9,0)=0,0+IF((ROUND($B18,0))*2&gt;=O$2,1,0),"Not"))))-O$3,"")</f>
        <v/>
      </c>
    </row>
    <row r="430" spans="1:5" x14ac:dyDescent="0.25">
      <c r="A430" t="s">
        <v>724</v>
      </c>
      <c r="B430" t="s">
        <v>357</v>
      </c>
      <c r="C430" t="s">
        <v>725</v>
      </c>
      <c r="D430" t="s">
        <v>1109</v>
      </c>
      <c r="E430" t="str">
        <f>IFERROR(AVERAGEIFS(Upload_Indiv[Score3],Upload_Indiv[[Player]:[Player]],$A19,Upload_Indiv[[Side]:[Side]],"Raintree Front")-IF(TRUNC(ROUND($B19,0)/9,0)=2,2+IF((ROUND($B19,0)-18)*2&gt;=E$2,1,0),IF(TRUNC(ROUND($B19,0)/9,0)=1,1+IF((ROUND($B19,0)-9)*2&gt;=E$2,1,0),IF(TRUNC(ROUND($B19,0)/9,0)=0,IF(TRUNC(ROUND($B19,0)/9,0)=0,0+IF((ROUND($B19,0))*2&gt;=E$2,1,0),"Not"))))-E$3,"")</f>
        <v/>
      </c>
    </row>
    <row r="431" spans="1:5" x14ac:dyDescent="0.25">
      <c r="A431" t="s">
        <v>724</v>
      </c>
      <c r="B431" t="s">
        <v>357</v>
      </c>
      <c r="C431" t="s">
        <v>725</v>
      </c>
      <c r="D431" t="s">
        <v>1110</v>
      </c>
      <c r="E431" t="str">
        <f>IFERROR(AVERAGEIFS(Upload_Indiv[Score3],Upload_Indiv[[Player]:[Player]],$A19,Upload_Indiv[[Side]:[Side]],"Raintree Back")-IF(TRUNC(ROUND($B19,0)/9,0)=2,2+IF((ROUND($B19,0)-18)*2&gt;=O$2,1,0),IF(TRUNC(ROUND($B19,0)/9,0)=1,1+IF((ROUND($B19,0)-9)*2&gt;=O$2,1,0),IF(TRUNC(ROUND($B19,0)/9,0)=0,IF(TRUNC(ROUND($B19,0)/9,0)=0,0+IF((ROUND($B19,0))*2&gt;=O$2,1,0),"Not"))))-O$3,"")</f>
        <v/>
      </c>
    </row>
    <row r="432" spans="1:5" x14ac:dyDescent="0.25">
      <c r="A432" t="s">
        <v>724</v>
      </c>
      <c r="B432" t="s">
        <v>357</v>
      </c>
      <c r="C432" t="s">
        <v>725</v>
      </c>
      <c r="D432" t="s">
        <v>1111</v>
      </c>
      <c r="E432" t="str">
        <f>IFERROR(AVERAGEIFS(Upload_Indiv[Score3],Upload_Indiv[[Player]:[Player]],$A20,Upload_Indiv[[Side]:[Side]],"Raintree Front")-IF(TRUNC(ROUND($B20,0)/9,0)=2,2+IF((ROUND($B20,0)-18)*2&gt;=E$2,1,0),IF(TRUNC(ROUND($B20,0)/9,0)=1,1+IF((ROUND($B20,0)-9)*2&gt;=E$2,1,0),IF(TRUNC(ROUND($B20,0)/9,0)=0,IF(TRUNC(ROUND($B20,0)/9,0)=0,0+IF((ROUND($B20,0))*2&gt;=E$2,1,0),"Not"))))-E$3,"")</f>
        <v/>
      </c>
    </row>
    <row r="433" spans="1:5" x14ac:dyDescent="0.25">
      <c r="A433" t="s">
        <v>724</v>
      </c>
      <c r="B433" t="s">
        <v>357</v>
      </c>
      <c r="C433" t="s">
        <v>725</v>
      </c>
      <c r="D433" t="s">
        <v>1112</v>
      </c>
      <c r="E433" t="str">
        <f>IFERROR(AVERAGEIFS(Upload_Indiv[Score3],Upload_Indiv[[Player]:[Player]],$A20,Upload_Indiv[[Side]:[Side]],"Raintree Back")-IF(TRUNC(ROUND($B20,0)/9,0)=2,2+IF((ROUND($B20,0)-18)*2&gt;=O$2,1,0),IF(TRUNC(ROUND($B20,0)/9,0)=1,1+IF((ROUND($B20,0)-9)*2&gt;=O$2,1,0),IF(TRUNC(ROUND($B20,0)/9,0)=0,IF(TRUNC(ROUND($B20,0)/9,0)=0,0+IF((ROUND($B20,0))*2&gt;=O$2,1,0),"Not"))))-O$3,"")</f>
        <v/>
      </c>
    </row>
    <row r="434" spans="1:5" x14ac:dyDescent="0.25">
      <c r="A434" t="s">
        <v>724</v>
      </c>
      <c r="B434" t="s">
        <v>357</v>
      </c>
      <c r="C434" t="s">
        <v>725</v>
      </c>
      <c r="D434" t="s">
        <v>1113</v>
      </c>
      <c r="E434" t="str">
        <f>IFERROR(AVERAGEIFS(Upload_Indiv[Score3],Upload_Indiv[[Player]:[Player]],$A21,Upload_Indiv[[Side]:[Side]],"Raintree Front")-IF(TRUNC(ROUND($B21,0)/9,0)=2,2+IF((ROUND($B21,0)-18)*2&gt;=E$2,1,0),IF(TRUNC(ROUND($B21,0)/9,0)=1,1+IF((ROUND($B21,0)-9)*2&gt;=E$2,1,0),IF(TRUNC(ROUND($B21,0)/9,0)=0,IF(TRUNC(ROUND($B21,0)/9,0)=0,0+IF((ROUND($B21,0))*2&gt;=E$2,1,0),"Not"))))-E$3,"")</f>
        <v/>
      </c>
    </row>
    <row r="435" spans="1:5" x14ac:dyDescent="0.25">
      <c r="A435" t="s">
        <v>724</v>
      </c>
      <c r="B435" t="s">
        <v>357</v>
      </c>
      <c r="C435" t="s">
        <v>725</v>
      </c>
      <c r="D435" t="s">
        <v>1114</v>
      </c>
      <c r="E435" t="str">
        <f>IFERROR(AVERAGEIFS(Upload_Indiv[Score3],Upload_Indiv[[Player]:[Player]],$A21,Upload_Indiv[[Side]:[Side]],"Raintree Back")-IF(TRUNC(ROUND($B21,0)/9,0)=2,2+IF((ROUND($B21,0)-18)*2&gt;=O$2,1,0),IF(TRUNC(ROUND($B21,0)/9,0)=1,1+IF((ROUND($B21,0)-9)*2&gt;=O$2,1,0),IF(TRUNC(ROUND($B21,0)/9,0)=0,IF(TRUNC(ROUND($B21,0)/9,0)=0,0+IF((ROUND($B21,0))*2&gt;=O$2,1,0),"Not"))))-O$3,"")</f>
        <v/>
      </c>
    </row>
    <row r="436" spans="1:5" x14ac:dyDescent="0.25">
      <c r="A436" t="s">
        <v>724</v>
      </c>
      <c r="B436" t="s">
        <v>357</v>
      </c>
      <c r="C436" t="s">
        <v>725</v>
      </c>
      <c r="D436" t="s">
        <v>1115</v>
      </c>
      <c r="E436" t="str">
        <f>IFERROR(AVERAGEIFS(Upload_Indiv[Score3],Upload_Indiv[[Player]:[Player]],$A22,Upload_Indiv[[Side]:[Side]],"Raintree Front")-IF(TRUNC(ROUND($B22,0)/9,0)=2,2+IF((ROUND($B22,0)-18)*2&gt;=E$2,1,0),IF(TRUNC(ROUND($B22,0)/9,0)=1,1+IF((ROUND($B22,0)-9)*2&gt;=E$2,1,0),IF(TRUNC(ROUND($B22,0)/9,0)=0,IF(TRUNC(ROUND($B22,0)/9,0)=0,0+IF((ROUND($B22,0))*2&gt;=E$2,1,0),"Not"))))-E$3,"")</f>
        <v/>
      </c>
    </row>
    <row r="437" spans="1:5" x14ac:dyDescent="0.25">
      <c r="A437" t="s">
        <v>724</v>
      </c>
      <c r="B437" t="s">
        <v>357</v>
      </c>
      <c r="C437" t="s">
        <v>725</v>
      </c>
      <c r="D437" t="s">
        <v>1116</v>
      </c>
      <c r="E437" t="str">
        <f>IFERROR(AVERAGEIFS(Upload_Indiv[Score3],Upload_Indiv[[Player]:[Player]],$A22,Upload_Indiv[[Side]:[Side]],"Raintree Back")-IF(TRUNC(ROUND($B22,0)/9,0)=2,2+IF((ROUND($B22,0)-18)*2&gt;=O$2,1,0),IF(TRUNC(ROUND($B22,0)/9,0)=1,1+IF((ROUND($B22,0)-9)*2&gt;=O$2,1,0),IF(TRUNC(ROUND($B22,0)/9,0)=0,IF(TRUNC(ROUND($B22,0)/9,0)=0,0+IF((ROUND($B22,0))*2&gt;=O$2,1,0),"Not"))))-O$3,"")</f>
        <v/>
      </c>
    </row>
    <row r="438" spans="1:5" x14ac:dyDescent="0.25">
      <c r="A438" t="s">
        <v>724</v>
      </c>
      <c r="B438" t="s">
        <v>357</v>
      </c>
      <c r="C438" t="s">
        <v>725</v>
      </c>
      <c r="D438" t="s">
        <v>1117</v>
      </c>
      <c r="E438" t="str">
        <f>IFERROR(AVERAGEIFS(Upload_Indiv[Score3],Upload_Indiv[[Player]:[Player]],$A23,Upload_Indiv[[Side]:[Side]],"Raintree Front")-IF(TRUNC(ROUND($B23,0)/9,0)=2,2+IF((ROUND($B23,0)-18)*2&gt;=E$2,1,0),IF(TRUNC(ROUND($B23,0)/9,0)=1,1+IF((ROUND($B23,0)-9)*2&gt;=E$2,1,0),IF(TRUNC(ROUND($B23,0)/9,0)=0,IF(TRUNC(ROUND($B23,0)/9,0)=0,0+IF((ROUND($B23,0))*2&gt;=E$2,1,0),"Not"))))-E$3,"")</f>
        <v/>
      </c>
    </row>
    <row r="439" spans="1:5" x14ac:dyDescent="0.25">
      <c r="A439" t="s">
        <v>724</v>
      </c>
      <c r="B439" t="s">
        <v>357</v>
      </c>
      <c r="C439" t="s">
        <v>725</v>
      </c>
      <c r="D439" t="s">
        <v>1118</v>
      </c>
      <c r="E439" t="str">
        <f>IFERROR(AVERAGEIFS(Upload_Indiv[Score3],Upload_Indiv[[Player]:[Player]],$A23,Upload_Indiv[[Side]:[Side]],"Raintree Back")-IF(TRUNC(ROUND($B23,0)/9,0)=2,2+IF((ROUND($B23,0)-18)*2&gt;=O$2,1,0),IF(TRUNC(ROUND($B23,0)/9,0)=1,1+IF((ROUND($B23,0)-9)*2&gt;=O$2,1,0),IF(TRUNC(ROUND($B23,0)/9,0)=0,IF(TRUNC(ROUND($B23,0)/9,0)=0,0+IF((ROUND($B23,0))*2&gt;=O$2,1,0),"Not"))))-O$3,"")</f>
        <v/>
      </c>
    </row>
    <row r="440" spans="1:5" x14ac:dyDescent="0.25">
      <c r="A440" t="s">
        <v>724</v>
      </c>
      <c r="B440" t="s">
        <v>357</v>
      </c>
      <c r="C440" t="s">
        <v>725</v>
      </c>
      <c r="D440" t="s">
        <v>1119</v>
      </c>
      <c r="E440" t="str">
        <f>IFERROR(AVERAGEIFS(Upload_Indiv[Score3],Upload_Indiv[[Player]:[Player]],$A24,Upload_Indiv[[Side]:[Side]],"Raintree Front")-IF(TRUNC(ROUND($B24,0)/9,0)=2,2+IF((ROUND($B24,0)-18)*2&gt;=E$2,1,0),IF(TRUNC(ROUND($B24,0)/9,0)=1,1+IF((ROUND($B24,0)-9)*2&gt;=E$2,1,0),IF(TRUNC(ROUND($B24,0)/9,0)=0,IF(TRUNC(ROUND($B24,0)/9,0)=0,0+IF((ROUND($B24,0))*2&gt;=E$2,1,0),"Not"))))-E$3,"")</f>
        <v/>
      </c>
    </row>
    <row r="441" spans="1:5" x14ac:dyDescent="0.25">
      <c r="A441" t="s">
        <v>724</v>
      </c>
      <c r="B441" t="s">
        <v>357</v>
      </c>
      <c r="C441" t="s">
        <v>725</v>
      </c>
      <c r="D441" t="s">
        <v>1120</v>
      </c>
      <c r="E441" t="str">
        <f>IFERROR(AVERAGEIFS(Upload_Indiv[Score3],Upload_Indiv[[Player]:[Player]],$A24,Upload_Indiv[[Side]:[Side]],"Raintree Back")-IF(TRUNC(ROUND($B24,0)/9,0)=2,2+IF((ROUND($B24,0)-18)*2&gt;=O$2,1,0),IF(TRUNC(ROUND($B24,0)/9,0)=1,1+IF((ROUND($B24,0)-9)*2&gt;=O$2,1,0),IF(TRUNC(ROUND($B24,0)/9,0)=0,IF(TRUNC(ROUND($B24,0)/9,0)=0,0+IF((ROUND($B24,0))*2&gt;=O$2,1,0),"Not"))))-O$3,"")</f>
        <v/>
      </c>
    </row>
    <row r="442" spans="1:5" x14ac:dyDescent="0.25">
      <c r="A442" t="s">
        <v>724</v>
      </c>
      <c r="B442" t="s">
        <v>357</v>
      </c>
      <c r="C442" t="s">
        <v>725</v>
      </c>
      <c r="D442" t="s">
        <v>1121</v>
      </c>
      <c r="E442" t="str">
        <f>IFERROR(AVERAGEIFS(Upload_Indiv[Score3],Upload_Indiv[[Player]:[Player]],$A25,Upload_Indiv[[Side]:[Side]],"Raintree Front")-IF(TRUNC(ROUND($B25,0)/9,0)=2,2+IF((ROUND($B25,0)-18)*2&gt;=E$2,1,0),IF(TRUNC(ROUND($B25,0)/9,0)=1,1+IF((ROUND($B25,0)-9)*2&gt;=E$2,1,0),IF(TRUNC(ROUND($B25,0)/9,0)=0,IF(TRUNC(ROUND($B25,0)/9,0)=0,0+IF((ROUND($B25,0))*2&gt;=E$2,1,0),"Not"))))-E$3,"")</f>
        <v/>
      </c>
    </row>
    <row r="443" spans="1:5" x14ac:dyDescent="0.25">
      <c r="A443" t="s">
        <v>724</v>
      </c>
      <c r="B443" t="s">
        <v>357</v>
      </c>
      <c r="C443" t="s">
        <v>725</v>
      </c>
      <c r="D443" t="s">
        <v>1122</v>
      </c>
      <c r="E443" t="str">
        <f>IFERROR(AVERAGEIFS(Upload_Indiv[Score3],Upload_Indiv[[Player]:[Player]],$A25,Upload_Indiv[[Side]:[Side]],"Raintree Back")-IF(TRUNC(ROUND($B25,0)/9,0)=2,2+IF((ROUND($B25,0)-18)*2&gt;=O$2,1,0),IF(TRUNC(ROUND($B25,0)/9,0)=1,1+IF((ROUND($B25,0)-9)*2&gt;=O$2,1,0),IF(TRUNC(ROUND($B25,0)/9,0)=0,IF(TRUNC(ROUND($B25,0)/9,0)=0,0+IF((ROUND($B25,0))*2&gt;=O$2,1,0),"Not"))))-O$3,"")</f>
        <v/>
      </c>
    </row>
    <row r="444" spans="1:5" x14ac:dyDescent="0.25">
      <c r="A444" t="s">
        <v>724</v>
      </c>
      <c r="B444" t="s">
        <v>357</v>
      </c>
      <c r="C444" t="s">
        <v>725</v>
      </c>
      <c r="D444" t="s">
        <v>1123</v>
      </c>
      <c r="E444" t="str">
        <f>IFERROR(AVERAGEIFS(Upload_Indiv[Score3],Upload_Indiv[[Player]:[Player]],$A26,Upload_Indiv[[Side]:[Side]],"Raintree Front")-IF(TRUNC(ROUND($B26,0)/9,0)=2,2+IF((ROUND($B26,0)-18)*2&gt;=E$2,1,0),IF(TRUNC(ROUND($B26,0)/9,0)=1,1+IF((ROUND($B26,0)-9)*2&gt;=E$2,1,0),IF(TRUNC(ROUND($B26,0)/9,0)=0,IF(TRUNC(ROUND($B26,0)/9,0)=0,0+IF((ROUND($B26,0))*2&gt;=E$2,1,0),"Not"))))-E$3,"")</f>
        <v/>
      </c>
    </row>
    <row r="445" spans="1:5" x14ac:dyDescent="0.25">
      <c r="A445" t="s">
        <v>724</v>
      </c>
      <c r="B445" t="s">
        <v>357</v>
      </c>
      <c r="C445" t="s">
        <v>725</v>
      </c>
      <c r="D445" t="s">
        <v>1124</v>
      </c>
      <c r="E445" t="str">
        <f>IFERROR(AVERAGEIFS(Upload_Indiv[Score3],Upload_Indiv[[Player]:[Player]],$A26,Upload_Indiv[[Side]:[Side]],"Raintree Back")-IF(TRUNC(ROUND($B26,0)/9,0)=2,2+IF((ROUND($B26,0)-18)*2&gt;=O$2,1,0),IF(TRUNC(ROUND($B26,0)/9,0)=1,1+IF((ROUND($B26,0)-9)*2&gt;=O$2,1,0),IF(TRUNC(ROUND($B26,0)/9,0)=0,IF(TRUNC(ROUND($B26,0)/9,0)=0,0+IF((ROUND($B26,0))*2&gt;=O$2,1,0),"Not"))))-O$3,"")</f>
        <v/>
      </c>
    </row>
    <row r="446" spans="1:5" x14ac:dyDescent="0.25">
      <c r="A446" t="s">
        <v>724</v>
      </c>
      <c r="B446" t="s">
        <v>357</v>
      </c>
      <c r="C446" t="s">
        <v>725</v>
      </c>
      <c r="D446" t="s">
        <v>1125</v>
      </c>
      <c r="E446" t="str">
        <f>IFERROR(AVERAGEIFS(Upload_Indiv[Score3],Upload_Indiv[[Player]:[Player]],$A27,Upload_Indiv[[Side]:[Side]],"Raintree Front")-IF(TRUNC(ROUND($B27,0)/9,0)=2,2+IF((ROUND($B27,0)-18)*2&gt;=E$2,1,0),IF(TRUNC(ROUND($B27,0)/9,0)=1,1+IF((ROUND($B27,0)-9)*2&gt;=E$2,1,0),IF(TRUNC(ROUND($B27,0)/9,0)=0,IF(TRUNC(ROUND($B27,0)/9,0)=0,0+IF((ROUND($B27,0))*2&gt;=E$2,1,0),"Not"))))-E$3,"")</f>
        <v/>
      </c>
    </row>
    <row r="447" spans="1:5" x14ac:dyDescent="0.25">
      <c r="A447" t="s">
        <v>724</v>
      </c>
      <c r="B447" t="s">
        <v>357</v>
      </c>
      <c r="C447" t="s">
        <v>725</v>
      </c>
      <c r="D447" t="s">
        <v>1126</v>
      </c>
      <c r="E447" t="str">
        <f>IFERROR(AVERAGEIFS(Upload_Indiv[Score3],Upload_Indiv[[Player]:[Player]],$A27,Upload_Indiv[[Side]:[Side]],"Raintree Back")-IF(TRUNC(ROUND($B27,0)/9,0)=2,2+IF((ROUND($B27,0)-18)*2&gt;=O$2,1,0),IF(TRUNC(ROUND($B27,0)/9,0)=1,1+IF((ROUND($B27,0)-9)*2&gt;=O$2,1,0),IF(TRUNC(ROUND($B27,0)/9,0)=0,IF(TRUNC(ROUND($B27,0)/9,0)=0,0+IF((ROUND($B27,0))*2&gt;=O$2,1,0),"Not"))))-O$3,"")</f>
        <v/>
      </c>
    </row>
    <row r="448" spans="1:5" x14ac:dyDescent="0.25">
      <c r="A448" t="s">
        <v>724</v>
      </c>
      <c r="B448" t="s">
        <v>357</v>
      </c>
      <c r="C448" t="s">
        <v>725</v>
      </c>
      <c r="D448" t="s">
        <v>1127</v>
      </c>
      <c r="E448" t="str">
        <f>IFERROR(AVERAGEIFS(Upload_Indiv[Score3],Upload_Indiv[[Player]:[Player]],$A28,Upload_Indiv[[Side]:[Side]],"Raintree Front")-IF(TRUNC(ROUND($B28,0)/9,0)=2,2+IF((ROUND($B28,0)-18)*2&gt;=E$2,1,0),IF(TRUNC(ROUND($B28,0)/9,0)=1,1+IF((ROUND($B28,0)-9)*2&gt;=E$2,1,0),IF(TRUNC(ROUND($B28,0)/9,0)=0,IF(TRUNC(ROUND($B28,0)/9,0)=0,0+IF((ROUND($B28,0))*2&gt;=E$2,1,0),"Not"))))-E$3,"")</f>
        <v/>
      </c>
    </row>
    <row r="449" spans="1:5" x14ac:dyDescent="0.25">
      <c r="A449" t="s">
        <v>724</v>
      </c>
      <c r="B449" t="s">
        <v>357</v>
      </c>
      <c r="C449" t="s">
        <v>725</v>
      </c>
      <c r="D449" t="s">
        <v>1128</v>
      </c>
      <c r="E449" t="str">
        <f>IFERROR(AVERAGEIFS(Upload_Indiv[Score3],Upload_Indiv[[Player]:[Player]],$A28,Upload_Indiv[[Side]:[Side]],"Raintree Back")-IF(TRUNC(ROUND($B28,0)/9,0)=2,2+IF((ROUND($B28,0)-18)*2&gt;=O$2,1,0),IF(TRUNC(ROUND($B28,0)/9,0)=1,1+IF((ROUND($B28,0)-9)*2&gt;=O$2,1,0),IF(TRUNC(ROUND($B28,0)/9,0)=0,IF(TRUNC(ROUND($B28,0)/9,0)=0,0+IF((ROUND($B28,0))*2&gt;=O$2,1,0),"Not"))))-O$3,"")</f>
        <v/>
      </c>
    </row>
    <row r="450" spans="1:5" x14ac:dyDescent="0.25">
      <c r="A450" t="s">
        <v>724</v>
      </c>
      <c r="B450" t="s">
        <v>357</v>
      </c>
      <c r="C450" t="s">
        <v>725</v>
      </c>
      <c r="D450" t="s">
        <v>1129</v>
      </c>
      <c r="E450" t="str">
        <f>IFERROR(AVERAGEIFS(Upload_Indiv[Score3],Upload_Indiv[[Player]:[Player]],$A29,Upload_Indiv[[Side]:[Side]],"Raintree Front")-IF(TRUNC(ROUND($B29,0)/9,0)=2,2+IF((ROUND($B29,0)-18)*2&gt;=E$2,1,0),IF(TRUNC(ROUND($B29,0)/9,0)=1,1+IF((ROUND($B29,0)-9)*2&gt;=E$2,1,0),IF(TRUNC(ROUND($B29,0)/9,0)=0,IF(TRUNC(ROUND($B29,0)/9,0)=0,0+IF((ROUND($B29,0))*2&gt;=E$2,1,0),"Not"))))-E$3,"")</f>
        <v/>
      </c>
    </row>
    <row r="451" spans="1:5" x14ac:dyDescent="0.25">
      <c r="A451" t="s">
        <v>724</v>
      </c>
      <c r="B451" t="s">
        <v>357</v>
      </c>
      <c r="C451" t="s">
        <v>725</v>
      </c>
      <c r="D451" t="s">
        <v>1130</v>
      </c>
      <c r="E451" t="str">
        <f>IFERROR(AVERAGEIFS(Upload_Indiv[Score3],Upload_Indiv[[Player]:[Player]],$A29,Upload_Indiv[[Side]:[Side]],"Raintree Back")-IF(TRUNC(ROUND($B29,0)/9,0)=2,2+IF((ROUND($B29,0)-18)*2&gt;=O$2,1,0),IF(TRUNC(ROUND($B29,0)/9,0)=1,1+IF((ROUND($B29,0)-9)*2&gt;=O$2,1,0),IF(TRUNC(ROUND($B29,0)/9,0)=0,IF(TRUNC(ROUND($B29,0)/9,0)=0,0+IF((ROUND($B29,0))*2&gt;=O$2,1,0),"Not"))))-O$3,"")</f>
        <v/>
      </c>
    </row>
    <row r="452" spans="1:5" x14ac:dyDescent="0.25">
      <c r="A452" t="s">
        <v>724</v>
      </c>
      <c r="B452" t="s">
        <v>357</v>
      </c>
      <c r="C452" t="s">
        <v>725</v>
      </c>
      <c r="D452" t="s">
        <v>1131</v>
      </c>
      <c r="E452" t="str">
        <f>IFERROR(AVERAGEIFS(Upload_Indiv[Score3],Upload_Indiv[[Player]:[Player]],$A30,Upload_Indiv[[Side]:[Side]],"Raintree Front")-IF(TRUNC(ROUND($B30,0)/9,0)=2,2+IF((ROUND($B30,0)-18)*2&gt;=E$2,1,0),IF(TRUNC(ROUND($B30,0)/9,0)=1,1+IF((ROUND($B30,0)-9)*2&gt;=E$2,1,0),IF(TRUNC(ROUND($B30,0)/9,0)=0,IF(TRUNC(ROUND($B30,0)/9,0)=0,0+IF((ROUND($B30,0))*2&gt;=E$2,1,0),"Not"))))-E$3,"")</f>
        <v/>
      </c>
    </row>
    <row r="453" spans="1:5" x14ac:dyDescent="0.25">
      <c r="A453" t="s">
        <v>724</v>
      </c>
      <c r="B453" t="s">
        <v>357</v>
      </c>
      <c r="C453" t="s">
        <v>725</v>
      </c>
      <c r="D453" t="s">
        <v>1132</v>
      </c>
      <c r="E453" t="str">
        <f>IFERROR(AVERAGEIFS(Upload_Indiv[Score3],Upload_Indiv[[Player]:[Player]],$A30,Upload_Indiv[[Side]:[Side]],"Raintree Back")-IF(TRUNC(ROUND($B30,0)/9,0)=2,2+IF((ROUND($B30,0)-18)*2&gt;=O$2,1,0),IF(TRUNC(ROUND($B30,0)/9,0)=1,1+IF((ROUND($B30,0)-9)*2&gt;=O$2,1,0),IF(TRUNC(ROUND($B30,0)/9,0)=0,IF(TRUNC(ROUND($B30,0)/9,0)=0,0+IF((ROUND($B30,0))*2&gt;=O$2,1,0),"Not"))))-O$3,"")</f>
        <v/>
      </c>
    </row>
    <row r="454" spans="1:5" x14ac:dyDescent="0.25">
      <c r="A454" t="s">
        <v>724</v>
      </c>
      <c r="B454" t="s">
        <v>357</v>
      </c>
      <c r="C454" t="s">
        <v>725</v>
      </c>
      <c r="D454" t="s">
        <v>1133</v>
      </c>
      <c r="E454" t="str">
        <f>IFERROR(AVERAGEIFS(Upload_Indiv[Score3],Upload_Indiv[[Player]:[Player]],$A31,Upload_Indiv[[Side]:[Side]],"Raintree Front")-IF(TRUNC(ROUND($B31,0)/9,0)=2,2+IF((ROUND($B31,0)-18)*2&gt;=E$2,1,0),IF(TRUNC(ROUND($B31,0)/9,0)=1,1+IF((ROUND($B31,0)-9)*2&gt;=E$2,1,0),IF(TRUNC(ROUND($B31,0)/9,0)=0,IF(TRUNC(ROUND($B31,0)/9,0)=0,0+IF((ROUND($B31,0))*2&gt;=E$2,1,0),"Not"))))-E$3,"")</f>
        <v/>
      </c>
    </row>
    <row r="455" spans="1:5" x14ac:dyDescent="0.25">
      <c r="A455" t="s">
        <v>724</v>
      </c>
      <c r="B455" t="s">
        <v>357</v>
      </c>
      <c r="C455" t="s">
        <v>725</v>
      </c>
      <c r="D455" t="s">
        <v>1134</v>
      </c>
      <c r="E455" t="str">
        <f>IFERROR(AVERAGEIFS(Upload_Indiv[Score3],Upload_Indiv[[Player]:[Player]],$A31,Upload_Indiv[[Side]:[Side]],"Raintree Back")-IF(TRUNC(ROUND($B31,0)/9,0)=2,2+IF((ROUND($B31,0)-18)*2&gt;=O$2,1,0),IF(TRUNC(ROUND($B31,0)/9,0)=1,1+IF((ROUND($B31,0)-9)*2&gt;=O$2,1,0),IF(TRUNC(ROUND($B31,0)/9,0)=0,IF(TRUNC(ROUND($B31,0)/9,0)=0,0+IF((ROUND($B31,0))*2&gt;=O$2,1,0),"Not"))))-O$3,"")</f>
        <v/>
      </c>
    </row>
    <row r="456" spans="1:5" x14ac:dyDescent="0.25">
      <c r="A456" t="s">
        <v>724</v>
      </c>
      <c r="B456" t="s">
        <v>357</v>
      </c>
      <c r="C456" t="s">
        <v>725</v>
      </c>
      <c r="D456" t="s">
        <v>1135</v>
      </c>
      <c r="E456" t="str">
        <f>IFERROR(AVERAGEIFS(Upload_Indiv[Score3],Upload_Indiv[[Player]:[Player]],$A32,Upload_Indiv[[Side]:[Side]],"Raintree Front")-IF(TRUNC(ROUND($B32,0)/9,0)=2,2+IF((ROUND($B32,0)-18)*2&gt;=E$2,1,0),IF(TRUNC(ROUND($B32,0)/9,0)=1,1+IF((ROUND($B32,0)-9)*2&gt;=E$2,1,0),IF(TRUNC(ROUND($B32,0)/9,0)=0,IF(TRUNC(ROUND($B32,0)/9,0)=0,0+IF((ROUND($B32,0))*2&gt;=E$2,1,0),"Not"))))-E$3,"")</f>
        <v/>
      </c>
    </row>
    <row r="457" spans="1:5" x14ac:dyDescent="0.25">
      <c r="A457" t="s">
        <v>724</v>
      </c>
      <c r="B457" t="s">
        <v>357</v>
      </c>
      <c r="C457" t="s">
        <v>725</v>
      </c>
      <c r="D457" t="s">
        <v>1136</v>
      </c>
      <c r="E457" t="str">
        <f>IFERROR(AVERAGEIFS(Upload_Indiv[Score3],Upload_Indiv[[Player]:[Player]],$A32,Upload_Indiv[[Side]:[Side]],"Raintree Back")-IF(TRUNC(ROUND($B32,0)/9,0)=2,2+IF((ROUND($B32,0)-18)*2&gt;=O$2,1,0),IF(TRUNC(ROUND($B32,0)/9,0)=1,1+IF((ROUND($B32,0)-9)*2&gt;=O$2,1,0),IF(TRUNC(ROUND($B32,0)/9,0)=0,IF(TRUNC(ROUND($B32,0)/9,0)=0,0+IF((ROUND($B32,0))*2&gt;=O$2,1,0),"Not"))))-O$3,"")</f>
        <v/>
      </c>
    </row>
    <row r="458" spans="1:5" x14ac:dyDescent="0.25">
      <c r="A458" t="s">
        <v>724</v>
      </c>
      <c r="B458" t="s">
        <v>357</v>
      </c>
      <c r="C458" t="s">
        <v>725</v>
      </c>
      <c r="D458" t="s">
        <v>1137</v>
      </c>
      <c r="E458" t="str">
        <f>IFERROR(AVERAGEIFS(Upload_Indiv[Score3],Upload_Indiv[[Player]:[Player]],$A33,Upload_Indiv[[Side]:[Side]],"Raintree Front")-IF(TRUNC(ROUND($B33,0)/9,0)=2,2+IF((ROUND($B33,0)-18)*2&gt;=E$2,1,0),IF(TRUNC(ROUND($B33,0)/9,0)=1,1+IF((ROUND($B33,0)-9)*2&gt;=E$2,1,0),IF(TRUNC(ROUND($B33,0)/9,0)=0,IF(TRUNC(ROUND($B33,0)/9,0)=0,0+IF((ROUND($B33,0))*2&gt;=E$2,1,0),"Not"))))-E$3,"")</f>
        <v/>
      </c>
    </row>
    <row r="459" spans="1:5" x14ac:dyDescent="0.25">
      <c r="A459" t="s">
        <v>724</v>
      </c>
      <c r="B459" t="s">
        <v>357</v>
      </c>
      <c r="C459" t="s">
        <v>725</v>
      </c>
      <c r="D459" t="s">
        <v>1138</v>
      </c>
      <c r="E459" t="str">
        <f>IFERROR(AVERAGEIFS(Upload_Indiv[Score3],Upload_Indiv[[Player]:[Player]],$A33,Upload_Indiv[[Side]:[Side]],"Raintree Back")-IF(TRUNC(ROUND($B33,0)/9,0)=2,2+IF((ROUND($B33,0)-18)*2&gt;=O$2,1,0),IF(TRUNC(ROUND($B33,0)/9,0)=1,1+IF((ROUND($B33,0)-9)*2&gt;=O$2,1,0),IF(TRUNC(ROUND($B33,0)/9,0)=0,IF(TRUNC(ROUND($B33,0)/9,0)=0,0+IF((ROUND($B33,0))*2&gt;=O$2,1,0),"Not"))))-O$3,"")</f>
        <v/>
      </c>
    </row>
    <row r="460" spans="1:5" x14ac:dyDescent="0.25">
      <c r="A460" t="s">
        <v>724</v>
      </c>
      <c r="B460" t="s">
        <v>357</v>
      </c>
      <c r="C460" t="s">
        <v>725</v>
      </c>
      <c r="D460" t="s">
        <v>1139</v>
      </c>
      <c r="E460" t="str">
        <f>IFERROR(AVERAGEIFS(Upload_Indiv[Score3],Upload_Indiv[[Player]:[Player]],$A34,Upload_Indiv[[Side]:[Side]],"Raintree Front")-IF(TRUNC(ROUND($B34,0)/9,0)=2,2+IF((ROUND($B34,0)-18)*2&gt;=E$2,1,0),IF(TRUNC(ROUND($B34,0)/9,0)=1,1+IF((ROUND($B34,0)-9)*2&gt;=E$2,1,0),IF(TRUNC(ROUND($B34,0)/9,0)=0,IF(TRUNC(ROUND($B34,0)/9,0)=0,0+IF((ROUND($B34,0))*2&gt;=E$2,1,0),"Not"))))-E$3,"")</f>
        <v/>
      </c>
    </row>
    <row r="461" spans="1:5" x14ac:dyDescent="0.25">
      <c r="A461" t="s">
        <v>724</v>
      </c>
      <c r="B461" t="s">
        <v>357</v>
      </c>
      <c r="C461" t="s">
        <v>725</v>
      </c>
      <c r="D461" t="s">
        <v>1140</v>
      </c>
      <c r="E461" t="str">
        <f>IFERROR(AVERAGEIFS(Upload_Indiv[Score3],Upload_Indiv[[Player]:[Player]],$A34,Upload_Indiv[[Side]:[Side]],"Raintree Back")-IF(TRUNC(ROUND($B34,0)/9,0)=2,2+IF((ROUND($B34,0)-18)*2&gt;=O$2,1,0),IF(TRUNC(ROUND($B34,0)/9,0)=1,1+IF((ROUND($B34,0)-9)*2&gt;=O$2,1,0),IF(TRUNC(ROUND($B34,0)/9,0)=0,IF(TRUNC(ROUND($B34,0)/9,0)=0,0+IF((ROUND($B34,0))*2&gt;=O$2,1,0),"Not"))))-O$3,"")</f>
        <v/>
      </c>
    </row>
    <row r="462" spans="1:5" x14ac:dyDescent="0.25">
      <c r="A462" t="s">
        <v>724</v>
      </c>
      <c r="B462" t="s">
        <v>357</v>
      </c>
      <c r="C462" t="s">
        <v>725</v>
      </c>
      <c r="D462" t="s">
        <v>1141</v>
      </c>
      <c r="E462" t="str">
        <f>IFERROR(AVERAGEIFS(Upload_Indiv[Score3],Upload_Indiv[[Player]:[Player]],$A35,Upload_Indiv[[Side]:[Side]],"Raintree Front")-IF(TRUNC(ROUND($B35,0)/9,0)=2,2+IF((ROUND($B35,0)-18)*2&gt;=E$2,1,0),IF(TRUNC(ROUND($B35,0)/9,0)=1,1+IF((ROUND($B35,0)-9)*2&gt;=E$2,1,0),IF(TRUNC(ROUND($B35,0)/9,0)=0,IF(TRUNC(ROUND($B35,0)/9,0)=0,0+IF((ROUND($B35,0))*2&gt;=E$2,1,0),"Not"))))-E$3,"")</f>
        <v/>
      </c>
    </row>
    <row r="463" spans="1:5" x14ac:dyDescent="0.25">
      <c r="A463" t="s">
        <v>724</v>
      </c>
      <c r="B463" t="s">
        <v>357</v>
      </c>
      <c r="C463" t="s">
        <v>725</v>
      </c>
      <c r="D463" t="s">
        <v>1142</v>
      </c>
      <c r="E463" t="str">
        <f>IFERROR(AVERAGEIFS(Upload_Indiv[Score3],Upload_Indiv[[Player]:[Player]],$A35,Upload_Indiv[[Side]:[Side]],"Raintree Back")-IF(TRUNC(ROUND($B35,0)/9,0)=2,2+IF((ROUND($B35,0)-18)*2&gt;=O$2,1,0),IF(TRUNC(ROUND($B35,0)/9,0)=1,1+IF((ROUND($B35,0)-9)*2&gt;=O$2,1,0),IF(TRUNC(ROUND($B35,0)/9,0)=0,IF(TRUNC(ROUND($B35,0)/9,0)=0,0+IF((ROUND($B35,0))*2&gt;=O$2,1,0),"Not"))))-O$3,"")</f>
        <v/>
      </c>
    </row>
    <row r="464" spans="1:5" x14ac:dyDescent="0.25">
      <c r="A464" t="s">
        <v>724</v>
      </c>
      <c r="B464" t="s">
        <v>357</v>
      </c>
      <c r="C464" t="s">
        <v>725</v>
      </c>
      <c r="D464" t="s">
        <v>1143</v>
      </c>
      <c r="E464" t="str">
        <f>IFERROR(AVERAGEIFS(Upload_Indiv[Score3],Upload_Indiv[[Player]:[Player]],$A36,Upload_Indiv[[Side]:[Side]],"Raintree Front")-IF(TRUNC(ROUND($B36,0)/9,0)=2,2+IF((ROUND($B36,0)-18)*2&gt;=E$2,1,0),IF(TRUNC(ROUND($B36,0)/9,0)=1,1+IF((ROUND($B36,0)-9)*2&gt;=E$2,1,0),IF(TRUNC(ROUND($B36,0)/9,0)=0,IF(TRUNC(ROUND($B36,0)/9,0)=0,0+IF((ROUND($B36,0))*2&gt;=E$2,1,0),"Not"))))-E$3,"")</f>
        <v/>
      </c>
    </row>
    <row r="465" spans="1:5" x14ac:dyDescent="0.25">
      <c r="A465" t="s">
        <v>724</v>
      </c>
      <c r="B465" t="s">
        <v>357</v>
      </c>
      <c r="C465" t="s">
        <v>725</v>
      </c>
      <c r="D465" t="s">
        <v>1144</v>
      </c>
      <c r="E465" t="str">
        <f>IFERROR(AVERAGEIFS(Upload_Indiv[Score3],Upload_Indiv[[Player]:[Player]],$A36,Upload_Indiv[[Side]:[Side]],"Raintree Back")-IF(TRUNC(ROUND($B36,0)/9,0)=2,2+IF((ROUND($B36,0)-18)*2&gt;=O$2,1,0),IF(TRUNC(ROUND($B36,0)/9,0)=1,1+IF((ROUND($B36,0)-9)*2&gt;=O$2,1,0),IF(TRUNC(ROUND($B36,0)/9,0)=0,IF(TRUNC(ROUND($B36,0)/9,0)=0,0+IF((ROUND($B36,0))*2&gt;=O$2,1,0),"Not"))))-O$3,"")</f>
        <v/>
      </c>
    </row>
    <row r="466" spans="1:5" x14ac:dyDescent="0.25">
      <c r="A466" t="s">
        <v>724</v>
      </c>
      <c r="B466" t="s">
        <v>357</v>
      </c>
      <c r="C466" t="s">
        <v>725</v>
      </c>
      <c r="D466" t="s">
        <v>1145</v>
      </c>
      <c r="E466" t="str">
        <f>IFERROR(AVERAGEIFS(Upload_Indiv[Score3],Upload_Indiv[[Player]:[Player]],$A37,Upload_Indiv[[Side]:[Side]],"Raintree Front")-IF(TRUNC(ROUND($B37,0)/9,0)=2,2+IF((ROUND($B37,0)-18)*2&gt;=E$2,1,0),IF(TRUNC(ROUND($B37,0)/9,0)=1,1+IF((ROUND($B37,0)-9)*2&gt;=E$2,1,0),IF(TRUNC(ROUND($B37,0)/9,0)=0,IF(TRUNC(ROUND($B37,0)/9,0)=0,0+IF((ROUND($B37,0))*2&gt;=E$2,1,0),"Not"))))-E$3,"")</f>
        <v/>
      </c>
    </row>
    <row r="467" spans="1:5" x14ac:dyDescent="0.25">
      <c r="A467" t="s">
        <v>724</v>
      </c>
      <c r="B467" t="s">
        <v>357</v>
      </c>
      <c r="C467" t="s">
        <v>725</v>
      </c>
      <c r="D467" t="s">
        <v>1146</v>
      </c>
      <c r="E467" t="str">
        <f>IFERROR(AVERAGEIFS(Upload_Indiv[Score3],Upload_Indiv[[Player]:[Player]],$A37,Upload_Indiv[[Side]:[Side]],"Raintree Back")-IF(TRUNC(ROUND($B37,0)/9,0)=2,2+IF((ROUND($B37,0)-18)*2&gt;=O$2,1,0),IF(TRUNC(ROUND($B37,0)/9,0)=1,1+IF((ROUND($B37,0)-9)*2&gt;=O$2,1,0),IF(TRUNC(ROUND($B37,0)/9,0)=0,IF(TRUNC(ROUND($B37,0)/9,0)=0,0+IF((ROUND($B37,0))*2&gt;=O$2,1,0),"Not"))))-O$3,"")</f>
        <v/>
      </c>
    </row>
    <row r="468" spans="1:5" x14ac:dyDescent="0.25">
      <c r="A468" t="s">
        <v>724</v>
      </c>
      <c r="B468" t="s">
        <v>357</v>
      </c>
      <c r="C468" t="s">
        <v>725</v>
      </c>
      <c r="D468" t="s">
        <v>1147</v>
      </c>
      <c r="E468" t="str">
        <f>IFERROR(AVERAGEIFS(Upload_Indiv[Score3],Upload_Indiv[[Player]:[Player]],$A38,Upload_Indiv[[Side]:[Side]],"Raintree Front")-IF(TRUNC(ROUND($B38,0)/9,0)=2,2+IF((ROUND($B38,0)-18)*2&gt;=E$2,1,0),IF(TRUNC(ROUND($B38,0)/9,0)=1,1+IF((ROUND($B38,0)-9)*2&gt;=E$2,1,0),IF(TRUNC(ROUND($B38,0)/9,0)=0,IF(TRUNC(ROUND($B38,0)/9,0)=0,0+IF((ROUND($B38,0))*2&gt;=E$2,1,0),"Not"))))-E$3,"")</f>
        <v/>
      </c>
    </row>
    <row r="469" spans="1:5" x14ac:dyDescent="0.25">
      <c r="A469" t="s">
        <v>724</v>
      </c>
      <c r="B469" t="s">
        <v>357</v>
      </c>
      <c r="C469" t="s">
        <v>725</v>
      </c>
      <c r="D469" t="s">
        <v>1148</v>
      </c>
      <c r="E469" t="str">
        <f>IFERROR(AVERAGEIFS(Upload_Indiv[Score3],Upload_Indiv[[Player]:[Player]],$A38,Upload_Indiv[[Side]:[Side]],"Raintree Back")-IF(TRUNC(ROUND($B38,0)/9,0)=2,2+IF((ROUND($B38,0)-18)*2&gt;=O$2,1,0),IF(TRUNC(ROUND($B38,0)/9,0)=1,1+IF((ROUND($B38,0)-9)*2&gt;=O$2,1,0),IF(TRUNC(ROUND($B38,0)/9,0)=0,IF(TRUNC(ROUND($B38,0)/9,0)=0,0+IF((ROUND($B38,0))*2&gt;=O$2,1,0),"Not"))))-O$3,"")</f>
        <v/>
      </c>
    </row>
    <row r="470" spans="1:5" x14ac:dyDescent="0.25">
      <c r="A470" t="s">
        <v>724</v>
      </c>
      <c r="B470" t="s">
        <v>357</v>
      </c>
      <c r="C470" t="s">
        <v>725</v>
      </c>
      <c r="D470" t="s">
        <v>1149</v>
      </c>
      <c r="E470" t="str">
        <f>IFERROR(AVERAGEIFS(Upload_Indiv[Score3],Upload_Indiv[[Player]:[Player]],$A39,Upload_Indiv[[Side]:[Side]],"Raintree Front")-IF(TRUNC(ROUND($B39,0)/9,0)=2,2+IF((ROUND($B39,0)-18)*2&gt;=E$2,1,0),IF(TRUNC(ROUND($B39,0)/9,0)=1,1+IF((ROUND($B39,0)-9)*2&gt;=E$2,1,0),IF(TRUNC(ROUND($B39,0)/9,0)=0,IF(TRUNC(ROUND($B39,0)/9,0)=0,0+IF((ROUND($B39,0))*2&gt;=E$2,1,0),"Not"))))-E$3,"")</f>
        <v/>
      </c>
    </row>
    <row r="471" spans="1:5" x14ac:dyDescent="0.25">
      <c r="A471" t="s">
        <v>724</v>
      </c>
      <c r="B471" t="s">
        <v>357</v>
      </c>
      <c r="C471" t="s">
        <v>725</v>
      </c>
      <c r="D471" t="s">
        <v>1150</v>
      </c>
      <c r="E471" t="str">
        <f>IFERROR(AVERAGEIFS(Upload_Indiv[Score3],Upload_Indiv[[Player]:[Player]],$A39,Upload_Indiv[[Side]:[Side]],"Raintree Back")-IF(TRUNC(ROUND($B39,0)/9,0)=2,2+IF((ROUND($B39,0)-18)*2&gt;=O$2,1,0),IF(TRUNC(ROUND($B39,0)/9,0)=1,1+IF((ROUND($B39,0)-9)*2&gt;=O$2,1,0),IF(TRUNC(ROUND($B39,0)/9,0)=0,IF(TRUNC(ROUND($B39,0)/9,0)=0,0+IF((ROUND($B39,0))*2&gt;=O$2,1,0),"Not"))))-O$3,"")</f>
        <v/>
      </c>
    </row>
    <row r="472" spans="1:5" x14ac:dyDescent="0.25">
      <c r="A472" t="s">
        <v>724</v>
      </c>
      <c r="B472" t="s">
        <v>357</v>
      </c>
      <c r="C472" t="s">
        <v>725</v>
      </c>
      <c r="D472" t="s">
        <v>1151</v>
      </c>
      <c r="E472" t="str">
        <f>IFERROR(AVERAGEIFS(Upload_Indiv[Score3],Upload_Indiv[[Player]:[Player]],$A40,Upload_Indiv[[Side]:[Side]],"Raintree Front")-IF(TRUNC(ROUND($B40,0)/9,0)=2,2+IF((ROUND($B40,0)-18)*2&gt;=E$2,1,0),IF(TRUNC(ROUND($B40,0)/9,0)=1,1+IF((ROUND($B40,0)-9)*2&gt;=E$2,1,0),IF(TRUNC(ROUND($B40,0)/9,0)=0,IF(TRUNC(ROUND($B40,0)/9,0)=0,0+IF((ROUND($B40,0))*2&gt;=E$2,1,0),"Not"))))-E$3,"")</f>
        <v/>
      </c>
    </row>
    <row r="473" spans="1:5" x14ac:dyDescent="0.25">
      <c r="A473" t="s">
        <v>724</v>
      </c>
      <c r="B473" t="s">
        <v>357</v>
      </c>
      <c r="C473" t="s">
        <v>725</v>
      </c>
      <c r="D473" t="s">
        <v>1152</v>
      </c>
      <c r="E473" t="str">
        <f>IFERROR(AVERAGEIFS(Upload_Indiv[Score3],Upload_Indiv[[Player]:[Player]],$A40,Upload_Indiv[[Side]:[Side]],"Raintree Back")-IF(TRUNC(ROUND($B40,0)/9,0)=2,2+IF((ROUND($B40,0)-18)*2&gt;=O$2,1,0),IF(TRUNC(ROUND($B40,0)/9,0)=1,1+IF((ROUND($B40,0)-9)*2&gt;=O$2,1,0),IF(TRUNC(ROUND($B40,0)/9,0)=0,IF(TRUNC(ROUND($B40,0)/9,0)=0,0+IF((ROUND($B40,0))*2&gt;=O$2,1,0),"Not"))))-O$3,"")</f>
        <v/>
      </c>
    </row>
    <row r="474" spans="1:5" x14ac:dyDescent="0.25">
      <c r="A474" t="s">
        <v>724</v>
      </c>
      <c r="B474" t="s">
        <v>357</v>
      </c>
      <c r="C474" t="s">
        <v>725</v>
      </c>
      <c r="D474" t="s">
        <v>1153</v>
      </c>
      <c r="E474" t="str">
        <f>IFERROR(AVERAGEIFS(Upload_Indiv[Score3],Upload_Indiv[[Player]:[Player]],$A41,Upload_Indiv[[Side]:[Side]],"Raintree Front")-IF(TRUNC(ROUND($B41,0)/9,0)=2,2+IF((ROUND($B41,0)-18)*2&gt;=E$2,1,0),IF(TRUNC(ROUND($B41,0)/9,0)=1,1+IF((ROUND($B41,0)-9)*2&gt;=E$2,1,0),IF(TRUNC(ROUND($B41,0)/9,0)=0,IF(TRUNC(ROUND($B41,0)/9,0)=0,0+IF((ROUND($B41,0))*2&gt;=E$2,1,0),"Not"))))-E$3,"")</f>
        <v/>
      </c>
    </row>
    <row r="475" spans="1:5" x14ac:dyDescent="0.25">
      <c r="A475" t="s">
        <v>724</v>
      </c>
      <c r="B475" t="s">
        <v>357</v>
      </c>
      <c r="C475" t="s">
        <v>725</v>
      </c>
      <c r="D475" t="s">
        <v>1154</v>
      </c>
      <c r="E475" t="str">
        <f>IFERROR(AVERAGEIFS(Upload_Indiv[Score3],Upload_Indiv[[Player]:[Player]],$A41,Upload_Indiv[[Side]:[Side]],"Raintree Back")-IF(TRUNC(ROUND($B41,0)/9,0)=2,2+IF((ROUND($B41,0)-18)*2&gt;=O$2,1,0),IF(TRUNC(ROUND($B41,0)/9,0)=1,1+IF((ROUND($B41,0)-9)*2&gt;=O$2,1,0),IF(TRUNC(ROUND($B41,0)/9,0)=0,IF(TRUNC(ROUND($B41,0)/9,0)=0,0+IF((ROUND($B41,0))*2&gt;=O$2,1,0),"Not"))))-O$3,"")</f>
        <v/>
      </c>
    </row>
    <row r="476" spans="1:5" x14ac:dyDescent="0.25">
      <c r="A476" t="s">
        <v>724</v>
      </c>
      <c r="B476" t="s">
        <v>357</v>
      </c>
      <c r="C476" t="s">
        <v>725</v>
      </c>
      <c r="D476" t="s">
        <v>1155</v>
      </c>
      <c r="E476" t="str">
        <f>IFERROR(AVERAGEIFS(Upload_Indiv[Score3],Upload_Indiv[[Player]:[Player]],$A42,Upload_Indiv[[Side]:[Side]],"Raintree Front")-IF(TRUNC(ROUND($B42,0)/9,0)=2,2+IF((ROUND($B42,0)-18)*2&gt;=E$2,1,0),IF(TRUNC(ROUND($B42,0)/9,0)=1,1+IF((ROUND($B42,0)-9)*2&gt;=E$2,1,0),IF(TRUNC(ROUND($B42,0)/9,0)=0,IF(TRUNC(ROUND($B42,0)/9,0)=0,0+IF((ROUND($B42,0))*2&gt;=E$2,1,0),"Not"))))-E$3,"")</f>
        <v/>
      </c>
    </row>
    <row r="477" spans="1:5" x14ac:dyDescent="0.25">
      <c r="A477" t="s">
        <v>724</v>
      </c>
      <c r="B477" t="s">
        <v>357</v>
      </c>
      <c r="C477" t="s">
        <v>725</v>
      </c>
      <c r="D477" t="s">
        <v>1156</v>
      </c>
      <c r="E477" t="str">
        <f>IFERROR(AVERAGEIFS(Upload_Indiv[Score3],Upload_Indiv[[Player]:[Player]],$A42,Upload_Indiv[[Side]:[Side]],"Raintree Back")-IF(TRUNC(ROUND($B42,0)/9,0)=2,2+IF((ROUND($B42,0)-18)*2&gt;=O$2,1,0),IF(TRUNC(ROUND($B42,0)/9,0)=1,1+IF((ROUND($B42,0)-9)*2&gt;=O$2,1,0),IF(TRUNC(ROUND($B42,0)/9,0)=0,IF(TRUNC(ROUND($B42,0)/9,0)=0,0+IF((ROUND($B42,0))*2&gt;=O$2,1,0),"Not"))))-O$3,"")</f>
        <v/>
      </c>
    </row>
    <row r="478" spans="1:5" x14ac:dyDescent="0.25">
      <c r="A478" t="s">
        <v>724</v>
      </c>
      <c r="B478" t="s">
        <v>357</v>
      </c>
      <c r="C478" t="s">
        <v>725</v>
      </c>
      <c r="D478" t="s">
        <v>1157</v>
      </c>
      <c r="E478" t="str">
        <f>IFERROR(AVERAGEIFS(Upload_Indiv[Score3],Upload_Indiv[[Player]:[Player]],$A43,Upload_Indiv[[Side]:[Side]],"Raintree Front")-IF(TRUNC(ROUND($B43,0)/9,0)=2,2+IF((ROUND($B43,0)-18)*2&gt;=E$2,1,0),IF(TRUNC(ROUND($B43,0)/9,0)=1,1+IF((ROUND($B43,0)-9)*2&gt;=E$2,1,0),IF(TRUNC(ROUND($B43,0)/9,0)=0,IF(TRUNC(ROUND($B43,0)/9,0)=0,0+IF((ROUND($B43,0))*2&gt;=E$2,1,0),"Not"))))-E$3,"")</f>
        <v/>
      </c>
    </row>
    <row r="479" spans="1:5" x14ac:dyDescent="0.25">
      <c r="A479" t="s">
        <v>724</v>
      </c>
      <c r="B479" t="s">
        <v>357</v>
      </c>
      <c r="C479" t="s">
        <v>725</v>
      </c>
      <c r="D479" t="s">
        <v>1158</v>
      </c>
      <c r="E479" t="str">
        <f>IFERROR(AVERAGEIFS(Upload_Indiv[Score3],Upload_Indiv[[Player]:[Player]],$A43,Upload_Indiv[[Side]:[Side]],"Raintree Back")-IF(TRUNC(ROUND($B43,0)/9,0)=2,2+IF((ROUND($B43,0)-18)*2&gt;=O$2,1,0),IF(TRUNC(ROUND($B43,0)/9,0)=1,1+IF((ROUND($B43,0)-9)*2&gt;=O$2,1,0),IF(TRUNC(ROUND($B43,0)/9,0)=0,IF(TRUNC(ROUND($B43,0)/9,0)=0,0+IF((ROUND($B43,0))*2&gt;=O$2,1,0),"Not"))))-O$3,"")</f>
        <v/>
      </c>
    </row>
    <row r="480" spans="1:5" x14ac:dyDescent="0.25">
      <c r="A480" t="s">
        <v>724</v>
      </c>
      <c r="B480" t="s">
        <v>357</v>
      </c>
      <c r="C480" t="s">
        <v>725</v>
      </c>
      <c r="D480" t="s">
        <v>1159</v>
      </c>
      <c r="E480" t="str">
        <f>IFERROR(AVERAGEIFS(Upload_Indiv[Score3],Upload_Indiv[[Player]:[Player]],$A44,Upload_Indiv[[Side]:[Side]],"Raintree Front")-IF(TRUNC(ROUND($B44,0)/9,0)=2,2+IF((ROUND($B44,0)-18)*2&gt;=E$2,1,0),IF(TRUNC(ROUND($B44,0)/9,0)=1,1+IF((ROUND($B44,0)-9)*2&gt;=E$2,1,0),IF(TRUNC(ROUND($B44,0)/9,0)=0,IF(TRUNC(ROUND($B44,0)/9,0)=0,0+IF((ROUND($B44,0))*2&gt;=E$2,1,0),"Not"))))-E$3,"")</f>
        <v/>
      </c>
    </row>
    <row r="481" spans="1:5" x14ac:dyDescent="0.25">
      <c r="A481" t="s">
        <v>724</v>
      </c>
      <c r="B481" t="s">
        <v>357</v>
      </c>
      <c r="C481" t="s">
        <v>725</v>
      </c>
      <c r="D481" t="s">
        <v>1160</v>
      </c>
      <c r="E481" t="str">
        <f>IFERROR(AVERAGEIFS(Upload_Indiv[Score3],Upload_Indiv[[Player]:[Player]],$A44,Upload_Indiv[[Side]:[Side]],"Raintree Back")-IF(TRUNC(ROUND($B44,0)/9,0)=2,2+IF((ROUND($B44,0)-18)*2&gt;=O$2,1,0),IF(TRUNC(ROUND($B44,0)/9,0)=1,1+IF((ROUND($B44,0)-9)*2&gt;=O$2,1,0),IF(TRUNC(ROUND($B44,0)/9,0)=0,IF(TRUNC(ROUND($B44,0)/9,0)=0,0+IF((ROUND($B44,0))*2&gt;=O$2,1,0),"Not"))))-O$3,"")</f>
        <v/>
      </c>
    </row>
    <row r="482" spans="1:5" x14ac:dyDescent="0.25">
      <c r="A482" t="s">
        <v>724</v>
      </c>
      <c r="B482" t="s">
        <v>357</v>
      </c>
      <c r="C482" t="s">
        <v>725</v>
      </c>
      <c r="D482" t="s">
        <v>1161</v>
      </c>
      <c r="E482" t="str">
        <f>IFERROR(AVERAGEIFS(Upload_Indiv[Score3],Upload_Indiv[[Player]:[Player]],$A45,Upload_Indiv[[Side]:[Side]],"Raintree Front")-IF(TRUNC(ROUND($B45,0)/9,0)=2,2+IF((ROUND($B45,0)-18)*2&gt;=E$2,1,0),IF(TRUNC(ROUND($B45,0)/9,0)=1,1+IF((ROUND($B45,0)-9)*2&gt;=E$2,1,0),IF(TRUNC(ROUND($B45,0)/9,0)=0,IF(TRUNC(ROUND($B45,0)/9,0)=0,0+IF((ROUND($B45,0))*2&gt;=E$2,1,0),"Not"))))-E$3,"")</f>
        <v/>
      </c>
    </row>
    <row r="483" spans="1:5" x14ac:dyDescent="0.25">
      <c r="A483" t="s">
        <v>724</v>
      </c>
      <c r="B483" t="s">
        <v>357</v>
      </c>
      <c r="C483" t="s">
        <v>725</v>
      </c>
      <c r="D483" t="s">
        <v>1162</v>
      </c>
      <c r="E483" t="str">
        <f>IFERROR(AVERAGEIFS(Upload_Indiv[Score3],Upload_Indiv[[Player]:[Player]],$A45,Upload_Indiv[[Side]:[Side]],"Raintree Back")-IF(TRUNC(ROUND($B45,0)/9,0)=2,2+IF((ROUND($B45,0)-18)*2&gt;=O$2,1,0),IF(TRUNC(ROUND($B45,0)/9,0)=1,1+IF((ROUND($B45,0)-9)*2&gt;=O$2,1,0),IF(TRUNC(ROUND($B45,0)/9,0)=0,IF(TRUNC(ROUND($B45,0)/9,0)=0,0+IF((ROUND($B45,0))*2&gt;=O$2,1,0),"Not"))))-O$3,"")</f>
        <v/>
      </c>
    </row>
    <row r="484" spans="1:5" x14ac:dyDescent="0.25">
      <c r="A484" t="s">
        <v>724</v>
      </c>
      <c r="B484" t="s">
        <v>357</v>
      </c>
      <c r="C484" t="s">
        <v>725</v>
      </c>
      <c r="D484" t="s">
        <v>1163</v>
      </c>
      <c r="E484" t="str">
        <f>IFERROR(AVERAGEIFS(Upload_Indiv[Score3],Upload_Indiv[[Player]:[Player]],$A46,Upload_Indiv[[Side]:[Side]],"Raintree Front")-IF(TRUNC(ROUND($B46,0)/9,0)=2,2+IF((ROUND($B46,0)-18)*2&gt;=E$2,1,0),IF(TRUNC(ROUND($B46,0)/9,0)=1,1+IF((ROUND($B46,0)-9)*2&gt;=E$2,1,0),IF(TRUNC(ROUND($B46,0)/9,0)=0,IF(TRUNC(ROUND($B46,0)/9,0)=0,0+IF((ROUND($B46,0))*2&gt;=E$2,1,0),"Not"))))-E$3,"")</f>
        <v/>
      </c>
    </row>
    <row r="485" spans="1:5" x14ac:dyDescent="0.25">
      <c r="A485" t="s">
        <v>724</v>
      </c>
      <c r="B485" t="s">
        <v>357</v>
      </c>
      <c r="C485" t="s">
        <v>725</v>
      </c>
      <c r="D485" t="s">
        <v>1164</v>
      </c>
      <c r="E485" t="str">
        <f>IFERROR(AVERAGEIFS(Upload_Indiv[Score3],Upload_Indiv[[Player]:[Player]],$A46,Upload_Indiv[[Side]:[Side]],"Raintree Back")-IF(TRUNC(ROUND($B46,0)/9,0)=2,2+IF((ROUND($B46,0)-18)*2&gt;=O$2,1,0),IF(TRUNC(ROUND($B46,0)/9,0)=1,1+IF((ROUND($B46,0)-9)*2&gt;=O$2,1,0),IF(TRUNC(ROUND($B46,0)/9,0)=0,IF(TRUNC(ROUND($B46,0)/9,0)=0,0+IF((ROUND($B46,0))*2&gt;=O$2,1,0),"Not"))))-O$3,"")</f>
        <v/>
      </c>
    </row>
    <row r="486" spans="1:5" x14ac:dyDescent="0.25">
      <c r="A486" t="s">
        <v>724</v>
      </c>
      <c r="B486" t="s">
        <v>357</v>
      </c>
      <c r="C486" t="s">
        <v>725</v>
      </c>
      <c r="D486" t="s">
        <v>1165</v>
      </c>
      <c r="E486" t="str">
        <f>IFERROR(AVERAGEIFS(Upload_Indiv[Score3],Upload_Indiv[[Player]:[Player]],$A47,Upload_Indiv[[Side]:[Side]],"Raintree Front")-IF(TRUNC(ROUND($B47,0)/9,0)=2,2+IF((ROUND($B47,0)-18)*2&gt;=E$2,1,0),IF(TRUNC(ROUND($B47,0)/9,0)=1,1+IF((ROUND($B47,0)-9)*2&gt;=E$2,1,0),IF(TRUNC(ROUND($B47,0)/9,0)=0,IF(TRUNC(ROUND($B47,0)/9,0)=0,0+IF((ROUND($B47,0))*2&gt;=E$2,1,0),"Not"))))-E$3,"")</f>
        <v/>
      </c>
    </row>
    <row r="487" spans="1:5" x14ac:dyDescent="0.25">
      <c r="A487" t="s">
        <v>724</v>
      </c>
      <c r="B487" t="s">
        <v>357</v>
      </c>
      <c r="C487" t="s">
        <v>725</v>
      </c>
      <c r="D487" t="s">
        <v>1166</v>
      </c>
      <c r="E487" t="str">
        <f>IFERROR(AVERAGEIFS(Upload_Indiv[Score3],Upload_Indiv[[Player]:[Player]],$A47,Upload_Indiv[[Side]:[Side]],"Raintree Back")-IF(TRUNC(ROUND($B47,0)/9,0)=2,2+IF((ROUND($B47,0)-18)*2&gt;=O$2,1,0),IF(TRUNC(ROUND($B47,0)/9,0)=1,1+IF((ROUND($B47,0)-9)*2&gt;=O$2,1,0),IF(TRUNC(ROUND($B47,0)/9,0)=0,IF(TRUNC(ROUND($B47,0)/9,0)=0,0+IF((ROUND($B47,0))*2&gt;=O$2,1,0),"Not"))))-O$3,"")</f>
        <v/>
      </c>
    </row>
    <row r="488" spans="1:5" x14ac:dyDescent="0.25">
      <c r="A488" t="s">
        <v>724</v>
      </c>
      <c r="B488" t="s">
        <v>357</v>
      </c>
      <c r="C488" t="s">
        <v>725</v>
      </c>
      <c r="D488" t="s">
        <v>1167</v>
      </c>
      <c r="E488" t="str">
        <f>IFERROR(AVERAGEIFS(Upload_Indiv[Score3],Upload_Indiv[[Player]:[Player]],$A48,Upload_Indiv[[Side]:[Side]],"Raintree Front")-IF(TRUNC(ROUND($B48,0)/9,0)=2,2+IF((ROUND($B48,0)-18)*2&gt;=E$2,1,0),IF(TRUNC(ROUND($B48,0)/9,0)=1,1+IF((ROUND($B48,0)-9)*2&gt;=E$2,1,0),IF(TRUNC(ROUND($B48,0)/9,0)=0,IF(TRUNC(ROUND($B48,0)/9,0)=0,0+IF((ROUND($B48,0))*2&gt;=E$2,1,0),"Not"))))-E$3,"")</f>
        <v/>
      </c>
    </row>
    <row r="489" spans="1:5" x14ac:dyDescent="0.25">
      <c r="A489" t="s">
        <v>724</v>
      </c>
      <c r="B489" t="s">
        <v>357</v>
      </c>
      <c r="C489" t="s">
        <v>725</v>
      </c>
      <c r="D489" t="s">
        <v>1168</v>
      </c>
      <c r="E489" t="str">
        <f>IFERROR(AVERAGEIFS(Upload_Indiv[Score3],Upload_Indiv[[Player]:[Player]],$A48,Upload_Indiv[[Side]:[Side]],"Raintree Back")-IF(TRUNC(ROUND($B48,0)/9,0)=2,2+IF((ROUND($B48,0)-18)*2&gt;=O$2,1,0),IF(TRUNC(ROUND($B48,0)/9,0)=1,1+IF((ROUND($B48,0)-9)*2&gt;=O$2,1,0),IF(TRUNC(ROUND($B48,0)/9,0)=0,IF(TRUNC(ROUND($B48,0)/9,0)=0,0+IF((ROUND($B48,0))*2&gt;=O$2,1,0),"Not"))))-O$3,"")</f>
        <v/>
      </c>
    </row>
    <row r="490" spans="1:5" x14ac:dyDescent="0.25">
      <c r="A490" t="s">
        <v>724</v>
      </c>
      <c r="B490" t="s">
        <v>357</v>
      </c>
      <c r="C490" t="s">
        <v>725</v>
      </c>
      <c r="D490" t="s">
        <v>1169</v>
      </c>
      <c r="E490" t="str">
        <f>IFERROR(AVERAGEIFS(Upload_Indiv[Score3],Upload_Indiv[[Player]:[Player]],$A49,Upload_Indiv[[Side]:[Side]],"Raintree Front")-IF(TRUNC(ROUND($B49,0)/9,0)=2,2+IF((ROUND($B49,0)-18)*2&gt;=E$2,1,0),IF(TRUNC(ROUND($B49,0)/9,0)=1,1+IF((ROUND($B49,0)-9)*2&gt;=E$2,1,0),IF(TRUNC(ROUND($B49,0)/9,0)=0,IF(TRUNC(ROUND($B49,0)/9,0)=0,0+IF((ROUND($B49,0))*2&gt;=E$2,1,0),"Not"))))-E$3,"")</f>
        <v/>
      </c>
    </row>
    <row r="491" spans="1:5" x14ac:dyDescent="0.25">
      <c r="A491" t="s">
        <v>724</v>
      </c>
      <c r="B491" t="s">
        <v>357</v>
      </c>
      <c r="C491" t="s">
        <v>725</v>
      </c>
      <c r="D491" t="s">
        <v>1170</v>
      </c>
      <c r="E491" t="str">
        <f>IFERROR(AVERAGEIFS(Upload_Indiv[Score3],Upload_Indiv[[Player]:[Player]],$A49,Upload_Indiv[[Side]:[Side]],"Raintree Back")-IF(TRUNC(ROUND($B49,0)/9,0)=2,2+IF((ROUND($B49,0)-18)*2&gt;=O$2,1,0),IF(TRUNC(ROUND($B49,0)/9,0)=1,1+IF((ROUND($B49,0)-9)*2&gt;=O$2,1,0),IF(TRUNC(ROUND($B49,0)/9,0)=0,IF(TRUNC(ROUND($B49,0)/9,0)=0,0+IF((ROUND($B49,0))*2&gt;=O$2,1,0),"Not"))))-O$3,"")</f>
        <v/>
      </c>
    </row>
    <row r="492" spans="1:5" x14ac:dyDescent="0.25">
      <c r="A492" t="s">
        <v>724</v>
      </c>
      <c r="B492" t="s">
        <v>357</v>
      </c>
      <c r="C492" t="s">
        <v>725</v>
      </c>
      <c r="D492" t="s">
        <v>1171</v>
      </c>
      <c r="E492" t="str">
        <f>IFERROR(AVERAGEIFS(Upload_Indiv[Score3],Upload_Indiv[[Player]:[Player]],$A50,Upload_Indiv[[Side]:[Side]],"Raintree Front")-IF(TRUNC(ROUND($B50,0)/9,0)=2,2+IF((ROUND($B50,0)-18)*2&gt;=E$2,1,0),IF(TRUNC(ROUND($B50,0)/9,0)=1,1+IF((ROUND($B50,0)-9)*2&gt;=E$2,1,0),IF(TRUNC(ROUND($B50,0)/9,0)=0,IF(TRUNC(ROUND($B50,0)/9,0)=0,0+IF((ROUND($B50,0))*2&gt;=E$2,1,0),"Not"))))-E$3,"")</f>
        <v/>
      </c>
    </row>
    <row r="493" spans="1:5" x14ac:dyDescent="0.25">
      <c r="A493" t="s">
        <v>724</v>
      </c>
      <c r="B493" t="s">
        <v>357</v>
      </c>
      <c r="C493" t="s">
        <v>725</v>
      </c>
      <c r="D493" t="s">
        <v>1172</v>
      </c>
      <c r="E493" t="str">
        <f>IFERROR(AVERAGEIFS(Upload_Indiv[Score3],Upload_Indiv[[Player]:[Player]],$A50,Upload_Indiv[[Side]:[Side]],"Raintree Back")-IF(TRUNC(ROUND($B50,0)/9,0)=2,2+IF((ROUND($B50,0)-18)*2&gt;=O$2,1,0),IF(TRUNC(ROUND($B50,0)/9,0)=1,1+IF((ROUND($B50,0)-9)*2&gt;=O$2,1,0),IF(TRUNC(ROUND($B50,0)/9,0)=0,IF(TRUNC(ROUND($B50,0)/9,0)=0,0+IF((ROUND($B50,0))*2&gt;=O$2,1,0),"Not"))))-O$3,"")</f>
        <v/>
      </c>
    </row>
    <row r="494" spans="1:5" x14ac:dyDescent="0.25">
      <c r="A494" t="s">
        <v>724</v>
      </c>
      <c r="B494" t="s">
        <v>357</v>
      </c>
      <c r="C494" t="s">
        <v>725</v>
      </c>
      <c r="D494" t="s">
        <v>1173</v>
      </c>
      <c r="E494" t="str">
        <f>IFERROR(AVERAGEIFS(Upload_Indiv[Score3],Upload_Indiv[[Player]:[Player]],$A51,Upload_Indiv[[Side]:[Side]],"Raintree Front")-IF(TRUNC(ROUND($B51,0)/9,0)=2,2+IF((ROUND($B51,0)-18)*2&gt;=E$2,1,0),IF(TRUNC(ROUND($B51,0)/9,0)=1,1+IF((ROUND($B51,0)-9)*2&gt;=E$2,1,0),IF(TRUNC(ROUND($B51,0)/9,0)=0,IF(TRUNC(ROUND($B51,0)/9,0)=0,0+IF((ROUND($B51,0))*2&gt;=E$2,1,0),"Not"))))-E$3,"")</f>
        <v/>
      </c>
    </row>
    <row r="495" spans="1:5" x14ac:dyDescent="0.25">
      <c r="A495" t="s">
        <v>724</v>
      </c>
      <c r="B495" t="s">
        <v>357</v>
      </c>
      <c r="C495" t="s">
        <v>725</v>
      </c>
      <c r="D495" t="s">
        <v>1174</v>
      </c>
      <c r="E495" t="str">
        <f>IFERROR(AVERAGEIFS(Upload_Indiv[Score3],Upload_Indiv[[Player]:[Player]],$A51,Upload_Indiv[[Side]:[Side]],"Raintree Back")-IF(TRUNC(ROUND($B51,0)/9,0)=2,2+IF((ROUND($B51,0)-18)*2&gt;=O$2,1,0),IF(TRUNC(ROUND($B51,0)/9,0)=1,1+IF((ROUND($B51,0)-9)*2&gt;=O$2,1,0),IF(TRUNC(ROUND($B51,0)/9,0)=0,IF(TRUNC(ROUND($B51,0)/9,0)=0,0+IF((ROUND($B51,0))*2&gt;=O$2,1,0),"Not"))))-O$3,"")</f>
        <v/>
      </c>
    </row>
    <row r="496" spans="1:5" x14ac:dyDescent="0.25">
      <c r="A496" t="s">
        <v>724</v>
      </c>
      <c r="B496" t="s">
        <v>357</v>
      </c>
      <c r="C496" t="s">
        <v>725</v>
      </c>
      <c r="D496" t="s">
        <v>1175</v>
      </c>
      <c r="E496" t="str">
        <f>IFERROR(AVERAGEIFS(Upload_Indiv[Score3],Upload_Indiv[[Player]:[Player]],$A52,Upload_Indiv[[Side]:[Side]],"Raintree Front")-IF(TRUNC(ROUND($B52,0)/9,0)=2,2+IF((ROUND($B52,0)-18)*2&gt;=E$2,1,0),IF(TRUNC(ROUND($B52,0)/9,0)=1,1+IF((ROUND($B52,0)-9)*2&gt;=E$2,1,0),IF(TRUNC(ROUND($B52,0)/9,0)=0,IF(TRUNC(ROUND($B52,0)/9,0)=0,0+IF((ROUND($B52,0))*2&gt;=E$2,1,0),"Not"))))-E$3,"")</f>
        <v/>
      </c>
    </row>
    <row r="497" spans="1:5" x14ac:dyDescent="0.25">
      <c r="A497" t="s">
        <v>724</v>
      </c>
      <c r="B497" t="s">
        <v>357</v>
      </c>
      <c r="C497" t="s">
        <v>725</v>
      </c>
      <c r="D497" t="s">
        <v>1176</v>
      </c>
      <c r="E497" t="str">
        <f>IFERROR(AVERAGEIFS(Upload_Indiv[Score3],Upload_Indiv[[Player]:[Player]],$A52,Upload_Indiv[[Side]:[Side]],"Raintree Back")-IF(TRUNC(ROUND($B52,0)/9,0)=2,2+IF((ROUND($B52,0)-18)*2&gt;=O$2,1,0),IF(TRUNC(ROUND($B52,0)/9,0)=1,1+IF((ROUND($B52,0)-9)*2&gt;=O$2,1,0),IF(TRUNC(ROUND($B52,0)/9,0)=0,IF(TRUNC(ROUND($B52,0)/9,0)=0,0+IF((ROUND($B52,0))*2&gt;=O$2,1,0),"Not"))))-O$3,"")</f>
        <v/>
      </c>
    </row>
    <row r="498" spans="1:5" x14ac:dyDescent="0.25">
      <c r="A498" t="s">
        <v>724</v>
      </c>
      <c r="B498" t="s">
        <v>357</v>
      </c>
      <c r="C498" t="s">
        <v>725</v>
      </c>
      <c r="D498" t="s">
        <v>1177</v>
      </c>
      <c r="E498" t="str">
        <f>IFERROR(AVERAGEIFS(Upload_Indiv[Score3],Upload_Indiv[[Player]:[Player]],$A53,Upload_Indiv[[Side]:[Side]],"Raintree Front")-IF(TRUNC(ROUND($B53,0)/9,0)=2,2+IF((ROUND($B53,0)-18)*2&gt;=E$2,1,0),IF(TRUNC(ROUND($B53,0)/9,0)=1,1+IF((ROUND($B53,0)-9)*2&gt;=E$2,1,0),IF(TRUNC(ROUND($B53,0)/9,0)=0,IF(TRUNC(ROUND($B53,0)/9,0)=0,0+IF((ROUND($B53,0))*2&gt;=E$2,1,0),"Not"))))-E$3,"")</f>
        <v/>
      </c>
    </row>
    <row r="499" spans="1:5" x14ac:dyDescent="0.25">
      <c r="A499" t="s">
        <v>724</v>
      </c>
      <c r="B499" t="s">
        <v>357</v>
      </c>
      <c r="C499" t="s">
        <v>725</v>
      </c>
      <c r="D499" t="s">
        <v>1178</v>
      </c>
      <c r="E499" t="str">
        <f>IFERROR(AVERAGEIFS(Upload_Indiv[Score3],Upload_Indiv[[Player]:[Player]],$A53,Upload_Indiv[[Side]:[Side]],"Raintree Back")-IF(TRUNC(ROUND($B53,0)/9,0)=2,2+IF((ROUND($B53,0)-18)*2&gt;=O$2,1,0),IF(TRUNC(ROUND($B53,0)/9,0)=1,1+IF((ROUND($B53,0)-9)*2&gt;=O$2,1,0),IF(TRUNC(ROUND($B53,0)/9,0)=0,IF(TRUNC(ROUND($B53,0)/9,0)=0,0+IF((ROUND($B53,0))*2&gt;=O$2,1,0),"Not"))))-O$3,"")</f>
        <v/>
      </c>
    </row>
    <row r="500" spans="1:5" x14ac:dyDescent="0.25">
      <c r="A500" t="s">
        <v>724</v>
      </c>
      <c r="B500" t="s">
        <v>357</v>
      </c>
      <c r="C500" t="s">
        <v>725</v>
      </c>
      <c r="D500" t="s">
        <v>1179</v>
      </c>
      <c r="E500" t="str">
        <f>IFERROR(AVERAGEIFS(Upload_Indiv[Score3],Upload_Indiv[[Player]:[Player]],$A54,Upload_Indiv[[Side]:[Side]],"Raintree Front")-IF(TRUNC(ROUND($B54,0)/9,0)=2,2+IF((ROUND($B54,0)-18)*2&gt;=E$2,1,0),IF(TRUNC(ROUND($B54,0)/9,0)=1,1+IF((ROUND($B54,0)-9)*2&gt;=E$2,1,0),IF(TRUNC(ROUND($B54,0)/9,0)=0,IF(TRUNC(ROUND($B54,0)/9,0)=0,0+IF((ROUND($B54,0))*2&gt;=E$2,1,0),"Not"))))-E$3,"")</f>
        <v/>
      </c>
    </row>
    <row r="501" spans="1:5" x14ac:dyDescent="0.25">
      <c r="A501" t="s">
        <v>724</v>
      </c>
      <c r="B501" t="s">
        <v>357</v>
      </c>
      <c r="C501" t="s">
        <v>725</v>
      </c>
      <c r="D501" t="s">
        <v>1180</v>
      </c>
      <c r="E501" t="str">
        <f>IFERROR(AVERAGEIFS(Upload_Indiv[Score3],Upload_Indiv[[Player]:[Player]],$A54,Upload_Indiv[[Side]:[Side]],"Raintree Back")-IF(TRUNC(ROUND($B54,0)/9,0)=2,2+IF((ROUND($B54,0)-18)*2&gt;=O$2,1,0),IF(TRUNC(ROUND($B54,0)/9,0)=1,1+IF((ROUND($B54,0)-9)*2&gt;=O$2,1,0),IF(TRUNC(ROUND($B54,0)/9,0)=0,IF(TRUNC(ROUND($B54,0)/9,0)=0,0+IF((ROUND($B54,0))*2&gt;=O$2,1,0),"Not"))))-O$3,"")</f>
        <v/>
      </c>
    </row>
    <row r="502" spans="1:5" x14ac:dyDescent="0.25">
      <c r="A502" t="s">
        <v>724</v>
      </c>
      <c r="B502" t="s">
        <v>357</v>
      </c>
      <c r="C502" t="s">
        <v>725</v>
      </c>
      <c r="D502" t="s">
        <v>1181</v>
      </c>
      <c r="E502" t="str">
        <f>IFERROR(AVERAGEIFS(Upload_Indiv[Score3],Upload_Indiv[[Player]:[Player]],$A55,Upload_Indiv[[Side]:[Side]],"Raintree Front")-IF(TRUNC(ROUND($B55,0)/9,0)=2,2+IF((ROUND($B55,0)-18)*2&gt;=E$2,1,0),IF(TRUNC(ROUND($B55,0)/9,0)=1,1+IF((ROUND($B55,0)-9)*2&gt;=E$2,1,0),IF(TRUNC(ROUND($B55,0)/9,0)=0,IF(TRUNC(ROUND($B55,0)/9,0)=0,0+IF((ROUND($B55,0))*2&gt;=E$2,1,0),"Not"))))-E$3,"")</f>
        <v/>
      </c>
    </row>
    <row r="503" spans="1:5" x14ac:dyDescent="0.25">
      <c r="A503" t="s">
        <v>724</v>
      </c>
      <c r="B503" t="s">
        <v>357</v>
      </c>
      <c r="C503" t="s">
        <v>725</v>
      </c>
      <c r="D503" t="s">
        <v>1182</v>
      </c>
      <c r="E503" t="str">
        <f>IFERROR(AVERAGEIFS(Upload_Indiv[Score3],Upload_Indiv[[Player]:[Player]],$A55,Upload_Indiv[[Side]:[Side]],"Raintree Back")-IF(TRUNC(ROUND($B55,0)/9,0)=2,2+IF((ROUND($B55,0)-18)*2&gt;=O$2,1,0),IF(TRUNC(ROUND($B55,0)/9,0)=1,1+IF((ROUND($B55,0)-9)*2&gt;=O$2,1,0),IF(TRUNC(ROUND($B55,0)/9,0)=0,IF(TRUNC(ROUND($B55,0)/9,0)=0,0+IF((ROUND($B55,0))*2&gt;=O$2,1,0),"Not"))))-O$3,"")</f>
        <v/>
      </c>
    </row>
    <row r="504" spans="1:5" x14ac:dyDescent="0.25">
      <c r="A504" t="s">
        <v>724</v>
      </c>
      <c r="B504" t="s">
        <v>357</v>
      </c>
      <c r="C504" t="s">
        <v>725</v>
      </c>
      <c r="D504" t="s">
        <v>1183</v>
      </c>
      <c r="E504" t="str">
        <f>IFERROR(AVERAGEIFS(Upload_Indiv[Score3],Upload_Indiv[[Player]:[Player]],$A56,Upload_Indiv[[Side]:[Side]],"Raintree Front")-IF(TRUNC(ROUND($B56,0)/9,0)=2,2+IF((ROUND($B56,0)-18)*2&gt;=E$2,1,0),IF(TRUNC(ROUND($B56,0)/9,0)=1,1+IF((ROUND($B56,0)-9)*2&gt;=E$2,1,0),IF(TRUNC(ROUND($B56,0)/9,0)=0,IF(TRUNC(ROUND($B56,0)/9,0)=0,0+IF((ROUND($B56,0))*2&gt;=E$2,1,0),"Not"))))-E$3,"")</f>
        <v/>
      </c>
    </row>
    <row r="505" spans="1:5" x14ac:dyDescent="0.25">
      <c r="A505" t="s">
        <v>724</v>
      </c>
      <c r="B505" t="s">
        <v>357</v>
      </c>
      <c r="C505" t="s">
        <v>725</v>
      </c>
      <c r="D505" t="s">
        <v>1184</v>
      </c>
      <c r="E505" t="str">
        <f>IFERROR(AVERAGEIFS(Upload_Indiv[Score3],Upload_Indiv[[Player]:[Player]],$A56,Upload_Indiv[[Side]:[Side]],"Raintree Back")-IF(TRUNC(ROUND($B56,0)/9,0)=2,2+IF((ROUND($B56,0)-18)*2&gt;=O$2,1,0),IF(TRUNC(ROUND($B56,0)/9,0)=1,1+IF((ROUND($B56,0)-9)*2&gt;=O$2,1,0),IF(TRUNC(ROUND($B56,0)/9,0)=0,IF(TRUNC(ROUND($B56,0)/9,0)=0,0+IF((ROUND($B56,0))*2&gt;=O$2,1,0),"Not"))))-O$3,"")</f>
        <v/>
      </c>
    </row>
    <row r="506" spans="1:5" x14ac:dyDescent="0.25">
      <c r="A506" t="s">
        <v>724</v>
      </c>
      <c r="B506" t="s">
        <v>357</v>
      </c>
      <c r="C506" t="s">
        <v>725</v>
      </c>
      <c r="D506" t="s">
        <v>1185</v>
      </c>
      <c r="E506" t="str">
        <f>IFERROR(AVERAGEIFS(Upload_Indiv[Score3],Upload_Indiv[[Player]:[Player]],$A57,Upload_Indiv[[Side]:[Side]],"Raintree Front")-IF(TRUNC(ROUND($B57,0)/9,0)=2,2+IF((ROUND($B57,0)-18)*2&gt;=E$2,1,0),IF(TRUNC(ROUND($B57,0)/9,0)=1,1+IF((ROUND($B57,0)-9)*2&gt;=E$2,1,0),IF(TRUNC(ROUND($B57,0)/9,0)=0,IF(TRUNC(ROUND($B57,0)/9,0)=0,0+IF((ROUND($B57,0))*2&gt;=E$2,1,0),"Not"))))-E$3,"")</f>
        <v/>
      </c>
    </row>
    <row r="507" spans="1:5" x14ac:dyDescent="0.25">
      <c r="A507" t="s">
        <v>724</v>
      </c>
      <c r="B507" t="s">
        <v>357</v>
      </c>
      <c r="C507" t="s">
        <v>725</v>
      </c>
      <c r="D507" t="s">
        <v>1186</v>
      </c>
      <c r="E507" t="str">
        <f>IFERROR(AVERAGEIFS(Upload_Indiv[Score3],Upload_Indiv[[Player]:[Player]],$A57,Upload_Indiv[[Side]:[Side]],"Raintree Back")-IF(TRUNC(ROUND($B57,0)/9,0)=2,2+IF((ROUND($B57,0)-18)*2&gt;=O$2,1,0),IF(TRUNC(ROUND($B57,0)/9,0)=1,1+IF((ROUND($B57,0)-9)*2&gt;=O$2,1,0),IF(TRUNC(ROUND($B57,0)/9,0)=0,IF(TRUNC(ROUND($B57,0)/9,0)=0,0+IF((ROUND($B57,0))*2&gt;=O$2,1,0),"Not"))))-O$3,"")</f>
        <v/>
      </c>
    </row>
    <row r="508" spans="1:5" x14ac:dyDescent="0.25">
      <c r="A508" t="s">
        <v>724</v>
      </c>
      <c r="B508" t="s">
        <v>357</v>
      </c>
      <c r="C508" t="s">
        <v>725</v>
      </c>
      <c r="D508" t="s">
        <v>1187</v>
      </c>
      <c r="E508" t="str">
        <f>IFERROR(AVERAGEIFS(Upload_Indiv[Score3],Upload_Indiv[[Player]:[Player]],$A58,Upload_Indiv[[Side]:[Side]],"Raintree Front")-IF(TRUNC(ROUND($B58,0)/9,0)=2,2+IF((ROUND($B58,0)-18)*2&gt;=E$2,1,0),IF(TRUNC(ROUND($B58,0)/9,0)=1,1+IF((ROUND($B58,0)-9)*2&gt;=E$2,1,0),IF(TRUNC(ROUND($B58,0)/9,0)=0,IF(TRUNC(ROUND($B58,0)/9,0)=0,0+IF((ROUND($B58,0))*2&gt;=E$2,1,0),"Not"))))-E$3,"")</f>
        <v/>
      </c>
    </row>
    <row r="509" spans="1:5" x14ac:dyDescent="0.25">
      <c r="A509" t="s">
        <v>724</v>
      </c>
      <c r="B509" t="s">
        <v>357</v>
      </c>
      <c r="C509" t="s">
        <v>725</v>
      </c>
      <c r="D509" t="s">
        <v>1188</v>
      </c>
      <c r="E509" t="str">
        <f>IFERROR(AVERAGEIFS(Upload_Indiv[Score3],Upload_Indiv[[Player]:[Player]],$A58,Upload_Indiv[[Side]:[Side]],"Raintree Back")-IF(TRUNC(ROUND($B58,0)/9,0)=2,2+IF((ROUND($B58,0)-18)*2&gt;=O$2,1,0),IF(TRUNC(ROUND($B58,0)/9,0)=1,1+IF((ROUND($B58,0)-9)*2&gt;=O$2,1,0),IF(TRUNC(ROUND($B58,0)/9,0)=0,IF(TRUNC(ROUND($B58,0)/9,0)=0,0+IF((ROUND($B58,0))*2&gt;=O$2,1,0),"Not"))))-O$3,"")</f>
        <v/>
      </c>
    </row>
    <row r="510" spans="1:5" x14ac:dyDescent="0.25">
      <c r="A510" t="s">
        <v>724</v>
      </c>
      <c r="B510" t="s">
        <v>357</v>
      </c>
      <c r="C510" t="s">
        <v>725</v>
      </c>
      <c r="D510" t="s">
        <v>1189</v>
      </c>
      <c r="E510" t="str">
        <f>IFERROR(AVERAGEIFS(Upload_Indiv[Score3],Upload_Indiv[[Player]:[Player]],$A59,Upload_Indiv[[Side]:[Side]],"Raintree Front")-IF(TRUNC(ROUND($B59,0)/9,0)=2,2+IF((ROUND($B59,0)-18)*2&gt;=E$2,1,0),IF(TRUNC(ROUND($B59,0)/9,0)=1,1+IF((ROUND($B59,0)-9)*2&gt;=E$2,1,0),IF(TRUNC(ROUND($B59,0)/9,0)=0,IF(TRUNC(ROUND($B59,0)/9,0)=0,0+IF((ROUND($B59,0))*2&gt;=E$2,1,0),"Not"))))-E$3,"")</f>
        <v/>
      </c>
    </row>
    <row r="511" spans="1:5" x14ac:dyDescent="0.25">
      <c r="A511" t="s">
        <v>724</v>
      </c>
      <c r="B511" t="s">
        <v>357</v>
      </c>
      <c r="C511" t="s">
        <v>725</v>
      </c>
      <c r="D511" t="s">
        <v>1190</v>
      </c>
      <c r="E511" t="str">
        <f>IFERROR(AVERAGEIFS(Upload_Indiv[Score3],Upload_Indiv[[Player]:[Player]],$A59,Upload_Indiv[[Side]:[Side]],"Raintree Back")-IF(TRUNC(ROUND($B59,0)/9,0)=2,2+IF((ROUND($B59,0)-18)*2&gt;=O$2,1,0),IF(TRUNC(ROUND($B59,0)/9,0)=1,1+IF((ROUND($B59,0)-9)*2&gt;=O$2,1,0),IF(TRUNC(ROUND($B59,0)/9,0)=0,IF(TRUNC(ROUND($B59,0)/9,0)=0,0+IF((ROUND($B59,0))*2&gt;=O$2,1,0),"Not"))))-O$3,"")</f>
        <v/>
      </c>
    </row>
    <row r="512" spans="1:5" x14ac:dyDescent="0.25">
      <c r="A512" t="s">
        <v>724</v>
      </c>
      <c r="B512" t="s">
        <v>357</v>
      </c>
      <c r="C512" t="s">
        <v>725</v>
      </c>
      <c r="D512" t="s">
        <v>1191</v>
      </c>
      <c r="E512" t="str">
        <f>IFERROR(AVERAGEIFS(Upload_Indiv[Score3],Upload_Indiv[[Player]:[Player]],$A60,Upload_Indiv[[Side]:[Side]],"Raintree Front")-IF(TRUNC(ROUND($B60,0)/9,0)=2,2+IF((ROUND($B60,0)-18)*2&gt;=E$2,1,0),IF(TRUNC(ROUND($B60,0)/9,0)=1,1+IF((ROUND($B60,0)-9)*2&gt;=E$2,1,0),IF(TRUNC(ROUND($B60,0)/9,0)=0,IF(TRUNC(ROUND($B60,0)/9,0)=0,0+IF((ROUND($B60,0))*2&gt;=E$2,1,0),"Not"))))-E$3,"")</f>
        <v/>
      </c>
    </row>
    <row r="513" spans="1:5" x14ac:dyDescent="0.25">
      <c r="A513" t="s">
        <v>724</v>
      </c>
      <c r="B513" t="s">
        <v>357</v>
      </c>
      <c r="C513" t="s">
        <v>725</v>
      </c>
      <c r="D513" t="s">
        <v>1192</v>
      </c>
      <c r="E513" t="str">
        <f>IFERROR(AVERAGEIFS(Upload_Indiv[Score3],Upload_Indiv[[Player]:[Player]],$A60,Upload_Indiv[[Side]:[Side]],"Raintree Back")-IF(TRUNC(ROUND($B60,0)/9,0)=2,2+IF((ROUND($B60,0)-18)*2&gt;=O$2,1,0),IF(TRUNC(ROUND($B60,0)/9,0)=1,1+IF((ROUND($B60,0)-9)*2&gt;=O$2,1,0),IF(TRUNC(ROUND($B60,0)/9,0)=0,IF(TRUNC(ROUND($B60,0)/9,0)=0,0+IF((ROUND($B60,0))*2&gt;=O$2,1,0),"Not"))))-O$3,"")</f>
        <v/>
      </c>
    </row>
    <row r="514" spans="1:5" x14ac:dyDescent="0.25">
      <c r="A514" t="s">
        <v>724</v>
      </c>
      <c r="B514" t="s">
        <v>357</v>
      </c>
      <c r="C514" t="s">
        <v>834</v>
      </c>
      <c r="D514" t="s">
        <v>1193</v>
      </c>
      <c r="E514">
        <f>IFERROR(AVERAGEIFS(Upload_Indiv[Score3],Upload_Indiv[[Side]:[Side]],"Raintree Front",Upload_Indiv[[Excl Score]:[Excl Score]],0),"")</f>
        <v>5.666666666666667</v>
      </c>
    </row>
    <row r="515" spans="1:5" x14ac:dyDescent="0.25">
      <c r="A515" t="s">
        <v>724</v>
      </c>
      <c r="B515" t="s">
        <v>357</v>
      </c>
      <c r="C515" t="s">
        <v>834</v>
      </c>
      <c r="D515" t="s">
        <v>1194</v>
      </c>
      <c r="E515">
        <f>IFERROR(AVERAGEIFS(Upload_Indiv[Score3],Upload_Indiv[[Side]:[Side]],"Raintree Back",Upload_Indiv[[Excl Score]:[Excl Score]],0),"")</f>
        <v>5.4292035398230087</v>
      </c>
    </row>
    <row r="516" spans="1:5" x14ac:dyDescent="0.25">
      <c r="A516" t="s">
        <v>724</v>
      </c>
      <c r="B516" t="s">
        <v>357</v>
      </c>
      <c r="C516" t="s">
        <v>834</v>
      </c>
      <c r="D516" t="s">
        <v>1195</v>
      </c>
      <c r="E516" t="str">
        <f>IFERROR(AVERAGEIFS(Upload_Indiv[Score3],Upload_Indiv[[Player]:[Player]],$A9,Upload_Indiv[[Side]:[Side]],"Raintree Front",Upload_Indiv[[Excl Score]:[Excl Score]],0),"")</f>
        <v/>
      </c>
    </row>
    <row r="517" spans="1:5" x14ac:dyDescent="0.25">
      <c r="A517" t="s">
        <v>724</v>
      </c>
      <c r="B517" t="s">
        <v>357</v>
      </c>
      <c r="C517" t="s">
        <v>834</v>
      </c>
      <c r="D517" t="s">
        <v>1196</v>
      </c>
      <c r="E517" t="str">
        <f>IFERROR(AVERAGEIFS(Upload_Indiv[Score3],Upload_Indiv[[Player]:[Player]],$A9,Upload_Indiv[[Side]:[Side]],"Raintree Back",Upload_Indiv[[Excl Score]:[Excl Score]],0),"")</f>
        <v/>
      </c>
    </row>
    <row r="518" spans="1:5" x14ac:dyDescent="0.25">
      <c r="A518" t="s">
        <v>724</v>
      </c>
      <c r="B518" t="s">
        <v>357</v>
      </c>
      <c r="C518" t="s">
        <v>834</v>
      </c>
      <c r="D518" t="s">
        <v>1197</v>
      </c>
      <c r="E518" t="str">
        <f>IFERROR(AVERAGEIFS(Upload_Indiv[Score3],Upload_Indiv[[Player]:[Player]],$A10,Upload_Indiv[[Side]:[Side]],"Raintree Front",Upload_Indiv[[Excl Score]:[Excl Score]],0),"")</f>
        <v/>
      </c>
    </row>
    <row r="519" spans="1:5" x14ac:dyDescent="0.25">
      <c r="A519" t="s">
        <v>724</v>
      </c>
      <c r="B519" t="s">
        <v>357</v>
      </c>
      <c r="C519" t="s">
        <v>834</v>
      </c>
      <c r="D519" t="s">
        <v>1198</v>
      </c>
      <c r="E519" t="str">
        <f>IFERROR(AVERAGEIFS(Upload_Indiv[Score3],Upload_Indiv[[Player]:[Player]],$A10,Upload_Indiv[[Side]:[Side]],"Raintree Back",Upload_Indiv[[Excl Score]:[Excl Score]],0),"")</f>
        <v/>
      </c>
    </row>
    <row r="520" spans="1:5" x14ac:dyDescent="0.25">
      <c r="A520" t="s">
        <v>724</v>
      </c>
      <c r="B520" t="s">
        <v>357</v>
      </c>
      <c r="C520" t="s">
        <v>834</v>
      </c>
      <c r="D520" t="s">
        <v>1199</v>
      </c>
      <c r="E520" t="str">
        <f>IFERROR(AVERAGEIFS(Upload_Indiv[Score3],Upload_Indiv[[Player]:[Player]],$A11,Upload_Indiv[[Side]:[Side]],"Raintree Front",Upload_Indiv[[Excl Score]:[Excl Score]],0),"")</f>
        <v/>
      </c>
    </row>
    <row r="521" spans="1:5" x14ac:dyDescent="0.25">
      <c r="A521" t="s">
        <v>724</v>
      </c>
      <c r="B521" t="s">
        <v>357</v>
      </c>
      <c r="C521" t="s">
        <v>834</v>
      </c>
      <c r="D521" t="s">
        <v>1200</v>
      </c>
      <c r="E521" t="str">
        <f>IFERROR(AVERAGEIFS(Upload_Indiv[Score3],Upload_Indiv[[Player]:[Player]],$A11,Upload_Indiv[[Side]:[Side]],"Raintree Back",Upload_Indiv[[Excl Score]:[Excl Score]],0),"")</f>
        <v/>
      </c>
    </row>
    <row r="522" spans="1:5" x14ac:dyDescent="0.25">
      <c r="A522" t="s">
        <v>724</v>
      </c>
      <c r="B522" t="s">
        <v>357</v>
      </c>
      <c r="C522" t="s">
        <v>834</v>
      </c>
      <c r="D522" t="s">
        <v>1201</v>
      </c>
      <c r="E522" t="str">
        <f>IFERROR(AVERAGEIFS(Upload_Indiv[Score3],Upload_Indiv[[Player]:[Player]],$A12,Upload_Indiv[[Side]:[Side]],"Raintree Front",Upload_Indiv[[Excl Score]:[Excl Score]],0),"")</f>
        <v/>
      </c>
    </row>
    <row r="523" spans="1:5" x14ac:dyDescent="0.25">
      <c r="A523" t="s">
        <v>724</v>
      </c>
      <c r="B523" t="s">
        <v>357</v>
      </c>
      <c r="C523" t="s">
        <v>834</v>
      </c>
      <c r="D523" t="s">
        <v>1202</v>
      </c>
      <c r="E523" t="str">
        <f>IFERROR(AVERAGEIFS(Upload_Indiv[Score3],Upload_Indiv[[Player]:[Player]],$A12,Upload_Indiv[[Side]:[Side]],"Raintree Back",Upload_Indiv[[Excl Score]:[Excl Score]],0),"")</f>
        <v/>
      </c>
    </row>
    <row r="524" spans="1:5" x14ac:dyDescent="0.25">
      <c r="A524" t="s">
        <v>724</v>
      </c>
      <c r="B524" t="s">
        <v>357</v>
      </c>
      <c r="C524" t="s">
        <v>834</v>
      </c>
      <c r="D524" t="s">
        <v>1203</v>
      </c>
      <c r="E524" t="str">
        <f>IFERROR(AVERAGEIFS(Upload_Indiv[Score3],Upload_Indiv[[Player]:[Player]],$A13,Upload_Indiv[[Side]:[Side]],"Raintree Front",Upload_Indiv[[Excl Score]:[Excl Score]],0),"")</f>
        <v/>
      </c>
    </row>
    <row r="525" spans="1:5" x14ac:dyDescent="0.25">
      <c r="A525" t="s">
        <v>724</v>
      </c>
      <c r="B525" t="s">
        <v>357</v>
      </c>
      <c r="C525" t="s">
        <v>834</v>
      </c>
      <c r="D525" t="s">
        <v>1204</v>
      </c>
      <c r="E525" t="str">
        <f>IFERROR(AVERAGEIFS(Upload_Indiv[Score3],Upload_Indiv[[Player]:[Player]],$A13,Upload_Indiv[[Side]:[Side]],"Raintree Back",Upload_Indiv[[Excl Score]:[Excl Score]],0),"")</f>
        <v/>
      </c>
    </row>
    <row r="526" spans="1:5" x14ac:dyDescent="0.25">
      <c r="A526" t="s">
        <v>724</v>
      </c>
      <c r="B526" t="s">
        <v>357</v>
      </c>
      <c r="C526" t="s">
        <v>834</v>
      </c>
      <c r="D526" t="s">
        <v>1205</v>
      </c>
      <c r="E526" t="str">
        <f>IFERROR(AVERAGEIFS(Upload_Indiv[Score3],Upload_Indiv[[Player]:[Player]],$A14,Upload_Indiv[[Side]:[Side]],"Raintree Front",Upload_Indiv[[Excl Score]:[Excl Score]],0),"")</f>
        <v/>
      </c>
    </row>
    <row r="527" spans="1:5" x14ac:dyDescent="0.25">
      <c r="A527" t="s">
        <v>724</v>
      </c>
      <c r="B527" t="s">
        <v>357</v>
      </c>
      <c r="C527" t="s">
        <v>834</v>
      </c>
      <c r="D527" t="s">
        <v>1206</v>
      </c>
      <c r="E527" t="str">
        <f>IFERROR(AVERAGEIFS(Upload_Indiv[Score3],Upload_Indiv[[Player]:[Player]],$A14,Upload_Indiv[[Side]:[Side]],"Raintree Back",Upload_Indiv[[Excl Score]:[Excl Score]],0),"")</f>
        <v/>
      </c>
    </row>
    <row r="528" spans="1:5" x14ac:dyDescent="0.25">
      <c r="A528" t="s">
        <v>724</v>
      </c>
      <c r="B528" t="s">
        <v>357</v>
      </c>
      <c r="C528" t="s">
        <v>834</v>
      </c>
      <c r="D528" t="s">
        <v>1207</v>
      </c>
      <c r="E528" t="str">
        <f>IFERROR(AVERAGEIFS(Upload_Indiv[Score3],Upload_Indiv[[Player]:[Player]],$A15,Upload_Indiv[[Side]:[Side]],"Raintree Front",Upload_Indiv[[Excl Score]:[Excl Score]],0),"")</f>
        <v/>
      </c>
    </row>
    <row r="529" spans="1:5" x14ac:dyDescent="0.25">
      <c r="A529" t="s">
        <v>724</v>
      </c>
      <c r="B529" t="s">
        <v>357</v>
      </c>
      <c r="C529" t="s">
        <v>834</v>
      </c>
      <c r="D529" t="s">
        <v>1208</v>
      </c>
      <c r="E529" t="str">
        <f>IFERROR(AVERAGEIFS(Upload_Indiv[Score3],Upload_Indiv[[Player]:[Player]],$A15,Upload_Indiv[[Side]:[Side]],"Raintree Back",Upload_Indiv[[Excl Score]:[Excl Score]],0),"")</f>
        <v/>
      </c>
    </row>
    <row r="530" spans="1:5" x14ac:dyDescent="0.25">
      <c r="A530" t="s">
        <v>724</v>
      </c>
      <c r="B530" t="s">
        <v>357</v>
      </c>
      <c r="C530" t="s">
        <v>834</v>
      </c>
      <c r="D530" t="s">
        <v>1209</v>
      </c>
      <c r="E530" t="str">
        <f>IFERROR(AVERAGEIFS(Upload_Indiv[Score3],Upload_Indiv[[Player]:[Player]],$A16,Upload_Indiv[[Side]:[Side]],"Raintree Front",Upload_Indiv[[Excl Score]:[Excl Score]],0),"")</f>
        <v/>
      </c>
    </row>
    <row r="531" spans="1:5" x14ac:dyDescent="0.25">
      <c r="A531" t="s">
        <v>724</v>
      </c>
      <c r="B531" t="s">
        <v>357</v>
      </c>
      <c r="C531" t="s">
        <v>834</v>
      </c>
      <c r="D531" t="s">
        <v>1210</v>
      </c>
      <c r="E531" t="str">
        <f>IFERROR(AVERAGEIFS(Upload_Indiv[Score3],Upload_Indiv[[Player]:[Player]],$A16,Upload_Indiv[[Side]:[Side]],"Raintree Back",Upload_Indiv[[Excl Score]:[Excl Score]],0),"")</f>
        <v/>
      </c>
    </row>
    <row r="532" spans="1:5" x14ac:dyDescent="0.25">
      <c r="A532" t="s">
        <v>724</v>
      </c>
      <c r="B532" t="s">
        <v>357</v>
      </c>
      <c r="C532" t="s">
        <v>834</v>
      </c>
      <c r="D532" t="s">
        <v>1211</v>
      </c>
      <c r="E532" t="str">
        <f>IFERROR(AVERAGEIFS(Upload_Indiv[Score3],Upload_Indiv[[Player]:[Player]],$A17,Upload_Indiv[[Side]:[Side]],"Raintree Front",Upload_Indiv[[Excl Score]:[Excl Score]],0),"")</f>
        <v/>
      </c>
    </row>
    <row r="533" spans="1:5" x14ac:dyDescent="0.25">
      <c r="A533" t="s">
        <v>724</v>
      </c>
      <c r="B533" t="s">
        <v>357</v>
      </c>
      <c r="C533" t="s">
        <v>834</v>
      </c>
      <c r="D533" t="s">
        <v>1212</v>
      </c>
      <c r="E533" t="str">
        <f>IFERROR(AVERAGEIFS(Upload_Indiv[Score3],Upload_Indiv[[Player]:[Player]],$A17,Upload_Indiv[[Side]:[Side]],"Raintree Back",Upload_Indiv[[Excl Score]:[Excl Score]],0),"")</f>
        <v/>
      </c>
    </row>
    <row r="534" spans="1:5" x14ac:dyDescent="0.25">
      <c r="A534" t="s">
        <v>724</v>
      </c>
      <c r="B534" t="s">
        <v>357</v>
      </c>
      <c r="C534" t="s">
        <v>834</v>
      </c>
      <c r="D534" t="s">
        <v>1213</v>
      </c>
      <c r="E534" t="str">
        <f>IFERROR(AVERAGEIFS(Upload_Indiv[Score3],Upload_Indiv[[Player]:[Player]],$A18,Upload_Indiv[[Side]:[Side]],"Raintree Front",Upload_Indiv[[Excl Score]:[Excl Score]],0),"")</f>
        <v/>
      </c>
    </row>
    <row r="535" spans="1:5" x14ac:dyDescent="0.25">
      <c r="A535" t="s">
        <v>724</v>
      </c>
      <c r="B535" t="s">
        <v>357</v>
      </c>
      <c r="C535" t="s">
        <v>834</v>
      </c>
      <c r="D535" t="s">
        <v>1214</v>
      </c>
      <c r="E535" t="str">
        <f>IFERROR(AVERAGEIFS(Upload_Indiv[Score3],Upload_Indiv[[Player]:[Player]],$A18,Upload_Indiv[[Side]:[Side]],"Raintree Back",Upload_Indiv[[Excl Score]:[Excl Score]],0),"")</f>
        <v/>
      </c>
    </row>
    <row r="536" spans="1:5" x14ac:dyDescent="0.25">
      <c r="A536" t="s">
        <v>724</v>
      </c>
      <c r="B536" t="s">
        <v>357</v>
      </c>
      <c r="C536" t="s">
        <v>834</v>
      </c>
      <c r="D536" t="s">
        <v>1215</v>
      </c>
      <c r="E536" t="str">
        <f>IFERROR(AVERAGEIFS(Upload_Indiv[Score3],Upload_Indiv[[Player]:[Player]],$A19,Upload_Indiv[[Side]:[Side]],"Raintree Front",Upload_Indiv[[Excl Score]:[Excl Score]],0),"")</f>
        <v/>
      </c>
    </row>
    <row r="537" spans="1:5" x14ac:dyDescent="0.25">
      <c r="A537" t="s">
        <v>724</v>
      </c>
      <c r="B537" t="s">
        <v>357</v>
      </c>
      <c r="C537" t="s">
        <v>834</v>
      </c>
      <c r="D537" t="s">
        <v>1216</v>
      </c>
      <c r="E537" t="str">
        <f>IFERROR(AVERAGEIFS(Upload_Indiv[Score3],Upload_Indiv[[Player]:[Player]],$A19,Upload_Indiv[[Side]:[Side]],"Raintree Back",Upload_Indiv[[Excl Score]:[Excl Score]],0),"")</f>
        <v/>
      </c>
    </row>
    <row r="538" spans="1:5" x14ac:dyDescent="0.25">
      <c r="A538" t="s">
        <v>724</v>
      </c>
      <c r="B538" t="s">
        <v>357</v>
      </c>
      <c r="C538" t="s">
        <v>834</v>
      </c>
      <c r="D538" t="s">
        <v>1217</v>
      </c>
      <c r="E538" t="str">
        <f>IFERROR(AVERAGEIFS(Upload_Indiv[Score3],Upload_Indiv[[Player]:[Player]],$A20,Upload_Indiv[[Side]:[Side]],"Raintree Front",Upload_Indiv[[Excl Score]:[Excl Score]],0),"")</f>
        <v/>
      </c>
    </row>
    <row r="539" spans="1:5" x14ac:dyDescent="0.25">
      <c r="A539" t="s">
        <v>724</v>
      </c>
      <c r="B539" t="s">
        <v>357</v>
      </c>
      <c r="C539" t="s">
        <v>834</v>
      </c>
      <c r="D539" t="s">
        <v>1218</v>
      </c>
      <c r="E539" t="str">
        <f>IFERROR(AVERAGEIFS(Upload_Indiv[Score3],Upload_Indiv[[Player]:[Player]],$A20,Upload_Indiv[[Side]:[Side]],"Raintree Back",Upload_Indiv[[Excl Score]:[Excl Score]],0),"")</f>
        <v/>
      </c>
    </row>
    <row r="540" spans="1:5" x14ac:dyDescent="0.25">
      <c r="A540" t="s">
        <v>724</v>
      </c>
      <c r="B540" t="s">
        <v>357</v>
      </c>
      <c r="C540" t="s">
        <v>834</v>
      </c>
      <c r="D540" t="s">
        <v>1219</v>
      </c>
      <c r="E540" t="str">
        <f>IFERROR(AVERAGEIFS(Upload_Indiv[Score3],Upload_Indiv[[Player]:[Player]],$A21,Upload_Indiv[[Side]:[Side]],"Raintree Front",Upload_Indiv[[Excl Score]:[Excl Score]],0),"")</f>
        <v/>
      </c>
    </row>
    <row r="541" spans="1:5" x14ac:dyDescent="0.25">
      <c r="A541" t="s">
        <v>724</v>
      </c>
      <c r="B541" t="s">
        <v>357</v>
      </c>
      <c r="C541" t="s">
        <v>834</v>
      </c>
      <c r="D541" t="s">
        <v>1220</v>
      </c>
      <c r="E541" t="str">
        <f>IFERROR(AVERAGEIFS(Upload_Indiv[Score3],Upload_Indiv[[Player]:[Player]],$A21,Upload_Indiv[[Side]:[Side]],"Raintree Back",Upload_Indiv[[Excl Score]:[Excl Score]],0),"")</f>
        <v/>
      </c>
    </row>
    <row r="542" spans="1:5" x14ac:dyDescent="0.25">
      <c r="A542" t="s">
        <v>724</v>
      </c>
      <c r="B542" t="s">
        <v>357</v>
      </c>
      <c r="C542" t="s">
        <v>834</v>
      </c>
      <c r="D542" t="s">
        <v>1221</v>
      </c>
      <c r="E542" t="str">
        <f>IFERROR(AVERAGEIFS(Upload_Indiv[Score3],Upload_Indiv[[Player]:[Player]],$A22,Upload_Indiv[[Side]:[Side]],"Raintree Front",Upload_Indiv[[Excl Score]:[Excl Score]],0),"")</f>
        <v/>
      </c>
    </row>
    <row r="543" spans="1:5" x14ac:dyDescent="0.25">
      <c r="A543" t="s">
        <v>724</v>
      </c>
      <c r="B543" t="s">
        <v>357</v>
      </c>
      <c r="C543" t="s">
        <v>834</v>
      </c>
      <c r="D543" t="s">
        <v>1222</v>
      </c>
      <c r="E543" t="str">
        <f>IFERROR(AVERAGEIFS(Upload_Indiv[Score3],Upload_Indiv[[Player]:[Player]],$A22,Upload_Indiv[[Side]:[Side]],"Raintree Back",Upload_Indiv[[Excl Score]:[Excl Score]],0),"")</f>
        <v/>
      </c>
    </row>
    <row r="544" spans="1:5" x14ac:dyDescent="0.25">
      <c r="A544" t="s">
        <v>724</v>
      </c>
      <c r="B544" t="s">
        <v>357</v>
      </c>
      <c r="C544" t="s">
        <v>834</v>
      </c>
      <c r="D544" t="s">
        <v>1223</v>
      </c>
      <c r="E544" t="str">
        <f>IFERROR(AVERAGEIFS(Upload_Indiv[Score3],Upload_Indiv[[Player]:[Player]],$A23,Upload_Indiv[[Side]:[Side]],"Raintree Front",Upload_Indiv[[Excl Score]:[Excl Score]],0),"")</f>
        <v/>
      </c>
    </row>
    <row r="545" spans="1:5" x14ac:dyDescent="0.25">
      <c r="A545" t="s">
        <v>724</v>
      </c>
      <c r="B545" t="s">
        <v>357</v>
      </c>
      <c r="C545" t="s">
        <v>834</v>
      </c>
      <c r="D545" t="s">
        <v>1224</v>
      </c>
      <c r="E545" t="str">
        <f>IFERROR(AVERAGEIFS(Upload_Indiv[Score3],Upload_Indiv[[Player]:[Player]],$A23,Upload_Indiv[[Side]:[Side]],"Raintree Back",Upload_Indiv[[Excl Score]:[Excl Score]],0),"")</f>
        <v/>
      </c>
    </row>
    <row r="546" spans="1:5" x14ac:dyDescent="0.25">
      <c r="A546" t="s">
        <v>724</v>
      </c>
      <c r="B546" t="s">
        <v>357</v>
      </c>
      <c r="C546" t="s">
        <v>834</v>
      </c>
      <c r="D546" t="s">
        <v>1225</v>
      </c>
      <c r="E546" t="str">
        <f>IFERROR(AVERAGEIFS(Upload_Indiv[Score3],Upload_Indiv[[Player]:[Player]],$A24,Upload_Indiv[[Side]:[Side]],"Raintree Front",Upload_Indiv[[Excl Score]:[Excl Score]],0),"")</f>
        <v/>
      </c>
    </row>
    <row r="547" spans="1:5" x14ac:dyDescent="0.25">
      <c r="A547" t="s">
        <v>724</v>
      </c>
      <c r="B547" t="s">
        <v>357</v>
      </c>
      <c r="C547" t="s">
        <v>834</v>
      </c>
      <c r="D547" t="s">
        <v>1226</v>
      </c>
      <c r="E547" t="str">
        <f>IFERROR(AVERAGEIFS(Upload_Indiv[Score3],Upload_Indiv[[Player]:[Player]],$A24,Upload_Indiv[[Side]:[Side]],"Raintree Back",Upload_Indiv[[Excl Score]:[Excl Score]],0),"")</f>
        <v/>
      </c>
    </row>
    <row r="548" spans="1:5" x14ac:dyDescent="0.25">
      <c r="A548" t="s">
        <v>724</v>
      </c>
      <c r="B548" t="s">
        <v>357</v>
      </c>
      <c r="C548" t="s">
        <v>834</v>
      </c>
      <c r="D548" t="s">
        <v>1227</v>
      </c>
      <c r="E548" t="str">
        <f>IFERROR(AVERAGEIFS(Upload_Indiv[Score3],Upload_Indiv[[Player]:[Player]],$A25,Upload_Indiv[[Side]:[Side]],"Raintree Front",Upload_Indiv[[Excl Score]:[Excl Score]],0),"")</f>
        <v/>
      </c>
    </row>
    <row r="549" spans="1:5" x14ac:dyDescent="0.25">
      <c r="A549" t="s">
        <v>724</v>
      </c>
      <c r="B549" t="s">
        <v>357</v>
      </c>
      <c r="C549" t="s">
        <v>834</v>
      </c>
      <c r="D549" t="s">
        <v>1228</v>
      </c>
      <c r="E549" t="str">
        <f>IFERROR(AVERAGEIFS(Upload_Indiv[Score3],Upload_Indiv[[Player]:[Player]],$A25,Upload_Indiv[[Side]:[Side]],"Raintree Back",Upload_Indiv[[Excl Score]:[Excl Score]],0),"")</f>
        <v/>
      </c>
    </row>
    <row r="550" spans="1:5" x14ac:dyDescent="0.25">
      <c r="A550" t="s">
        <v>724</v>
      </c>
      <c r="B550" t="s">
        <v>357</v>
      </c>
      <c r="C550" t="s">
        <v>834</v>
      </c>
      <c r="D550" t="s">
        <v>1229</v>
      </c>
      <c r="E550" t="str">
        <f>IFERROR(AVERAGEIFS(Upload_Indiv[Score3],Upload_Indiv[[Player]:[Player]],$A26,Upload_Indiv[[Side]:[Side]],"Raintree Front",Upload_Indiv[[Excl Score]:[Excl Score]],0),"")</f>
        <v/>
      </c>
    </row>
    <row r="551" spans="1:5" x14ac:dyDescent="0.25">
      <c r="A551" t="s">
        <v>724</v>
      </c>
      <c r="B551" t="s">
        <v>357</v>
      </c>
      <c r="C551" t="s">
        <v>834</v>
      </c>
      <c r="D551" t="s">
        <v>1230</v>
      </c>
      <c r="E551" t="str">
        <f>IFERROR(AVERAGEIFS(Upload_Indiv[Score3],Upload_Indiv[[Player]:[Player]],$A26,Upload_Indiv[[Side]:[Side]],"Raintree Back",Upload_Indiv[[Excl Score]:[Excl Score]],0),"")</f>
        <v/>
      </c>
    </row>
    <row r="552" spans="1:5" x14ac:dyDescent="0.25">
      <c r="A552" t="s">
        <v>724</v>
      </c>
      <c r="B552" t="s">
        <v>357</v>
      </c>
      <c r="C552" t="s">
        <v>834</v>
      </c>
      <c r="D552" t="s">
        <v>1231</v>
      </c>
      <c r="E552" t="str">
        <f>IFERROR(AVERAGEIFS(Upload_Indiv[Score3],Upload_Indiv[[Player]:[Player]],$A27,Upload_Indiv[[Side]:[Side]],"Raintree Front",Upload_Indiv[[Excl Score]:[Excl Score]],0),"")</f>
        <v/>
      </c>
    </row>
    <row r="553" spans="1:5" x14ac:dyDescent="0.25">
      <c r="A553" t="s">
        <v>724</v>
      </c>
      <c r="B553" t="s">
        <v>357</v>
      </c>
      <c r="C553" t="s">
        <v>834</v>
      </c>
      <c r="D553" t="s">
        <v>1232</v>
      </c>
      <c r="E553" t="str">
        <f>IFERROR(AVERAGEIFS(Upload_Indiv[Score3],Upload_Indiv[[Player]:[Player]],$A27,Upload_Indiv[[Side]:[Side]],"Raintree Back",Upload_Indiv[[Excl Score]:[Excl Score]],0),"")</f>
        <v/>
      </c>
    </row>
    <row r="554" spans="1:5" x14ac:dyDescent="0.25">
      <c r="A554" t="s">
        <v>724</v>
      </c>
      <c r="B554" t="s">
        <v>357</v>
      </c>
      <c r="C554" t="s">
        <v>834</v>
      </c>
      <c r="D554" t="s">
        <v>1233</v>
      </c>
      <c r="E554" t="str">
        <f>IFERROR(AVERAGEIFS(Upload_Indiv[Score3],Upload_Indiv[[Player]:[Player]],$A28,Upload_Indiv[[Side]:[Side]],"Raintree Front",Upload_Indiv[[Excl Score]:[Excl Score]],0),"")</f>
        <v/>
      </c>
    </row>
    <row r="555" spans="1:5" x14ac:dyDescent="0.25">
      <c r="A555" t="s">
        <v>724</v>
      </c>
      <c r="B555" t="s">
        <v>357</v>
      </c>
      <c r="C555" t="s">
        <v>834</v>
      </c>
      <c r="D555" t="s">
        <v>1234</v>
      </c>
      <c r="E555" t="str">
        <f>IFERROR(AVERAGEIFS(Upload_Indiv[Score3],Upload_Indiv[[Player]:[Player]],$A28,Upload_Indiv[[Side]:[Side]],"Raintree Back",Upload_Indiv[[Excl Score]:[Excl Score]],0),"")</f>
        <v/>
      </c>
    </row>
    <row r="556" spans="1:5" x14ac:dyDescent="0.25">
      <c r="A556" t="s">
        <v>724</v>
      </c>
      <c r="B556" t="s">
        <v>357</v>
      </c>
      <c r="C556" t="s">
        <v>834</v>
      </c>
      <c r="D556" t="s">
        <v>1235</v>
      </c>
      <c r="E556" t="str">
        <f>IFERROR(AVERAGEIFS(Upload_Indiv[Score3],Upload_Indiv[[Player]:[Player]],$A29,Upload_Indiv[[Side]:[Side]],"Raintree Front",Upload_Indiv[[Excl Score]:[Excl Score]],0),"")</f>
        <v/>
      </c>
    </row>
    <row r="557" spans="1:5" x14ac:dyDescent="0.25">
      <c r="A557" t="s">
        <v>724</v>
      </c>
      <c r="B557" t="s">
        <v>357</v>
      </c>
      <c r="C557" t="s">
        <v>834</v>
      </c>
      <c r="D557" t="s">
        <v>1236</v>
      </c>
      <c r="E557" t="str">
        <f>IFERROR(AVERAGEIFS(Upload_Indiv[Score3],Upload_Indiv[[Player]:[Player]],$A29,Upload_Indiv[[Side]:[Side]],"Raintree Back",Upload_Indiv[[Excl Score]:[Excl Score]],0),"")</f>
        <v/>
      </c>
    </row>
    <row r="558" spans="1:5" x14ac:dyDescent="0.25">
      <c r="A558" t="s">
        <v>724</v>
      </c>
      <c r="B558" t="s">
        <v>357</v>
      </c>
      <c r="C558" t="s">
        <v>834</v>
      </c>
      <c r="D558" t="s">
        <v>1237</v>
      </c>
      <c r="E558" t="str">
        <f>IFERROR(AVERAGEIFS(Upload_Indiv[Score3],Upload_Indiv[[Player]:[Player]],$A30,Upload_Indiv[[Side]:[Side]],"Raintree Front",Upload_Indiv[[Excl Score]:[Excl Score]],0),"")</f>
        <v/>
      </c>
    </row>
    <row r="559" spans="1:5" x14ac:dyDescent="0.25">
      <c r="A559" t="s">
        <v>724</v>
      </c>
      <c r="B559" t="s">
        <v>357</v>
      </c>
      <c r="C559" t="s">
        <v>834</v>
      </c>
      <c r="D559" t="s">
        <v>1238</v>
      </c>
      <c r="E559" t="str">
        <f>IFERROR(AVERAGEIFS(Upload_Indiv[Score3],Upload_Indiv[[Player]:[Player]],$A30,Upload_Indiv[[Side]:[Side]],"Raintree Back",Upload_Indiv[[Excl Score]:[Excl Score]],0),"")</f>
        <v/>
      </c>
    </row>
    <row r="560" spans="1:5" x14ac:dyDescent="0.25">
      <c r="A560" t="s">
        <v>724</v>
      </c>
      <c r="B560" t="s">
        <v>357</v>
      </c>
      <c r="C560" t="s">
        <v>834</v>
      </c>
      <c r="D560" t="s">
        <v>1239</v>
      </c>
      <c r="E560" t="str">
        <f>IFERROR(AVERAGEIFS(Upload_Indiv[Score3],Upload_Indiv[[Player]:[Player]],$A31,Upload_Indiv[[Side]:[Side]],"Raintree Front",Upload_Indiv[[Excl Score]:[Excl Score]],0),"")</f>
        <v/>
      </c>
    </row>
    <row r="561" spans="1:5" x14ac:dyDescent="0.25">
      <c r="A561" t="s">
        <v>724</v>
      </c>
      <c r="B561" t="s">
        <v>357</v>
      </c>
      <c r="C561" t="s">
        <v>834</v>
      </c>
      <c r="D561" t="s">
        <v>1240</v>
      </c>
      <c r="E561" t="str">
        <f>IFERROR(AVERAGEIFS(Upload_Indiv[Score3],Upload_Indiv[[Player]:[Player]],$A31,Upload_Indiv[[Side]:[Side]],"Raintree Back",Upload_Indiv[[Excl Score]:[Excl Score]],0),"")</f>
        <v/>
      </c>
    </row>
    <row r="562" spans="1:5" x14ac:dyDescent="0.25">
      <c r="A562" t="s">
        <v>724</v>
      </c>
      <c r="B562" t="s">
        <v>357</v>
      </c>
      <c r="C562" t="s">
        <v>834</v>
      </c>
      <c r="D562" t="s">
        <v>1241</v>
      </c>
      <c r="E562" t="str">
        <f>IFERROR(AVERAGEIFS(Upload_Indiv[Score3],Upload_Indiv[[Player]:[Player]],$A32,Upload_Indiv[[Side]:[Side]],"Raintree Front",Upload_Indiv[[Excl Score]:[Excl Score]],0),"")</f>
        <v/>
      </c>
    </row>
    <row r="563" spans="1:5" x14ac:dyDescent="0.25">
      <c r="A563" t="s">
        <v>724</v>
      </c>
      <c r="B563" t="s">
        <v>357</v>
      </c>
      <c r="C563" t="s">
        <v>834</v>
      </c>
      <c r="D563" t="s">
        <v>1242</v>
      </c>
      <c r="E563" t="str">
        <f>IFERROR(AVERAGEIFS(Upload_Indiv[Score3],Upload_Indiv[[Player]:[Player]],$A32,Upload_Indiv[[Side]:[Side]],"Raintree Back",Upload_Indiv[[Excl Score]:[Excl Score]],0),"")</f>
        <v/>
      </c>
    </row>
    <row r="564" spans="1:5" x14ac:dyDescent="0.25">
      <c r="A564" t="s">
        <v>724</v>
      </c>
      <c r="B564" t="s">
        <v>357</v>
      </c>
      <c r="C564" t="s">
        <v>834</v>
      </c>
      <c r="D564" t="s">
        <v>1243</v>
      </c>
      <c r="E564" t="str">
        <f>IFERROR(AVERAGEIFS(Upload_Indiv[Score3],Upload_Indiv[[Player]:[Player]],$A33,Upload_Indiv[[Side]:[Side]],"Raintree Front",Upload_Indiv[[Excl Score]:[Excl Score]],0),"")</f>
        <v/>
      </c>
    </row>
    <row r="565" spans="1:5" x14ac:dyDescent="0.25">
      <c r="A565" t="s">
        <v>724</v>
      </c>
      <c r="B565" t="s">
        <v>357</v>
      </c>
      <c r="C565" t="s">
        <v>834</v>
      </c>
      <c r="D565" t="s">
        <v>1244</v>
      </c>
      <c r="E565" t="str">
        <f>IFERROR(AVERAGEIFS(Upload_Indiv[Score3],Upload_Indiv[[Player]:[Player]],$A33,Upload_Indiv[[Side]:[Side]],"Raintree Back",Upload_Indiv[[Excl Score]:[Excl Score]],0),"")</f>
        <v/>
      </c>
    </row>
    <row r="566" spans="1:5" x14ac:dyDescent="0.25">
      <c r="A566" t="s">
        <v>724</v>
      </c>
      <c r="B566" t="s">
        <v>357</v>
      </c>
      <c r="C566" t="s">
        <v>834</v>
      </c>
      <c r="D566" t="s">
        <v>1245</v>
      </c>
      <c r="E566" t="str">
        <f>IFERROR(AVERAGEIFS(Upload_Indiv[Score3],Upload_Indiv[[Player]:[Player]],$A34,Upload_Indiv[[Side]:[Side]],"Raintree Front",Upload_Indiv[[Excl Score]:[Excl Score]],0),"")</f>
        <v/>
      </c>
    </row>
    <row r="567" spans="1:5" x14ac:dyDescent="0.25">
      <c r="A567" t="s">
        <v>724</v>
      </c>
      <c r="B567" t="s">
        <v>357</v>
      </c>
      <c r="C567" t="s">
        <v>834</v>
      </c>
      <c r="D567" t="s">
        <v>1246</v>
      </c>
      <c r="E567" t="str">
        <f>IFERROR(AVERAGEIFS(Upload_Indiv[Score3],Upload_Indiv[[Player]:[Player]],$A34,Upload_Indiv[[Side]:[Side]],"Raintree Back",Upload_Indiv[[Excl Score]:[Excl Score]],0),"")</f>
        <v/>
      </c>
    </row>
    <row r="568" spans="1:5" x14ac:dyDescent="0.25">
      <c r="A568" t="s">
        <v>724</v>
      </c>
      <c r="B568" t="s">
        <v>357</v>
      </c>
      <c r="C568" t="s">
        <v>834</v>
      </c>
      <c r="D568" t="s">
        <v>1247</v>
      </c>
      <c r="E568" t="str">
        <f>IFERROR(AVERAGEIFS(Upload_Indiv[Score3],Upload_Indiv[[Player]:[Player]],$A35,Upload_Indiv[[Side]:[Side]],"Raintree Front",Upload_Indiv[[Excl Score]:[Excl Score]],0),"")</f>
        <v/>
      </c>
    </row>
    <row r="569" spans="1:5" x14ac:dyDescent="0.25">
      <c r="A569" t="s">
        <v>724</v>
      </c>
      <c r="B569" t="s">
        <v>357</v>
      </c>
      <c r="C569" t="s">
        <v>834</v>
      </c>
      <c r="D569" t="s">
        <v>1248</v>
      </c>
      <c r="E569" t="str">
        <f>IFERROR(AVERAGEIFS(Upload_Indiv[Score3],Upload_Indiv[[Player]:[Player]],$A35,Upload_Indiv[[Side]:[Side]],"Raintree Back",Upload_Indiv[[Excl Score]:[Excl Score]],0),"")</f>
        <v/>
      </c>
    </row>
    <row r="570" spans="1:5" x14ac:dyDescent="0.25">
      <c r="A570" t="s">
        <v>724</v>
      </c>
      <c r="B570" t="s">
        <v>357</v>
      </c>
      <c r="C570" t="s">
        <v>834</v>
      </c>
      <c r="D570" t="s">
        <v>1249</v>
      </c>
      <c r="E570" t="str">
        <f>IFERROR(AVERAGEIFS(Upload_Indiv[Score3],Upload_Indiv[[Player]:[Player]],$A36,Upload_Indiv[[Side]:[Side]],"Raintree Front",Upload_Indiv[[Excl Score]:[Excl Score]],0),"")</f>
        <v/>
      </c>
    </row>
    <row r="571" spans="1:5" x14ac:dyDescent="0.25">
      <c r="A571" t="s">
        <v>724</v>
      </c>
      <c r="B571" t="s">
        <v>357</v>
      </c>
      <c r="C571" t="s">
        <v>834</v>
      </c>
      <c r="D571" t="s">
        <v>1250</v>
      </c>
      <c r="E571" t="str">
        <f>IFERROR(AVERAGEIFS(Upload_Indiv[Score3],Upload_Indiv[[Player]:[Player]],$A36,Upload_Indiv[[Side]:[Side]],"Raintree Back",Upload_Indiv[[Excl Score]:[Excl Score]],0),"")</f>
        <v/>
      </c>
    </row>
    <row r="572" spans="1:5" x14ac:dyDescent="0.25">
      <c r="A572" t="s">
        <v>724</v>
      </c>
      <c r="B572" t="s">
        <v>357</v>
      </c>
      <c r="C572" t="s">
        <v>834</v>
      </c>
      <c r="D572" t="s">
        <v>1251</v>
      </c>
      <c r="E572" t="str">
        <f>IFERROR(AVERAGEIFS(Upload_Indiv[Score3],Upload_Indiv[[Player]:[Player]],$A37,Upload_Indiv[[Side]:[Side]],"Raintree Front",Upload_Indiv[[Excl Score]:[Excl Score]],0),"")</f>
        <v/>
      </c>
    </row>
    <row r="573" spans="1:5" x14ac:dyDescent="0.25">
      <c r="A573" t="s">
        <v>724</v>
      </c>
      <c r="B573" t="s">
        <v>357</v>
      </c>
      <c r="C573" t="s">
        <v>834</v>
      </c>
      <c r="D573" t="s">
        <v>1252</v>
      </c>
      <c r="E573" t="str">
        <f>IFERROR(AVERAGEIFS(Upload_Indiv[Score3],Upload_Indiv[[Player]:[Player]],$A37,Upload_Indiv[[Side]:[Side]],"Raintree Back",Upload_Indiv[[Excl Score]:[Excl Score]],0),"")</f>
        <v/>
      </c>
    </row>
    <row r="574" spans="1:5" x14ac:dyDescent="0.25">
      <c r="A574" t="s">
        <v>724</v>
      </c>
      <c r="B574" t="s">
        <v>357</v>
      </c>
      <c r="C574" t="s">
        <v>834</v>
      </c>
      <c r="D574" t="s">
        <v>1253</v>
      </c>
      <c r="E574" t="str">
        <f>IFERROR(AVERAGEIFS(Upload_Indiv[Score3],Upload_Indiv[[Player]:[Player]],$A38,Upload_Indiv[[Side]:[Side]],"Raintree Front",Upload_Indiv[[Excl Score]:[Excl Score]],0),"")</f>
        <v/>
      </c>
    </row>
    <row r="575" spans="1:5" x14ac:dyDescent="0.25">
      <c r="A575" t="s">
        <v>724</v>
      </c>
      <c r="B575" t="s">
        <v>357</v>
      </c>
      <c r="C575" t="s">
        <v>834</v>
      </c>
      <c r="D575" t="s">
        <v>1254</v>
      </c>
      <c r="E575" t="str">
        <f>IFERROR(AVERAGEIFS(Upload_Indiv[Score3],Upload_Indiv[[Player]:[Player]],$A38,Upload_Indiv[[Side]:[Side]],"Raintree Back",Upload_Indiv[[Excl Score]:[Excl Score]],0),"")</f>
        <v/>
      </c>
    </row>
    <row r="576" spans="1:5" x14ac:dyDescent="0.25">
      <c r="A576" t="s">
        <v>724</v>
      </c>
      <c r="B576" t="s">
        <v>357</v>
      </c>
      <c r="C576" t="s">
        <v>834</v>
      </c>
      <c r="D576" t="s">
        <v>1255</v>
      </c>
      <c r="E576" t="str">
        <f>IFERROR(AVERAGEIFS(Upload_Indiv[Score3],Upload_Indiv[[Player]:[Player]],$A39,Upload_Indiv[[Side]:[Side]],"Raintree Front",Upload_Indiv[[Excl Score]:[Excl Score]],0),"")</f>
        <v/>
      </c>
    </row>
    <row r="577" spans="1:5" x14ac:dyDescent="0.25">
      <c r="A577" t="s">
        <v>724</v>
      </c>
      <c r="B577" t="s">
        <v>357</v>
      </c>
      <c r="C577" t="s">
        <v>834</v>
      </c>
      <c r="D577" t="s">
        <v>1256</v>
      </c>
      <c r="E577" t="str">
        <f>IFERROR(AVERAGEIFS(Upload_Indiv[Score3],Upload_Indiv[[Player]:[Player]],$A39,Upload_Indiv[[Side]:[Side]],"Raintree Back",Upload_Indiv[[Excl Score]:[Excl Score]],0),"")</f>
        <v/>
      </c>
    </row>
    <row r="578" spans="1:5" x14ac:dyDescent="0.25">
      <c r="A578" t="s">
        <v>724</v>
      </c>
      <c r="B578" t="s">
        <v>357</v>
      </c>
      <c r="C578" t="s">
        <v>834</v>
      </c>
      <c r="D578" t="s">
        <v>1257</v>
      </c>
      <c r="E578" t="str">
        <f>IFERROR(AVERAGEIFS(Upload_Indiv[Score3],Upload_Indiv[[Player]:[Player]],$A40,Upload_Indiv[[Side]:[Side]],"Raintree Front",Upload_Indiv[[Excl Score]:[Excl Score]],0),"")</f>
        <v/>
      </c>
    </row>
    <row r="579" spans="1:5" x14ac:dyDescent="0.25">
      <c r="A579" t="s">
        <v>724</v>
      </c>
      <c r="B579" t="s">
        <v>357</v>
      </c>
      <c r="C579" t="s">
        <v>834</v>
      </c>
      <c r="D579" t="s">
        <v>1258</v>
      </c>
      <c r="E579" t="str">
        <f>IFERROR(AVERAGEIFS(Upload_Indiv[Score3],Upload_Indiv[[Player]:[Player]],$A40,Upload_Indiv[[Side]:[Side]],"Raintree Back",Upload_Indiv[[Excl Score]:[Excl Score]],0),"")</f>
        <v/>
      </c>
    </row>
    <row r="580" spans="1:5" x14ac:dyDescent="0.25">
      <c r="A580" t="s">
        <v>724</v>
      </c>
      <c r="B580" t="s">
        <v>357</v>
      </c>
      <c r="C580" t="s">
        <v>834</v>
      </c>
      <c r="D580" t="s">
        <v>1259</v>
      </c>
      <c r="E580" t="str">
        <f>IFERROR(AVERAGEIFS(Upload_Indiv[Score3],Upload_Indiv[[Player]:[Player]],$A41,Upload_Indiv[[Side]:[Side]],"Raintree Front",Upload_Indiv[[Excl Score]:[Excl Score]],0),"")</f>
        <v/>
      </c>
    </row>
    <row r="581" spans="1:5" x14ac:dyDescent="0.25">
      <c r="A581" t="s">
        <v>724</v>
      </c>
      <c r="B581" t="s">
        <v>357</v>
      </c>
      <c r="C581" t="s">
        <v>834</v>
      </c>
      <c r="D581" t="s">
        <v>1260</v>
      </c>
      <c r="E581" t="str">
        <f>IFERROR(AVERAGEIFS(Upload_Indiv[Score3],Upload_Indiv[[Player]:[Player]],$A41,Upload_Indiv[[Side]:[Side]],"Raintree Back",Upload_Indiv[[Excl Score]:[Excl Score]],0),"")</f>
        <v/>
      </c>
    </row>
    <row r="582" spans="1:5" x14ac:dyDescent="0.25">
      <c r="A582" t="s">
        <v>724</v>
      </c>
      <c r="B582" t="s">
        <v>357</v>
      </c>
      <c r="C582" t="s">
        <v>834</v>
      </c>
      <c r="D582" t="s">
        <v>1261</v>
      </c>
      <c r="E582" t="str">
        <f>IFERROR(AVERAGEIFS(Upload_Indiv[Score3],Upload_Indiv[[Player]:[Player]],$A42,Upload_Indiv[[Side]:[Side]],"Raintree Front",Upload_Indiv[[Excl Score]:[Excl Score]],0),"")</f>
        <v/>
      </c>
    </row>
    <row r="583" spans="1:5" x14ac:dyDescent="0.25">
      <c r="A583" t="s">
        <v>724</v>
      </c>
      <c r="B583" t="s">
        <v>357</v>
      </c>
      <c r="C583" t="s">
        <v>834</v>
      </c>
      <c r="D583" t="s">
        <v>1262</v>
      </c>
      <c r="E583" t="str">
        <f>IFERROR(AVERAGEIFS(Upload_Indiv[Score3],Upload_Indiv[[Player]:[Player]],$A42,Upload_Indiv[[Side]:[Side]],"Raintree Back",Upload_Indiv[[Excl Score]:[Excl Score]],0),"")</f>
        <v/>
      </c>
    </row>
    <row r="584" spans="1:5" x14ac:dyDescent="0.25">
      <c r="A584" t="s">
        <v>724</v>
      </c>
      <c r="B584" t="s">
        <v>357</v>
      </c>
      <c r="C584" t="s">
        <v>834</v>
      </c>
      <c r="D584" t="s">
        <v>1263</v>
      </c>
      <c r="E584" t="str">
        <f>IFERROR(AVERAGEIFS(Upload_Indiv[Score3],Upload_Indiv[[Player]:[Player]],$A43,Upload_Indiv[[Side]:[Side]],"Raintree Front",Upload_Indiv[[Excl Score]:[Excl Score]],0),"")</f>
        <v/>
      </c>
    </row>
    <row r="585" spans="1:5" x14ac:dyDescent="0.25">
      <c r="A585" t="s">
        <v>724</v>
      </c>
      <c r="B585" t="s">
        <v>357</v>
      </c>
      <c r="C585" t="s">
        <v>834</v>
      </c>
      <c r="D585" t="s">
        <v>1264</v>
      </c>
      <c r="E585" t="str">
        <f>IFERROR(AVERAGEIFS(Upload_Indiv[Score3],Upload_Indiv[[Player]:[Player]],$A43,Upload_Indiv[[Side]:[Side]],"Raintree Back",Upload_Indiv[[Excl Score]:[Excl Score]],0),"")</f>
        <v/>
      </c>
    </row>
    <row r="586" spans="1:5" x14ac:dyDescent="0.25">
      <c r="A586" t="s">
        <v>724</v>
      </c>
      <c r="B586" t="s">
        <v>357</v>
      </c>
      <c r="C586" t="s">
        <v>834</v>
      </c>
      <c r="D586" t="s">
        <v>1265</v>
      </c>
      <c r="E586" t="str">
        <f>IFERROR(AVERAGEIFS(Upload_Indiv[Score3],Upload_Indiv[[Player]:[Player]],$A44,Upload_Indiv[[Side]:[Side]],"Raintree Front",Upload_Indiv[[Excl Score]:[Excl Score]],0),"")</f>
        <v/>
      </c>
    </row>
    <row r="587" spans="1:5" x14ac:dyDescent="0.25">
      <c r="A587" t="s">
        <v>724</v>
      </c>
      <c r="B587" t="s">
        <v>357</v>
      </c>
      <c r="C587" t="s">
        <v>834</v>
      </c>
      <c r="D587" t="s">
        <v>1266</v>
      </c>
      <c r="E587" t="str">
        <f>IFERROR(AVERAGEIFS(Upload_Indiv[Score3],Upload_Indiv[[Player]:[Player]],$A44,Upload_Indiv[[Side]:[Side]],"Raintree Back",Upload_Indiv[[Excl Score]:[Excl Score]],0),"")</f>
        <v/>
      </c>
    </row>
    <row r="588" spans="1:5" x14ac:dyDescent="0.25">
      <c r="A588" t="s">
        <v>724</v>
      </c>
      <c r="B588" t="s">
        <v>357</v>
      </c>
      <c r="C588" t="s">
        <v>834</v>
      </c>
      <c r="D588" t="s">
        <v>1267</v>
      </c>
      <c r="E588" t="str">
        <f>IFERROR(AVERAGEIFS(Upload_Indiv[Score3],Upload_Indiv[[Player]:[Player]],$A45,Upload_Indiv[[Side]:[Side]],"Raintree Front",Upload_Indiv[[Excl Score]:[Excl Score]],0),"")</f>
        <v/>
      </c>
    </row>
    <row r="589" spans="1:5" x14ac:dyDescent="0.25">
      <c r="A589" t="s">
        <v>724</v>
      </c>
      <c r="B589" t="s">
        <v>357</v>
      </c>
      <c r="C589" t="s">
        <v>834</v>
      </c>
      <c r="D589" t="s">
        <v>1268</v>
      </c>
      <c r="E589" t="str">
        <f>IFERROR(AVERAGEIFS(Upload_Indiv[Score3],Upload_Indiv[[Player]:[Player]],$A45,Upload_Indiv[[Side]:[Side]],"Raintree Back",Upload_Indiv[[Excl Score]:[Excl Score]],0),"")</f>
        <v/>
      </c>
    </row>
    <row r="590" spans="1:5" x14ac:dyDescent="0.25">
      <c r="A590" t="s">
        <v>724</v>
      </c>
      <c r="B590" t="s">
        <v>357</v>
      </c>
      <c r="C590" t="s">
        <v>834</v>
      </c>
      <c r="D590" t="s">
        <v>1269</v>
      </c>
      <c r="E590" t="str">
        <f>IFERROR(AVERAGEIFS(Upload_Indiv[Score3],Upload_Indiv[[Player]:[Player]],$A46,Upload_Indiv[[Side]:[Side]],"Raintree Front",Upload_Indiv[[Excl Score]:[Excl Score]],0),"")</f>
        <v/>
      </c>
    </row>
    <row r="591" spans="1:5" x14ac:dyDescent="0.25">
      <c r="A591" t="s">
        <v>724</v>
      </c>
      <c r="B591" t="s">
        <v>357</v>
      </c>
      <c r="C591" t="s">
        <v>834</v>
      </c>
      <c r="D591" t="s">
        <v>1270</v>
      </c>
      <c r="E591" t="str">
        <f>IFERROR(AVERAGEIFS(Upload_Indiv[Score3],Upload_Indiv[[Player]:[Player]],$A46,Upload_Indiv[[Side]:[Side]],"Raintree Back",Upload_Indiv[[Excl Score]:[Excl Score]],0),"")</f>
        <v/>
      </c>
    </row>
    <row r="592" spans="1:5" x14ac:dyDescent="0.25">
      <c r="A592" t="s">
        <v>724</v>
      </c>
      <c r="B592" t="s">
        <v>357</v>
      </c>
      <c r="C592" t="s">
        <v>834</v>
      </c>
      <c r="D592" t="s">
        <v>1271</v>
      </c>
      <c r="E592" t="str">
        <f>IFERROR(AVERAGEIFS(Upload_Indiv[Score3],Upload_Indiv[[Player]:[Player]],$A47,Upload_Indiv[[Side]:[Side]],"Raintree Front",Upload_Indiv[[Excl Score]:[Excl Score]],0),"")</f>
        <v/>
      </c>
    </row>
    <row r="593" spans="1:5" x14ac:dyDescent="0.25">
      <c r="A593" t="s">
        <v>724</v>
      </c>
      <c r="B593" t="s">
        <v>357</v>
      </c>
      <c r="C593" t="s">
        <v>834</v>
      </c>
      <c r="D593" t="s">
        <v>1272</v>
      </c>
      <c r="E593" t="str">
        <f>IFERROR(AVERAGEIFS(Upload_Indiv[Score3],Upload_Indiv[[Player]:[Player]],$A47,Upload_Indiv[[Side]:[Side]],"Raintree Back",Upload_Indiv[[Excl Score]:[Excl Score]],0),"")</f>
        <v/>
      </c>
    </row>
    <row r="594" spans="1:5" x14ac:dyDescent="0.25">
      <c r="A594" t="s">
        <v>724</v>
      </c>
      <c r="B594" t="s">
        <v>357</v>
      </c>
      <c r="C594" t="s">
        <v>834</v>
      </c>
      <c r="D594" t="s">
        <v>1273</v>
      </c>
      <c r="E594" t="str">
        <f>IFERROR(AVERAGEIFS(Upload_Indiv[Score3],Upload_Indiv[[Player]:[Player]],$A48,Upload_Indiv[[Side]:[Side]],"Raintree Front",Upload_Indiv[[Excl Score]:[Excl Score]],0),"")</f>
        <v/>
      </c>
    </row>
    <row r="595" spans="1:5" x14ac:dyDescent="0.25">
      <c r="A595" t="s">
        <v>724</v>
      </c>
      <c r="B595" t="s">
        <v>357</v>
      </c>
      <c r="C595" t="s">
        <v>834</v>
      </c>
      <c r="D595" t="s">
        <v>1274</v>
      </c>
      <c r="E595" t="str">
        <f>IFERROR(AVERAGEIFS(Upload_Indiv[Score3],Upload_Indiv[[Player]:[Player]],$A48,Upload_Indiv[[Side]:[Side]],"Raintree Back",Upload_Indiv[[Excl Score]:[Excl Score]],0),"")</f>
        <v/>
      </c>
    </row>
    <row r="596" spans="1:5" x14ac:dyDescent="0.25">
      <c r="A596" t="s">
        <v>724</v>
      </c>
      <c r="B596" t="s">
        <v>357</v>
      </c>
      <c r="C596" t="s">
        <v>834</v>
      </c>
      <c r="D596" t="s">
        <v>1275</v>
      </c>
      <c r="E596" t="str">
        <f>IFERROR(AVERAGEIFS(Upload_Indiv[Score3],Upload_Indiv[[Player]:[Player]],$A49,Upload_Indiv[[Side]:[Side]],"Raintree Front",Upload_Indiv[[Excl Score]:[Excl Score]],0),"")</f>
        <v/>
      </c>
    </row>
    <row r="597" spans="1:5" x14ac:dyDescent="0.25">
      <c r="A597" t="s">
        <v>724</v>
      </c>
      <c r="B597" t="s">
        <v>357</v>
      </c>
      <c r="C597" t="s">
        <v>834</v>
      </c>
      <c r="D597" t="s">
        <v>1276</v>
      </c>
      <c r="E597" t="str">
        <f>IFERROR(AVERAGEIFS(Upload_Indiv[Score3],Upload_Indiv[[Player]:[Player]],$A49,Upload_Indiv[[Side]:[Side]],"Raintree Back",Upload_Indiv[[Excl Score]:[Excl Score]],0),"")</f>
        <v/>
      </c>
    </row>
    <row r="598" spans="1:5" x14ac:dyDescent="0.25">
      <c r="A598" t="s">
        <v>724</v>
      </c>
      <c r="B598" t="s">
        <v>357</v>
      </c>
      <c r="C598" t="s">
        <v>834</v>
      </c>
      <c r="D598" t="s">
        <v>1277</v>
      </c>
      <c r="E598" t="str">
        <f>IFERROR(AVERAGEIFS(Upload_Indiv[Score3],Upload_Indiv[[Player]:[Player]],$A50,Upload_Indiv[[Side]:[Side]],"Raintree Front",Upload_Indiv[[Excl Score]:[Excl Score]],0),"")</f>
        <v/>
      </c>
    </row>
    <row r="599" spans="1:5" x14ac:dyDescent="0.25">
      <c r="A599" t="s">
        <v>724</v>
      </c>
      <c r="B599" t="s">
        <v>357</v>
      </c>
      <c r="C599" t="s">
        <v>834</v>
      </c>
      <c r="D599" t="s">
        <v>1278</v>
      </c>
      <c r="E599" t="str">
        <f>IFERROR(AVERAGEIFS(Upload_Indiv[Score3],Upload_Indiv[[Player]:[Player]],$A50,Upload_Indiv[[Side]:[Side]],"Raintree Back",Upload_Indiv[[Excl Score]:[Excl Score]],0),"")</f>
        <v/>
      </c>
    </row>
    <row r="600" spans="1:5" x14ac:dyDescent="0.25">
      <c r="A600" t="s">
        <v>724</v>
      </c>
      <c r="B600" t="s">
        <v>357</v>
      </c>
      <c r="C600" t="s">
        <v>834</v>
      </c>
      <c r="D600" t="s">
        <v>1279</v>
      </c>
      <c r="E600" t="str">
        <f>IFERROR(AVERAGEIFS(Upload_Indiv[Score3],Upload_Indiv[[Player]:[Player]],$A51,Upload_Indiv[[Side]:[Side]],"Raintree Front",Upload_Indiv[[Excl Score]:[Excl Score]],0),"")</f>
        <v/>
      </c>
    </row>
    <row r="601" spans="1:5" x14ac:dyDescent="0.25">
      <c r="A601" t="s">
        <v>724</v>
      </c>
      <c r="B601" t="s">
        <v>357</v>
      </c>
      <c r="C601" t="s">
        <v>834</v>
      </c>
      <c r="D601" t="s">
        <v>1280</v>
      </c>
      <c r="E601" t="str">
        <f>IFERROR(AVERAGEIFS(Upload_Indiv[Score3],Upload_Indiv[[Player]:[Player]],$A51,Upload_Indiv[[Side]:[Side]],"Raintree Back",Upload_Indiv[[Excl Score]:[Excl Score]],0),"")</f>
        <v/>
      </c>
    </row>
    <row r="602" spans="1:5" x14ac:dyDescent="0.25">
      <c r="A602" t="s">
        <v>724</v>
      </c>
      <c r="B602" t="s">
        <v>357</v>
      </c>
      <c r="C602" t="s">
        <v>834</v>
      </c>
      <c r="D602" t="s">
        <v>1281</v>
      </c>
      <c r="E602" t="str">
        <f>IFERROR(AVERAGEIFS(Upload_Indiv[Score3],Upload_Indiv[[Player]:[Player]],$A52,Upload_Indiv[[Side]:[Side]],"Raintree Front",Upload_Indiv[[Excl Score]:[Excl Score]],0),"")</f>
        <v/>
      </c>
    </row>
    <row r="603" spans="1:5" x14ac:dyDescent="0.25">
      <c r="A603" t="s">
        <v>724</v>
      </c>
      <c r="B603" t="s">
        <v>357</v>
      </c>
      <c r="C603" t="s">
        <v>834</v>
      </c>
      <c r="D603" t="s">
        <v>1282</v>
      </c>
      <c r="E603" t="str">
        <f>IFERROR(AVERAGEIFS(Upload_Indiv[Score3],Upload_Indiv[[Player]:[Player]],$A52,Upload_Indiv[[Side]:[Side]],"Raintree Back",Upload_Indiv[[Excl Score]:[Excl Score]],0),"")</f>
        <v/>
      </c>
    </row>
    <row r="604" spans="1:5" x14ac:dyDescent="0.25">
      <c r="A604" t="s">
        <v>724</v>
      </c>
      <c r="B604" t="s">
        <v>357</v>
      </c>
      <c r="C604" t="s">
        <v>834</v>
      </c>
      <c r="D604" t="s">
        <v>1283</v>
      </c>
      <c r="E604" t="str">
        <f>IFERROR(AVERAGEIFS(Upload_Indiv[Score3],Upload_Indiv[[Player]:[Player]],$A53,Upload_Indiv[[Side]:[Side]],"Raintree Front",Upload_Indiv[[Excl Score]:[Excl Score]],0),"")</f>
        <v/>
      </c>
    </row>
    <row r="605" spans="1:5" x14ac:dyDescent="0.25">
      <c r="A605" t="s">
        <v>724</v>
      </c>
      <c r="B605" t="s">
        <v>357</v>
      </c>
      <c r="C605" t="s">
        <v>834</v>
      </c>
      <c r="D605" t="s">
        <v>1284</v>
      </c>
      <c r="E605" t="str">
        <f>IFERROR(AVERAGEIFS(Upload_Indiv[Score3],Upload_Indiv[[Player]:[Player]],$A53,Upload_Indiv[[Side]:[Side]],"Raintree Back",Upload_Indiv[[Excl Score]:[Excl Score]],0),"")</f>
        <v/>
      </c>
    </row>
    <row r="606" spans="1:5" x14ac:dyDescent="0.25">
      <c r="A606" t="s">
        <v>724</v>
      </c>
      <c r="B606" t="s">
        <v>357</v>
      </c>
      <c r="C606" t="s">
        <v>834</v>
      </c>
      <c r="D606" t="s">
        <v>1285</v>
      </c>
      <c r="E606" t="str">
        <f>IFERROR(AVERAGEIFS(Upload_Indiv[Score3],Upload_Indiv[[Player]:[Player]],$A54,Upload_Indiv[[Side]:[Side]],"Raintree Front",Upload_Indiv[[Excl Score]:[Excl Score]],0),"")</f>
        <v/>
      </c>
    </row>
    <row r="607" spans="1:5" x14ac:dyDescent="0.25">
      <c r="A607" t="s">
        <v>724</v>
      </c>
      <c r="B607" t="s">
        <v>357</v>
      </c>
      <c r="C607" t="s">
        <v>834</v>
      </c>
      <c r="D607" t="s">
        <v>1286</v>
      </c>
      <c r="E607" t="str">
        <f>IFERROR(AVERAGEIFS(Upload_Indiv[Score3],Upload_Indiv[[Player]:[Player]],$A54,Upload_Indiv[[Side]:[Side]],"Raintree Back",Upload_Indiv[[Excl Score]:[Excl Score]],0),"")</f>
        <v/>
      </c>
    </row>
    <row r="608" spans="1:5" x14ac:dyDescent="0.25">
      <c r="A608" t="s">
        <v>724</v>
      </c>
      <c r="B608" t="s">
        <v>358</v>
      </c>
      <c r="C608" t="s">
        <v>725</v>
      </c>
      <c r="D608" t="s">
        <v>1287</v>
      </c>
      <c r="E608" t="str">
        <f>IFERROR(AVERAGEIFS(Upload_Indiv[Score4],Upload_Indiv[[Side]:[Side]],"Raintree Front")-IF(TRUNC(ROUND($B6,0)/9,0)=2,2+IF((ROUND($B6,0)-18)*2&gt;=F$2,1,0),IF(TRUNC(ROUND($B6,0)/9,0)=1,1+IF((ROUND($B6,0)-9)*2&gt;=F$2,1,0),IF(TRUNC(ROUND($B6,0)/9,0)=0,IF(TRUNC(ROUND($B6,0)/9,0)=0,0+IF((ROUND($B6,0))*2&gt;=F$2,1,0),"Not"))))-F$3,"")</f>
        <v/>
      </c>
    </row>
    <row r="609" spans="1:5" x14ac:dyDescent="0.25">
      <c r="A609" t="s">
        <v>724</v>
      </c>
      <c r="B609" t="s">
        <v>358</v>
      </c>
      <c r="C609" t="s">
        <v>725</v>
      </c>
      <c r="D609" t="s">
        <v>1288</v>
      </c>
      <c r="E609" t="str">
        <f>IFERROR(AVERAGEIFS(Upload_Indiv[Score4],Upload_Indiv[[Side]:[Side]],"Raintree Back")-IF(TRUNC(ROUND($B6,0)/9,0)=2,2+IF((ROUND($B6,0)-18)*2&gt;=P$2,1,0),IF(TRUNC(ROUND($B6,0)/9,0)=1,1+IF((ROUND($B6,0)-9)*2&gt;=P$2,1,0),IF(TRUNC(ROUND($B6,0)/9,0)=0,IF(TRUNC(ROUND($B6,0)/9,0)=0,0+IF((ROUND($B6,0))*2&gt;=P$2,1,0),"Not"))))-P$3,"")</f>
        <v/>
      </c>
    </row>
    <row r="610" spans="1:5" x14ac:dyDescent="0.25">
      <c r="A610" t="s">
        <v>724</v>
      </c>
      <c r="B610" t="s">
        <v>358</v>
      </c>
      <c r="C610" t="s">
        <v>725</v>
      </c>
      <c r="D610" t="s">
        <v>1289</v>
      </c>
      <c r="E610" t="str">
        <f>IFERROR(AVERAGEIFS(Upload_Indiv[Score4],Upload_Indiv[[Player]:[Player]],$A8,Upload_Indiv[[Side]:[Side]],"Raintree Front")-IF(TRUNC(ROUND($B8,0)/9,0)=2,2+IF((ROUND($B8,0)-18)*2&gt;=F$2,1,0),IF(TRUNC(ROUND($B8,0)/9,0)=1,1+IF((ROUND($B8,0)-9)*2&gt;=F$2,1,0),IF(TRUNC(ROUND($B8,0)/9,0)=0,IF(TRUNC(ROUND($B8,0)/9,0)=0,0+IF((ROUND($B8,0))*2&gt;=F$2,1,0),"Not"))))-F$3,"")</f>
        <v/>
      </c>
    </row>
    <row r="611" spans="1:5" x14ac:dyDescent="0.25">
      <c r="A611" t="s">
        <v>724</v>
      </c>
      <c r="B611" t="s">
        <v>358</v>
      </c>
      <c r="C611" t="s">
        <v>725</v>
      </c>
      <c r="D611" t="s">
        <v>1290</v>
      </c>
      <c r="E611" t="str">
        <f>IFERROR(AVERAGEIFS(Upload_Indiv[Score4],Upload_Indiv[[Player]:[Player]],$A8,Upload_Indiv[[Side]:[Side]],"Raintree Back")-IF(TRUNC(ROUND($B8,0)/9,0)=2,2+IF((ROUND($B8,0)-18)*2&gt;=P$2,1,0),IF(TRUNC(ROUND($B8,0)/9,0)=1,1+IF((ROUND($B8,0)-9)*2&gt;=P$2,1,0),IF(TRUNC(ROUND($B8,0)/9,0)=0,IF(TRUNC(ROUND($B8,0)/9,0)=0,0+IF((ROUND($B8,0))*2&gt;=P$2,1,0),"Not"))))-P$3,"")</f>
        <v/>
      </c>
    </row>
    <row r="612" spans="1:5" x14ac:dyDescent="0.25">
      <c r="A612" t="s">
        <v>724</v>
      </c>
      <c r="B612" t="s">
        <v>358</v>
      </c>
      <c r="C612" t="s">
        <v>725</v>
      </c>
      <c r="D612" t="s">
        <v>1291</v>
      </c>
      <c r="E612" t="str">
        <f>IFERROR(AVERAGEIFS(Upload_Indiv[Score4],Upload_Indiv[[Player]:[Player]],$A9,Upload_Indiv[[Side]:[Side]],"Raintree Front")-IF(TRUNC(ROUND($B9,0)/9,0)=2,2+IF((ROUND($B9,0)-18)*2&gt;=F$2,1,0),IF(TRUNC(ROUND($B9,0)/9,0)=1,1+IF((ROUND($B9,0)-9)*2&gt;=F$2,1,0),IF(TRUNC(ROUND($B9,0)/9,0)=0,IF(TRUNC(ROUND($B9,0)/9,0)=0,0+IF((ROUND($B9,0))*2&gt;=F$2,1,0),"Not"))))-F$3,"")</f>
        <v/>
      </c>
    </row>
    <row r="613" spans="1:5" x14ac:dyDescent="0.25">
      <c r="A613" t="s">
        <v>724</v>
      </c>
      <c r="B613" t="s">
        <v>358</v>
      </c>
      <c r="C613" t="s">
        <v>725</v>
      </c>
      <c r="D613" t="s">
        <v>1292</v>
      </c>
      <c r="E613" t="str">
        <f>IFERROR(AVERAGEIFS(Upload_Indiv[Score4],Upload_Indiv[[Player]:[Player]],$A9,Upload_Indiv[[Side]:[Side]],"Raintree Back")-IF(TRUNC(ROUND($B9,0)/9,0)=2,2+IF((ROUND($B9,0)-18)*2&gt;=P$2,1,0),IF(TRUNC(ROUND($B9,0)/9,0)=1,1+IF((ROUND($B9,0)-9)*2&gt;=P$2,1,0),IF(TRUNC(ROUND($B9,0)/9,0)=0,IF(TRUNC(ROUND($B9,0)/9,0)=0,0+IF((ROUND($B9,0))*2&gt;=P$2,1,0),"Not"))))-P$3,"")</f>
        <v/>
      </c>
    </row>
    <row r="614" spans="1:5" x14ac:dyDescent="0.25">
      <c r="A614" t="s">
        <v>724</v>
      </c>
      <c r="B614" t="s">
        <v>358</v>
      </c>
      <c r="C614" t="s">
        <v>725</v>
      </c>
      <c r="D614" t="s">
        <v>1293</v>
      </c>
      <c r="E614" t="str">
        <f>IFERROR(AVERAGEIFS(Upload_Indiv[Score4],Upload_Indiv[[Player]:[Player]],$A10,Upload_Indiv[[Side]:[Side]],"Raintree Front")-IF(TRUNC(ROUND($B10,0)/9,0)=2,2+IF((ROUND($B10,0)-18)*2&gt;=F$2,1,0),IF(TRUNC(ROUND($B10,0)/9,0)=1,1+IF((ROUND($B10,0)-9)*2&gt;=F$2,1,0),IF(TRUNC(ROUND($B10,0)/9,0)=0,IF(TRUNC(ROUND($B10,0)/9,0)=0,0+IF((ROUND($B10,0))*2&gt;=F$2,1,0),"Not"))))-F$3,"")</f>
        <v/>
      </c>
    </row>
    <row r="615" spans="1:5" x14ac:dyDescent="0.25">
      <c r="A615" t="s">
        <v>724</v>
      </c>
      <c r="B615" t="s">
        <v>358</v>
      </c>
      <c r="C615" t="s">
        <v>725</v>
      </c>
      <c r="D615" t="s">
        <v>1294</v>
      </c>
      <c r="E615" t="str">
        <f>IFERROR(AVERAGEIFS(Upload_Indiv[Score4],Upload_Indiv[[Player]:[Player]],$A10,Upload_Indiv[[Side]:[Side]],"Raintree Back")-IF(TRUNC(ROUND($B10,0)/9,0)=2,2+IF((ROUND($B10,0)-18)*2&gt;=P$2,1,0),IF(TRUNC(ROUND($B10,0)/9,0)=1,1+IF((ROUND($B10,0)-9)*2&gt;=P$2,1,0),IF(TRUNC(ROUND($B10,0)/9,0)=0,IF(TRUNC(ROUND($B10,0)/9,0)=0,0+IF((ROUND($B10,0))*2&gt;=P$2,1,0),"Not"))))-P$3,"")</f>
        <v/>
      </c>
    </row>
    <row r="616" spans="1:5" x14ac:dyDescent="0.25">
      <c r="A616" t="s">
        <v>724</v>
      </c>
      <c r="B616" t="s">
        <v>358</v>
      </c>
      <c r="C616" t="s">
        <v>725</v>
      </c>
      <c r="D616" t="s">
        <v>1295</v>
      </c>
      <c r="E616" t="str">
        <f>IFERROR(AVERAGEIFS(Upload_Indiv[Score4],Upload_Indiv[[Player]:[Player]],$A11,Upload_Indiv[[Side]:[Side]],"Raintree Front")-IF(TRUNC(ROUND($B11,0)/9,0)=2,2+IF((ROUND($B11,0)-18)*2&gt;=F$2,1,0),IF(TRUNC(ROUND($B11,0)/9,0)=1,1+IF((ROUND($B11,0)-9)*2&gt;=F$2,1,0),IF(TRUNC(ROUND($B11,0)/9,0)=0,IF(TRUNC(ROUND($B11,0)/9,0)=0,0+IF((ROUND($B11,0))*2&gt;=F$2,1,0),"Not"))))-F$3,"")</f>
        <v/>
      </c>
    </row>
    <row r="617" spans="1:5" x14ac:dyDescent="0.25">
      <c r="A617" t="s">
        <v>724</v>
      </c>
      <c r="B617" t="s">
        <v>358</v>
      </c>
      <c r="C617" t="s">
        <v>725</v>
      </c>
      <c r="D617" t="s">
        <v>1296</v>
      </c>
      <c r="E617" t="str">
        <f>IFERROR(AVERAGEIFS(Upload_Indiv[Score4],Upload_Indiv[[Player]:[Player]],$A11,Upload_Indiv[[Side]:[Side]],"Raintree Back")-IF(TRUNC(ROUND($B11,0)/9,0)=2,2+IF((ROUND($B11,0)-18)*2&gt;=P$2,1,0),IF(TRUNC(ROUND($B11,0)/9,0)=1,1+IF((ROUND($B11,0)-9)*2&gt;=P$2,1,0),IF(TRUNC(ROUND($B11,0)/9,0)=0,IF(TRUNC(ROUND($B11,0)/9,0)=0,0+IF((ROUND($B11,0))*2&gt;=P$2,1,0),"Not"))))-P$3,"")</f>
        <v/>
      </c>
    </row>
    <row r="618" spans="1:5" x14ac:dyDescent="0.25">
      <c r="A618" t="s">
        <v>724</v>
      </c>
      <c r="B618" t="s">
        <v>358</v>
      </c>
      <c r="C618" t="s">
        <v>725</v>
      </c>
      <c r="D618" t="s">
        <v>1297</v>
      </c>
      <c r="E618" t="str">
        <f>IFERROR(AVERAGEIFS(Upload_Indiv[Score4],Upload_Indiv[[Player]:[Player]],$A12,Upload_Indiv[[Side]:[Side]],"Raintree Front")-IF(TRUNC(ROUND($B12,0)/9,0)=2,2+IF((ROUND($B12,0)-18)*2&gt;=F$2,1,0),IF(TRUNC(ROUND($B12,0)/9,0)=1,1+IF((ROUND($B12,0)-9)*2&gt;=F$2,1,0),IF(TRUNC(ROUND($B12,0)/9,0)=0,IF(TRUNC(ROUND($B12,0)/9,0)=0,0+IF((ROUND($B12,0))*2&gt;=F$2,1,0),"Not"))))-F$3,"")</f>
        <v/>
      </c>
    </row>
    <row r="619" spans="1:5" x14ac:dyDescent="0.25">
      <c r="A619" t="s">
        <v>724</v>
      </c>
      <c r="B619" t="s">
        <v>358</v>
      </c>
      <c r="C619" t="s">
        <v>725</v>
      </c>
      <c r="D619" t="s">
        <v>1298</v>
      </c>
      <c r="E619" t="str">
        <f>IFERROR(AVERAGEIFS(Upload_Indiv[Score4],Upload_Indiv[[Player]:[Player]],$A12,Upload_Indiv[[Side]:[Side]],"Raintree Back")-IF(TRUNC(ROUND($B12,0)/9,0)=2,2+IF((ROUND($B12,0)-18)*2&gt;=P$2,1,0),IF(TRUNC(ROUND($B12,0)/9,0)=1,1+IF((ROUND($B12,0)-9)*2&gt;=P$2,1,0),IF(TRUNC(ROUND($B12,0)/9,0)=0,IF(TRUNC(ROUND($B12,0)/9,0)=0,0+IF((ROUND($B12,0))*2&gt;=P$2,1,0),"Not"))))-P$3,"")</f>
        <v/>
      </c>
    </row>
    <row r="620" spans="1:5" x14ac:dyDescent="0.25">
      <c r="A620" t="s">
        <v>724</v>
      </c>
      <c r="B620" t="s">
        <v>358</v>
      </c>
      <c r="C620" t="s">
        <v>725</v>
      </c>
      <c r="D620" t="s">
        <v>1299</v>
      </c>
      <c r="E620" t="str">
        <f>IFERROR(AVERAGEIFS(Upload_Indiv[Score4],Upload_Indiv[[Player]:[Player]],$A13,Upload_Indiv[[Side]:[Side]],"Raintree Front")-IF(TRUNC(ROUND($B13,0)/9,0)=2,2+IF((ROUND($B13,0)-18)*2&gt;=F$2,1,0),IF(TRUNC(ROUND($B13,0)/9,0)=1,1+IF((ROUND($B13,0)-9)*2&gt;=F$2,1,0),IF(TRUNC(ROUND($B13,0)/9,0)=0,IF(TRUNC(ROUND($B13,0)/9,0)=0,0+IF((ROUND($B13,0))*2&gt;=F$2,1,0),"Not"))))-F$3,"")</f>
        <v/>
      </c>
    </row>
    <row r="621" spans="1:5" x14ac:dyDescent="0.25">
      <c r="A621" t="s">
        <v>724</v>
      </c>
      <c r="B621" t="s">
        <v>358</v>
      </c>
      <c r="C621" t="s">
        <v>725</v>
      </c>
      <c r="D621" t="s">
        <v>1300</v>
      </c>
      <c r="E621" t="str">
        <f>IFERROR(AVERAGEIFS(Upload_Indiv[Score4],Upload_Indiv[[Player]:[Player]],$A13,Upload_Indiv[[Side]:[Side]],"Raintree Back")-IF(TRUNC(ROUND($B13,0)/9,0)=2,2+IF((ROUND($B13,0)-18)*2&gt;=P$2,1,0),IF(TRUNC(ROUND($B13,0)/9,0)=1,1+IF((ROUND($B13,0)-9)*2&gt;=P$2,1,0),IF(TRUNC(ROUND($B13,0)/9,0)=0,IF(TRUNC(ROUND($B13,0)/9,0)=0,0+IF((ROUND($B13,0))*2&gt;=P$2,1,0),"Not"))))-P$3,"")</f>
        <v/>
      </c>
    </row>
    <row r="622" spans="1:5" x14ac:dyDescent="0.25">
      <c r="A622" t="s">
        <v>724</v>
      </c>
      <c r="B622" t="s">
        <v>358</v>
      </c>
      <c r="C622" t="s">
        <v>725</v>
      </c>
      <c r="D622" t="s">
        <v>1301</v>
      </c>
      <c r="E622" t="str">
        <f>IFERROR(AVERAGEIFS(Upload_Indiv[Score4],Upload_Indiv[[Player]:[Player]],$A14,Upload_Indiv[[Side]:[Side]],"Raintree Front")-IF(TRUNC(ROUND($B14,0)/9,0)=2,2+IF((ROUND($B14,0)-18)*2&gt;=F$2,1,0),IF(TRUNC(ROUND($B14,0)/9,0)=1,1+IF((ROUND($B14,0)-9)*2&gt;=F$2,1,0),IF(TRUNC(ROUND($B14,0)/9,0)=0,IF(TRUNC(ROUND($B14,0)/9,0)=0,0+IF((ROUND($B14,0))*2&gt;=F$2,1,0),"Not"))))-F$3,"")</f>
        <v/>
      </c>
    </row>
    <row r="623" spans="1:5" x14ac:dyDescent="0.25">
      <c r="A623" t="s">
        <v>724</v>
      </c>
      <c r="B623" t="s">
        <v>358</v>
      </c>
      <c r="C623" t="s">
        <v>725</v>
      </c>
      <c r="D623" t="s">
        <v>1302</v>
      </c>
      <c r="E623" t="str">
        <f>IFERROR(AVERAGEIFS(Upload_Indiv[Score4],Upload_Indiv[[Player]:[Player]],$A14,Upload_Indiv[[Side]:[Side]],"Raintree Back")-IF(TRUNC(ROUND($B14,0)/9,0)=2,2+IF((ROUND($B14,0)-18)*2&gt;=P$2,1,0),IF(TRUNC(ROUND($B14,0)/9,0)=1,1+IF((ROUND($B14,0)-9)*2&gt;=P$2,1,0),IF(TRUNC(ROUND($B14,0)/9,0)=0,IF(TRUNC(ROUND($B14,0)/9,0)=0,0+IF((ROUND($B14,0))*2&gt;=P$2,1,0),"Not"))))-P$3,"")</f>
        <v/>
      </c>
    </row>
    <row r="624" spans="1:5" x14ac:dyDescent="0.25">
      <c r="A624" t="s">
        <v>724</v>
      </c>
      <c r="B624" t="s">
        <v>358</v>
      </c>
      <c r="C624" t="s">
        <v>725</v>
      </c>
      <c r="D624" t="s">
        <v>1303</v>
      </c>
      <c r="E624" t="str">
        <f>IFERROR(AVERAGEIFS(Upload_Indiv[Score4],Upload_Indiv[[Player]:[Player]],$A15,Upload_Indiv[[Side]:[Side]],"Raintree Front")-IF(TRUNC(ROUND($B15,0)/9,0)=2,2+IF((ROUND($B15,0)-18)*2&gt;=F$2,1,0),IF(TRUNC(ROUND($B15,0)/9,0)=1,1+IF((ROUND($B15,0)-9)*2&gt;=F$2,1,0),IF(TRUNC(ROUND($B15,0)/9,0)=0,IF(TRUNC(ROUND($B15,0)/9,0)=0,0+IF((ROUND($B15,0))*2&gt;=F$2,1,0),"Not"))))-F$3,"")</f>
        <v/>
      </c>
    </row>
    <row r="625" spans="1:5" x14ac:dyDescent="0.25">
      <c r="A625" t="s">
        <v>724</v>
      </c>
      <c r="B625" t="s">
        <v>358</v>
      </c>
      <c r="C625" t="s">
        <v>725</v>
      </c>
      <c r="D625" t="s">
        <v>1304</v>
      </c>
      <c r="E625" t="str">
        <f>IFERROR(AVERAGEIFS(Upload_Indiv[Score4],Upload_Indiv[[Player]:[Player]],$A15,Upload_Indiv[[Side]:[Side]],"Raintree Back")-IF(TRUNC(ROUND($B15,0)/9,0)=2,2+IF((ROUND($B15,0)-18)*2&gt;=P$2,1,0),IF(TRUNC(ROUND($B15,0)/9,0)=1,1+IF((ROUND($B15,0)-9)*2&gt;=P$2,1,0),IF(TRUNC(ROUND($B15,0)/9,0)=0,IF(TRUNC(ROUND($B15,0)/9,0)=0,0+IF((ROUND($B15,0))*2&gt;=P$2,1,0),"Not"))))-P$3,"")</f>
        <v/>
      </c>
    </row>
    <row r="626" spans="1:5" x14ac:dyDescent="0.25">
      <c r="A626" t="s">
        <v>724</v>
      </c>
      <c r="B626" t="s">
        <v>358</v>
      </c>
      <c r="C626" t="s">
        <v>725</v>
      </c>
      <c r="D626" t="s">
        <v>1305</v>
      </c>
      <c r="E626" t="str">
        <f>IFERROR(AVERAGEIFS(Upload_Indiv[Score4],Upload_Indiv[[Player]:[Player]],$A16,Upload_Indiv[[Side]:[Side]],"Raintree Front")-IF(TRUNC(ROUND($B16,0)/9,0)=2,2+IF((ROUND($B16,0)-18)*2&gt;=F$2,1,0),IF(TRUNC(ROUND($B16,0)/9,0)=1,1+IF((ROUND($B16,0)-9)*2&gt;=F$2,1,0),IF(TRUNC(ROUND($B16,0)/9,0)=0,IF(TRUNC(ROUND($B16,0)/9,0)=0,0+IF((ROUND($B16,0))*2&gt;=F$2,1,0),"Not"))))-F$3,"")</f>
        <v/>
      </c>
    </row>
    <row r="627" spans="1:5" x14ac:dyDescent="0.25">
      <c r="A627" t="s">
        <v>724</v>
      </c>
      <c r="B627" t="s">
        <v>358</v>
      </c>
      <c r="C627" t="s">
        <v>725</v>
      </c>
      <c r="D627" t="s">
        <v>1306</v>
      </c>
      <c r="E627" t="str">
        <f>IFERROR(AVERAGEIFS(Upload_Indiv[Score4],Upload_Indiv[[Player]:[Player]],$A16,Upload_Indiv[[Side]:[Side]],"Raintree Back")-IF(TRUNC(ROUND($B16,0)/9,0)=2,2+IF((ROUND($B16,0)-18)*2&gt;=P$2,1,0),IF(TRUNC(ROUND($B16,0)/9,0)=1,1+IF((ROUND($B16,0)-9)*2&gt;=P$2,1,0),IF(TRUNC(ROUND($B16,0)/9,0)=0,IF(TRUNC(ROUND($B16,0)/9,0)=0,0+IF((ROUND($B16,0))*2&gt;=P$2,1,0),"Not"))))-P$3,"")</f>
        <v/>
      </c>
    </row>
    <row r="628" spans="1:5" x14ac:dyDescent="0.25">
      <c r="A628" t="s">
        <v>724</v>
      </c>
      <c r="B628" t="s">
        <v>358</v>
      </c>
      <c r="C628" t="s">
        <v>725</v>
      </c>
      <c r="D628" t="s">
        <v>1307</v>
      </c>
      <c r="E628" t="str">
        <f>IFERROR(AVERAGEIFS(Upload_Indiv[Score4],Upload_Indiv[[Player]:[Player]],$A17,Upload_Indiv[[Side]:[Side]],"Raintree Front")-IF(TRUNC(ROUND($B17,0)/9,0)=2,2+IF((ROUND($B17,0)-18)*2&gt;=F$2,1,0),IF(TRUNC(ROUND($B17,0)/9,0)=1,1+IF((ROUND($B17,0)-9)*2&gt;=F$2,1,0),IF(TRUNC(ROUND($B17,0)/9,0)=0,IF(TRUNC(ROUND($B17,0)/9,0)=0,0+IF((ROUND($B17,0))*2&gt;=F$2,1,0),"Not"))))-F$3,"")</f>
        <v/>
      </c>
    </row>
    <row r="629" spans="1:5" x14ac:dyDescent="0.25">
      <c r="A629" t="s">
        <v>724</v>
      </c>
      <c r="B629" t="s">
        <v>358</v>
      </c>
      <c r="C629" t="s">
        <v>725</v>
      </c>
      <c r="D629" t="s">
        <v>1308</v>
      </c>
      <c r="E629" t="str">
        <f>IFERROR(AVERAGEIFS(Upload_Indiv[Score4],Upload_Indiv[[Player]:[Player]],$A17,Upload_Indiv[[Side]:[Side]],"Raintree Back")-IF(TRUNC(ROUND($B17,0)/9,0)=2,2+IF((ROUND($B17,0)-18)*2&gt;=P$2,1,0),IF(TRUNC(ROUND($B17,0)/9,0)=1,1+IF((ROUND($B17,0)-9)*2&gt;=P$2,1,0),IF(TRUNC(ROUND($B17,0)/9,0)=0,IF(TRUNC(ROUND($B17,0)/9,0)=0,0+IF((ROUND($B17,0))*2&gt;=P$2,1,0),"Not"))))-P$3,"")</f>
        <v/>
      </c>
    </row>
    <row r="630" spans="1:5" x14ac:dyDescent="0.25">
      <c r="A630" t="s">
        <v>724</v>
      </c>
      <c r="B630" t="s">
        <v>358</v>
      </c>
      <c r="C630" t="s">
        <v>725</v>
      </c>
      <c r="D630" t="s">
        <v>1309</v>
      </c>
      <c r="E630" t="str">
        <f>IFERROR(AVERAGEIFS(Upload_Indiv[Score4],Upload_Indiv[[Player]:[Player]],$A18,Upload_Indiv[[Side]:[Side]],"Raintree Front")-IF(TRUNC(ROUND($B18,0)/9,0)=2,2+IF((ROUND($B18,0)-18)*2&gt;=F$2,1,0),IF(TRUNC(ROUND($B18,0)/9,0)=1,1+IF((ROUND($B18,0)-9)*2&gt;=F$2,1,0),IF(TRUNC(ROUND($B18,0)/9,0)=0,IF(TRUNC(ROUND($B18,0)/9,0)=0,0+IF((ROUND($B18,0))*2&gt;=F$2,1,0),"Not"))))-F$3,"")</f>
        <v/>
      </c>
    </row>
    <row r="631" spans="1:5" x14ac:dyDescent="0.25">
      <c r="A631" t="s">
        <v>724</v>
      </c>
      <c r="B631" t="s">
        <v>358</v>
      </c>
      <c r="C631" t="s">
        <v>725</v>
      </c>
      <c r="D631" t="s">
        <v>1310</v>
      </c>
      <c r="E631" t="str">
        <f>IFERROR(AVERAGEIFS(Upload_Indiv[Score4],Upload_Indiv[[Player]:[Player]],$A18,Upload_Indiv[[Side]:[Side]],"Raintree Back")-IF(TRUNC(ROUND($B18,0)/9,0)=2,2+IF((ROUND($B18,0)-18)*2&gt;=P$2,1,0),IF(TRUNC(ROUND($B18,0)/9,0)=1,1+IF((ROUND($B18,0)-9)*2&gt;=P$2,1,0),IF(TRUNC(ROUND($B18,0)/9,0)=0,IF(TRUNC(ROUND($B18,0)/9,0)=0,0+IF((ROUND($B18,0))*2&gt;=P$2,1,0),"Not"))))-P$3,"")</f>
        <v/>
      </c>
    </row>
    <row r="632" spans="1:5" x14ac:dyDescent="0.25">
      <c r="A632" t="s">
        <v>724</v>
      </c>
      <c r="B632" t="s">
        <v>358</v>
      </c>
      <c r="C632" t="s">
        <v>725</v>
      </c>
      <c r="D632" t="s">
        <v>1311</v>
      </c>
      <c r="E632" t="str">
        <f>IFERROR(AVERAGEIFS(Upload_Indiv[Score4],Upload_Indiv[[Player]:[Player]],$A19,Upload_Indiv[[Side]:[Side]],"Raintree Front")-IF(TRUNC(ROUND($B19,0)/9,0)=2,2+IF((ROUND($B19,0)-18)*2&gt;=F$2,1,0),IF(TRUNC(ROUND($B19,0)/9,0)=1,1+IF((ROUND($B19,0)-9)*2&gt;=F$2,1,0),IF(TRUNC(ROUND($B19,0)/9,0)=0,IF(TRUNC(ROUND($B19,0)/9,0)=0,0+IF((ROUND($B19,0))*2&gt;=F$2,1,0),"Not"))))-F$3,"")</f>
        <v/>
      </c>
    </row>
    <row r="633" spans="1:5" x14ac:dyDescent="0.25">
      <c r="A633" t="s">
        <v>724</v>
      </c>
      <c r="B633" t="s">
        <v>358</v>
      </c>
      <c r="C633" t="s">
        <v>725</v>
      </c>
      <c r="D633" t="s">
        <v>1312</v>
      </c>
      <c r="E633" t="str">
        <f>IFERROR(AVERAGEIFS(Upload_Indiv[Score4],Upload_Indiv[[Player]:[Player]],$A19,Upload_Indiv[[Side]:[Side]],"Raintree Back")-IF(TRUNC(ROUND($B19,0)/9,0)=2,2+IF((ROUND($B19,0)-18)*2&gt;=P$2,1,0),IF(TRUNC(ROUND($B19,0)/9,0)=1,1+IF((ROUND($B19,0)-9)*2&gt;=P$2,1,0),IF(TRUNC(ROUND($B19,0)/9,0)=0,IF(TRUNC(ROUND($B19,0)/9,0)=0,0+IF((ROUND($B19,0))*2&gt;=P$2,1,0),"Not"))))-P$3,"")</f>
        <v/>
      </c>
    </row>
    <row r="634" spans="1:5" x14ac:dyDescent="0.25">
      <c r="A634" t="s">
        <v>724</v>
      </c>
      <c r="B634" t="s">
        <v>358</v>
      </c>
      <c r="C634" t="s">
        <v>725</v>
      </c>
      <c r="D634" t="s">
        <v>1313</v>
      </c>
      <c r="E634" t="str">
        <f>IFERROR(AVERAGEIFS(Upload_Indiv[Score4],Upload_Indiv[[Player]:[Player]],$A20,Upload_Indiv[[Side]:[Side]],"Raintree Front")-IF(TRUNC(ROUND($B20,0)/9,0)=2,2+IF((ROUND($B20,0)-18)*2&gt;=F$2,1,0),IF(TRUNC(ROUND($B20,0)/9,0)=1,1+IF((ROUND($B20,0)-9)*2&gt;=F$2,1,0),IF(TRUNC(ROUND($B20,0)/9,0)=0,IF(TRUNC(ROUND($B20,0)/9,0)=0,0+IF((ROUND($B20,0))*2&gt;=F$2,1,0),"Not"))))-F$3,"")</f>
        <v/>
      </c>
    </row>
    <row r="635" spans="1:5" x14ac:dyDescent="0.25">
      <c r="A635" t="s">
        <v>724</v>
      </c>
      <c r="B635" t="s">
        <v>358</v>
      </c>
      <c r="C635" t="s">
        <v>725</v>
      </c>
      <c r="D635" t="s">
        <v>1314</v>
      </c>
      <c r="E635" t="str">
        <f>IFERROR(AVERAGEIFS(Upload_Indiv[Score4],Upload_Indiv[[Player]:[Player]],$A20,Upload_Indiv[[Side]:[Side]],"Raintree Back")-IF(TRUNC(ROUND($B20,0)/9,0)=2,2+IF((ROUND($B20,0)-18)*2&gt;=P$2,1,0),IF(TRUNC(ROUND($B20,0)/9,0)=1,1+IF((ROUND($B20,0)-9)*2&gt;=P$2,1,0),IF(TRUNC(ROUND($B20,0)/9,0)=0,IF(TRUNC(ROUND($B20,0)/9,0)=0,0+IF((ROUND($B20,0))*2&gt;=P$2,1,0),"Not"))))-P$3,"")</f>
        <v/>
      </c>
    </row>
    <row r="636" spans="1:5" x14ac:dyDescent="0.25">
      <c r="A636" t="s">
        <v>724</v>
      </c>
      <c r="B636" t="s">
        <v>358</v>
      </c>
      <c r="C636" t="s">
        <v>725</v>
      </c>
      <c r="D636" t="s">
        <v>1315</v>
      </c>
      <c r="E636" t="str">
        <f>IFERROR(AVERAGEIFS(Upload_Indiv[Score4],Upload_Indiv[[Player]:[Player]],$A21,Upload_Indiv[[Side]:[Side]],"Raintree Front")-IF(TRUNC(ROUND($B21,0)/9,0)=2,2+IF((ROUND($B21,0)-18)*2&gt;=F$2,1,0),IF(TRUNC(ROUND($B21,0)/9,0)=1,1+IF((ROUND($B21,0)-9)*2&gt;=F$2,1,0),IF(TRUNC(ROUND($B21,0)/9,0)=0,IF(TRUNC(ROUND($B21,0)/9,0)=0,0+IF((ROUND($B21,0))*2&gt;=F$2,1,0),"Not"))))-F$3,"")</f>
        <v/>
      </c>
    </row>
    <row r="637" spans="1:5" x14ac:dyDescent="0.25">
      <c r="A637" t="s">
        <v>724</v>
      </c>
      <c r="B637" t="s">
        <v>358</v>
      </c>
      <c r="C637" t="s">
        <v>725</v>
      </c>
      <c r="D637" t="s">
        <v>1316</v>
      </c>
      <c r="E637" t="str">
        <f>IFERROR(AVERAGEIFS(Upload_Indiv[Score4],Upload_Indiv[[Player]:[Player]],$A21,Upload_Indiv[[Side]:[Side]],"Raintree Back")-IF(TRUNC(ROUND($B21,0)/9,0)=2,2+IF((ROUND($B21,0)-18)*2&gt;=P$2,1,0),IF(TRUNC(ROUND($B21,0)/9,0)=1,1+IF((ROUND($B21,0)-9)*2&gt;=P$2,1,0),IF(TRUNC(ROUND($B21,0)/9,0)=0,IF(TRUNC(ROUND($B21,0)/9,0)=0,0+IF((ROUND($B21,0))*2&gt;=P$2,1,0),"Not"))))-P$3,"")</f>
        <v/>
      </c>
    </row>
    <row r="638" spans="1:5" x14ac:dyDescent="0.25">
      <c r="A638" t="s">
        <v>724</v>
      </c>
      <c r="B638" t="s">
        <v>358</v>
      </c>
      <c r="C638" t="s">
        <v>725</v>
      </c>
      <c r="D638" t="s">
        <v>1317</v>
      </c>
      <c r="E638" t="str">
        <f>IFERROR(AVERAGEIFS(Upload_Indiv[Score4],Upload_Indiv[[Player]:[Player]],$A22,Upload_Indiv[[Side]:[Side]],"Raintree Front")-IF(TRUNC(ROUND($B22,0)/9,0)=2,2+IF((ROUND($B22,0)-18)*2&gt;=F$2,1,0),IF(TRUNC(ROUND($B22,0)/9,0)=1,1+IF((ROUND($B22,0)-9)*2&gt;=F$2,1,0),IF(TRUNC(ROUND($B22,0)/9,0)=0,IF(TRUNC(ROUND($B22,0)/9,0)=0,0+IF((ROUND($B22,0))*2&gt;=F$2,1,0),"Not"))))-F$3,"")</f>
        <v/>
      </c>
    </row>
    <row r="639" spans="1:5" x14ac:dyDescent="0.25">
      <c r="A639" t="s">
        <v>724</v>
      </c>
      <c r="B639" t="s">
        <v>358</v>
      </c>
      <c r="C639" t="s">
        <v>725</v>
      </c>
      <c r="D639" t="s">
        <v>1318</v>
      </c>
      <c r="E639" t="str">
        <f>IFERROR(AVERAGEIFS(Upload_Indiv[Score4],Upload_Indiv[[Player]:[Player]],$A22,Upload_Indiv[[Side]:[Side]],"Raintree Back")-IF(TRUNC(ROUND($B22,0)/9,0)=2,2+IF((ROUND($B22,0)-18)*2&gt;=P$2,1,0),IF(TRUNC(ROUND($B22,0)/9,0)=1,1+IF((ROUND($B22,0)-9)*2&gt;=P$2,1,0),IF(TRUNC(ROUND($B22,0)/9,0)=0,IF(TRUNC(ROUND($B22,0)/9,0)=0,0+IF((ROUND($B22,0))*2&gt;=P$2,1,0),"Not"))))-P$3,"")</f>
        <v/>
      </c>
    </row>
    <row r="640" spans="1:5" x14ac:dyDescent="0.25">
      <c r="A640" t="s">
        <v>724</v>
      </c>
      <c r="B640" t="s">
        <v>358</v>
      </c>
      <c r="C640" t="s">
        <v>725</v>
      </c>
      <c r="D640" t="s">
        <v>1319</v>
      </c>
      <c r="E640" t="str">
        <f>IFERROR(AVERAGEIFS(Upload_Indiv[Score4],Upload_Indiv[[Player]:[Player]],$A23,Upload_Indiv[[Side]:[Side]],"Raintree Front")-IF(TRUNC(ROUND($B23,0)/9,0)=2,2+IF((ROUND($B23,0)-18)*2&gt;=F$2,1,0),IF(TRUNC(ROUND($B23,0)/9,0)=1,1+IF((ROUND($B23,0)-9)*2&gt;=F$2,1,0),IF(TRUNC(ROUND($B23,0)/9,0)=0,IF(TRUNC(ROUND($B23,0)/9,0)=0,0+IF((ROUND($B23,0))*2&gt;=F$2,1,0),"Not"))))-F$3,"")</f>
        <v/>
      </c>
    </row>
    <row r="641" spans="1:5" x14ac:dyDescent="0.25">
      <c r="A641" t="s">
        <v>724</v>
      </c>
      <c r="B641" t="s">
        <v>358</v>
      </c>
      <c r="C641" t="s">
        <v>725</v>
      </c>
      <c r="D641" t="s">
        <v>1320</v>
      </c>
      <c r="E641" t="str">
        <f>IFERROR(AVERAGEIFS(Upload_Indiv[Score4],Upload_Indiv[[Player]:[Player]],$A23,Upload_Indiv[[Side]:[Side]],"Raintree Back")-IF(TRUNC(ROUND($B23,0)/9,0)=2,2+IF((ROUND($B23,0)-18)*2&gt;=P$2,1,0),IF(TRUNC(ROUND($B23,0)/9,0)=1,1+IF((ROUND($B23,0)-9)*2&gt;=P$2,1,0),IF(TRUNC(ROUND($B23,0)/9,0)=0,IF(TRUNC(ROUND($B23,0)/9,0)=0,0+IF((ROUND($B23,0))*2&gt;=P$2,1,0),"Not"))))-P$3,"")</f>
        <v/>
      </c>
    </row>
    <row r="642" spans="1:5" x14ac:dyDescent="0.25">
      <c r="A642" t="s">
        <v>724</v>
      </c>
      <c r="B642" t="s">
        <v>358</v>
      </c>
      <c r="C642" t="s">
        <v>725</v>
      </c>
      <c r="D642" t="s">
        <v>1321</v>
      </c>
      <c r="E642" t="str">
        <f>IFERROR(AVERAGEIFS(Upload_Indiv[Score4],Upload_Indiv[[Player]:[Player]],$A24,Upload_Indiv[[Side]:[Side]],"Raintree Front")-IF(TRUNC(ROUND($B24,0)/9,0)=2,2+IF((ROUND($B24,0)-18)*2&gt;=F$2,1,0),IF(TRUNC(ROUND($B24,0)/9,0)=1,1+IF((ROUND($B24,0)-9)*2&gt;=F$2,1,0),IF(TRUNC(ROUND($B24,0)/9,0)=0,IF(TRUNC(ROUND($B24,0)/9,0)=0,0+IF((ROUND($B24,0))*2&gt;=F$2,1,0),"Not"))))-F$3,"")</f>
        <v/>
      </c>
    </row>
    <row r="643" spans="1:5" x14ac:dyDescent="0.25">
      <c r="A643" t="s">
        <v>724</v>
      </c>
      <c r="B643" t="s">
        <v>358</v>
      </c>
      <c r="C643" t="s">
        <v>725</v>
      </c>
      <c r="D643" t="s">
        <v>1322</v>
      </c>
      <c r="E643" t="str">
        <f>IFERROR(AVERAGEIFS(Upload_Indiv[Score4],Upload_Indiv[[Player]:[Player]],$A24,Upload_Indiv[[Side]:[Side]],"Raintree Back")-IF(TRUNC(ROUND($B24,0)/9,0)=2,2+IF((ROUND($B24,0)-18)*2&gt;=P$2,1,0),IF(TRUNC(ROUND($B24,0)/9,0)=1,1+IF((ROUND($B24,0)-9)*2&gt;=P$2,1,0),IF(TRUNC(ROUND($B24,0)/9,0)=0,IF(TRUNC(ROUND($B24,0)/9,0)=0,0+IF((ROUND($B24,0))*2&gt;=P$2,1,0),"Not"))))-P$3,"")</f>
        <v/>
      </c>
    </row>
    <row r="644" spans="1:5" x14ac:dyDescent="0.25">
      <c r="A644" t="s">
        <v>724</v>
      </c>
      <c r="B644" t="s">
        <v>358</v>
      </c>
      <c r="C644" t="s">
        <v>725</v>
      </c>
      <c r="D644" t="s">
        <v>1323</v>
      </c>
      <c r="E644" t="str">
        <f>IFERROR(AVERAGEIFS(Upload_Indiv[Score4],Upload_Indiv[[Player]:[Player]],$A25,Upload_Indiv[[Side]:[Side]],"Raintree Front")-IF(TRUNC(ROUND($B25,0)/9,0)=2,2+IF((ROUND($B25,0)-18)*2&gt;=F$2,1,0),IF(TRUNC(ROUND($B25,0)/9,0)=1,1+IF((ROUND($B25,0)-9)*2&gt;=F$2,1,0),IF(TRUNC(ROUND($B25,0)/9,0)=0,IF(TRUNC(ROUND($B25,0)/9,0)=0,0+IF((ROUND($B25,0))*2&gt;=F$2,1,0),"Not"))))-F$3,"")</f>
        <v/>
      </c>
    </row>
    <row r="645" spans="1:5" x14ac:dyDescent="0.25">
      <c r="A645" t="s">
        <v>724</v>
      </c>
      <c r="B645" t="s">
        <v>358</v>
      </c>
      <c r="C645" t="s">
        <v>725</v>
      </c>
      <c r="D645" t="s">
        <v>1324</v>
      </c>
      <c r="E645" t="str">
        <f>IFERROR(AVERAGEIFS(Upload_Indiv[Score4],Upload_Indiv[[Player]:[Player]],$A25,Upload_Indiv[[Side]:[Side]],"Raintree Back")-IF(TRUNC(ROUND($B25,0)/9,0)=2,2+IF((ROUND($B25,0)-18)*2&gt;=P$2,1,0),IF(TRUNC(ROUND($B25,0)/9,0)=1,1+IF((ROUND($B25,0)-9)*2&gt;=P$2,1,0),IF(TRUNC(ROUND($B25,0)/9,0)=0,IF(TRUNC(ROUND($B25,0)/9,0)=0,0+IF((ROUND($B25,0))*2&gt;=P$2,1,0),"Not"))))-P$3,"")</f>
        <v/>
      </c>
    </row>
    <row r="646" spans="1:5" x14ac:dyDescent="0.25">
      <c r="A646" t="s">
        <v>724</v>
      </c>
      <c r="B646" t="s">
        <v>358</v>
      </c>
      <c r="C646" t="s">
        <v>725</v>
      </c>
      <c r="D646" t="s">
        <v>1325</v>
      </c>
      <c r="E646" t="str">
        <f>IFERROR(AVERAGEIFS(Upload_Indiv[Score4],Upload_Indiv[[Player]:[Player]],$A26,Upload_Indiv[[Side]:[Side]],"Raintree Front")-IF(TRUNC(ROUND($B26,0)/9,0)=2,2+IF((ROUND($B26,0)-18)*2&gt;=F$2,1,0),IF(TRUNC(ROUND($B26,0)/9,0)=1,1+IF((ROUND($B26,0)-9)*2&gt;=F$2,1,0),IF(TRUNC(ROUND($B26,0)/9,0)=0,IF(TRUNC(ROUND($B26,0)/9,0)=0,0+IF((ROUND($B26,0))*2&gt;=F$2,1,0),"Not"))))-F$3,"")</f>
        <v/>
      </c>
    </row>
    <row r="647" spans="1:5" x14ac:dyDescent="0.25">
      <c r="A647" t="s">
        <v>724</v>
      </c>
      <c r="B647" t="s">
        <v>358</v>
      </c>
      <c r="C647" t="s">
        <v>725</v>
      </c>
      <c r="D647" t="s">
        <v>1326</v>
      </c>
      <c r="E647" t="str">
        <f>IFERROR(AVERAGEIFS(Upload_Indiv[Score4],Upload_Indiv[[Player]:[Player]],$A26,Upload_Indiv[[Side]:[Side]],"Raintree Back")-IF(TRUNC(ROUND($B26,0)/9,0)=2,2+IF((ROUND($B26,0)-18)*2&gt;=P$2,1,0),IF(TRUNC(ROUND($B26,0)/9,0)=1,1+IF((ROUND($B26,0)-9)*2&gt;=P$2,1,0),IF(TRUNC(ROUND($B26,0)/9,0)=0,IF(TRUNC(ROUND($B26,0)/9,0)=0,0+IF((ROUND($B26,0))*2&gt;=P$2,1,0),"Not"))))-P$3,"")</f>
        <v/>
      </c>
    </row>
    <row r="648" spans="1:5" x14ac:dyDescent="0.25">
      <c r="A648" t="s">
        <v>724</v>
      </c>
      <c r="B648" t="s">
        <v>358</v>
      </c>
      <c r="C648" t="s">
        <v>725</v>
      </c>
      <c r="D648" t="s">
        <v>1327</v>
      </c>
      <c r="E648" t="str">
        <f>IFERROR(AVERAGEIFS(Upload_Indiv[Score4],Upload_Indiv[[Player]:[Player]],$A27,Upload_Indiv[[Side]:[Side]],"Raintree Front")-IF(TRUNC(ROUND($B27,0)/9,0)=2,2+IF((ROUND($B27,0)-18)*2&gt;=F$2,1,0),IF(TRUNC(ROUND($B27,0)/9,0)=1,1+IF((ROUND($B27,0)-9)*2&gt;=F$2,1,0),IF(TRUNC(ROUND($B27,0)/9,0)=0,IF(TRUNC(ROUND($B27,0)/9,0)=0,0+IF((ROUND($B27,0))*2&gt;=F$2,1,0),"Not"))))-F$3,"")</f>
        <v/>
      </c>
    </row>
    <row r="649" spans="1:5" x14ac:dyDescent="0.25">
      <c r="A649" t="s">
        <v>724</v>
      </c>
      <c r="B649" t="s">
        <v>358</v>
      </c>
      <c r="C649" t="s">
        <v>725</v>
      </c>
      <c r="D649" t="s">
        <v>1328</v>
      </c>
      <c r="E649" t="str">
        <f>IFERROR(AVERAGEIFS(Upload_Indiv[Score4],Upload_Indiv[[Player]:[Player]],$A27,Upload_Indiv[[Side]:[Side]],"Raintree Back")-IF(TRUNC(ROUND($B27,0)/9,0)=2,2+IF((ROUND($B27,0)-18)*2&gt;=P$2,1,0),IF(TRUNC(ROUND($B27,0)/9,0)=1,1+IF((ROUND($B27,0)-9)*2&gt;=P$2,1,0),IF(TRUNC(ROUND($B27,0)/9,0)=0,IF(TRUNC(ROUND($B27,0)/9,0)=0,0+IF((ROUND($B27,0))*2&gt;=P$2,1,0),"Not"))))-P$3,"")</f>
        <v/>
      </c>
    </row>
    <row r="650" spans="1:5" x14ac:dyDescent="0.25">
      <c r="A650" t="s">
        <v>724</v>
      </c>
      <c r="B650" t="s">
        <v>358</v>
      </c>
      <c r="C650" t="s">
        <v>725</v>
      </c>
      <c r="D650" t="s">
        <v>1329</v>
      </c>
      <c r="E650" t="str">
        <f>IFERROR(AVERAGEIFS(Upload_Indiv[Score4],Upload_Indiv[[Player]:[Player]],$A28,Upload_Indiv[[Side]:[Side]],"Raintree Front")-IF(TRUNC(ROUND($B28,0)/9,0)=2,2+IF((ROUND($B28,0)-18)*2&gt;=F$2,1,0),IF(TRUNC(ROUND($B28,0)/9,0)=1,1+IF((ROUND($B28,0)-9)*2&gt;=F$2,1,0),IF(TRUNC(ROUND($B28,0)/9,0)=0,IF(TRUNC(ROUND($B28,0)/9,0)=0,0+IF((ROUND($B28,0))*2&gt;=F$2,1,0),"Not"))))-F$3,"")</f>
        <v/>
      </c>
    </row>
    <row r="651" spans="1:5" x14ac:dyDescent="0.25">
      <c r="A651" t="s">
        <v>724</v>
      </c>
      <c r="B651" t="s">
        <v>358</v>
      </c>
      <c r="C651" t="s">
        <v>725</v>
      </c>
      <c r="D651" t="s">
        <v>1330</v>
      </c>
      <c r="E651" t="str">
        <f>IFERROR(AVERAGEIFS(Upload_Indiv[Score4],Upload_Indiv[[Player]:[Player]],$A28,Upload_Indiv[[Side]:[Side]],"Raintree Back")-IF(TRUNC(ROUND($B28,0)/9,0)=2,2+IF((ROUND($B28,0)-18)*2&gt;=P$2,1,0),IF(TRUNC(ROUND($B28,0)/9,0)=1,1+IF((ROUND($B28,0)-9)*2&gt;=P$2,1,0),IF(TRUNC(ROUND($B28,0)/9,0)=0,IF(TRUNC(ROUND($B28,0)/9,0)=0,0+IF((ROUND($B28,0))*2&gt;=P$2,1,0),"Not"))))-P$3,"")</f>
        <v/>
      </c>
    </row>
    <row r="652" spans="1:5" x14ac:dyDescent="0.25">
      <c r="A652" t="s">
        <v>724</v>
      </c>
      <c r="B652" t="s">
        <v>358</v>
      </c>
      <c r="C652" t="s">
        <v>725</v>
      </c>
      <c r="D652" t="s">
        <v>1331</v>
      </c>
      <c r="E652" t="str">
        <f>IFERROR(AVERAGEIFS(Upload_Indiv[Score4],Upload_Indiv[[Player]:[Player]],$A29,Upload_Indiv[[Side]:[Side]],"Raintree Front")-IF(TRUNC(ROUND($B29,0)/9,0)=2,2+IF((ROUND($B29,0)-18)*2&gt;=F$2,1,0),IF(TRUNC(ROUND($B29,0)/9,0)=1,1+IF((ROUND($B29,0)-9)*2&gt;=F$2,1,0),IF(TRUNC(ROUND($B29,0)/9,0)=0,IF(TRUNC(ROUND($B29,0)/9,0)=0,0+IF((ROUND($B29,0))*2&gt;=F$2,1,0),"Not"))))-F$3,"")</f>
        <v/>
      </c>
    </row>
    <row r="653" spans="1:5" x14ac:dyDescent="0.25">
      <c r="A653" t="s">
        <v>724</v>
      </c>
      <c r="B653" t="s">
        <v>358</v>
      </c>
      <c r="C653" t="s">
        <v>725</v>
      </c>
      <c r="D653" t="s">
        <v>1332</v>
      </c>
      <c r="E653" t="str">
        <f>IFERROR(AVERAGEIFS(Upload_Indiv[Score4],Upload_Indiv[[Player]:[Player]],$A29,Upload_Indiv[[Side]:[Side]],"Raintree Back")-IF(TRUNC(ROUND($B29,0)/9,0)=2,2+IF((ROUND($B29,0)-18)*2&gt;=P$2,1,0),IF(TRUNC(ROUND($B29,0)/9,0)=1,1+IF((ROUND($B29,0)-9)*2&gt;=P$2,1,0),IF(TRUNC(ROUND($B29,0)/9,0)=0,IF(TRUNC(ROUND($B29,0)/9,0)=0,0+IF((ROUND($B29,0))*2&gt;=P$2,1,0),"Not"))))-P$3,"")</f>
        <v/>
      </c>
    </row>
    <row r="654" spans="1:5" x14ac:dyDescent="0.25">
      <c r="A654" t="s">
        <v>724</v>
      </c>
      <c r="B654" t="s">
        <v>358</v>
      </c>
      <c r="C654" t="s">
        <v>725</v>
      </c>
      <c r="D654" t="s">
        <v>1333</v>
      </c>
      <c r="E654" t="str">
        <f>IFERROR(AVERAGEIFS(Upload_Indiv[Score4],Upload_Indiv[[Player]:[Player]],$A30,Upload_Indiv[[Side]:[Side]],"Raintree Front")-IF(TRUNC(ROUND($B30,0)/9,0)=2,2+IF((ROUND($B30,0)-18)*2&gt;=F$2,1,0),IF(TRUNC(ROUND($B30,0)/9,0)=1,1+IF((ROUND($B30,0)-9)*2&gt;=F$2,1,0),IF(TRUNC(ROUND($B30,0)/9,0)=0,IF(TRUNC(ROUND($B30,0)/9,0)=0,0+IF((ROUND($B30,0))*2&gt;=F$2,1,0),"Not"))))-F$3,"")</f>
        <v/>
      </c>
    </row>
    <row r="655" spans="1:5" x14ac:dyDescent="0.25">
      <c r="A655" t="s">
        <v>724</v>
      </c>
      <c r="B655" t="s">
        <v>358</v>
      </c>
      <c r="C655" t="s">
        <v>725</v>
      </c>
      <c r="D655" t="s">
        <v>1334</v>
      </c>
      <c r="E655" t="str">
        <f>IFERROR(AVERAGEIFS(Upload_Indiv[Score4],Upload_Indiv[[Player]:[Player]],$A30,Upload_Indiv[[Side]:[Side]],"Raintree Back")-IF(TRUNC(ROUND($B30,0)/9,0)=2,2+IF((ROUND($B30,0)-18)*2&gt;=P$2,1,0),IF(TRUNC(ROUND($B30,0)/9,0)=1,1+IF((ROUND($B30,0)-9)*2&gt;=P$2,1,0),IF(TRUNC(ROUND($B30,0)/9,0)=0,IF(TRUNC(ROUND($B30,0)/9,0)=0,0+IF((ROUND($B30,0))*2&gt;=P$2,1,0),"Not"))))-P$3,"")</f>
        <v/>
      </c>
    </row>
    <row r="656" spans="1:5" x14ac:dyDescent="0.25">
      <c r="A656" t="s">
        <v>724</v>
      </c>
      <c r="B656" t="s">
        <v>358</v>
      </c>
      <c r="C656" t="s">
        <v>725</v>
      </c>
      <c r="D656" t="s">
        <v>1335</v>
      </c>
      <c r="E656" t="str">
        <f>IFERROR(AVERAGEIFS(Upload_Indiv[Score4],Upload_Indiv[[Player]:[Player]],$A31,Upload_Indiv[[Side]:[Side]],"Raintree Front")-IF(TRUNC(ROUND($B31,0)/9,0)=2,2+IF((ROUND($B31,0)-18)*2&gt;=F$2,1,0),IF(TRUNC(ROUND($B31,0)/9,0)=1,1+IF((ROUND($B31,0)-9)*2&gt;=F$2,1,0),IF(TRUNC(ROUND($B31,0)/9,0)=0,IF(TRUNC(ROUND($B31,0)/9,0)=0,0+IF((ROUND($B31,0))*2&gt;=F$2,1,0),"Not"))))-F$3,"")</f>
        <v/>
      </c>
    </row>
    <row r="657" spans="1:5" x14ac:dyDescent="0.25">
      <c r="A657" t="s">
        <v>724</v>
      </c>
      <c r="B657" t="s">
        <v>358</v>
      </c>
      <c r="C657" t="s">
        <v>725</v>
      </c>
      <c r="D657" t="s">
        <v>1336</v>
      </c>
      <c r="E657" t="str">
        <f>IFERROR(AVERAGEIFS(Upload_Indiv[Score4],Upload_Indiv[[Player]:[Player]],$A31,Upload_Indiv[[Side]:[Side]],"Raintree Back")-IF(TRUNC(ROUND($B31,0)/9,0)=2,2+IF((ROUND($B31,0)-18)*2&gt;=P$2,1,0),IF(TRUNC(ROUND($B31,0)/9,0)=1,1+IF((ROUND($B31,0)-9)*2&gt;=P$2,1,0),IF(TRUNC(ROUND($B31,0)/9,0)=0,IF(TRUNC(ROUND($B31,0)/9,0)=0,0+IF((ROUND($B31,0))*2&gt;=P$2,1,0),"Not"))))-P$3,"")</f>
        <v/>
      </c>
    </row>
    <row r="658" spans="1:5" x14ac:dyDescent="0.25">
      <c r="A658" t="s">
        <v>724</v>
      </c>
      <c r="B658" t="s">
        <v>358</v>
      </c>
      <c r="C658" t="s">
        <v>725</v>
      </c>
      <c r="D658" t="s">
        <v>1337</v>
      </c>
      <c r="E658" t="str">
        <f>IFERROR(AVERAGEIFS(Upload_Indiv[Score4],Upload_Indiv[[Player]:[Player]],$A32,Upload_Indiv[[Side]:[Side]],"Raintree Front")-IF(TRUNC(ROUND($B32,0)/9,0)=2,2+IF((ROUND($B32,0)-18)*2&gt;=F$2,1,0),IF(TRUNC(ROUND($B32,0)/9,0)=1,1+IF((ROUND($B32,0)-9)*2&gt;=F$2,1,0),IF(TRUNC(ROUND($B32,0)/9,0)=0,IF(TRUNC(ROUND($B32,0)/9,0)=0,0+IF((ROUND($B32,0))*2&gt;=F$2,1,0),"Not"))))-F$3,"")</f>
        <v/>
      </c>
    </row>
    <row r="659" spans="1:5" x14ac:dyDescent="0.25">
      <c r="A659" t="s">
        <v>724</v>
      </c>
      <c r="B659" t="s">
        <v>358</v>
      </c>
      <c r="C659" t="s">
        <v>725</v>
      </c>
      <c r="D659" t="s">
        <v>1338</v>
      </c>
      <c r="E659" t="str">
        <f>IFERROR(AVERAGEIFS(Upload_Indiv[Score4],Upload_Indiv[[Player]:[Player]],$A32,Upload_Indiv[[Side]:[Side]],"Raintree Back")-IF(TRUNC(ROUND($B32,0)/9,0)=2,2+IF((ROUND($B32,0)-18)*2&gt;=P$2,1,0),IF(TRUNC(ROUND($B32,0)/9,0)=1,1+IF((ROUND($B32,0)-9)*2&gt;=P$2,1,0),IF(TRUNC(ROUND($B32,0)/9,0)=0,IF(TRUNC(ROUND($B32,0)/9,0)=0,0+IF((ROUND($B32,0))*2&gt;=P$2,1,0),"Not"))))-P$3,"")</f>
        <v/>
      </c>
    </row>
    <row r="660" spans="1:5" x14ac:dyDescent="0.25">
      <c r="A660" t="s">
        <v>724</v>
      </c>
      <c r="B660" t="s">
        <v>358</v>
      </c>
      <c r="C660" t="s">
        <v>725</v>
      </c>
      <c r="D660" t="s">
        <v>1339</v>
      </c>
      <c r="E660" t="str">
        <f>IFERROR(AVERAGEIFS(Upload_Indiv[Score4],Upload_Indiv[[Player]:[Player]],$A33,Upload_Indiv[[Side]:[Side]],"Raintree Front")-IF(TRUNC(ROUND($B33,0)/9,0)=2,2+IF((ROUND($B33,0)-18)*2&gt;=F$2,1,0),IF(TRUNC(ROUND($B33,0)/9,0)=1,1+IF((ROUND($B33,0)-9)*2&gt;=F$2,1,0),IF(TRUNC(ROUND($B33,0)/9,0)=0,IF(TRUNC(ROUND($B33,0)/9,0)=0,0+IF((ROUND($B33,0))*2&gt;=F$2,1,0),"Not"))))-F$3,"")</f>
        <v/>
      </c>
    </row>
    <row r="661" spans="1:5" x14ac:dyDescent="0.25">
      <c r="A661" t="s">
        <v>724</v>
      </c>
      <c r="B661" t="s">
        <v>358</v>
      </c>
      <c r="C661" t="s">
        <v>725</v>
      </c>
      <c r="D661" t="s">
        <v>1340</v>
      </c>
      <c r="E661" t="str">
        <f>IFERROR(AVERAGEIFS(Upload_Indiv[Score4],Upload_Indiv[[Player]:[Player]],$A33,Upload_Indiv[[Side]:[Side]],"Raintree Back")-IF(TRUNC(ROUND($B33,0)/9,0)=2,2+IF((ROUND($B33,0)-18)*2&gt;=P$2,1,0),IF(TRUNC(ROUND($B33,0)/9,0)=1,1+IF((ROUND($B33,0)-9)*2&gt;=P$2,1,0),IF(TRUNC(ROUND($B33,0)/9,0)=0,IF(TRUNC(ROUND($B33,0)/9,0)=0,0+IF((ROUND($B33,0))*2&gt;=P$2,1,0),"Not"))))-P$3,"")</f>
        <v/>
      </c>
    </row>
    <row r="662" spans="1:5" x14ac:dyDescent="0.25">
      <c r="A662" t="s">
        <v>724</v>
      </c>
      <c r="B662" t="s">
        <v>358</v>
      </c>
      <c r="C662" t="s">
        <v>725</v>
      </c>
      <c r="D662" t="s">
        <v>1341</v>
      </c>
      <c r="E662" t="str">
        <f>IFERROR(AVERAGEIFS(Upload_Indiv[Score4],Upload_Indiv[[Player]:[Player]],$A34,Upload_Indiv[[Side]:[Side]],"Raintree Front")-IF(TRUNC(ROUND($B34,0)/9,0)=2,2+IF((ROUND($B34,0)-18)*2&gt;=F$2,1,0),IF(TRUNC(ROUND($B34,0)/9,0)=1,1+IF((ROUND($B34,0)-9)*2&gt;=F$2,1,0),IF(TRUNC(ROUND($B34,0)/9,0)=0,IF(TRUNC(ROUND($B34,0)/9,0)=0,0+IF((ROUND($B34,0))*2&gt;=F$2,1,0),"Not"))))-F$3,"")</f>
        <v/>
      </c>
    </row>
    <row r="663" spans="1:5" x14ac:dyDescent="0.25">
      <c r="A663" t="s">
        <v>724</v>
      </c>
      <c r="B663" t="s">
        <v>358</v>
      </c>
      <c r="C663" t="s">
        <v>725</v>
      </c>
      <c r="D663" t="s">
        <v>1342</v>
      </c>
      <c r="E663" t="str">
        <f>IFERROR(AVERAGEIFS(Upload_Indiv[Score4],Upload_Indiv[[Player]:[Player]],$A34,Upload_Indiv[[Side]:[Side]],"Raintree Back")-IF(TRUNC(ROUND($B34,0)/9,0)=2,2+IF((ROUND($B34,0)-18)*2&gt;=P$2,1,0),IF(TRUNC(ROUND($B34,0)/9,0)=1,1+IF((ROUND($B34,0)-9)*2&gt;=P$2,1,0),IF(TRUNC(ROUND($B34,0)/9,0)=0,IF(TRUNC(ROUND($B34,0)/9,0)=0,0+IF((ROUND($B34,0))*2&gt;=P$2,1,0),"Not"))))-P$3,"")</f>
        <v/>
      </c>
    </row>
    <row r="664" spans="1:5" x14ac:dyDescent="0.25">
      <c r="A664" t="s">
        <v>724</v>
      </c>
      <c r="B664" t="s">
        <v>358</v>
      </c>
      <c r="C664" t="s">
        <v>725</v>
      </c>
      <c r="D664" t="s">
        <v>1343</v>
      </c>
      <c r="E664" t="str">
        <f>IFERROR(AVERAGEIFS(Upload_Indiv[Score4],Upload_Indiv[[Player]:[Player]],$A35,Upload_Indiv[[Side]:[Side]],"Raintree Front")-IF(TRUNC(ROUND($B35,0)/9,0)=2,2+IF((ROUND($B35,0)-18)*2&gt;=F$2,1,0),IF(TRUNC(ROUND($B35,0)/9,0)=1,1+IF((ROUND($B35,0)-9)*2&gt;=F$2,1,0),IF(TRUNC(ROUND($B35,0)/9,0)=0,IF(TRUNC(ROUND($B35,0)/9,0)=0,0+IF((ROUND($B35,0))*2&gt;=F$2,1,0),"Not"))))-F$3,"")</f>
        <v/>
      </c>
    </row>
    <row r="665" spans="1:5" x14ac:dyDescent="0.25">
      <c r="A665" t="s">
        <v>724</v>
      </c>
      <c r="B665" t="s">
        <v>358</v>
      </c>
      <c r="C665" t="s">
        <v>725</v>
      </c>
      <c r="D665" t="s">
        <v>1344</v>
      </c>
      <c r="E665" t="str">
        <f>IFERROR(AVERAGEIFS(Upload_Indiv[Score4],Upload_Indiv[[Player]:[Player]],$A35,Upload_Indiv[[Side]:[Side]],"Raintree Back")-IF(TRUNC(ROUND($B35,0)/9,0)=2,2+IF((ROUND($B35,0)-18)*2&gt;=P$2,1,0),IF(TRUNC(ROUND($B35,0)/9,0)=1,1+IF((ROUND($B35,0)-9)*2&gt;=P$2,1,0),IF(TRUNC(ROUND($B35,0)/9,0)=0,IF(TRUNC(ROUND($B35,0)/9,0)=0,0+IF((ROUND($B35,0))*2&gt;=P$2,1,0),"Not"))))-P$3,"")</f>
        <v/>
      </c>
    </row>
    <row r="666" spans="1:5" x14ac:dyDescent="0.25">
      <c r="A666" t="s">
        <v>724</v>
      </c>
      <c r="B666" t="s">
        <v>358</v>
      </c>
      <c r="C666" t="s">
        <v>725</v>
      </c>
      <c r="D666" t="s">
        <v>1345</v>
      </c>
      <c r="E666" t="str">
        <f>IFERROR(AVERAGEIFS(Upload_Indiv[Score4],Upload_Indiv[[Player]:[Player]],$A36,Upload_Indiv[[Side]:[Side]],"Raintree Front")-IF(TRUNC(ROUND($B36,0)/9,0)=2,2+IF((ROUND($B36,0)-18)*2&gt;=F$2,1,0),IF(TRUNC(ROUND($B36,0)/9,0)=1,1+IF((ROUND($B36,0)-9)*2&gt;=F$2,1,0),IF(TRUNC(ROUND($B36,0)/9,0)=0,IF(TRUNC(ROUND($B36,0)/9,0)=0,0+IF((ROUND($B36,0))*2&gt;=F$2,1,0),"Not"))))-F$3,"")</f>
        <v/>
      </c>
    </row>
    <row r="667" spans="1:5" x14ac:dyDescent="0.25">
      <c r="A667" t="s">
        <v>724</v>
      </c>
      <c r="B667" t="s">
        <v>358</v>
      </c>
      <c r="C667" t="s">
        <v>725</v>
      </c>
      <c r="D667" t="s">
        <v>1346</v>
      </c>
      <c r="E667" t="str">
        <f>IFERROR(AVERAGEIFS(Upload_Indiv[Score4],Upload_Indiv[[Player]:[Player]],$A36,Upload_Indiv[[Side]:[Side]],"Raintree Back")-IF(TRUNC(ROUND($B36,0)/9,0)=2,2+IF((ROUND($B36,0)-18)*2&gt;=P$2,1,0),IF(TRUNC(ROUND($B36,0)/9,0)=1,1+IF((ROUND($B36,0)-9)*2&gt;=P$2,1,0),IF(TRUNC(ROUND($B36,0)/9,0)=0,IF(TRUNC(ROUND($B36,0)/9,0)=0,0+IF((ROUND($B36,0))*2&gt;=P$2,1,0),"Not"))))-P$3,"")</f>
        <v/>
      </c>
    </row>
    <row r="668" spans="1:5" x14ac:dyDescent="0.25">
      <c r="A668" t="s">
        <v>724</v>
      </c>
      <c r="B668" t="s">
        <v>358</v>
      </c>
      <c r="C668" t="s">
        <v>725</v>
      </c>
      <c r="D668" t="s">
        <v>1347</v>
      </c>
      <c r="E668" t="str">
        <f>IFERROR(AVERAGEIFS(Upload_Indiv[Score4],Upload_Indiv[[Player]:[Player]],$A37,Upload_Indiv[[Side]:[Side]],"Raintree Front")-IF(TRUNC(ROUND($B37,0)/9,0)=2,2+IF((ROUND($B37,0)-18)*2&gt;=F$2,1,0),IF(TRUNC(ROUND($B37,0)/9,0)=1,1+IF((ROUND($B37,0)-9)*2&gt;=F$2,1,0),IF(TRUNC(ROUND($B37,0)/9,0)=0,IF(TRUNC(ROUND($B37,0)/9,0)=0,0+IF((ROUND($B37,0))*2&gt;=F$2,1,0),"Not"))))-F$3,"")</f>
        <v/>
      </c>
    </row>
    <row r="669" spans="1:5" x14ac:dyDescent="0.25">
      <c r="A669" t="s">
        <v>724</v>
      </c>
      <c r="B669" t="s">
        <v>358</v>
      </c>
      <c r="C669" t="s">
        <v>725</v>
      </c>
      <c r="D669" t="s">
        <v>1348</v>
      </c>
      <c r="E669" t="str">
        <f>IFERROR(AVERAGEIFS(Upload_Indiv[Score4],Upload_Indiv[[Player]:[Player]],$A37,Upload_Indiv[[Side]:[Side]],"Raintree Back")-IF(TRUNC(ROUND($B37,0)/9,0)=2,2+IF((ROUND($B37,0)-18)*2&gt;=P$2,1,0),IF(TRUNC(ROUND($B37,0)/9,0)=1,1+IF((ROUND($B37,0)-9)*2&gt;=P$2,1,0),IF(TRUNC(ROUND($B37,0)/9,0)=0,IF(TRUNC(ROUND($B37,0)/9,0)=0,0+IF((ROUND($B37,0))*2&gt;=P$2,1,0),"Not"))))-P$3,"")</f>
        <v/>
      </c>
    </row>
    <row r="670" spans="1:5" x14ac:dyDescent="0.25">
      <c r="A670" t="s">
        <v>724</v>
      </c>
      <c r="B670" t="s">
        <v>358</v>
      </c>
      <c r="C670" t="s">
        <v>725</v>
      </c>
      <c r="D670" t="s">
        <v>1349</v>
      </c>
      <c r="E670" t="str">
        <f>IFERROR(AVERAGEIFS(Upload_Indiv[Score4],Upload_Indiv[[Player]:[Player]],$A38,Upload_Indiv[[Side]:[Side]],"Raintree Front")-IF(TRUNC(ROUND($B38,0)/9,0)=2,2+IF((ROUND($B38,0)-18)*2&gt;=F$2,1,0),IF(TRUNC(ROUND($B38,0)/9,0)=1,1+IF((ROUND($B38,0)-9)*2&gt;=F$2,1,0),IF(TRUNC(ROUND($B38,0)/9,0)=0,IF(TRUNC(ROUND($B38,0)/9,0)=0,0+IF((ROUND($B38,0))*2&gt;=F$2,1,0),"Not"))))-F$3,"")</f>
        <v/>
      </c>
    </row>
    <row r="671" spans="1:5" x14ac:dyDescent="0.25">
      <c r="A671" t="s">
        <v>724</v>
      </c>
      <c r="B671" t="s">
        <v>358</v>
      </c>
      <c r="C671" t="s">
        <v>725</v>
      </c>
      <c r="D671" t="s">
        <v>1350</v>
      </c>
      <c r="E671" t="str">
        <f>IFERROR(AVERAGEIFS(Upload_Indiv[Score4],Upload_Indiv[[Player]:[Player]],$A38,Upload_Indiv[[Side]:[Side]],"Raintree Back")-IF(TRUNC(ROUND($B38,0)/9,0)=2,2+IF((ROUND($B38,0)-18)*2&gt;=P$2,1,0),IF(TRUNC(ROUND($B38,0)/9,0)=1,1+IF((ROUND($B38,0)-9)*2&gt;=P$2,1,0),IF(TRUNC(ROUND($B38,0)/9,0)=0,IF(TRUNC(ROUND($B38,0)/9,0)=0,0+IF((ROUND($B38,0))*2&gt;=P$2,1,0),"Not"))))-P$3,"")</f>
        <v/>
      </c>
    </row>
    <row r="672" spans="1:5" x14ac:dyDescent="0.25">
      <c r="A672" t="s">
        <v>724</v>
      </c>
      <c r="B672" t="s">
        <v>358</v>
      </c>
      <c r="C672" t="s">
        <v>725</v>
      </c>
      <c r="D672" t="s">
        <v>1351</v>
      </c>
      <c r="E672" t="str">
        <f>IFERROR(AVERAGEIFS(Upload_Indiv[Score4],Upload_Indiv[[Player]:[Player]],$A39,Upload_Indiv[[Side]:[Side]],"Raintree Front")-IF(TRUNC(ROUND($B39,0)/9,0)=2,2+IF((ROUND($B39,0)-18)*2&gt;=F$2,1,0),IF(TRUNC(ROUND($B39,0)/9,0)=1,1+IF((ROUND($B39,0)-9)*2&gt;=F$2,1,0),IF(TRUNC(ROUND($B39,0)/9,0)=0,IF(TRUNC(ROUND($B39,0)/9,0)=0,0+IF((ROUND($B39,0))*2&gt;=F$2,1,0),"Not"))))-F$3,"")</f>
        <v/>
      </c>
    </row>
    <row r="673" spans="1:5" x14ac:dyDescent="0.25">
      <c r="A673" t="s">
        <v>724</v>
      </c>
      <c r="B673" t="s">
        <v>358</v>
      </c>
      <c r="C673" t="s">
        <v>725</v>
      </c>
      <c r="D673" t="s">
        <v>1352</v>
      </c>
      <c r="E673" t="str">
        <f>IFERROR(AVERAGEIFS(Upload_Indiv[Score4],Upload_Indiv[[Player]:[Player]],$A39,Upload_Indiv[[Side]:[Side]],"Raintree Back")-IF(TRUNC(ROUND($B39,0)/9,0)=2,2+IF((ROUND($B39,0)-18)*2&gt;=P$2,1,0),IF(TRUNC(ROUND($B39,0)/9,0)=1,1+IF((ROUND($B39,0)-9)*2&gt;=P$2,1,0),IF(TRUNC(ROUND($B39,0)/9,0)=0,IF(TRUNC(ROUND($B39,0)/9,0)=0,0+IF((ROUND($B39,0))*2&gt;=P$2,1,0),"Not"))))-P$3,"")</f>
        <v/>
      </c>
    </row>
    <row r="674" spans="1:5" x14ac:dyDescent="0.25">
      <c r="A674" t="s">
        <v>724</v>
      </c>
      <c r="B674" t="s">
        <v>358</v>
      </c>
      <c r="C674" t="s">
        <v>725</v>
      </c>
      <c r="D674" t="s">
        <v>1353</v>
      </c>
      <c r="E674" t="str">
        <f>IFERROR(AVERAGEIFS(Upload_Indiv[Score4],Upload_Indiv[[Player]:[Player]],$A40,Upload_Indiv[[Side]:[Side]],"Raintree Front")-IF(TRUNC(ROUND($B40,0)/9,0)=2,2+IF((ROUND($B40,0)-18)*2&gt;=F$2,1,0),IF(TRUNC(ROUND($B40,0)/9,0)=1,1+IF((ROUND($B40,0)-9)*2&gt;=F$2,1,0),IF(TRUNC(ROUND($B40,0)/9,0)=0,IF(TRUNC(ROUND($B40,0)/9,0)=0,0+IF((ROUND($B40,0))*2&gt;=F$2,1,0),"Not"))))-F$3,"")</f>
        <v/>
      </c>
    </row>
    <row r="675" spans="1:5" x14ac:dyDescent="0.25">
      <c r="A675" t="s">
        <v>724</v>
      </c>
      <c r="B675" t="s">
        <v>358</v>
      </c>
      <c r="C675" t="s">
        <v>725</v>
      </c>
      <c r="D675" t="s">
        <v>1354</v>
      </c>
      <c r="E675" t="str">
        <f>IFERROR(AVERAGEIFS(Upload_Indiv[Score4],Upload_Indiv[[Player]:[Player]],$A40,Upload_Indiv[[Side]:[Side]],"Raintree Back")-IF(TRUNC(ROUND($B40,0)/9,0)=2,2+IF((ROUND($B40,0)-18)*2&gt;=P$2,1,0),IF(TRUNC(ROUND($B40,0)/9,0)=1,1+IF((ROUND($B40,0)-9)*2&gt;=P$2,1,0),IF(TRUNC(ROUND($B40,0)/9,0)=0,IF(TRUNC(ROUND($B40,0)/9,0)=0,0+IF((ROUND($B40,0))*2&gt;=P$2,1,0),"Not"))))-P$3,"")</f>
        <v/>
      </c>
    </row>
    <row r="676" spans="1:5" x14ac:dyDescent="0.25">
      <c r="A676" t="s">
        <v>724</v>
      </c>
      <c r="B676" t="s">
        <v>358</v>
      </c>
      <c r="C676" t="s">
        <v>725</v>
      </c>
      <c r="D676" t="s">
        <v>1355</v>
      </c>
      <c r="E676" t="str">
        <f>IFERROR(AVERAGEIFS(Upload_Indiv[Score4],Upload_Indiv[[Player]:[Player]],$A41,Upload_Indiv[[Side]:[Side]],"Raintree Front")-IF(TRUNC(ROUND($B41,0)/9,0)=2,2+IF((ROUND($B41,0)-18)*2&gt;=F$2,1,0),IF(TRUNC(ROUND($B41,0)/9,0)=1,1+IF((ROUND($B41,0)-9)*2&gt;=F$2,1,0),IF(TRUNC(ROUND($B41,0)/9,0)=0,IF(TRUNC(ROUND($B41,0)/9,0)=0,0+IF((ROUND($B41,0))*2&gt;=F$2,1,0),"Not"))))-F$3,"")</f>
        <v/>
      </c>
    </row>
    <row r="677" spans="1:5" x14ac:dyDescent="0.25">
      <c r="A677" t="s">
        <v>724</v>
      </c>
      <c r="B677" t="s">
        <v>358</v>
      </c>
      <c r="C677" t="s">
        <v>725</v>
      </c>
      <c r="D677" t="s">
        <v>1356</v>
      </c>
      <c r="E677" t="str">
        <f>IFERROR(AVERAGEIFS(Upload_Indiv[Score4],Upload_Indiv[[Player]:[Player]],$A41,Upload_Indiv[[Side]:[Side]],"Raintree Back")-IF(TRUNC(ROUND($B41,0)/9,0)=2,2+IF((ROUND($B41,0)-18)*2&gt;=P$2,1,0),IF(TRUNC(ROUND($B41,0)/9,0)=1,1+IF((ROUND($B41,0)-9)*2&gt;=P$2,1,0),IF(TRUNC(ROUND($B41,0)/9,0)=0,IF(TRUNC(ROUND($B41,0)/9,0)=0,0+IF((ROUND($B41,0))*2&gt;=P$2,1,0),"Not"))))-P$3,"")</f>
        <v/>
      </c>
    </row>
    <row r="678" spans="1:5" x14ac:dyDescent="0.25">
      <c r="A678" t="s">
        <v>724</v>
      </c>
      <c r="B678" t="s">
        <v>358</v>
      </c>
      <c r="C678" t="s">
        <v>725</v>
      </c>
      <c r="D678" t="s">
        <v>1357</v>
      </c>
      <c r="E678" t="str">
        <f>IFERROR(AVERAGEIFS(Upload_Indiv[Score4],Upload_Indiv[[Player]:[Player]],$A42,Upload_Indiv[[Side]:[Side]],"Raintree Front")-IF(TRUNC(ROUND($B42,0)/9,0)=2,2+IF((ROUND($B42,0)-18)*2&gt;=F$2,1,0),IF(TRUNC(ROUND($B42,0)/9,0)=1,1+IF((ROUND($B42,0)-9)*2&gt;=F$2,1,0),IF(TRUNC(ROUND($B42,0)/9,0)=0,IF(TRUNC(ROUND($B42,0)/9,0)=0,0+IF((ROUND($B42,0))*2&gt;=F$2,1,0),"Not"))))-F$3,"")</f>
        <v/>
      </c>
    </row>
    <row r="679" spans="1:5" x14ac:dyDescent="0.25">
      <c r="A679" t="s">
        <v>724</v>
      </c>
      <c r="B679" t="s">
        <v>358</v>
      </c>
      <c r="C679" t="s">
        <v>725</v>
      </c>
      <c r="D679" t="s">
        <v>1358</v>
      </c>
      <c r="E679" t="str">
        <f>IFERROR(AVERAGEIFS(Upload_Indiv[Score4],Upload_Indiv[[Player]:[Player]],$A42,Upload_Indiv[[Side]:[Side]],"Raintree Back")-IF(TRUNC(ROUND($B42,0)/9,0)=2,2+IF((ROUND($B42,0)-18)*2&gt;=P$2,1,0),IF(TRUNC(ROUND($B42,0)/9,0)=1,1+IF((ROUND($B42,0)-9)*2&gt;=P$2,1,0),IF(TRUNC(ROUND($B42,0)/9,0)=0,IF(TRUNC(ROUND($B42,0)/9,0)=0,0+IF((ROUND($B42,0))*2&gt;=P$2,1,0),"Not"))))-P$3,"")</f>
        <v/>
      </c>
    </row>
    <row r="680" spans="1:5" x14ac:dyDescent="0.25">
      <c r="A680" t="s">
        <v>724</v>
      </c>
      <c r="B680" t="s">
        <v>358</v>
      </c>
      <c r="C680" t="s">
        <v>725</v>
      </c>
      <c r="D680" t="s">
        <v>1359</v>
      </c>
      <c r="E680" t="str">
        <f>IFERROR(AVERAGEIFS(Upload_Indiv[Score4],Upload_Indiv[[Player]:[Player]],$A43,Upload_Indiv[[Side]:[Side]],"Raintree Front")-IF(TRUNC(ROUND($B43,0)/9,0)=2,2+IF((ROUND($B43,0)-18)*2&gt;=F$2,1,0),IF(TRUNC(ROUND($B43,0)/9,0)=1,1+IF((ROUND($B43,0)-9)*2&gt;=F$2,1,0),IF(TRUNC(ROUND($B43,0)/9,0)=0,IF(TRUNC(ROUND($B43,0)/9,0)=0,0+IF((ROUND($B43,0))*2&gt;=F$2,1,0),"Not"))))-F$3,"")</f>
        <v/>
      </c>
    </row>
    <row r="681" spans="1:5" x14ac:dyDescent="0.25">
      <c r="A681" t="s">
        <v>724</v>
      </c>
      <c r="B681" t="s">
        <v>358</v>
      </c>
      <c r="C681" t="s">
        <v>725</v>
      </c>
      <c r="D681" t="s">
        <v>1360</v>
      </c>
      <c r="E681" t="str">
        <f>IFERROR(AVERAGEIFS(Upload_Indiv[Score4],Upload_Indiv[[Player]:[Player]],$A43,Upload_Indiv[[Side]:[Side]],"Raintree Back")-IF(TRUNC(ROUND($B43,0)/9,0)=2,2+IF((ROUND($B43,0)-18)*2&gt;=P$2,1,0),IF(TRUNC(ROUND($B43,0)/9,0)=1,1+IF((ROUND($B43,0)-9)*2&gt;=P$2,1,0),IF(TRUNC(ROUND($B43,0)/9,0)=0,IF(TRUNC(ROUND($B43,0)/9,0)=0,0+IF((ROUND($B43,0))*2&gt;=P$2,1,0),"Not"))))-P$3,"")</f>
        <v/>
      </c>
    </row>
    <row r="682" spans="1:5" x14ac:dyDescent="0.25">
      <c r="A682" t="s">
        <v>724</v>
      </c>
      <c r="B682" t="s">
        <v>358</v>
      </c>
      <c r="C682" t="s">
        <v>725</v>
      </c>
      <c r="D682" t="s">
        <v>1361</v>
      </c>
      <c r="E682" t="str">
        <f>IFERROR(AVERAGEIFS(Upload_Indiv[Score4],Upload_Indiv[[Player]:[Player]],$A44,Upload_Indiv[[Side]:[Side]],"Raintree Front")-IF(TRUNC(ROUND($B44,0)/9,0)=2,2+IF((ROUND($B44,0)-18)*2&gt;=F$2,1,0),IF(TRUNC(ROUND($B44,0)/9,0)=1,1+IF((ROUND($B44,0)-9)*2&gt;=F$2,1,0),IF(TRUNC(ROUND($B44,0)/9,0)=0,IF(TRUNC(ROUND($B44,0)/9,0)=0,0+IF((ROUND($B44,0))*2&gt;=F$2,1,0),"Not"))))-F$3,"")</f>
        <v/>
      </c>
    </row>
    <row r="683" spans="1:5" x14ac:dyDescent="0.25">
      <c r="A683" t="s">
        <v>724</v>
      </c>
      <c r="B683" t="s">
        <v>358</v>
      </c>
      <c r="C683" t="s">
        <v>725</v>
      </c>
      <c r="D683" t="s">
        <v>1362</v>
      </c>
      <c r="E683" t="str">
        <f>IFERROR(AVERAGEIFS(Upload_Indiv[Score4],Upload_Indiv[[Player]:[Player]],$A44,Upload_Indiv[[Side]:[Side]],"Raintree Back")-IF(TRUNC(ROUND($B44,0)/9,0)=2,2+IF((ROUND($B44,0)-18)*2&gt;=P$2,1,0),IF(TRUNC(ROUND($B44,0)/9,0)=1,1+IF((ROUND($B44,0)-9)*2&gt;=P$2,1,0),IF(TRUNC(ROUND($B44,0)/9,0)=0,IF(TRUNC(ROUND($B44,0)/9,0)=0,0+IF((ROUND($B44,0))*2&gt;=P$2,1,0),"Not"))))-P$3,"")</f>
        <v/>
      </c>
    </row>
    <row r="684" spans="1:5" x14ac:dyDescent="0.25">
      <c r="A684" t="s">
        <v>724</v>
      </c>
      <c r="B684" t="s">
        <v>358</v>
      </c>
      <c r="C684" t="s">
        <v>725</v>
      </c>
      <c r="D684" t="s">
        <v>1363</v>
      </c>
      <c r="E684" t="str">
        <f>IFERROR(AVERAGEIFS(Upload_Indiv[Score4],Upload_Indiv[[Player]:[Player]],$A45,Upload_Indiv[[Side]:[Side]],"Raintree Front")-IF(TRUNC(ROUND($B45,0)/9,0)=2,2+IF((ROUND($B45,0)-18)*2&gt;=F$2,1,0),IF(TRUNC(ROUND($B45,0)/9,0)=1,1+IF((ROUND($B45,0)-9)*2&gt;=F$2,1,0),IF(TRUNC(ROUND($B45,0)/9,0)=0,IF(TRUNC(ROUND($B45,0)/9,0)=0,0+IF((ROUND($B45,0))*2&gt;=F$2,1,0),"Not"))))-F$3,"")</f>
        <v/>
      </c>
    </row>
    <row r="685" spans="1:5" x14ac:dyDescent="0.25">
      <c r="A685" t="s">
        <v>724</v>
      </c>
      <c r="B685" t="s">
        <v>358</v>
      </c>
      <c r="C685" t="s">
        <v>725</v>
      </c>
      <c r="D685" t="s">
        <v>1364</v>
      </c>
      <c r="E685" t="str">
        <f>IFERROR(AVERAGEIFS(Upload_Indiv[Score4],Upload_Indiv[[Player]:[Player]],$A45,Upload_Indiv[[Side]:[Side]],"Raintree Back")-IF(TRUNC(ROUND($B45,0)/9,0)=2,2+IF((ROUND($B45,0)-18)*2&gt;=P$2,1,0),IF(TRUNC(ROUND($B45,0)/9,0)=1,1+IF((ROUND($B45,0)-9)*2&gt;=P$2,1,0),IF(TRUNC(ROUND($B45,0)/9,0)=0,IF(TRUNC(ROUND($B45,0)/9,0)=0,0+IF((ROUND($B45,0))*2&gt;=P$2,1,0),"Not"))))-P$3,"")</f>
        <v/>
      </c>
    </row>
    <row r="686" spans="1:5" x14ac:dyDescent="0.25">
      <c r="A686" t="s">
        <v>724</v>
      </c>
      <c r="B686" t="s">
        <v>358</v>
      </c>
      <c r="C686" t="s">
        <v>725</v>
      </c>
      <c r="D686" t="s">
        <v>1365</v>
      </c>
      <c r="E686" t="str">
        <f>IFERROR(AVERAGEIFS(Upload_Indiv[Score4],Upload_Indiv[[Player]:[Player]],$A46,Upload_Indiv[[Side]:[Side]],"Raintree Front")-IF(TRUNC(ROUND($B46,0)/9,0)=2,2+IF((ROUND($B46,0)-18)*2&gt;=F$2,1,0),IF(TRUNC(ROUND($B46,0)/9,0)=1,1+IF((ROUND($B46,0)-9)*2&gt;=F$2,1,0),IF(TRUNC(ROUND($B46,0)/9,0)=0,IF(TRUNC(ROUND($B46,0)/9,0)=0,0+IF((ROUND($B46,0))*2&gt;=F$2,1,0),"Not"))))-F$3,"")</f>
        <v/>
      </c>
    </row>
    <row r="687" spans="1:5" x14ac:dyDescent="0.25">
      <c r="A687" t="s">
        <v>724</v>
      </c>
      <c r="B687" t="s">
        <v>358</v>
      </c>
      <c r="C687" t="s">
        <v>725</v>
      </c>
      <c r="D687" t="s">
        <v>1366</v>
      </c>
      <c r="E687" t="str">
        <f>IFERROR(AVERAGEIFS(Upload_Indiv[Score4],Upload_Indiv[[Player]:[Player]],$A46,Upload_Indiv[[Side]:[Side]],"Raintree Back")-IF(TRUNC(ROUND($B46,0)/9,0)=2,2+IF((ROUND($B46,0)-18)*2&gt;=P$2,1,0),IF(TRUNC(ROUND($B46,0)/9,0)=1,1+IF((ROUND($B46,0)-9)*2&gt;=P$2,1,0),IF(TRUNC(ROUND($B46,0)/9,0)=0,IF(TRUNC(ROUND($B46,0)/9,0)=0,0+IF((ROUND($B46,0))*2&gt;=P$2,1,0),"Not"))))-P$3,"")</f>
        <v/>
      </c>
    </row>
    <row r="688" spans="1:5" x14ac:dyDescent="0.25">
      <c r="A688" t="s">
        <v>724</v>
      </c>
      <c r="B688" t="s">
        <v>358</v>
      </c>
      <c r="C688" t="s">
        <v>725</v>
      </c>
      <c r="D688" t="s">
        <v>1367</v>
      </c>
      <c r="E688" t="str">
        <f>IFERROR(AVERAGEIFS(Upload_Indiv[Score4],Upload_Indiv[[Player]:[Player]],$A47,Upload_Indiv[[Side]:[Side]],"Raintree Front")-IF(TRUNC(ROUND($B47,0)/9,0)=2,2+IF((ROUND($B47,0)-18)*2&gt;=F$2,1,0),IF(TRUNC(ROUND($B47,0)/9,0)=1,1+IF((ROUND($B47,0)-9)*2&gt;=F$2,1,0),IF(TRUNC(ROUND($B47,0)/9,0)=0,IF(TRUNC(ROUND($B47,0)/9,0)=0,0+IF((ROUND($B47,0))*2&gt;=F$2,1,0),"Not"))))-F$3,"")</f>
        <v/>
      </c>
    </row>
    <row r="689" spans="1:5" x14ac:dyDescent="0.25">
      <c r="A689" t="s">
        <v>724</v>
      </c>
      <c r="B689" t="s">
        <v>358</v>
      </c>
      <c r="C689" t="s">
        <v>725</v>
      </c>
      <c r="D689" t="s">
        <v>1368</v>
      </c>
      <c r="E689" t="str">
        <f>IFERROR(AVERAGEIFS(Upload_Indiv[Score4],Upload_Indiv[[Player]:[Player]],$A47,Upload_Indiv[[Side]:[Side]],"Raintree Back")-IF(TRUNC(ROUND($B47,0)/9,0)=2,2+IF((ROUND($B47,0)-18)*2&gt;=P$2,1,0),IF(TRUNC(ROUND($B47,0)/9,0)=1,1+IF((ROUND($B47,0)-9)*2&gt;=P$2,1,0),IF(TRUNC(ROUND($B47,0)/9,0)=0,IF(TRUNC(ROUND($B47,0)/9,0)=0,0+IF((ROUND($B47,0))*2&gt;=P$2,1,0),"Not"))))-P$3,"")</f>
        <v/>
      </c>
    </row>
    <row r="690" spans="1:5" x14ac:dyDescent="0.25">
      <c r="A690" t="s">
        <v>724</v>
      </c>
      <c r="B690" t="s">
        <v>358</v>
      </c>
      <c r="C690" t="s">
        <v>725</v>
      </c>
      <c r="D690" t="s">
        <v>1369</v>
      </c>
      <c r="E690" t="str">
        <f>IFERROR(AVERAGEIFS(Upload_Indiv[Score4],Upload_Indiv[[Player]:[Player]],$A48,Upload_Indiv[[Side]:[Side]],"Raintree Front")-IF(TRUNC(ROUND($B48,0)/9,0)=2,2+IF((ROUND($B48,0)-18)*2&gt;=F$2,1,0),IF(TRUNC(ROUND($B48,0)/9,0)=1,1+IF((ROUND($B48,0)-9)*2&gt;=F$2,1,0),IF(TRUNC(ROUND($B48,0)/9,0)=0,IF(TRUNC(ROUND($B48,0)/9,0)=0,0+IF((ROUND($B48,0))*2&gt;=F$2,1,0),"Not"))))-F$3,"")</f>
        <v/>
      </c>
    </row>
    <row r="691" spans="1:5" x14ac:dyDescent="0.25">
      <c r="A691" t="s">
        <v>724</v>
      </c>
      <c r="B691" t="s">
        <v>358</v>
      </c>
      <c r="C691" t="s">
        <v>725</v>
      </c>
      <c r="D691" t="s">
        <v>1370</v>
      </c>
      <c r="E691" t="str">
        <f>IFERROR(AVERAGEIFS(Upload_Indiv[Score4],Upload_Indiv[[Player]:[Player]],$A48,Upload_Indiv[[Side]:[Side]],"Raintree Back")-IF(TRUNC(ROUND($B48,0)/9,0)=2,2+IF((ROUND($B48,0)-18)*2&gt;=P$2,1,0),IF(TRUNC(ROUND($B48,0)/9,0)=1,1+IF((ROUND($B48,0)-9)*2&gt;=P$2,1,0),IF(TRUNC(ROUND($B48,0)/9,0)=0,IF(TRUNC(ROUND($B48,0)/9,0)=0,0+IF((ROUND($B48,0))*2&gt;=P$2,1,0),"Not"))))-P$3,"")</f>
        <v/>
      </c>
    </row>
    <row r="692" spans="1:5" x14ac:dyDescent="0.25">
      <c r="A692" t="s">
        <v>724</v>
      </c>
      <c r="B692" t="s">
        <v>358</v>
      </c>
      <c r="C692" t="s">
        <v>725</v>
      </c>
      <c r="D692" t="s">
        <v>1371</v>
      </c>
      <c r="E692" t="str">
        <f>IFERROR(AVERAGEIFS(Upload_Indiv[Score4],Upload_Indiv[[Player]:[Player]],$A49,Upload_Indiv[[Side]:[Side]],"Raintree Front")-IF(TRUNC(ROUND($B49,0)/9,0)=2,2+IF((ROUND($B49,0)-18)*2&gt;=F$2,1,0),IF(TRUNC(ROUND($B49,0)/9,0)=1,1+IF((ROUND($B49,0)-9)*2&gt;=F$2,1,0),IF(TRUNC(ROUND($B49,0)/9,0)=0,IF(TRUNC(ROUND($B49,0)/9,0)=0,0+IF((ROUND($B49,0))*2&gt;=F$2,1,0),"Not"))))-F$3,"")</f>
        <v/>
      </c>
    </row>
    <row r="693" spans="1:5" x14ac:dyDescent="0.25">
      <c r="A693" t="s">
        <v>724</v>
      </c>
      <c r="B693" t="s">
        <v>358</v>
      </c>
      <c r="C693" t="s">
        <v>725</v>
      </c>
      <c r="D693" t="s">
        <v>1372</v>
      </c>
      <c r="E693" t="str">
        <f>IFERROR(AVERAGEIFS(Upload_Indiv[Score4],Upload_Indiv[[Player]:[Player]],$A49,Upload_Indiv[[Side]:[Side]],"Raintree Back")-IF(TRUNC(ROUND($B49,0)/9,0)=2,2+IF((ROUND($B49,0)-18)*2&gt;=P$2,1,0),IF(TRUNC(ROUND($B49,0)/9,0)=1,1+IF((ROUND($B49,0)-9)*2&gt;=P$2,1,0),IF(TRUNC(ROUND($B49,0)/9,0)=0,IF(TRUNC(ROUND($B49,0)/9,0)=0,0+IF((ROUND($B49,0))*2&gt;=P$2,1,0),"Not"))))-P$3,"")</f>
        <v/>
      </c>
    </row>
    <row r="694" spans="1:5" x14ac:dyDescent="0.25">
      <c r="A694" t="s">
        <v>724</v>
      </c>
      <c r="B694" t="s">
        <v>358</v>
      </c>
      <c r="C694" t="s">
        <v>725</v>
      </c>
      <c r="D694" t="s">
        <v>1373</v>
      </c>
      <c r="E694" t="str">
        <f>IFERROR(AVERAGEIFS(Upload_Indiv[Score4],Upload_Indiv[[Player]:[Player]],$A50,Upload_Indiv[[Side]:[Side]],"Raintree Front")-IF(TRUNC(ROUND($B50,0)/9,0)=2,2+IF((ROUND($B50,0)-18)*2&gt;=F$2,1,0),IF(TRUNC(ROUND($B50,0)/9,0)=1,1+IF((ROUND($B50,0)-9)*2&gt;=F$2,1,0),IF(TRUNC(ROUND($B50,0)/9,0)=0,IF(TRUNC(ROUND($B50,0)/9,0)=0,0+IF((ROUND($B50,0))*2&gt;=F$2,1,0),"Not"))))-F$3,"")</f>
        <v/>
      </c>
    </row>
    <row r="695" spans="1:5" x14ac:dyDescent="0.25">
      <c r="A695" t="s">
        <v>724</v>
      </c>
      <c r="B695" t="s">
        <v>358</v>
      </c>
      <c r="C695" t="s">
        <v>725</v>
      </c>
      <c r="D695" t="s">
        <v>1374</v>
      </c>
      <c r="E695" t="str">
        <f>IFERROR(AVERAGEIFS(Upload_Indiv[Score4],Upload_Indiv[[Player]:[Player]],$A50,Upload_Indiv[[Side]:[Side]],"Raintree Back")-IF(TRUNC(ROUND($B50,0)/9,0)=2,2+IF((ROUND($B50,0)-18)*2&gt;=P$2,1,0),IF(TRUNC(ROUND($B50,0)/9,0)=1,1+IF((ROUND($B50,0)-9)*2&gt;=P$2,1,0),IF(TRUNC(ROUND($B50,0)/9,0)=0,IF(TRUNC(ROUND($B50,0)/9,0)=0,0+IF((ROUND($B50,0))*2&gt;=P$2,1,0),"Not"))))-P$3,"")</f>
        <v/>
      </c>
    </row>
    <row r="696" spans="1:5" x14ac:dyDescent="0.25">
      <c r="A696" t="s">
        <v>724</v>
      </c>
      <c r="B696" t="s">
        <v>358</v>
      </c>
      <c r="C696" t="s">
        <v>725</v>
      </c>
      <c r="D696" t="s">
        <v>1375</v>
      </c>
      <c r="E696" t="str">
        <f>IFERROR(AVERAGEIFS(Upload_Indiv[Score4],Upload_Indiv[[Player]:[Player]],$A51,Upload_Indiv[[Side]:[Side]],"Raintree Front")-IF(TRUNC(ROUND($B51,0)/9,0)=2,2+IF((ROUND($B51,0)-18)*2&gt;=F$2,1,0),IF(TRUNC(ROUND($B51,0)/9,0)=1,1+IF((ROUND($B51,0)-9)*2&gt;=F$2,1,0),IF(TRUNC(ROUND($B51,0)/9,0)=0,IF(TRUNC(ROUND($B51,0)/9,0)=0,0+IF((ROUND($B51,0))*2&gt;=F$2,1,0),"Not"))))-F$3,"")</f>
        <v/>
      </c>
    </row>
    <row r="697" spans="1:5" x14ac:dyDescent="0.25">
      <c r="A697" t="s">
        <v>724</v>
      </c>
      <c r="B697" t="s">
        <v>358</v>
      </c>
      <c r="C697" t="s">
        <v>725</v>
      </c>
      <c r="D697" t="s">
        <v>1376</v>
      </c>
      <c r="E697" t="str">
        <f>IFERROR(AVERAGEIFS(Upload_Indiv[Score4],Upload_Indiv[[Player]:[Player]],$A51,Upload_Indiv[[Side]:[Side]],"Raintree Back")-IF(TRUNC(ROUND($B51,0)/9,0)=2,2+IF((ROUND($B51,0)-18)*2&gt;=P$2,1,0),IF(TRUNC(ROUND($B51,0)/9,0)=1,1+IF((ROUND($B51,0)-9)*2&gt;=P$2,1,0),IF(TRUNC(ROUND($B51,0)/9,0)=0,IF(TRUNC(ROUND($B51,0)/9,0)=0,0+IF((ROUND($B51,0))*2&gt;=P$2,1,0),"Not"))))-P$3,"")</f>
        <v/>
      </c>
    </row>
    <row r="698" spans="1:5" x14ac:dyDescent="0.25">
      <c r="A698" t="s">
        <v>724</v>
      </c>
      <c r="B698" t="s">
        <v>358</v>
      </c>
      <c r="C698" t="s">
        <v>725</v>
      </c>
      <c r="D698" t="s">
        <v>1377</v>
      </c>
      <c r="E698" t="str">
        <f>IFERROR(AVERAGEIFS(Upload_Indiv[Score4],Upload_Indiv[[Player]:[Player]],$A52,Upload_Indiv[[Side]:[Side]],"Raintree Front")-IF(TRUNC(ROUND($B52,0)/9,0)=2,2+IF((ROUND($B52,0)-18)*2&gt;=F$2,1,0),IF(TRUNC(ROUND($B52,0)/9,0)=1,1+IF((ROUND($B52,0)-9)*2&gt;=F$2,1,0),IF(TRUNC(ROUND($B52,0)/9,0)=0,IF(TRUNC(ROUND($B52,0)/9,0)=0,0+IF((ROUND($B52,0))*2&gt;=F$2,1,0),"Not"))))-F$3,"")</f>
        <v/>
      </c>
    </row>
    <row r="699" spans="1:5" x14ac:dyDescent="0.25">
      <c r="A699" t="s">
        <v>724</v>
      </c>
      <c r="B699" t="s">
        <v>358</v>
      </c>
      <c r="C699" t="s">
        <v>725</v>
      </c>
      <c r="D699" t="s">
        <v>1378</v>
      </c>
      <c r="E699" t="str">
        <f>IFERROR(AVERAGEIFS(Upload_Indiv[Score4],Upload_Indiv[[Player]:[Player]],$A52,Upload_Indiv[[Side]:[Side]],"Raintree Back")-IF(TRUNC(ROUND($B52,0)/9,0)=2,2+IF((ROUND($B52,0)-18)*2&gt;=P$2,1,0),IF(TRUNC(ROUND($B52,0)/9,0)=1,1+IF((ROUND($B52,0)-9)*2&gt;=P$2,1,0),IF(TRUNC(ROUND($B52,0)/9,0)=0,IF(TRUNC(ROUND($B52,0)/9,0)=0,0+IF((ROUND($B52,0))*2&gt;=P$2,1,0),"Not"))))-P$3,"")</f>
        <v/>
      </c>
    </row>
    <row r="700" spans="1:5" x14ac:dyDescent="0.25">
      <c r="A700" t="s">
        <v>724</v>
      </c>
      <c r="B700" t="s">
        <v>358</v>
      </c>
      <c r="C700" t="s">
        <v>725</v>
      </c>
      <c r="D700" t="s">
        <v>1379</v>
      </c>
      <c r="E700" t="str">
        <f>IFERROR(AVERAGEIFS(Upload_Indiv[Score4],Upload_Indiv[[Player]:[Player]],$A53,Upload_Indiv[[Side]:[Side]],"Raintree Front")-IF(TRUNC(ROUND($B53,0)/9,0)=2,2+IF((ROUND($B53,0)-18)*2&gt;=F$2,1,0),IF(TRUNC(ROUND($B53,0)/9,0)=1,1+IF((ROUND($B53,0)-9)*2&gt;=F$2,1,0),IF(TRUNC(ROUND($B53,0)/9,0)=0,IF(TRUNC(ROUND($B53,0)/9,0)=0,0+IF((ROUND($B53,0))*2&gt;=F$2,1,0),"Not"))))-F$3,"")</f>
        <v/>
      </c>
    </row>
    <row r="701" spans="1:5" x14ac:dyDescent="0.25">
      <c r="A701" t="s">
        <v>724</v>
      </c>
      <c r="B701" t="s">
        <v>358</v>
      </c>
      <c r="C701" t="s">
        <v>725</v>
      </c>
      <c r="D701" t="s">
        <v>1380</v>
      </c>
      <c r="E701" t="str">
        <f>IFERROR(AVERAGEIFS(Upload_Indiv[Score4],Upload_Indiv[[Player]:[Player]],$A53,Upload_Indiv[[Side]:[Side]],"Raintree Back")-IF(TRUNC(ROUND($B53,0)/9,0)=2,2+IF((ROUND($B53,0)-18)*2&gt;=P$2,1,0),IF(TRUNC(ROUND($B53,0)/9,0)=1,1+IF((ROUND($B53,0)-9)*2&gt;=P$2,1,0),IF(TRUNC(ROUND($B53,0)/9,0)=0,IF(TRUNC(ROUND($B53,0)/9,0)=0,0+IF((ROUND($B53,0))*2&gt;=P$2,1,0),"Not"))))-P$3,"")</f>
        <v/>
      </c>
    </row>
    <row r="702" spans="1:5" x14ac:dyDescent="0.25">
      <c r="A702" t="s">
        <v>724</v>
      </c>
      <c r="B702" t="s">
        <v>358</v>
      </c>
      <c r="C702" t="s">
        <v>725</v>
      </c>
      <c r="D702" t="s">
        <v>1381</v>
      </c>
      <c r="E702" t="str">
        <f>IFERROR(AVERAGEIFS(Upload_Indiv[Score4],Upload_Indiv[[Player]:[Player]],$A54,Upload_Indiv[[Side]:[Side]],"Raintree Front")-IF(TRUNC(ROUND($B54,0)/9,0)=2,2+IF((ROUND($B54,0)-18)*2&gt;=F$2,1,0),IF(TRUNC(ROUND($B54,0)/9,0)=1,1+IF((ROUND($B54,0)-9)*2&gt;=F$2,1,0),IF(TRUNC(ROUND($B54,0)/9,0)=0,IF(TRUNC(ROUND($B54,0)/9,0)=0,0+IF((ROUND($B54,0))*2&gt;=F$2,1,0),"Not"))))-F$3,"")</f>
        <v/>
      </c>
    </row>
    <row r="703" spans="1:5" x14ac:dyDescent="0.25">
      <c r="A703" t="s">
        <v>724</v>
      </c>
      <c r="B703" t="s">
        <v>358</v>
      </c>
      <c r="C703" t="s">
        <v>725</v>
      </c>
      <c r="D703" t="s">
        <v>1382</v>
      </c>
      <c r="E703" t="str">
        <f>IFERROR(AVERAGEIFS(Upload_Indiv[Score4],Upload_Indiv[[Player]:[Player]],$A54,Upload_Indiv[[Side]:[Side]],"Raintree Back")-IF(TRUNC(ROUND($B54,0)/9,0)=2,2+IF((ROUND($B54,0)-18)*2&gt;=P$2,1,0),IF(TRUNC(ROUND($B54,0)/9,0)=1,1+IF((ROUND($B54,0)-9)*2&gt;=P$2,1,0),IF(TRUNC(ROUND($B54,0)/9,0)=0,IF(TRUNC(ROUND($B54,0)/9,0)=0,0+IF((ROUND($B54,0))*2&gt;=P$2,1,0),"Not"))))-P$3,"")</f>
        <v/>
      </c>
    </row>
    <row r="704" spans="1:5" x14ac:dyDescent="0.25">
      <c r="A704" t="s">
        <v>724</v>
      </c>
      <c r="B704" t="s">
        <v>358</v>
      </c>
      <c r="C704" t="s">
        <v>725</v>
      </c>
      <c r="D704" t="s">
        <v>1383</v>
      </c>
      <c r="E704" t="str">
        <f>IFERROR(AVERAGEIFS(Upload_Indiv[Score4],Upload_Indiv[[Player]:[Player]],$A55,Upload_Indiv[[Side]:[Side]],"Raintree Front")-IF(TRUNC(ROUND($B55,0)/9,0)=2,2+IF((ROUND($B55,0)-18)*2&gt;=F$2,1,0),IF(TRUNC(ROUND($B55,0)/9,0)=1,1+IF((ROUND($B55,0)-9)*2&gt;=F$2,1,0),IF(TRUNC(ROUND($B55,0)/9,0)=0,IF(TRUNC(ROUND($B55,0)/9,0)=0,0+IF((ROUND($B55,0))*2&gt;=F$2,1,0),"Not"))))-F$3,"")</f>
        <v/>
      </c>
    </row>
    <row r="705" spans="1:5" x14ac:dyDescent="0.25">
      <c r="A705" t="s">
        <v>724</v>
      </c>
      <c r="B705" t="s">
        <v>358</v>
      </c>
      <c r="C705" t="s">
        <v>725</v>
      </c>
      <c r="D705" t="s">
        <v>1384</v>
      </c>
      <c r="E705" t="str">
        <f>IFERROR(AVERAGEIFS(Upload_Indiv[Score4],Upload_Indiv[[Player]:[Player]],$A55,Upload_Indiv[[Side]:[Side]],"Raintree Back")-IF(TRUNC(ROUND($B55,0)/9,0)=2,2+IF((ROUND($B55,0)-18)*2&gt;=P$2,1,0),IF(TRUNC(ROUND($B55,0)/9,0)=1,1+IF((ROUND($B55,0)-9)*2&gt;=P$2,1,0),IF(TRUNC(ROUND($B55,0)/9,0)=0,IF(TRUNC(ROUND($B55,0)/9,0)=0,0+IF((ROUND($B55,0))*2&gt;=P$2,1,0),"Not"))))-P$3,"")</f>
        <v/>
      </c>
    </row>
    <row r="706" spans="1:5" x14ac:dyDescent="0.25">
      <c r="A706" t="s">
        <v>724</v>
      </c>
      <c r="B706" t="s">
        <v>358</v>
      </c>
      <c r="C706" t="s">
        <v>725</v>
      </c>
      <c r="D706" t="s">
        <v>1385</v>
      </c>
      <c r="E706" t="str">
        <f>IFERROR(AVERAGEIFS(Upload_Indiv[Score4],Upload_Indiv[[Player]:[Player]],$A56,Upload_Indiv[[Side]:[Side]],"Raintree Front")-IF(TRUNC(ROUND($B56,0)/9,0)=2,2+IF((ROUND($B56,0)-18)*2&gt;=F$2,1,0),IF(TRUNC(ROUND($B56,0)/9,0)=1,1+IF((ROUND($B56,0)-9)*2&gt;=F$2,1,0),IF(TRUNC(ROUND($B56,0)/9,0)=0,IF(TRUNC(ROUND($B56,0)/9,0)=0,0+IF((ROUND($B56,0))*2&gt;=F$2,1,0),"Not"))))-F$3,"")</f>
        <v/>
      </c>
    </row>
    <row r="707" spans="1:5" x14ac:dyDescent="0.25">
      <c r="A707" t="s">
        <v>724</v>
      </c>
      <c r="B707" t="s">
        <v>358</v>
      </c>
      <c r="C707" t="s">
        <v>725</v>
      </c>
      <c r="D707" t="s">
        <v>1386</v>
      </c>
      <c r="E707" t="str">
        <f>IFERROR(AVERAGEIFS(Upload_Indiv[Score4],Upload_Indiv[[Player]:[Player]],$A56,Upload_Indiv[[Side]:[Side]],"Raintree Back")-IF(TRUNC(ROUND($B56,0)/9,0)=2,2+IF((ROUND($B56,0)-18)*2&gt;=P$2,1,0),IF(TRUNC(ROUND($B56,0)/9,0)=1,1+IF((ROUND($B56,0)-9)*2&gt;=P$2,1,0),IF(TRUNC(ROUND($B56,0)/9,0)=0,IF(TRUNC(ROUND($B56,0)/9,0)=0,0+IF((ROUND($B56,0))*2&gt;=P$2,1,0),"Not"))))-P$3,"")</f>
        <v/>
      </c>
    </row>
    <row r="708" spans="1:5" x14ac:dyDescent="0.25">
      <c r="A708" t="s">
        <v>724</v>
      </c>
      <c r="B708" t="s">
        <v>358</v>
      </c>
      <c r="C708" t="s">
        <v>725</v>
      </c>
      <c r="D708" t="s">
        <v>1387</v>
      </c>
      <c r="E708" t="str">
        <f>IFERROR(AVERAGEIFS(Upload_Indiv[Score4],Upload_Indiv[[Player]:[Player]],$A57,Upload_Indiv[[Side]:[Side]],"Raintree Front")-IF(TRUNC(ROUND($B57,0)/9,0)=2,2+IF((ROUND($B57,0)-18)*2&gt;=F$2,1,0),IF(TRUNC(ROUND($B57,0)/9,0)=1,1+IF((ROUND($B57,0)-9)*2&gt;=F$2,1,0),IF(TRUNC(ROUND($B57,0)/9,0)=0,IF(TRUNC(ROUND($B57,0)/9,0)=0,0+IF((ROUND($B57,0))*2&gt;=F$2,1,0),"Not"))))-F$3,"")</f>
        <v/>
      </c>
    </row>
    <row r="709" spans="1:5" x14ac:dyDescent="0.25">
      <c r="A709" t="s">
        <v>724</v>
      </c>
      <c r="B709" t="s">
        <v>358</v>
      </c>
      <c r="C709" t="s">
        <v>725</v>
      </c>
      <c r="D709" t="s">
        <v>1388</v>
      </c>
      <c r="E709" t="str">
        <f>IFERROR(AVERAGEIFS(Upload_Indiv[Score4],Upload_Indiv[[Player]:[Player]],$A57,Upload_Indiv[[Side]:[Side]],"Raintree Back")-IF(TRUNC(ROUND($B57,0)/9,0)=2,2+IF((ROUND($B57,0)-18)*2&gt;=P$2,1,0),IF(TRUNC(ROUND($B57,0)/9,0)=1,1+IF((ROUND($B57,0)-9)*2&gt;=P$2,1,0),IF(TRUNC(ROUND($B57,0)/9,0)=0,IF(TRUNC(ROUND($B57,0)/9,0)=0,0+IF((ROUND($B57,0))*2&gt;=P$2,1,0),"Not"))))-P$3,"")</f>
        <v/>
      </c>
    </row>
    <row r="710" spans="1:5" x14ac:dyDescent="0.25">
      <c r="A710" t="s">
        <v>724</v>
      </c>
      <c r="B710" t="s">
        <v>358</v>
      </c>
      <c r="C710" t="s">
        <v>725</v>
      </c>
      <c r="D710" t="s">
        <v>1389</v>
      </c>
      <c r="E710" t="str">
        <f>IFERROR(AVERAGEIFS(Upload_Indiv[Score4],Upload_Indiv[[Player]:[Player]],$A58,Upload_Indiv[[Side]:[Side]],"Raintree Front")-IF(TRUNC(ROUND($B58,0)/9,0)=2,2+IF((ROUND($B58,0)-18)*2&gt;=F$2,1,0),IF(TRUNC(ROUND($B58,0)/9,0)=1,1+IF((ROUND($B58,0)-9)*2&gt;=F$2,1,0),IF(TRUNC(ROUND($B58,0)/9,0)=0,IF(TRUNC(ROUND($B58,0)/9,0)=0,0+IF((ROUND($B58,0))*2&gt;=F$2,1,0),"Not"))))-F$3,"")</f>
        <v/>
      </c>
    </row>
    <row r="711" spans="1:5" x14ac:dyDescent="0.25">
      <c r="A711" t="s">
        <v>724</v>
      </c>
      <c r="B711" t="s">
        <v>358</v>
      </c>
      <c r="C711" t="s">
        <v>725</v>
      </c>
      <c r="D711" t="s">
        <v>1390</v>
      </c>
      <c r="E711" t="str">
        <f>IFERROR(AVERAGEIFS(Upload_Indiv[Score4],Upload_Indiv[[Player]:[Player]],$A58,Upload_Indiv[[Side]:[Side]],"Raintree Back")-IF(TRUNC(ROUND($B58,0)/9,0)=2,2+IF((ROUND($B58,0)-18)*2&gt;=P$2,1,0),IF(TRUNC(ROUND($B58,0)/9,0)=1,1+IF((ROUND($B58,0)-9)*2&gt;=P$2,1,0),IF(TRUNC(ROUND($B58,0)/9,0)=0,IF(TRUNC(ROUND($B58,0)/9,0)=0,0+IF((ROUND($B58,0))*2&gt;=P$2,1,0),"Not"))))-P$3,"")</f>
        <v/>
      </c>
    </row>
    <row r="712" spans="1:5" x14ac:dyDescent="0.25">
      <c r="A712" t="s">
        <v>724</v>
      </c>
      <c r="B712" t="s">
        <v>358</v>
      </c>
      <c r="C712" t="s">
        <v>725</v>
      </c>
      <c r="D712" t="s">
        <v>1391</v>
      </c>
      <c r="E712" t="str">
        <f>IFERROR(AVERAGEIFS(Upload_Indiv[Score4],Upload_Indiv[[Player]:[Player]],$A59,Upload_Indiv[[Side]:[Side]],"Raintree Front")-IF(TRUNC(ROUND($B59,0)/9,0)=2,2+IF((ROUND($B59,0)-18)*2&gt;=F$2,1,0),IF(TRUNC(ROUND($B59,0)/9,0)=1,1+IF((ROUND($B59,0)-9)*2&gt;=F$2,1,0),IF(TRUNC(ROUND($B59,0)/9,0)=0,IF(TRUNC(ROUND($B59,0)/9,0)=0,0+IF((ROUND($B59,0))*2&gt;=F$2,1,0),"Not"))))-F$3,"")</f>
        <v/>
      </c>
    </row>
    <row r="713" spans="1:5" x14ac:dyDescent="0.25">
      <c r="A713" t="s">
        <v>724</v>
      </c>
      <c r="B713" t="s">
        <v>358</v>
      </c>
      <c r="C713" t="s">
        <v>725</v>
      </c>
      <c r="D713" t="s">
        <v>1392</v>
      </c>
      <c r="E713" t="str">
        <f>IFERROR(AVERAGEIFS(Upload_Indiv[Score4],Upload_Indiv[[Player]:[Player]],$A59,Upload_Indiv[[Side]:[Side]],"Raintree Back")-IF(TRUNC(ROUND($B59,0)/9,0)=2,2+IF((ROUND($B59,0)-18)*2&gt;=P$2,1,0),IF(TRUNC(ROUND($B59,0)/9,0)=1,1+IF((ROUND($B59,0)-9)*2&gt;=P$2,1,0),IF(TRUNC(ROUND($B59,0)/9,0)=0,IF(TRUNC(ROUND($B59,0)/9,0)=0,0+IF((ROUND($B59,0))*2&gt;=P$2,1,0),"Not"))))-P$3,"")</f>
        <v/>
      </c>
    </row>
    <row r="714" spans="1:5" x14ac:dyDescent="0.25">
      <c r="A714" t="s">
        <v>724</v>
      </c>
      <c r="B714" t="s">
        <v>358</v>
      </c>
      <c r="C714" t="s">
        <v>725</v>
      </c>
      <c r="D714" t="s">
        <v>1393</v>
      </c>
      <c r="E714" t="str">
        <f>IFERROR(AVERAGEIFS(Upload_Indiv[Score4],Upload_Indiv[[Player]:[Player]],$A60,Upload_Indiv[[Side]:[Side]],"Raintree Front")-IF(TRUNC(ROUND($B60,0)/9,0)=2,2+IF((ROUND($B60,0)-18)*2&gt;=F$2,1,0),IF(TRUNC(ROUND($B60,0)/9,0)=1,1+IF((ROUND($B60,0)-9)*2&gt;=F$2,1,0),IF(TRUNC(ROUND($B60,0)/9,0)=0,IF(TRUNC(ROUND($B60,0)/9,0)=0,0+IF((ROUND($B60,0))*2&gt;=F$2,1,0),"Not"))))-F$3,"")</f>
        <v/>
      </c>
    </row>
    <row r="715" spans="1:5" x14ac:dyDescent="0.25">
      <c r="A715" t="s">
        <v>724</v>
      </c>
      <c r="B715" t="s">
        <v>358</v>
      </c>
      <c r="C715" t="s">
        <v>725</v>
      </c>
      <c r="D715" t="s">
        <v>1394</v>
      </c>
      <c r="E715" t="str">
        <f>IFERROR(AVERAGEIFS(Upload_Indiv[Score4],Upload_Indiv[[Player]:[Player]],$A60,Upload_Indiv[[Side]:[Side]],"Raintree Back")-IF(TRUNC(ROUND($B60,0)/9,0)=2,2+IF((ROUND($B60,0)-18)*2&gt;=P$2,1,0),IF(TRUNC(ROUND($B60,0)/9,0)=1,1+IF((ROUND($B60,0)-9)*2&gt;=P$2,1,0),IF(TRUNC(ROUND($B60,0)/9,0)=0,IF(TRUNC(ROUND($B60,0)/9,0)=0,0+IF((ROUND($B60,0))*2&gt;=P$2,1,0),"Not"))))-P$3,"")</f>
        <v/>
      </c>
    </row>
    <row r="716" spans="1:5" x14ac:dyDescent="0.25">
      <c r="A716" t="s">
        <v>724</v>
      </c>
      <c r="B716" t="s">
        <v>358</v>
      </c>
      <c r="C716" t="s">
        <v>834</v>
      </c>
      <c r="D716" t="s">
        <v>1395</v>
      </c>
      <c r="E716">
        <f>IFERROR(AVERAGEIFS(Upload_Indiv[Score4],Upload_Indiv[[Side]:[Side]],"Raintree Front",Upload_Indiv[[Excl Score]:[Excl Score]],0),"")</f>
        <v>4.192982456140351</v>
      </c>
    </row>
    <row r="717" spans="1:5" x14ac:dyDescent="0.25">
      <c r="A717" t="s">
        <v>724</v>
      </c>
      <c r="B717" t="s">
        <v>358</v>
      </c>
      <c r="C717" t="s">
        <v>834</v>
      </c>
      <c r="D717" t="s">
        <v>1396</v>
      </c>
      <c r="E717">
        <f>IFERROR(AVERAGEIFS(Upload_Indiv[Score4],Upload_Indiv[[Side]:[Side]],"Raintree Back",Upload_Indiv[[Excl Score]:[Excl Score]],0),"")</f>
        <v>5.8185840707964598</v>
      </c>
    </row>
    <row r="718" spans="1:5" x14ac:dyDescent="0.25">
      <c r="A718" t="s">
        <v>724</v>
      </c>
      <c r="B718" t="s">
        <v>358</v>
      </c>
      <c r="C718" t="s">
        <v>834</v>
      </c>
      <c r="D718" t="s">
        <v>731</v>
      </c>
      <c r="E718" t="str">
        <f>IFERROR(AVERAGEIFS(Upload_Indiv[Score4],Upload_Indiv[[Player]:[Player]],$A9,Upload_Indiv[[Side]:[Side]],"Raintree Front",Upload_Indiv[[Excl Score]:[Excl Score]],0),"")</f>
        <v/>
      </c>
    </row>
    <row r="719" spans="1:5" x14ac:dyDescent="0.25">
      <c r="A719" t="s">
        <v>724</v>
      </c>
      <c r="B719" t="s">
        <v>358</v>
      </c>
      <c r="C719" t="s">
        <v>834</v>
      </c>
      <c r="D719" t="s">
        <v>1397</v>
      </c>
      <c r="E719" t="str">
        <f>IFERROR(AVERAGEIFS(Upload_Indiv[Score4],Upload_Indiv[[Player]:[Player]],$A9,Upload_Indiv[[Side]:[Side]],"Raintree Back",Upload_Indiv[[Excl Score]:[Excl Score]],0),"")</f>
        <v/>
      </c>
    </row>
    <row r="720" spans="1:5" x14ac:dyDescent="0.25">
      <c r="A720" t="s">
        <v>724</v>
      </c>
      <c r="B720" t="s">
        <v>358</v>
      </c>
      <c r="C720" t="s">
        <v>834</v>
      </c>
      <c r="D720" t="s">
        <v>733</v>
      </c>
      <c r="E720" t="str">
        <f>IFERROR(AVERAGEIFS(Upload_Indiv[Score4],Upload_Indiv[[Player]:[Player]],$A10,Upload_Indiv[[Side]:[Side]],"Raintree Front",Upload_Indiv[[Excl Score]:[Excl Score]],0),"")</f>
        <v/>
      </c>
    </row>
    <row r="721" spans="1:5" x14ac:dyDescent="0.25">
      <c r="A721" t="s">
        <v>724</v>
      </c>
      <c r="B721" t="s">
        <v>358</v>
      </c>
      <c r="C721" t="s">
        <v>834</v>
      </c>
      <c r="D721" t="s">
        <v>1398</v>
      </c>
      <c r="E721" t="str">
        <f>IFERROR(AVERAGEIFS(Upload_Indiv[Score4],Upload_Indiv[[Player]:[Player]],$A10,Upload_Indiv[[Side]:[Side]],"Raintree Back",Upload_Indiv[[Excl Score]:[Excl Score]],0),"")</f>
        <v/>
      </c>
    </row>
    <row r="722" spans="1:5" x14ac:dyDescent="0.25">
      <c r="A722" t="s">
        <v>724</v>
      </c>
      <c r="B722" t="s">
        <v>358</v>
      </c>
      <c r="C722" t="s">
        <v>834</v>
      </c>
      <c r="D722" t="s">
        <v>735</v>
      </c>
      <c r="E722" t="str">
        <f>IFERROR(AVERAGEIFS(Upload_Indiv[Score4],Upload_Indiv[[Player]:[Player]],$A11,Upload_Indiv[[Side]:[Side]],"Raintree Front",Upload_Indiv[[Excl Score]:[Excl Score]],0),"")</f>
        <v/>
      </c>
    </row>
    <row r="723" spans="1:5" x14ac:dyDescent="0.25">
      <c r="A723" t="s">
        <v>724</v>
      </c>
      <c r="B723" t="s">
        <v>358</v>
      </c>
      <c r="C723" t="s">
        <v>834</v>
      </c>
      <c r="D723" t="s">
        <v>1399</v>
      </c>
      <c r="E723" t="str">
        <f>IFERROR(AVERAGEIFS(Upload_Indiv[Score4],Upload_Indiv[[Player]:[Player]],$A11,Upload_Indiv[[Side]:[Side]],"Raintree Back",Upload_Indiv[[Excl Score]:[Excl Score]],0),"")</f>
        <v/>
      </c>
    </row>
    <row r="724" spans="1:5" x14ac:dyDescent="0.25">
      <c r="A724" t="s">
        <v>724</v>
      </c>
      <c r="B724" t="s">
        <v>358</v>
      </c>
      <c r="C724" t="s">
        <v>834</v>
      </c>
      <c r="D724" t="s">
        <v>737</v>
      </c>
      <c r="E724" t="str">
        <f>IFERROR(AVERAGEIFS(Upload_Indiv[Score4],Upload_Indiv[[Player]:[Player]],$A12,Upload_Indiv[[Side]:[Side]],"Raintree Front",Upload_Indiv[[Excl Score]:[Excl Score]],0),"")</f>
        <v/>
      </c>
    </row>
    <row r="725" spans="1:5" x14ac:dyDescent="0.25">
      <c r="A725" t="s">
        <v>724</v>
      </c>
      <c r="B725" t="s">
        <v>358</v>
      </c>
      <c r="C725" t="s">
        <v>834</v>
      </c>
      <c r="D725" t="s">
        <v>1400</v>
      </c>
      <c r="E725" t="str">
        <f>IFERROR(AVERAGEIFS(Upload_Indiv[Score4],Upload_Indiv[[Player]:[Player]],$A12,Upload_Indiv[[Side]:[Side]],"Raintree Back",Upload_Indiv[[Excl Score]:[Excl Score]],0),"")</f>
        <v/>
      </c>
    </row>
    <row r="726" spans="1:5" x14ac:dyDescent="0.25">
      <c r="A726" t="s">
        <v>724</v>
      </c>
      <c r="B726" t="s">
        <v>358</v>
      </c>
      <c r="C726" t="s">
        <v>834</v>
      </c>
      <c r="D726" t="s">
        <v>739</v>
      </c>
      <c r="E726" t="str">
        <f>IFERROR(AVERAGEIFS(Upload_Indiv[Score4],Upload_Indiv[[Player]:[Player]],$A13,Upload_Indiv[[Side]:[Side]],"Raintree Front",Upload_Indiv[[Excl Score]:[Excl Score]],0),"")</f>
        <v/>
      </c>
    </row>
    <row r="727" spans="1:5" x14ac:dyDescent="0.25">
      <c r="A727" t="s">
        <v>724</v>
      </c>
      <c r="B727" t="s">
        <v>358</v>
      </c>
      <c r="C727" t="s">
        <v>834</v>
      </c>
      <c r="D727" t="s">
        <v>1401</v>
      </c>
      <c r="E727" t="str">
        <f>IFERROR(AVERAGEIFS(Upload_Indiv[Score4],Upload_Indiv[[Player]:[Player]],$A13,Upload_Indiv[[Side]:[Side]],"Raintree Back",Upload_Indiv[[Excl Score]:[Excl Score]],0),"")</f>
        <v/>
      </c>
    </row>
    <row r="728" spans="1:5" x14ac:dyDescent="0.25">
      <c r="A728" t="s">
        <v>724</v>
      </c>
      <c r="B728" t="s">
        <v>358</v>
      </c>
      <c r="C728" t="s">
        <v>834</v>
      </c>
      <c r="D728" t="s">
        <v>741</v>
      </c>
      <c r="E728" t="str">
        <f>IFERROR(AVERAGEIFS(Upload_Indiv[Score4],Upload_Indiv[[Player]:[Player]],$A14,Upload_Indiv[[Side]:[Side]],"Raintree Front",Upload_Indiv[[Excl Score]:[Excl Score]],0),"")</f>
        <v/>
      </c>
    </row>
    <row r="729" spans="1:5" x14ac:dyDescent="0.25">
      <c r="A729" t="s">
        <v>724</v>
      </c>
      <c r="B729" t="s">
        <v>358</v>
      </c>
      <c r="C729" t="s">
        <v>834</v>
      </c>
      <c r="D729" t="s">
        <v>1402</v>
      </c>
      <c r="E729" t="str">
        <f>IFERROR(AVERAGEIFS(Upload_Indiv[Score4],Upload_Indiv[[Player]:[Player]],$A14,Upload_Indiv[[Side]:[Side]],"Raintree Back",Upload_Indiv[[Excl Score]:[Excl Score]],0),"")</f>
        <v/>
      </c>
    </row>
    <row r="730" spans="1:5" x14ac:dyDescent="0.25">
      <c r="A730" t="s">
        <v>724</v>
      </c>
      <c r="B730" t="s">
        <v>358</v>
      </c>
      <c r="C730" t="s">
        <v>834</v>
      </c>
      <c r="D730" t="s">
        <v>743</v>
      </c>
      <c r="E730" t="str">
        <f>IFERROR(AVERAGEIFS(Upload_Indiv[Score4],Upload_Indiv[[Player]:[Player]],$A15,Upload_Indiv[[Side]:[Side]],"Raintree Front",Upload_Indiv[[Excl Score]:[Excl Score]],0),"")</f>
        <v/>
      </c>
    </row>
    <row r="731" spans="1:5" x14ac:dyDescent="0.25">
      <c r="A731" t="s">
        <v>724</v>
      </c>
      <c r="B731" t="s">
        <v>358</v>
      </c>
      <c r="C731" t="s">
        <v>834</v>
      </c>
      <c r="D731" t="s">
        <v>1403</v>
      </c>
      <c r="E731" t="str">
        <f>IFERROR(AVERAGEIFS(Upload_Indiv[Score4],Upload_Indiv[[Player]:[Player]],$A15,Upload_Indiv[[Side]:[Side]],"Raintree Back",Upload_Indiv[[Excl Score]:[Excl Score]],0),"")</f>
        <v/>
      </c>
    </row>
    <row r="732" spans="1:5" x14ac:dyDescent="0.25">
      <c r="A732" t="s">
        <v>724</v>
      </c>
      <c r="B732" t="s">
        <v>358</v>
      </c>
      <c r="C732" t="s">
        <v>834</v>
      </c>
      <c r="D732" t="s">
        <v>745</v>
      </c>
      <c r="E732" t="str">
        <f>IFERROR(AVERAGEIFS(Upload_Indiv[Score4],Upload_Indiv[[Player]:[Player]],$A16,Upload_Indiv[[Side]:[Side]],"Raintree Front",Upload_Indiv[[Excl Score]:[Excl Score]],0),"")</f>
        <v/>
      </c>
    </row>
    <row r="733" spans="1:5" x14ac:dyDescent="0.25">
      <c r="A733" t="s">
        <v>724</v>
      </c>
      <c r="B733" t="s">
        <v>358</v>
      </c>
      <c r="C733" t="s">
        <v>834</v>
      </c>
      <c r="D733" t="s">
        <v>1404</v>
      </c>
      <c r="E733" t="str">
        <f>IFERROR(AVERAGEIFS(Upload_Indiv[Score4],Upload_Indiv[[Player]:[Player]],$A16,Upload_Indiv[[Side]:[Side]],"Raintree Back",Upload_Indiv[[Excl Score]:[Excl Score]],0),"")</f>
        <v/>
      </c>
    </row>
    <row r="734" spans="1:5" x14ac:dyDescent="0.25">
      <c r="A734" t="s">
        <v>724</v>
      </c>
      <c r="B734" t="s">
        <v>358</v>
      </c>
      <c r="C734" t="s">
        <v>834</v>
      </c>
      <c r="D734" t="s">
        <v>747</v>
      </c>
      <c r="E734" t="str">
        <f>IFERROR(AVERAGEIFS(Upload_Indiv[Score4],Upload_Indiv[[Player]:[Player]],$A17,Upload_Indiv[[Side]:[Side]],"Raintree Front",Upload_Indiv[[Excl Score]:[Excl Score]],0),"")</f>
        <v/>
      </c>
    </row>
    <row r="735" spans="1:5" x14ac:dyDescent="0.25">
      <c r="A735" t="s">
        <v>724</v>
      </c>
      <c r="B735" t="s">
        <v>358</v>
      </c>
      <c r="C735" t="s">
        <v>834</v>
      </c>
      <c r="D735" t="s">
        <v>1405</v>
      </c>
      <c r="E735" t="str">
        <f>IFERROR(AVERAGEIFS(Upload_Indiv[Score4],Upload_Indiv[[Player]:[Player]],$A17,Upload_Indiv[[Side]:[Side]],"Raintree Back",Upload_Indiv[[Excl Score]:[Excl Score]],0),"")</f>
        <v/>
      </c>
    </row>
    <row r="736" spans="1:5" x14ac:dyDescent="0.25">
      <c r="A736" t="s">
        <v>724</v>
      </c>
      <c r="B736" t="s">
        <v>358</v>
      </c>
      <c r="C736" t="s">
        <v>834</v>
      </c>
      <c r="D736" t="s">
        <v>749</v>
      </c>
      <c r="E736" t="str">
        <f>IFERROR(AVERAGEIFS(Upload_Indiv[Score4],Upload_Indiv[[Player]:[Player]],$A18,Upload_Indiv[[Side]:[Side]],"Raintree Front",Upload_Indiv[[Excl Score]:[Excl Score]],0),"")</f>
        <v/>
      </c>
    </row>
    <row r="737" spans="1:5" x14ac:dyDescent="0.25">
      <c r="A737" t="s">
        <v>724</v>
      </c>
      <c r="B737" t="s">
        <v>358</v>
      </c>
      <c r="C737" t="s">
        <v>834</v>
      </c>
      <c r="D737" t="s">
        <v>1406</v>
      </c>
      <c r="E737" t="str">
        <f>IFERROR(AVERAGEIFS(Upload_Indiv[Score4],Upload_Indiv[[Player]:[Player]],$A18,Upload_Indiv[[Side]:[Side]],"Raintree Back",Upload_Indiv[[Excl Score]:[Excl Score]],0),"")</f>
        <v/>
      </c>
    </row>
    <row r="738" spans="1:5" x14ac:dyDescent="0.25">
      <c r="A738" t="s">
        <v>724</v>
      </c>
      <c r="B738" t="s">
        <v>358</v>
      </c>
      <c r="C738" t="s">
        <v>834</v>
      </c>
      <c r="D738" t="s">
        <v>751</v>
      </c>
      <c r="E738" t="str">
        <f>IFERROR(AVERAGEIFS(Upload_Indiv[Score4],Upload_Indiv[[Player]:[Player]],$A19,Upload_Indiv[[Side]:[Side]],"Raintree Front",Upload_Indiv[[Excl Score]:[Excl Score]],0),"")</f>
        <v/>
      </c>
    </row>
    <row r="739" spans="1:5" x14ac:dyDescent="0.25">
      <c r="A739" t="s">
        <v>724</v>
      </c>
      <c r="B739" t="s">
        <v>358</v>
      </c>
      <c r="C739" t="s">
        <v>834</v>
      </c>
      <c r="D739" t="s">
        <v>1407</v>
      </c>
      <c r="E739" t="str">
        <f>IFERROR(AVERAGEIFS(Upload_Indiv[Score4],Upload_Indiv[[Player]:[Player]],$A19,Upload_Indiv[[Side]:[Side]],"Raintree Back",Upload_Indiv[[Excl Score]:[Excl Score]],0),"")</f>
        <v/>
      </c>
    </row>
    <row r="740" spans="1:5" x14ac:dyDescent="0.25">
      <c r="A740" t="s">
        <v>724</v>
      </c>
      <c r="B740" t="s">
        <v>358</v>
      </c>
      <c r="C740" t="s">
        <v>834</v>
      </c>
      <c r="D740" t="s">
        <v>753</v>
      </c>
      <c r="E740" t="str">
        <f>IFERROR(AVERAGEIFS(Upload_Indiv[Score4],Upload_Indiv[[Player]:[Player]],$A20,Upload_Indiv[[Side]:[Side]],"Raintree Front",Upload_Indiv[[Excl Score]:[Excl Score]],0),"")</f>
        <v/>
      </c>
    </row>
    <row r="741" spans="1:5" x14ac:dyDescent="0.25">
      <c r="A741" t="s">
        <v>724</v>
      </c>
      <c r="B741" t="s">
        <v>358</v>
      </c>
      <c r="C741" t="s">
        <v>834</v>
      </c>
      <c r="D741" t="s">
        <v>1408</v>
      </c>
      <c r="E741" t="str">
        <f>IFERROR(AVERAGEIFS(Upload_Indiv[Score4],Upload_Indiv[[Player]:[Player]],$A20,Upload_Indiv[[Side]:[Side]],"Raintree Back",Upload_Indiv[[Excl Score]:[Excl Score]],0),"")</f>
        <v/>
      </c>
    </row>
    <row r="742" spans="1:5" x14ac:dyDescent="0.25">
      <c r="A742" t="s">
        <v>724</v>
      </c>
      <c r="B742" t="s">
        <v>358</v>
      </c>
      <c r="C742" t="s">
        <v>834</v>
      </c>
      <c r="D742" t="s">
        <v>755</v>
      </c>
      <c r="E742" t="str">
        <f>IFERROR(AVERAGEIFS(Upload_Indiv[Score4],Upload_Indiv[[Player]:[Player]],$A21,Upload_Indiv[[Side]:[Side]],"Raintree Front",Upload_Indiv[[Excl Score]:[Excl Score]],0),"")</f>
        <v/>
      </c>
    </row>
    <row r="743" spans="1:5" x14ac:dyDescent="0.25">
      <c r="A743" t="s">
        <v>724</v>
      </c>
      <c r="B743" t="s">
        <v>358</v>
      </c>
      <c r="C743" t="s">
        <v>834</v>
      </c>
      <c r="D743" t="s">
        <v>1409</v>
      </c>
      <c r="E743" t="str">
        <f>IFERROR(AVERAGEIFS(Upload_Indiv[Score4],Upload_Indiv[[Player]:[Player]],$A21,Upload_Indiv[[Side]:[Side]],"Raintree Back",Upload_Indiv[[Excl Score]:[Excl Score]],0),"")</f>
        <v/>
      </c>
    </row>
    <row r="744" spans="1:5" x14ac:dyDescent="0.25">
      <c r="A744" t="s">
        <v>724</v>
      </c>
      <c r="B744" t="s">
        <v>358</v>
      </c>
      <c r="C744" t="s">
        <v>834</v>
      </c>
      <c r="D744" t="s">
        <v>757</v>
      </c>
      <c r="E744" t="str">
        <f>IFERROR(AVERAGEIFS(Upload_Indiv[Score4],Upload_Indiv[[Player]:[Player]],$A22,Upload_Indiv[[Side]:[Side]],"Raintree Front",Upload_Indiv[[Excl Score]:[Excl Score]],0),"")</f>
        <v/>
      </c>
    </row>
    <row r="745" spans="1:5" x14ac:dyDescent="0.25">
      <c r="A745" t="s">
        <v>724</v>
      </c>
      <c r="B745" t="s">
        <v>358</v>
      </c>
      <c r="C745" t="s">
        <v>834</v>
      </c>
      <c r="D745" t="s">
        <v>1410</v>
      </c>
      <c r="E745" t="str">
        <f>IFERROR(AVERAGEIFS(Upload_Indiv[Score4],Upload_Indiv[[Player]:[Player]],$A22,Upload_Indiv[[Side]:[Side]],"Raintree Back",Upload_Indiv[[Excl Score]:[Excl Score]],0),"")</f>
        <v/>
      </c>
    </row>
    <row r="746" spans="1:5" x14ac:dyDescent="0.25">
      <c r="A746" t="s">
        <v>724</v>
      </c>
      <c r="B746" t="s">
        <v>358</v>
      </c>
      <c r="C746" t="s">
        <v>834</v>
      </c>
      <c r="D746" t="s">
        <v>759</v>
      </c>
      <c r="E746" t="str">
        <f>IFERROR(AVERAGEIFS(Upload_Indiv[Score4],Upload_Indiv[[Player]:[Player]],$A23,Upload_Indiv[[Side]:[Side]],"Raintree Front",Upload_Indiv[[Excl Score]:[Excl Score]],0),"")</f>
        <v/>
      </c>
    </row>
    <row r="747" spans="1:5" x14ac:dyDescent="0.25">
      <c r="A747" t="s">
        <v>724</v>
      </c>
      <c r="B747" t="s">
        <v>358</v>
      </c>
      <c r="C747" t="s">
        <v>834</v>
      </c>
      <c r="D747" t="s">
        <v>1411</v>
      </c>
      <c r="E747" t="str">
        <f>IFERROR(AVERAGEIFS(Upload_Indiv[Score4],Upload_Indiv[[Player]:[Player]],$A23,Upload_Indiv[[Side]:[Side]],"Raintree Back",Upload_Indiv[[Excl Score]:[Excl Score]],0),"")</f>
        <v/>
      </c>
    </row>
    <row r="748" spans="1:5" x14ac:dyDescent="0.25">
      <c r="A748" t="s">
        <v>724</v>
      </c>
      <c r="B748" t="s">
        <v>358</v>
      </c>
      <c r="C748" t="s">
        <v>834</v>
      </c>
      <c r="D748" t="s">
        <v>761</v>
      </c>
      <c r="E748" t="str">
        <f>IFERROR(AVERAGEIFS(Upload_Indiv[Score4],Upload_Indiv[[Player]:[Player]],$A24,Upload_Indiv[[Side]:[Side]],"Raintree Front",Upload_Indiv[[Excl Score]:[Excl Score]],0),"")</f>
        <v/>
      </c>
    </row>
    <row r="749" spans="1:5" x14ac:dyDescent="0.25">
      <c r="A749" t="s">
        <v>724</v>
      </c>
      <c r="B749" t="s">
        <v>358</v>
      </c>
      <c r="C749" t="s">
        <v>834</v>
      </c>
      <c r="D749" t="s">
        <v>1412</v>
      </c>
      <c r="E749" t="str">
        <f>IFERROR(AVERAGEIFS(Upload_Indiv[Score4],Upload_Indiv[[Player]:[Player]],$A24,Upload_Indiv[[Side]:[Side]],"Raintree Back",Upload_Indiv[[Excl Score]:[Excl Score]],0),"")</f>
        <v/>
      </c>
    </row>
    <row r="750" spans="1:5" x14ac:dyDescent="0.25">
      <c r="A750" t="s">
        <v>724</v>
      </c>
      <c r="B750" t="s">
        <v>358</v>
      </c>
      <c r="C750" t="s">
        <v>834</v>
      </c>
      <c r="D750" t="s">
        <v>763</v>
      </c>
      <c r="E750" t="str">
        <f>IFERROR(AVERAGEIFS(Upload_Indiv[Score4],Upload_Indiv[[Player]:[Player]],$A25,Upload_Indiv[[Side]:[Side]],"Raintree Front",Upload_Indiv[[Excl Score]:[Excl Score]],0),"")</f>
        <v/>
      </c>
    </row>
    <row r="751" spans="1:5" x14ac:dyDescent="0.25">
      <c r="A751" t="s">
        <v>724</v>
      </c>
      <c r="B751" t="s">
        <v>358</v>
      </c>
      <c r="C751" t="s">
        <v>834</v>
      </c>
      <c r="D751" t="s">
        <v>1413</v>
      </c>
      <c r="E751" t="str">
        <f>IFERROR(AVERAGEIFS(Upload_Indiv[Score4],Upload_Indiv[[Player]:[Player]],$A25,Upload_Indiv[[Side]:[Side]],"Raintree Back",Upload_Indiv[[Excl Score]:[Excl Score]],0),"")</f>
        <v/>
      </c>
    </row>
    <row r="752" spans="1:5" x14ac:dyDescent="0.25">
      <c r="A752" t="s">
        <v>724</v>
      </c>
      <c r="B752" t="s">
        <v>358</v>
      </c>
      <c r="C752" t="s">
        <v>834</v>
      </c>
      <c r="D752" t="s">
        <v>765</v>
      </c>
      <c r="E752" t="str">
        <f>IFERROR(AVERAGEIFS(Upload_Indiv[Score4],Upload_Indiv[[Player]:[Player]],$A26,Upload_Indiv[[Side]:[Side]],"Raintree Front",Upload_Indiv[[Excl Score]:[Excl Score]],0),"")</f>
        <v/>
      </c>
    </row>
    <row r="753" spans="1:5" x14ac:dyDescent="0.25">
      <c r="A753" t="s">
        <v>724</v>
      </c>
      <c r="B753" t="s">
        <v>358</v>
      </c>
      <c r="C753" t="s">
        <v>834</v>
      </c>
      <c r="D753" t="s">
        <v>1414</v>
      </c>
      <c r="E753" t="str">
        <f>IFERROR(AVERAGEIFS(Upload_Indiv[Score4],Upload_Indiv[[Player]:[Player]],$A26,Upload_Indiv[[Side]:[Side]],"Raintree Back",Upload_Indiv[[Excl Score]:[Excl Score]],0),"")</f>
        <v/>
      </c>
    </row>
    <row r="754" spans="1:5" x14ac:dyDescent="0.25">
      <c r="A754" t="s">
        <v>724</v>
      </c>
      <c r="B754" t="s">
        <v>358</v>
      </c>
      <c r="C754" t="s">
        <v>834</v>
      </c>
      <c r="D754" t="s">
        <v>767</v>
      </c>
      <c r="E754" t="str">
        <f>IFERROR(AVERAGEIFS(Upload_Indiv[Score4],Upload_Indiv[[Player]:[Player]],$A27,Upload_Indiv[[Side]:[Side]],"Raintree Front",Upload_Indiv[[Excl Score]:[Excl Score]],0),"")</f>
        <v/>
      </c>
    </row>
    <row r="755" spans="1:5" x14ac:dyDescent="0.25">
      <c r="A755" t="s">
        <v>724</v>
      </c>
      <c r="B755" t="s">
        <v>358</v>
      </c>
      <c r="C755" t="s">
        <v>834</v>
      </c>
      <c r="D755" t="s">
        <v>1415</v>
      </c>
      <c r="E755" t="str">
        <f>IFERROR(AVERAGEIFS(Upload_Indiv[Score4],Upload_Indiv[[Player]:[Player]],$A27,Upload_Indiv[[Side]:[Side]],"Raintree Back",Upload_Indiv[[Excl Score]:[Excl Score]],0),"")</f>
        <v/>
      </c>
    </row>
    <row r="756" spans="1:5" x14ac:dyDescent="0.25">
      <c r="A756" t="s">
        <v>724</v>
      </c>
      <c r="B756" t="s">
        <v>358</v>
      </c>
      <c r="C756" t="s">
        <v>834</v>
      </c>
      <c r="D756" t="s">
        <v>769</v>
      </c>
      <c r="E756" t="str">
        <f>IFERROR(AVERAGEIFS(Upload_Indiv[Score4],Upload_Indiv[[Player]:[Player]],$A28,Upload_Indiv[[Side]:[Side]],"Raintree Front",Upload_Indiv[[Excl Score]:[Excl Score]],0),"")</f>
        <v/>
      </c>
    </row>
    <row r="757" spans="1:5" x14ac:dyDescent="0.25">
      <c r="A757" t="s">
        <v>724</v>
      </c>
      <c r="B757" t="s">
        <v>358</v>
      </c>
      <c r="C757" t="s">
        <v>834</v>
      </c>
      <c r="D757" t="s">
        <v>1416</v>
      </c>
      <c r="E757" t="str">
        <f>IFERROR(AVERAGEIFS(Upload_Indiv[Score4],Upload_Indiv[[Player]:[Player]],$A28,Upload_Indiv[[Side]:[Side]],"Raintree Back",Upload_Indiv[[Excl Score]:[Excl Score]],0),"")</f>
        <v/>
      </c>
    </row>
    <row r="758" spans="1:5" x14ac:dyDescent="0.25">
      <c r="A758" t="s">
        <v>724</v>
      </c>
      <c r="B758" t="s">
        <v>358</v>
      </c>
      <c r="C758" t="s">
        <v>834</v>
      </c>
      <c r="D758" t="s">
        <v>771</v>
      </c>
      <c r="E758" t="str">
        <f>IFERROR(AVERAGEIFS(Upload_Indiv[Score4],Upload_Indiv[[Player]:[Player]],$A29,Upload_Indiv[[Side]:[Side]],"Raintree Front",Upload_Indiv[[Excl Score]:[Excl Score]],0),"")</f>
        <v/>
      </c>
    </row>
    <row r="759" spans="1:5" x14ac:dyDescent="0.25">
      <c r="A759" t="s">
        <v>724</v>
      </c>
      <c r="B759" t="s">
        <v>358</v>
      </c>
      <c r="C759" t="s">
        <v>834</v>
      </c>
      <c r="D759" t="s">
        <v>1417</v>
      </c>
      <c r="E759" t="str">
        <f>IFERROR(AVERAGEIFS(Upload_Indiv[Score4],Upload_Indiv[[Player]:[Player]],$A29,Upload_Indiv[[Side]:[Side]],"Raintree Back",Upload_Indiv[[Excl Score]:[Excl Score]],0),"")</f>
        <v/>
      </c>
    </row>
    <row r="760" spans="1:5" x14ac:dyDescent="0.25">
      <c r="A760" t="s">
        <v>724</v>
      </c>
      <c r="B760" t="s">
        <v>358</v>
      </c>
      <c r="C760" t="s">
        <v>834</v>
      </c>
      <c r="D760" t="s">
        <v>773</v>
      </c>
      <c r="E760" t="str">
        <f>IFERROR(AVERAGEIFS(Upload_Indiv[Score4],Upload_Indiv[[Player]:[Player]],$A30,Upload_Indiv[[Side]:[Side]],"Raintree Front",Upload_Indiv[[Excl Score]:[Excl Score]],0),"")</f>
        <v/>
      </c>
    </row>
    <row r="761" spans="1:5" x14ac:dyDescent="0.25">
      <c r="A761" t="s">
        <v>724</v>
      </c>
      <c r="B761" t="s">
        <v>358</v>
      </c>
      <c r="C761" t="s">
        <v>834</v>
      </c>
      <c r="D761" t="s">
        <v>1418</v>
      </c>
      <c r="E761" t="str">
        <f>IFERROR(AVERAGEIFS(Upload_Indiv[Score4],Upload_Indiv[[Player]:[Player]],$A30,Upload_Indiv[[Side]:[Side]],"Raintree Back",Upload_Indiv[[Excl Score]:[Excl Score]],0),"")</f>
        <v/>
      </c>
    </row>
    <row r="762" spans="1:5" x14ac:dyDescent="0.25">
      <c r="A762" t="s">
        <v>724</v>
      </c>
      <c r="B762" t="s">
        <v>358</v>
      </c>
      <c r="C762" t="s">
        <v>834</v>
      </c>
      <c r="D762" t="s">
        <v>775</v>
      </c>
      <c r="E762" t="str">
        <f>IFERROR(AVERAGEIFS(Upload_Indiv[Score4],Upload_Indiv[[Player]:[Player]],$A31,Upload_Indiv[[Side]:[Side]],"Raintree Front",Upload_Indiv[[Excl Score]:[Excl Score]],0),"")</f>
        <v/>
      </c>
    </row>
    <row r="763" spans="1:5" x14ac:dyDescent="0.25">
      <c r="A763" t="s">
        <v>724</v>
      </c>
      <c r="B763" t="s">
        <v>358</v>
      </c>
      <c r="C763" t="s">
        <v>834</v>
      </c>
      <c r="D763" t="s">
        <v>1419</v>
      </c>
      <c r="E763" t="str">
        <f>IFERROR(AVERAGEIFS(Upload_Indiv[Score4],Upload_Indiv[[Player]:[Player]],$A31,Upload_Indiv[[Side]:[Side]],"Raintree Back",Upload_Indiv[[Excl Score]:[Excl Score]],0),"")</f>
        <v/>
      </c>
    </row>
    <row r="764" spans="1:5" x14ac:dyDescent="0.25">
      <c r="A764" t="s">
        <v>724</v>
      </c>
      <c r="B764" t="s">
        <v>358</v>
      </c>
      <c r="C764" t="s">
        <v>834</v>
      </c>
      <c r="D764" t="s">
        <v>777</v>
      </c>
      <c r="E764" t="str">
        <f>IFERROR(AVERAGEIFS(Upload_Indiv[Score4],Upload_Indiv[[Player]:[Player]],$A32,Upload_Indiv[[Side]:[Side]],"Raintree Front",Upload_Indiv[[Excl Score]:[Excl Score]],0),"")</f>
        <v/>
      </c>
    </row>
    <row r="765" spans="1:5" x14ac:dyDescent="0.25">
      <c r="A765" t="s">
        <v>724</v>
      </c>
      <c r="B765" t="s">
        <v>358</v>
      </c>
      <c r="C765" t="s">
        <v>834</v>
      </c>
      <c r="D765" t="s">
        <v>1420</v>
      </c>
      <c r="E765" t="str">
        <f>IFERROR(AVERAGEIFS(Upload_Indiv[Score4],Upload_Indiv[[Player]:[Player]],$A32,Upload_Indiv[[Side]:[Side]],"Raintree Back",Upload_Indiv[[Excl Score]:[Excl Score]],0),"")</f>
        <v/>
      </c>
    </row>
    <row r="766" spans="1:5" x14ac:dyDescent="0.25">
      <c r="A766" t="s">
        <v>724</v>
      </c>
      <c r="B766" t="s">
        <v>358</v>
      </c>
      <c r="C766" t="s">
        <v>834</v>
      </c>
      <c r="D766" t="s">
        <v>779</v>
      </c>
      <c r="E766" t="str">
        <f>IFERROR(AVERAGEIFS(Upload_Indiv[Score4],Upload_Indiv[[Player]:[Player]],$A33,Upload_Indiv[[Side]:[Side]],"Raintree Front",Upload_Indiv[[Excl Score]:[Excl Score]],0),"")</f>
        <v/>
      </c>
    </row>
    <row r="767" spans="1:5" x14ac:dyDescent="0.25">
      <c r="A767" t="s">
        <v>724</v>
      </c>
      <c r="B767" t="s">
        <v>358</v>
      </c>
      <c r="C767" t="s">
        <v>834</v>
      </c>
      <c r="D767" t="s">
        <v>1421</v>
      </c>
      <c r="E767" t="str">
        <f>IFERROR(AVERAGEIFS(Upload_Indiv[Score4],Upload_Indiv[[Player]:[Player]],$A33,Upload_Indiv[[Side]:[Side]],"Raintree Back",Upload_Indiv[[Excl Score]:[Excl Score]],0),"")</f>
        <v/>
      </c>
    </row>
    <row r="768" spans="1:5" x14ac:dyDescent="0.25">
      <c r="A768" t="s">
        <v>724</v>
      </c>
      <c r="B768" t="s">
        <v>358</v>
      </c>
      <c r="C768" t="s">
        <v>834</v>
      </c>
      <c r="D768" t="s">
        <v>781</v>
      </c>
      <c r="E768" t="str">
        <f>IFERROR(AVERAGEIFS(Upload_Indiv[Score4],Upload_Indiv[[Player]:[Player]],$A34,Upload_Indiv[[Side]:[Side]],"Raintree Front",Upload_Indiv[[Excl Score]:[Excl Score]],0),"")</f>
        <v/>
      </c>
    </row>
    <row r="769" spans="1:5" x14ac:dyDescent="0.25">
      <c r="A769" t="s">
        <v>724</v>
      </c>
      <c r="B769" t="s">
        <v>358</v>
      </c>
      <c r="C769" t="s">
        <v>834</v>
      </c>
      <c r="D769" t="s">
        <v>1422</v>
      </c>
      <c r="E769" t="str">
        <f>IFERROR(AVERAGEIFS(Upload_Indiv[Score4],Upload_Indiv[[Player]:[Player]],$A34,Upload_Indiv[[Side]:[Side]],"Raintree Back",Upload_Indiv[[Excl Score]:[Excl Score]],0),"")</f>
        <v/>
      </c>
    </row>
    <row r="770" spans="1:5" x14ac:dyDescent="0.25">
      <c r="A770" t="s">
        <v>724</v>
      </c>
      <c r="B770" t="s">
        <v>358</v>
      </c>
      <c r="C770" t="s">
        <v>834</v>
      </c>
      <c r="D770" t="s">
        <v>783</v>
      </c>
      <c r="E770" t="str">
        <f>IFERROR(AVERAGEIFS(Upload_Indiv[Score4],Upload_Indiv[[Player]:[Player]],$A35,Upload_Indiv[[Side]:[Side]],"Raintree Front",Upload_Indiv[[Excl Score]:[Excl Score]],0),"")</f>
        <v/>
      </c>
    </row>
    <row r="771" spans="1:5" x14ac:dyDescent="0.25">
      <c r="A771" t="s">
        <v>724</v>
      </c>
      <c r="B771" t="s">
        <v>358</v>
      </c>
      <c r="C771" t="s">
        <v>834</v>
      </c>
      <c r="D771" t="s">
        <v>1423</v>
      </c>
      <c r="E771" t="str">
        <f>IFERROR(AVERAGEIFS(Upload_Indiv[Score4],Upload_Indiv[[Player]:[Player]],$A35,Upload_Indiv[[Side]:[Side]],"Raintree Back",Upload_Indiv[[Excl Score]:[Excl Score]],0),"")</f>
        <v/>
      </c>
    </row>
    <row r="772" spans="1:5" x14ac:dyDescent="0.25">
      <c r="A772" t="s">
        <v>724</v>
      </c>
      <c r="B772" t="s">
        <v>358</v>
      </c>
      <c r="C772" t="s">
        <v>834</v>
      </c>
      <c r="D772" t="s">
        <v>785</v>
      </c>
      <c r="E772" t="str">
        <f>IFERROR(AVERAGEIFS(Upload_Indiv[Score4],Upload_Indiv[[Player]:[Player]],$A36,Upload_Indiv[[Side]:[Side]],"Raintree Front",Upload_Indiv[[Excl Score]:[Excl Score]],0),"")</f>
        <v/>
      </c>
    </row>
    <row r="773" spans="1:5" x14ac:dyDescent="0.25">
      <c r="A773" t="s">
        <v>724</v>
      </c>
      <c r="B773" t="s">
        <v>358</v>
      </c>
      <c r="C773" t="s">
        <v>834</v>
      </c>
      <c r="D773" t="s">
        <v>1424</v>
      </c>
      <c r="E773" t="str">
        <f>IFERROR(AVERAGEIFS(Upload_Indiv[Score4],Upload_Indiv[[Player]:[Player]],$A36,Upload_Indiv[[Side]:[Side]],"Raintree Back",Upload_Indiv[[Excl Score]:[Excl Score]],0),"")</f>
        <v/>
      </c>
    </row>
    <row r="774" spans="1:5" x14ac:dyDescent="0.25">
      <c r="A774" t="s">
        <v>724</v>
      </c>
      <c r="B774" t="s">
        <v>358</v>
      </c>
      <c r="C774" t="s">
        <v>834</v>
      </c>
      <c r="D774" t="s">
        <v>787</v>
      </c>
      <c r="E774" t="str">
        <f>IFERROR(AVERAGEIFS(Upload_Indiv[Score4],Upload_Indiv[[Player]:[Player]],$A37,Upload_Indiv[[Side]:[Side]],"Raintree Front",Upload_Indiv[[Excl Score]:[Excl Score]],0),"")</f>
        <v/>
      </c>
    </row>
    <row r="775" spans="1:5" x14ac:dyDescent="0.25">
      <c r="A775" t="s">
        <v>724</v>
      </c>
      <c r="B775" t="s">
        <v>358</v>
      </c>
      <c r="C775" t="s">
        <v>834</v>
      </c>
      <c r="D775" t="s">
        <v>1425</v>
      </c>
      <c r="E775" t="str">
        <f>IFERROR(AVERAGEIFS(Upload_Indiv[Score4],Upload_Indiv[[Player]:[Player]],$A37,Upload_Indiv[[Side]:[Side]],"Raintree Back",Upload_Indiv[[Excl Score]:[Excl Score]],0),"")</f>
        <v/>
      </c>
    </row>
    <row r="776" spans="1:5" x14ac:dyDescent="0.25">
      <c r="A776" t="s">
        <v>724</v>
      </c>
      <c r="B776" t="s">
        <v>358</v>
      </c>
      <c r="C776" t="s">
        <v>834</v>
      </c>
      <c r="D776" t="s">
        <v>789</v>
      </c>
      <c r="E776" t="str">
        <f>IFERROR(AVERAGEIFS(Upload_Indiv[Score4],Upload_Indiv[[Player]:[Player]],$A38,Upload_Indiv[[Side]:[Side]],"Raintree Front",Upload_Indiv[[Excl Score]:[Excl Score]],0),"")</f>
        <v/>
      </c>
    </row>
    <row r="777" spans="1:5" x14ac:dyDescent="0.25">
      <c r="A777" t="s">
        <v>724</v>
      </c>
      <c r="B777" t="s">
        <v>358</v>
      </c>
      <c r="C777" t="s">
        <v>834</v>
      </c>
      <c r="D777" t="s">
        <v>1426</v>
      </c>
      <c r="E777" t="str">
        <f>IFERROR(AVERAGEIFS(Upload_Indiv[Score4],Upload_Indiv[[Player]:[Player]],$A38,Upload_Indiv[[Side]:[Side]],"Raintree Back",Upload_Indiv[[Excl Score]:[Excl Score]],0),"")</f>
        <v/>
      </c>
    </row>
    <row r="778" spans="1:5" x14ac:dyDescent="0.25">
      <c r="A778" t="s">
        <v>724</v>
      </c>
      <c r="B778" t="s">
        <v>358</v>
      </c>
      <c r="C778" t="s">
        <v>834</v>
      </c>
      <c r="D778" t="s">
        <v>791</v>
      </c>
      <c r="E778" t="str">
        <f>IFERROR(AVERAGEIFS(Upload_Indiv[Score4],Upload_Indiv[[Player]:[Player]],$A39,Upload_Indiv[[Side]:[Side]],"Raintree Front",Upload_Indiv[[Excl Score]:[Excl Score]],0),"")</f>
        <v/>
      </c>
    </row>
    <row r="779" spans="1:5" x14ac:dyDescent="0.25">
      <c r="A779" t="s">
        <v>724</v>
      </c>
      <c r="B779" t="s">
        <v>358</v>
      </c>
      <c r="C779" t="s">
        <v>834</v>
      </c>
      <c r="D779" t="s">
        <v>1427</v>
      </c>
      <c r="E779" t="str">
        <f>IFERROR(AVERAGEIFS(Upload_Indiv[Score4],Upload_Indiv[[Player]:[Player]],$A39,Upload_Indiv[[Side]:[Side]],"Raintree Back",Upload_Indiv[[Excl Score]:[Excl Score]],0),"")</f>
        <v/>
      </c>
    </row>
    <row r="780" spans="1:5" x14ac:dyDescent="0.25">
      <c r="A780" t="s">
        <v>724</v>
      </c>
      <c r="B780" t="s">
        <v>358</v>
      </c>
      <c r="C780" t="s">
        <v>834</v>
      </c>
      <c r="D780" t="s">
        <v>793</v>
      </c>
      <c r="E780" t="str">
        <f>IFERROR(AVERAGEIFS(Upload_Indiv[Score4],Upload_Indiv[[Player]:[Player]],$A40,Upload_Indiv[[Side]:[Side]],"Raintree Front",Upload_Indiv[[Excl Score]:[Excl Score]],0),"")</f>
        <v/>
      </c>
    </row>
    <row r="781" spans="1:5" x14ac:dyDescent="0.25">
      <c r="A781" t="s">
        <v>724</v>
      </c>
      <c r="B781" t="s">
        <v>358</v>
      </c>
      <c r="C781" t="s">
        <v>834</v>
      </c>
      <c r="D781" t="s">
        <v>1428</v>
      </c>
      <c r="E781" t="str">
        <f>IFERROR(AVERAGEIFS(Upload_Indiv[Score4],Upload_Indiv[[Player]:[Player]],$A40,Upload_Indiv[[Side]:[Side]],"Raintree Back",Upload_Indiv[[Excl Score]:[Excl Score]],0),"")</f>
        <v/>
      </c>
    </row>
    <row r="782" spans="1:5" x14ac:dyDescent="0.25">
      <c r="A782" t="s">
        <v>724</v>
      </c>
      <c r="B782" t="s">
        <v>358</v>
      </c>
      <c r="C782" t="s">
        <v>834</v>
      </c>
      <c r="D782" t="s">
        <v>795</v>
      </c>
      <c r="E782" t="str">
        <f>IFERROR(AVERAGEIFS(Upload_Indiv[Score4],Upload_Indiv[[Player]:[Player]],$A41,Upload_Indiv[[Side]:[Side]],"Raintree Front",Upload_Indiv[[Excl Score]:[Excl Score]],0),"")</f>
        <v/>
      </c>
    </row>
    <row r="783" spans="1:5" x14ac:dyDescent="0.25">
      <c r="A783" t="s">
        <v>724</v>
      </c>
      <c r="B783" t="s">
        <v>358</v>
      </c>
      <c r="C783" t="s">
        <v>834</v>
      </c>
      <c r="D783" t="s">
        <v>1429</v>
      </c>
      <c r="E783" t="str">
        <f>IFERROR(AVERAGEIFS(Upload_Indiv[Score4],Upload_Indiv[[Player]:[Player]],$A41,Upload_Indiv[[Side]:[Side]],"Raintree Back",Upload_Indiv[[Excl Score]:[Excl Score]],0),"")</f>
        <v/>
      </c>
    </row>
    <row r="784" spans="1:5" x14ac:dyDescent="0.25">
      <c r="A784" t="s">
        <v>724</v>
      </c>
      <c r="B784" t="s">
        <v>358</v>
      </c>
      <c r="C784" t="s">
        <v>834</v>
      </c>
      <c r="D784" t="s">
        <v>797</v>
      </c>
      <c r="E784" t="str">
        <f>IFERROR(AVERAGEIFS(Upload_Indiv[Score4],Upload_Indiv[[Player]:[Player]],$A42,Upload_Indiv[[Side]:[Side]],"Raintree Front",Upload_Indiv[[Excl Score]:[Excl Score]],0),"")</f>
        <v/>
      </c>
    </row>
    <row r="785" spans="1:5" x14ac:dyDescent="0.25">
      <c r="A785" t="s">
        <v>724</v>
      </c>
      <c r="B785" t="s">
        <v>358</v>
      </c>
      <c r="C785" t="s">
        <v>834</v>
      </c>
      <c r="D785" t="s">
        <v>1430</v>
      </c>
      <c r="E785" t="str">
        <f>IFERROR(AVERAGEIFS(Upload_Indiv[Score4],Upload_Indiv[[Player]:[Player]],$A42,Upload_Indiv[[Side]:[Side]],"Raintree Back",Upload_Indiv[[Excl Score]:[Excl Score]],0),"")</f>
        <v/>
      </c>
    </row>
    <row r="786" spans="1:5" x14ac:dyDescent="0.25">
      <c r="A786" t="s">
        <v>724</v>
      </c>
      <c r="B786" t="s">
        <v>358</v>
      </c>
      <c r="C786" t="s">
        <v>834</v>
      </c>
      <c r="D786" t="s">
        <v>799</v>
      </c>
      <c r="E786" t="str">
        <f>IFERROR(AVERAGEIFS(Upload_Indiv[Score4],Upload_Indiv[[Player]:[Player]],$A43,Upload_Indiv[[Side]:[Side]],"Raintree Front",Upload_Indiv[[Excl Score]:[Excl Score]],0),"")</f>
        <v/>
      </c>
    </row>
    <row r="787" spans="1:5" x14ac:dyDescent="0.25">
      <c r="A787" t="s">
        <v>724</v>
      </c>
      <c r="B787" t="s">
        <v>358</v>
      </c>
      <c r="C787" t="s">
        <v>834</v>
      </c>
      <c r="D787" t="s">
        <v>1431</v>
      </c>
      <c r="E787" t="str">
        <f>IFERROR(AVERAGEIFS(Upload_Indiv[Score4],Upload_Indiv[[Player]:[Player]],$A43,Upload_Indiv[[Side]:[Side]],"Raintree Back",Upload_Indiv[[Excl Score]:[Excl Score]],0),"")</f>
        <v/>
      </c>
    </row>
    <row r="788" spans="1:5" x14ac:dyDescent="0.25">
      <c r="A788" t="s">
        <v>724</v>
      </c>
      <c r="B788" t="s">
        <v>358</v>
      </c>
      <c r="C788" t="s">
        <v>834</v>
      </c>
      <c r="D788" t="s">
        <v>801</v>
      </c>
      <c r="E788" t="str">
        <f>IFERROR(AVERAGEIFS(Upload_Indiv[Score4],Upload_Indiv[[Player]:[Player]],$A44,Upload_Indiv[[Side]:[Side]],"Raintree Front",Upload_Indiv[[Excl Score]:[Excl Score]],0),"")</f>
        <v/>
      </c>
    </row>
    <row r="789" spans="1:5" x14ac:dyDescent="0.25">
      <c r="A789" t="s">
        <v>724</v>
      </c>
      <c r="B789" t="s">
        <v>358</v>
      </c>
      <c r="C789" t="s">
        <v>834</v>
      </c>
      <c r="D789" t="s">
        <v>1432</v>
      </c>
      <c r="E789" t="str">
        <f>IFERROR(AVERAGEIFS(Upload_Indiv[Score4],Upload_Indiv[[Player]:[Player]],$A44,Upload_Indiv[[Side]:[Side]],"Raintree Back",Upload_Indiv[[Excl Score]:[Excl Score]],0),"")</f>
        <v/>
      </c>
    </row>
    <row r="790" spans="1:5" x14ac:dyDescent="0.25">
      <c r="A790" t="s">
        <v>724</v>
      </c>
      <c r="B790" t="s">
        <v>358</v>
      </c>
      <c r="C790" t="s">
        <v>834</v>
      </c>
      <c r="D790" t="s">
        <v>803</v>
      </c>
      <c r="E790" t="str">
        <f>IFERROR(AVERAGEIFS(Upload_Indiv[Score4],Upload_Indiv[[Player]:[Player]],$A45,Upload_Indiv[[Side]:[Side]],"Raintree Front",Upload_Indiv[[Excl Score]:[Excl Score]],0),"")</f>
        <v/>
      </c>
    </row>
    <row r="791" spans="1:5" x14ac:dyDescent="0.25">
      <c r="A791" t="s">
        <v>724</v>
      </c>
      <c r="B791" t="s">
        <v>358</v>
      </c>
      <c r="C791" t="s">
        <v>834</v>
      </c>
      <c r="D791" t="s">
        <v>1433</v>
      </c>
      <c r="E791" t="str">
        <f>IFERROR(AVERAGEIFS(Upload_Indiv[Score4],Upload_Indiv[[Player]:[Player]],$A45,Upload_Indiv[[Side]:[Side]],"Raintree Back",Upload_Indiv[[Excl Score]:[Excl Score]],0),"")</f>
        <v/>
      </c>
    </row>
    <row r="792" spans="1:5" x14ac:dyDescent="0.25">
      <c r="A792" t="s">
        <v>724</v>
      </c>
      <c r="B792" t="s">
        <v>358</v>
      </c>
      <c r="C792" t="s">
        <v>834</v>
      </c>
      <c r="D792" t="s">
        <v>805</v>
      </c>
      <c r="E792" t="str">
        <f>IFERROR(AVERAGEIFS(Upload_Indiv[Score4],Upload_Indiv[[Player]:[Player]],$A46,Upload_Indiv[[Side]:[Side]],"Raintree Front",Upload_Indiv[[Excl Score]:[Excl Score]],0),"")</f>
        <v/>
      </c>
    </row>
    <row r="793" spans="1:5" x14ac:dyDescent="0.25">
      <c r="A793" t="s">
        <v>724</v>
      </c>
      <c r="B793" t="s">
        <v>358</v>
      </c>
      <c r="C793" t="s">
        <v>834</v>
      </c>
      <c r="D793" t="s">
        <v>1434</v>
      </c>
      <c r="E793" t="str">
        <f>IFERROR(AVERAGEIFS(Upload_Indiv[Score4],Upload_Indiv[[Player]:[Player]],$A46,Upload_Indiv[[Side]:[Side]],"Raintree Back",Upload_Indiv[[Excl Score]:[Excl Score]],0),"")</f>
        <v/>
      </c>
    </row>
    <row r="794" spans="1:5" x14ac:dyDescent="0.25">
      <c r="A794" t="s">
        <v>724</v>
      </c>
      <c r="B794" t="s">
        <v>358</v>
      </c>
      <c r="C794" t="s">
        <v>834</v>
      </c>
      <c r="D794" t="s">
        <v>807</v>
      </c>
      <c r="E794" t="str">
        <f>IFERROR(AVERAGEIFS(Upload_Indiv[Score4],Upload_Indiv[[Player]:[Player]],$A47,Upload_Indiv[[Side]:[Side]],"Raintree Front",Upload_Indiv[[Excl Score]:[Excl Score]],0),"")</f>
        <v/>
      </c>
    </row>
    <row r="795" spans="1:5" x14ac:dyDescent="0.25">
      <c r="A795" t="s">
        <v>724</v>
      </c>
      <c r="B795" t="s">
        <v>358</v>
      </c>
      <c r="C795" t="s">
        <v>834</v>
      </c>
      <c r="D795" t="s">
        <v>1435</v>
      </c>
      <c r="E795" t="str">
        <f>IFERROR(AVERAGEIFS(Upload_Indiv[Score4],Upload_Indiv[[Player]:[Player]],$A47,Upload_Indiv[[Side]:[Side]],"Raintree Back",Upload_Indiv[[Excl Score]:[Excl Score]],0),"")</f>
        <v/>
      </c>
    </row>
    <row r="796" spans="1:5" x14ac:dyDescent="0.25">
      <c r="A796" t="s">
        <v>724</v>
      </c>
      <c r="B796" t="s">
        <v>358</v>
      </c>
      <c r="C796" t="s">
        <v>834</v>
      </c>
      <c r="D796" t="s">
        <v>809</v>
      </c>
      <c r="E796" t="str">
        <f>IFERROR(AVERAGEIFS(Upload_Indiv[Score4],Upload_Indiv[[Player]:[Player]],$A48,Upload_Indiv[[Side]:[Side]],"Raintree Front",Upload_Indiv[[Excl Score]:[Excl Score]],0),"")</f>
        <v/>
      </c>
    </row>
    <row r="797" spans="1:5" x14ac:dyDescent="0.25">
      <c r="A797" t="s">
        <v>724</v>
      </c>
      <c r="B797" t="s">
        <v>358</v>
      </c>
      <c r="C797" t="s">
        <v>834</v>
      </c>
      <c r="D797" t="s">
        <v>1436</v>
      </c>
      <c r="E797" t="str">
        <f>IFERROR(AVERAGEIFS(Upload_Indiv[Score4],Upload_Indiv[[Player]:[Player]],$A48,Upload_Indiv[[Side]:[Side]],"Raintree Back",Upload_Indiv[[Excl Score]:[Excl Score]],0),"")</f>
        <v/>
      </c>
    </row>
    <row r="798" spans="1:5" x14ac:dyDescent="0.25">
      <c r="A798" t="s">
        <v>724</v>
      </c>
      <c r="B798" t="s">
        <v>358</v>
      </c>
      <c r="C798" t="s">
        <v>834</v>
      </c>
      <c r="D798" t="s">
        <v>811</v>
      </c>
      <c r="E798" t="str">
        <f>IFERROR(AVERAGEIFS(Upload_Indiv[Score4],Upload_Indiv[[Player]:[Player]],$A49,Upload_Indiv[[Side]:[Side]],"Raintree Front",Upload_Indiv[[Excl Score]:[Excl Score]],0),"")</f>
        <v/>
      </c>
    </row>
    <row r="799" spans="1:5" x14ac:dyDescent="0.25">
      <c r="A799" t="s">
        <v>724</v>
      </c>
      <c r="B799" t="s">
        <v>358</v>
      </c>
      <c r="C799" t="s">
        <v>834</v>
      </c>
      <c r="D799" t="s">
        <v>1437</v>
      </c>
      <c r="E799" t="str">
        <f>IFERROR(AVERAGEIFS(Upload_Indiv[Score4],Upload_Indiv[[Player]:[Player]],$A49,Upload_Indiv[[Side]:[Side]],"Raintree Back",Upload_Indiv[[Excl Score]:[Excl Score]],0),"")</f>
        <v/>
      </c>
    </row>
    <row r="800" spans="1:5" x14ac:dyDescent="0.25">
      <c r="A800" t="s">
        <v>724</v>
      </c>
      <c r="B800" t="s">
        <v>358</v>
      </c>
      <c r="C800" t="s">
        <v>834</v>
      </c>
      <c r="D800" t="s">
        <v>813</v>
      </c>
      <c r="E800" t="str">
        <f>IFERROR(AVERAGEIFS(Upload_Indiv[Score4],Upload_Indiv[[Player]:[Player]],$A50,Upload_Indiv[[Side]:[Side]],"Raintree Front",Upload_Indiv[[Excl Score]:[Excl Score]],0),"")</f>
        <v/>
      </c>
    </row>
    <row r="801" spans="1:5" x14ac:dyDescent="0.25">
      <c r="A801" t="s">
        <v>724</v>
      </c>
      <c r="B801" t="s">
        <v>358</v>
      </c>
      <c r="C801" t="s">
        <v>834</v>
      </c>
      <c r="D801" t="s">
        <v>1438</v>
      </c>
      <c r="E801" t="str">
        <f>IFERROR(AVERAGEIFS(Upload_Indiv[Score4],Upload_Indiv[[Player]:[Player]],$A50,Upload_Indiv[[Side]:[Side]],"Raintree Back",Upload_Indiv[[Excl Score]:[Excl Score]],0),"")</f>
        <v/>
      </c>
    </row>
    <row r="802" spans="1:5" x14ac:dyDescent="0.25">
      <c r="A802" t="s">
        <v>724</v>
      </c>
      <c r="B802" t="s">
        <v>358</v>
      </c>
      <c r="C802" t="s">
        <v>834</v>
      </c>
      <c r="D802" t="s">
        <v>815</v>
      </c>
      <c r="E802" t="str">
        <f>IFERROR(AVERAGEIFS(Upload_Indiv[Score4],Upload_Indiv[[Player]:[Player]],$A51,Upload_Indiv[[Side]:[Side]],"Raintree Front",Upload_Indiv[[Excl Score]:[Excl Score]],0),"")</f>
        <v/>
      </c>
    </row>
    <row r="803" spans="1:5" x14ac:dyDescent="0.25">
      <c r="A803" t="s">
        <v>724</v>
      </c>
      <c r="B803" t="s">
        <v>358</v>
      </c>
      <c r="C803" t="s">
        <v>834</v>
      </c>
      <c r="D803" t="s">
        <v>1439</v>
      </c>
      <c r="E803" t="str">
        <f>IFERROR(AVERAGEIFS(Upload_Indiv[Score4],Upload_Indiv[[Player]:[Player]],$A51,Upload_Indiv[[Side]:[Side]],"Raintree Back",Upload_Indiv[[Excl Score]:[Excl Score]],0),"")</f>
        <v/>
      </c>
    </row>
    <row r="804" spans="1:5" x14ac:dyDescent="0.25">
      <c r="A804" t="s">
        <v>724</v>
      </c>
      <c r="B804" t="s">
        <v>358</v>
      </c>
      <c r="C804" t="s">
        <v>834</v>
      </c>
      <c r="D804" t="s">
        <v>817</v>
      </c>
      <c r="E804" t="str">
        <f>IFERROR(AVERAGEIFS(Upload_Indiv[Score4],Upload_Indiv[[Player]:[Player]],$A52,Upload_Indiv[[Side]:[Side]],"Raintree Front",Upload_Indiv[[Excl Score]:[Excl Score]],0),"")</f>
        <v/>
      </c>
    </row>
    <row r="805" spans="1:5" x14ac:dyDescent="0.25">
      <c r="A805" t="s">
        <v>724</v>
      </c>
      <c r="B805" t="s">
        <v>358</v>
      </c>
      <c r="C805" t="s">
        <v>834</v>
      </c>
      <c r="D805" t="s">
        <v>1440</v>
      </c>
      <c r="E805" t="str">
        <f>IFERROR(AVERAGEIFS(Upload_Indiv[Score4],Upload_Indiv[[Player]:[Player]],$A52,Upload_Indiv[[Side]:[Side]],"Raintree Back",Upload_Indiv[[Excl Score]:[Excl Score]],0),"")</f>
        <v/>
      </c>
    </row>
    <row r="806" spans="1:5" x14ac:dyDescent="0.25">
      <c r="A806" t="s">
        <v>724</v>
      </c>
      <c r="B806" t="s">
        <v>358</v>
      </c>
      <c r="C806" t="s">
        <v>834</v>
      </c>
      <c r="D806" t="s">
        <v>819</v>
      </c>
      <c r="E806" t="str">
        <f>IFERROR(AVERAGEIFS(Upload_Indiv[Score4],Upload_Indiv[[Player]:[Player]],$A53,Upload_Indiv[[Side]:[Side]],"Raintree Front",Upload_Indiv[[Excl Score]:[Excl Score]],0),"")</f>
        <v/>
      </c>
    </row>
    <row r="807" spans="1:5" x14ac:dyDescent="0.25">
      <c r="A807" t="s">
        <v>724</v>
      </c>
      <c r="B807" t="s">
        <v>358</v>
      </c>
      <c r="C807" t="s">
        <v>834</v>
      </c>
      <c r="D807" t="s">
        <v>1441</v>
      </c>
      <c r="E807" t="str">
        <f>IFERROR(AVERAGEIFS(Upload_Indiv[Score4],Upload_Indiv[[Player]:[Player]],$A53,Upload_Indiv[[Side]:[Side]],"Raintree Back",Upload_Indiv[[Excl Score]:[Excl Score]],0),"")</f>
        <v/>
      </c>
    </row>
    <row r="808" spans="1:5" x14ac:dyDescent="0.25">
      <c r="A808" t="s">
        <v>724</v>
      </c>
      <c r="B808" t="s">
        <v>358</v>
      </c>
      <c r="C808" t="s">
        <v>834</v>
      </c>
      <c r="D808" t="s">
        <v>821</v>
      </c>
      <c r="E808" t="str">
        <f>IFERROR(AVERAGEIFS(Upload_Indiv[Score4],Upload_Indiv[[Player]:[Player]],$A54,Upload_Indiv[[Side]:[Side]],"Raintree Front",Upload_Indiv[[Excl Score]:[Excl Score]],0),"")</f>
        <v/>
      </c>
    </row>
    <row r="809" spans="1:5" x14ac:dyDescent="0.25">
      <c r="A809" t="s">
        <v>724</v>
      </c>
      <c r="B809" t="s">
        <v>358</v>
      </c>
      <c r="C809" t="s">
        <v>834</v>
      </c>
      <c r="D809" t="s">
        <v>1442</v>
      </c>
      <c r="E809" t="str">
        <f>IFERROR(AVERAGEIFS(Upload_Indiv[Score4],Upload_Indiv[[Player]:[Player]],$A54,Upload_Indiv[[Side]:[Side]],"Raintree Back",Upload_Indiv[[Excl Score]:[Excl Score]],0),"")</f>
        <v/>
      </c>
    </row>
    <row r="810" spans="1:5" x14ac:dyDescent="0.25">
      <c r="A810" t="s">
        <v>724</v>
      </c>
      <c r="B810" t="s">
        <v>359</v>
      </c>
      <c r="C810" t="s">
        <v>725</v>
      </c>
      <c r="D810" t="s">
        <v>1443</v>
      </c>
      <c r="E810" t="str">
        <f>IFERROR(AVERAGEIFS(Upload_Indiv[Score5],Upload_Indiv[[Side]:[Side]],"Raintree Front")-IF(TRUNC(ROUND($B6,0)/9,0)=2,2+IF((ROUND($B6,0)-18)*2&gt;=G$2,1,0),IF(TRUNC(ROUND($B6,0)/9,0)=1,1+IF((ROUND($B6,0)-9)*2&gt;=G$2,1,0),IF(TRUNC(ROUND($B6,0)/9,0)=0,IF(TRUNC(ROUND($B6,0)/9,0)=0,0+IF((ROUND($B6,0))*2&gt;=G$2,1,0),"Not"))))-G$3,"")</f>
        <v/>
      </c>
    </row>
    <row r="811" spans="1:5" x14ac:dyDescent="0.25">
      <c r="A811" t="s">
        <v>724</v>
      </c>
      <c r="B811" t="s">
        <v>359</v>
      </c>
      <c r="C811" t="s">
        <v>725</v>
      </c>
      <c r="D811" t="s">
        <v>1444</v>
      </c>
      <c r="E811" t="str">
        <f>IFERROR(AVERAGEIFS(Upload_Indiv[Score5],Upload_Indiv[[Side]:[Side]],"Raintree Back")-IF(TRUNC(ROUND($B6,0)/9,0)=2,2+IF((ROUND($B6,0)-18)*2&gt;=Q$2,1,0),IF(TRUNC(ROUND($B6,0)/9,0)=1,1+IF((ROUND($B6,0)-9)*2&gt;=Q$2,1,0),IF(TRUNC(ROUND($B6,0)/9,0)=0,IF(TRUNC(ROUND($B6,0)/9,0)=0,0+IF((ROUND($B6,0))*2&gt;=Q$2,1,0),"Not"))))-Q$3,"")</f>
        <v/>
      </c>
    </row>
    <row r="812" spans="1:5" x14ac:dyDescent="0.25">
      <c r="A812" t="s">
        <v>724</v>
      </c>
      <c r="B812" t="s">
        <v>359</v>
      </c>
      <c r="C812" t="s">
        <v>725</v>
      </c>
      <c r="D812" t="s">
        <v>1445</v>
      </c>
      <c r="E812" t="str">
        <f>IFERROR(AVERAGEIFS(Upload_Indiv[Score5],Upload_Indiv[[Player]:[Player]],$A8,Upload_Indiv[[Side]:[Side]],"Raintree Front")-IF(TRUNC(ROUND($B8,0)/9,0)=2,2+IF((ROUND($B8,0)-18)*2&gt;=G$2,1,0),IF(TRUNC(ROUND($B8,0)/9,0)=1,1+IF((ROUND($B8,0)-9)*2&gt;=G$2,1,0),IF(TRUNC(ROUND($B8,0)/9,0)=0,IF(TRUNC(ROUND($B8,0)/9,0)=0,0+IF((ROUND($B8,0))*2&gt;=G$2,1,0),"Not"))))-G$3,"")</f>
        <v/>
      </c>
    </row>
    <row r="813" spans="1:5" x14ac:dyDescent="0.25">
      <c r="A813" t="s">
        <v>724</v>
      </c>
      <c r="B813" t="s">
        <v>359</v>
      </c>
      <c r="C813" t="s">
        <v>725</v>
      </c>
      <c r="D813" t="s">
        <v>1446</v>
      </c>
      <c r="E813" t="str">
        <f>IFERROR(AVERAGEIFS(Upload_Indiv[Score5],Upload_Indiv[[Player]:[Player]],$A8,Upload_Indiv[[Side]:[Side]],"Raintree Back")-IF(TRUNC(ROUND($B8,0)/9,0)=2,2+IF((ROUND($B8,0)-18)*2&gt;=Q$2,1,0),IF(TRUNC(ROUND($B8,0)/9,0)=1,1+IF((ROUND($B8,0)-9)*2&gt;=Q$2,1,0),IF(TRUNC(ROUND($B8,0)/9,0)=0,IF(TRUNC(ROUND($B8,0)/9,0)=0,0+IF((ROUND($B8,0))*2&gt;=Q$2,1,0),"Not"))))-Q$3,"")</f>
        <v/>
      </c>
    </row>
    <row r="814" spans="1:5" x14ac:dyDescent="0.25">
      <c r="A814" t="s">
        <v>724</v>
      </c>
      <c r="B814" t="s">
        <v>359</v>
      </c>
      <c r="C814" t="s">
        <v>725</v>
      </c>
      <c r="D814" t="s">
        <v>993</v>
      </c>
      <c r="E814" t="str">
        <f>IFERROR(AVERAGEIFS(Upload_Indiv[Score5],Upload_Indiv[[Player]:[Player]],$A9,Upload_Indiv[[Side]:[Side]],"Raintree Front")-IF(TRUNC(ROUND($B9,0)/9,0)=2,2+IF((ROUND($B9,0)-18)*2&gt;=G$2,1,0),IF(TRUNC(ROUND($B9,0)/9,0)=1,1+IF((ROUND($B9,0)-9)*2&gt;=G$2,1,0),IF(TRUNC(ROUND($B9,0)/9,0)=0,IF(TRUNC(ROUND($B9,0)/9,0)=0,0+IF((ROUND($B9,0))*2&gt;=G$2,1,0),"Not"))))-G$3,"")</f>
        <v/>
      </c>
    </row>
    <row r="815" spans="1:5" x14ac:dyDescent="0.25">
      <c r="A815" t="s">
        <v>724</v>
      </c>
      <c r="B815" t="s">
        <v>359</v>
      </c>
      <c r="C815" t="s">
        <v>725</v>
      </c>
      <c r="D815" t="s">
        <v>1447</v>
      </c>
      <c r="E815" t="str">
        <f>IFERROR(AVERAGEIFS(Upload_Indiv[Score5],Upload_Indiv[[Player]:[Player]],$A9,Upload_Indiv[[Side]:[Side]],"Raintree Back")-IF(TRUNC(ROUND($B9,0)/9,0)=2,2+IF((ROUND($B9,0)-18)*2&gt;=Q$2,1,0),IF(TRUNC(ROUND($B9,0)/9,0)=1,1+IF((ROUND($B9,0)-9)*2&gt;=Q$2,1,0),IF(TRUNC(ROUND($B9,0)/9,0)=0,IF(TRUNC(ROUND($B9,0)/9,0)=0,0+IF((ROUND($B9,0))*2&gt;=Q$2,1,0),"Not"))))-Q$3,"")</f>
        <v/>
      </c>
    </row>
    <row r="816" spans="1:5" x14ac:dyDescent="0.25">
      <c r="A816" t="s">
        <v>724</v>
      </c>
      <c r="B816" t="s">
        <v>359</v>
      </c>
      <c r="C816" t="s">
        <v>725</v>
      </c>
      <c r="D816" t="s">
        <v>995</v>
      </c>
      <c r="E816" t="str">
        <f>IFERROR(AVERAGEIFS(Upload_Indiv[Score5],Upload_Indiv[[Player]:[Player]],$A10,Upload_Indiv[[Side]:[Side]],"Raintree Front")-IF(TRUNC(ROUND($B10,0)/9,0)=2,2+IF((ROUND($B10,0)-18)*2&gt;=G$2,1,0),IF(TRUNC(ROUND($B10,0)/9,0)=1,1+IF((ROUND($B10,0)-9)*2&gt;=G$2,1,0),IF(TRUNC(ROUND($B10,0)/9,0)=0,IF(TRUNC(ROUND($B10,0)/9,0)=0,0+IF((ROUND($B10,0))*2&gt;=G$2,1,0),"Not"))))-G$3,"")</f>
        <v/>
      </c>
    </row>
    <row r="817" spans="1:5" x14ac:dyDescent="0.25">
      <c r="A817" t="s">
        <v>724</v>
      </c>
      <c r="B817" t="s">
        <v>359</v>
      </c>
      <c r="C817" t="s">
        <v>725</v>
      </c>
      <c r="D817" t="s">
        <v>1448</v>
      </c>
      <c r="E817" t="str">
        <f>IFERROR(AVERAGEIFS(Upload_Indiv[Score5],Upload_Indiv[[Player]:[Player]],$A10,Upload_Indiv[[Side]:[Side]],"Raintree Back")-IF(TRUNC(ROUND($B10,0)/9,0)=2,2+IF((ROUND($B10,0)-18)*2&gt;=Q$2,1,0),IF(TRUNC(ROUND($B10,0)/9,0)=1,1+IF((ROUND($B10,0)-9)*2&gt;=Q$2,1,0),IF(TRUNC(ROUND($B10,0)/9,0)=0,IF(TRUNC(ROUND($B10,0)/9,0)=0,0+IF((ROUND($B10,0))*2&gt;=Q$2,1,0),"Not"))))-Q$3,"")</f>
        <v/>
      </c>
    </row>
    <row r="818" spans="1:5" x14ac:dyDescent="0.25">
      <c r="A818" t="s">
        <v>724</v>
      </c>
      <c r="B818" t="s">
        <v>359</v>
      </c>
      <c r="C818" t="s">
        <v>725</v>
      </c>
      <c r="D818" t="s">
        <v>997</v>
      </c>
      <c r="E818" t="str">
        <f>IFERROR(AVERAGEIFS(Upload_Indiv[Score5],Upload_Indiv[[Player]:[Player]],$A11,Upload_Indiv[[Side]:[Side]],"Raintree Front")-IF(TRUNC(ROUND($B11,0)/9,0)=2,2+IF((ROUND($B11,0)-18)*2&gt;=G$2,1,0),IF(TRUNC(ROUND($B11,0)/9,0)=1,1+IF((ROUND($B11,0)-9)*2&gt;=G$2,1,0),IF(TRUNC(ROUND($B11,0)/9,0)=0,IF(TRUNC(ROUND($B11,0)/9,0)=0,0+IF((ROUND($B11,0))*2&gt;=G$2,1,0),"Not"))))-G$3,"")</f>
        <v/>
      </c>
    </row>
    <row r="819" spans="1:5" x14ac:dyDescent="0.25">
      <c r="A819" t="s">
        <v>724</v>
      </c>
      <c r="B819" t="s">
        <v>359</v>
      </c>
      <c r="C819" t="s">
        <v>725</v>
      </c>
      <c r="D819" t="s">
        <v>1449</v>
      </c>
      <c r="E819" t="str">
        <f>IFERROR(AVERAGEIFS(Upload_Indiv[Score5],Upload_Indiv[[Player]:[Player]],$A11,Upload_Indiv[[Side]:[Side]],"Raintree Back")-IF(TRUNC(ROUND($B11,0)/9,0)=2,2+IF((ROUND($B11,0)-18)*2&gt;=Q$2,1,0),IF(TRUNC(ROUND($B11,0)/9,0)=1,1+IF((ROUND($B11,0)-9)*2&gt;=Q$2,1,0),IF(TRUNC(ROUND($B11,0)/9,0)=0,IF(TRUNC(ROUND($B11,0)/9,0)=0,0+IF((ROUND($B11,0))*2&gt;=Q$2,1,0),"Not"))))-Q$3,"")</f>
        <v/>
      </c>
    </row>
    <row r="820" spans="1:5" x14ac:dyDescent="0.25">
      <c r="A820" t="s">
        <v>724</v>
      </c>
      <c r="B820" t="s">
        <v>359</v>
      </c>
      <c r="C820" t="s">
        <v>725</v>
      </c>
      <c r="D820" t="s">
        <v>999</v>
      </c>
      <c r="E820" t="str">
        <f>IFERROR(AVERAGEIFS(Upload_Indiv[Score5],Upload_Indiv[[Player]:[Player]],$A12,Upload_Indiv[[Side]:[Side]],"Raintree Front")-IF(TRUNC(ROUND($B12,0)/9,0)=2,2+IF((ROUND($B12,0)-18)*2&gt;=G$2,1,0),IF(TRUNC(ROUND($B12,0)/9,0)=1,1+IF((ROUND($B12,0)-9)*2&gt;=G$2,1,0),IF(TRUNC(ROUND($B12,0)/9,0)=0,IF(TRUNC(ROUND($B12,0)/9,0)=0,0+IF((ROUND($B12,0))*2&gt;=G$2,1,0),"Not"))))-G$3,"")</f>
        <v/>
      </c>
    </row>
    <row r="821" spans="1:5" x14ac:dyDescent="0.25">
      <c r="A821" t="s">
        <v>724</v>
      </c>
      <c r="B821" t="s">
        <v>359</v>
      </c>
      <c r="C821" t="s">
        <v>725</v>
      </c>
      <c r="D821" t="s">
        <v>1450</v>
      </c>
      <c r="E821" t="str">
        <f>IFERROR(AVERAGEIFS(Upload_Indiv[Score5],Upload_Indiv[[Player]:[Player]],$A12,Upload_Indiv[[Side]:[Side]],"Raintree Back")-IF(TRUNC(ROUND($B12,0)/9,0)=2,2+IF((ROUND($B12,0)-18)*2&gt;=Q$2,1,0),IF(TRUNC(ROUND($B12,0)/9,0)=1,1+IF((ROUND($B12,0)-9)*2&gt;=Q$2,1,0),IF(TRUNC(ROUND($B12,0)/9,0)=0,IF(TRUNC(ROUND($B12,0)/9,0)=0,0+IF((ROUND($B12,0))*2&gt;=Q$2,1,0),"Not"))))-Q$3,"")</f>
        <v/>
      </c>
    </row>
    <row r="822" spans="1:5" x14ac:dyDescent="0.25">
      <c r="A822" t="s">
        <v>724</v>
      </c>
      <c r="B822" t="s">
        <v>359</v>
      </c>
      <c r="C822" t="s">
        <v>725</v>
      </c>
      <c r="D822" t="s">
        <v>1001</v>
      </c>
      <c r="E822" t="str">
        <f>IFERROR(AVERAGEIFS(Upload_Indiv[Score5],Upload_Indiv[[Player]:[Player]],$A13,Upload_Indiv[[Side]:[Side]],"Raintree Front")-IF(TRUNC(ROUND($B13,0)/9,0)=2,2+IF((ROUND($B13,0)-18)*2&gt;=G$2,1,0),IF(TRUNC(ROUND($B13,0)/9,0)=1,1+IF((ROUND($B13,0)-9)*2&gt;=G$2,1,0),IF(TRUNC(ROUND($B13,0)/9,0)=0,IF(TRUNC(ROUND($B13,0)/9,0)=0,0+IF((ROUND($B13,0))*2&gt;=G$2,1,0),"Not"))))-G$3,"")</f>
        <v/>
      </c>
    </row>
    <row r="823" spans="1:5" x14ac:dyDescent="0.25">
      <c r="A823" t="s">
        <v>724</v>
      </c>
      <c r="B823" t="s">
        <v>359</v>
      </c>
      <c r="C823" t="s">
        <v>725</v>
      </c>
      <c r="D823" t="s">
        <v>1451</v>
      </c>
      <c r="E823" t="str">
        <f>IFERROR(AVERAGEIFS(Upload_Indiv[Score5],Upload_Indiv[[Player]:[Player]],$A13,Upload_Indiv[[Side]:[Side]],"Raintree Back")-IF(TRUNC(ROUND($B13,0)/9,0)=2,2+IF((ROUND($B13,0)-18)*2&gt;=Q$2,1,0),IF(TRUNC(ROUND($B13,0)/9,0)=1,1+IF((ROUND($B13,0)-9)*2&gt;=Q$2,1,0),IF(TRUNC(ROUND($B13,0)/9,0)=0,IF(TRUNC(ROUND($B13,0)/9,0)=0,0+IF((ROUND($B13,0))*2&gt;=Q$2,1,0),"Not"))))-Q$3,"")</f>
        <v/>
      </c>
    </row>
    <row r="824" spans="1:5" x14ac:dyDescent="0.25">
      <c r="A824" t="s">
        <v>724</v>
      </c>
      <c r="B824" t="s">
        <v>359</v>
      </c>
      <c r="C824" t="s">
        <v>725</v>
      </c>
      <c r="D824" t="s">
        <v>1003</v>
      </c>
      <c r="E824" t="str">
        <f>IFERROR(AVERAGEIFS(Upload_Indiv[Score5],Upload_Indiv[[Player]:[Player]],$A14,Upload_Indiv[[Side]:[Side]],"Raintree Front")-IF(TRUNC(ROUND($B14,0)/9,0)=2,2+IF((ROUND($B14,0)-18)*2&gt;=G$2,1,0),IF(TRUNC(ROUND($B14,0)/9,0)=1,1+IF((ROUND($B14,0)-9)*2&gt;=G$2,1,0),IF(TRUNC(ROUND($B14,0)/9,0)=0,IF(TRUNC(ROUND($B14,0)/9,0)=0,0+IF((ROUND($B14,0))*2&gt;=G$2,1,0),"Not"))))-G$3,"")</f>
        <v/>
      </c>
    </row>
    <row r="825" spans="1:5" x14ac:dyDescent="0.25">
      <c r="A825" t="s">
        <v>724</v>
      </c>
      <c r="B825" t="s">
        <v>359</v>
      </c>
      <c r="C825" t="s">
        <v>725</v>
      </c>
      <c r="D825" t="s">
        <v>1452</v>
      </c>
      <c r="E825" t="str">
        <f>IFERROR(AVERAGEIFS(Upload_Indiv[Score5],Upload_Indiv[[Player]:[Player]],$A14,Upload_Indiv[[Side]:[Side]],"Raintree Back")-IF(TRUNC(ROUND($B14,0)/9,0)=2,2+IF((ROUND($B14,0)-18)*2&gt;=Q$2,1,0),IF(TRUNC(ROUND($B14,0)/9,0)=1,1+IF((ROUND($B14,0)-9)*2&gt;=Q$2,1,0),IF(TRUNC(ROUND($B14,0)/9,0)=0,IF(TRUNC(ROUND($B14,0)/9,0)=0,0+IF((ROUND($B14,0))*2&gt;=Q$2,1,0),"Not"))))-Q$3,"")</f>
        <v/>
      </c>
    </row>
    <row r="826" spans="1:5" x14ac:dyDescent="0.25">
      <c r="A826" t="s">
        <v>724</v>
      </c>
      <c r="B826" t="s">
        <v>359</v>
      </c>
      <c r="C826" t="s">
        <v>725</v>
      </c>
      <c r="D826" t="s">
        <v>1005</v>
      </c>
      <c r="E826" t="str">
        <f>IFERROR(AVERAGEIFS(Upload_Indiv[Score5],Upload_Indiv[[Player]:[Player]],$A15,Upload_Indiv[[Side]:[Side]],"Raintree Front")-IF(TRUNC(ROUND($B15,0)/9,0)=2,2+IF((ROUND($B15,0)-18)*2&gt;=G$2,1,0),IF(TRUNC(ROUND($B15,0)/9,0)=1,1+IF((ROUND($B15,0)-9)*2&gt;=G$2,1,0),IF(TRUNC(ROUND($B15,0)/9,0)=0,IF(TRUNC(ROUND($B15,0)/9,0)=0,0+IF((ROUND($B15,0))*2&gt;=G$2,1,0),"Not"))))-G$3,"")</f>
        <v/>
      </c>
    </row>
    <row r="827" spans="1:5" x14ac:dyDescent="0.25">
      <c r="A827" t="s">
        <v>724</v>
      </c>
      <c r="B827" t="s">
        <v>359</v>
      </c>
      <c r="C827" t="s">
        <v>725</v>
      </c>
      <c r="D827" t="s">
        <v>1453</v>
      </c>
      <c r="E827" t="str">
        <f>IFERROR(AVERAGEIFS(Upload_Indiv[Score5],Upload_Indiv[[Player]:[Player]],$A15,Upload_Indiv[[Side]:[Side]],"Raintree Back")-IF(TRUNC(ROUND($B15,0)/9,0)=2,2+IF((ROUND($B15,0)-18)*2&gt;=Q$2,1,0),IF(TRUNC(ROUND($B15,0)/9,0)=1,1+IF((ROUND($B15,0)-9)*2&gt;=Q$2,1,0),IF(TRUNC(ROUND($B15,0)/9,0)=0,IF(TRUNC(ROUND($B15,0)/9,0)=0,0+IF((ROUND($B15,0))*2&gt;=Q$2,1,0),"Not"))))-Q$3,"")</f>
        <v/>
      </c>
    </row>
    <row r="828" spans="1:5" x14ac:dyDescent="0.25">
      <c r="A828" t="s">
        <v>724</v>
      </c>
      <c r="B828" t="s">
        <v>359</v>
      </c>
      <c r="C828" t="s">
        <v>725</v>
      </c>
      <c r="D828" t="s">
        <v>1007</v>
      </c>
      <c r="E828" t="str">
        <f>IFERROR(AVERAGEIFS(Upload_Indiv[Score5],Upload_Indiv[[Player]:[Player]],$A16,Upload_Indiv[[Side]:[Side]],"Raintree Front")-IF(TRUNC(ROUND($B16,0)/9,0)=2,2+IF((ROUND($B16,0)-18)*2&gt;=G$2,1,0),IF(TRUNC(ROUND($B16,0)/9,0)=1,1+IF((ROUND($B16,0)-9)*2&gt;=G$2,1,0),IF(TRUNC(ROUND($B16,0)/9,0)=0,IF(TRUNC(ROUND($B16,0)/9,0)=0,0+IF((ROUND($B16,0))*2&gt;=G$2,1,0),"Not"))))-G$3,"")</f>
        <v/>
      </c>
    </row>
    <row r="829" spans="1:5" x14ac:dyDescent="0.25">
      <c r="A829" t="s">
        <v>724</v>
      </c>
      <c r="B829" t="s">
        <v>359</v>
      </c>
      <c r="C829" t="s">
        <v>725</v>
      </c>
      <c r="D829" t="s">
        <v>1454</v>
      </c>
      <c r="E829" t="str">
        <f>IFERROR(AVERAGEIFS(Upload_Indiv[Score5],Upload_Indiv[[Player]:[Player]],$A16,Upload_Indiv[[Side]:[Side]],"Raintree Back")-IF(TRUNC(ROUND($B16,0)/9,0)=2,2+IF((ROUND($B16,0)-18)*2&gt;=Q$2,1,0),IF(TRUNC(ROUND($B16,0)/9,0)=1,1+IF((ROUND($B16,0)-9)*2&gt;=Q$2,1,0),IF(TRUNC(ROUND($B16,0)/9,0)=0,IF(TRUNC(ROUND($B16,0)/9,0)=0,0+IF((ROUND($B16,0))*2&gt;=Q$2,1,0),"Not"))))-Q$3,"")</f>
        <v/>
      </c>
    </row>
    <row r="830" spans="1:5" x14ac:dyDescent="0.25">
      <c r="A830" t="s">
        <v>724</v>
      </c>
      <c r="B830" t="s">
        <v>359</v>
      </c>
      <c r="C830" t="s">
        <v>725</v>
      </c>
      <c r="D830" t="s">
        <v>1009</v>
      </c>
      <c r="E830" t="str">
        <f>IFERROR(AVERAGEIFS(Upload_Indiv[Score5],Upload_Indiv[[Player]:[Player]],$A17,Upload_Indiv[[Side]:[Side]],"Raintree Front")-IF(TRUNC(ROUND($B17,0)/9,0)=2,2+IF((ROUND($B17,0)-18)*2&gt;=G$2,1,0),IF(TRUNC(ROUND($B17,0)/9,0)=1,1+IF((ROUND($B17,0)-9)*2&gt;=G$2,1,0),IF(TRUNC(ROUND($B17,0)/9,0)=0,IF(TRUNC(ROUND($B17,0)/9,0)=0,0+IF((ROUND($B17,0))*2&gt;=G$2,1,0),"Not"))))-G$3,"")</f>
        <v/>
      </c>
    </row>
    <row r="831" spans="1:5" x14ac:dyDescent="0.25">
      <c r="A831" t="s">
        <v>724</v>
      </c>
      <c r="B831" t="s">
        <v>359</v>
      </c>
      <c r="C831" t="s">
        <v>725</v>
      </c>
      <c r="D831" t="s">
        <v>1455</v>
      </c>
      <c r="E831" t="str">
        <f>IFERROR(AVERAGEIFS(Upload_Indiv[Score5],Upload_Indiv[[Player]:[Player]],$A17,Upload_Indiv[[Side]:[Side]],"Raintree Back")-IF(TRUNC(ROUND($B17,0)/9,0)=2,2+IF((ROUND($B17,0)-18)*2&gt;=Q$2,1,0),IF(TRUNC(ROUND($B17,0)/9,0)=1,1+IF((ROUND($B17,0)-9)*2&gt;=Q$2,1,0),IF(TRUNC(ROUND($B17,0)/9,0)=0,IF(TRUNC(ROUND($B17,0)/9,0)=0,0+IF((ROUND($B17,0))*2&gt;=Q$2,1,0),"Not"))))-Q$3,"")</f>
        <v/>
      </c>
    </row>
    <row r="832" spans="1:5" x14ac:dyDescent="0.25">
      <c r="A832" t="s">
        <v>724</v>
      </c>
      <c r="B832" t="s">
        <v>359</v>
      </c>
      <c r="C832" t="s">
        <v>725</v>
      </c>
      <c r="D832" t="s">
        <v>1011</v>
      </c>
      <c r="E832" t="str">
        <f>IFERROR(AVERAGEIFS(Upload_Indiv[Score5],Upload_Indiv[[Player]:[Player]],$A18,Upload_Indiv[[Side]:[Side]],"Raintree Front")-IF(TRUNC(ROUND($B18,0)/9,0)=2,2+IF((ROUND($B18,0)-18)*2&gt;=G$2,1,0),IF(TRUNC(ROUND($B18,0)/9,0)=1,1+IF((ROUND($B18,0)-9)*2&gt;=G$2,1,0),IF(TRUNC(ROUND($B18,0)/9,0)=0,IF(TRUNC(ROUND($B18,0)/9,0)=0,0+IF((ROUND($B18,0))*2&gt;=G$2,1,0),"Not"))))-G$3,"")</f>
        <v/>
      </c>
    </row>
    <row r="833" spans="1:5" x14ac:dyDescent="0.25">
      <c r="A833" t="s">
        <v>724</v>
      </c>
      <c r="B833" t="s">
        <v>359</v>
      </c>
      <c r="C833" t="s">
        <v>725</v>
      </c>
      <c r="D833" t="s">
        <v>1456</v>
      </c>
      <c r="E833" t="str">
        <f>IFERROR(AVERAGEIFS(Upload_Indiv[Score5],Upload_Indiv[[Player]:[Player]],$A18,Upload_Indiv[[Side]:[Side]],"Raintree Back")-IF(TRUNC(ROUND($B18,0)/9,0)=2,2+IF((ROUND($B18,0)-18)*2&gt;=Q$2,1,0),IF(TRUNC(ROUND($B18,0)/9,0)=1,1+IF((ROUND($B18,0)-9)*2&gt;=Q$2,1,0),IF(TRUNC(ROUND($B18,0)/9,0)=0,IF(TRUNC(ROUND($B18,0)/9,0)=0,0+IF((ROUND($B18,0))*2&gt;=Q$2,1,0),"Not"))))-Q$3,"")</f>
        <v/>
      </c>
    </row>
    <row r="834" spans="1:5" x14ac:dyDescent="0.25">
      <c r="A834" t="s">
        <v>724</v>
      </c>
      <c r="B834" t="s">
        <v>359</v>
      </c>
      <c r="C834" t="s">
        <v>725</v>
      </c>
      <c r="D834" t="s">
        <v>1013</v>
      </c>
      <c r="E834" t="str">
        <f>IFERROR(AVERAGEIFS(Upload_Indiv[Score5],Upload_Indiv[[Player]:[Player]],$A19,Upload_Indiv[[Side]:[Side]],"Raintree Front")-IF(TRUNC(ROUND($B19,0)/9,0)=2,2+IF((ROUND($B19,0)-18)*2&gt;=G$2,1,0),IF(TRUNC(ROUND($B19,0)/9,0)=1,1+IF((ROUND($B19,0)-9)*2&gt;=G$2,1,0),IF(TRUNC(ROUND($B19,0)/9,0)=0,IF(TRUNC(ROUND($B19,0)/9,0)=0,0+IF((ROUND($B19,0))*2&gt;=G$2,1,0),"Not"))))-G$3,"")</f>
        <v/>
      </c>
    </row>
    <row r="835" spans="1:5" x14ac:dyDescent="0.25">
      <c r="A835" t="s">
        <v>724</v>
      </c>
      <c r="B835" t="s">
        <v>359</v>
      </c>
      <c r="C835" t="s">
        <v>725</v>
      </c>
      <c r="D835" t="s">
        <v>1457</v>
      </c>
      <c r="E835" t="str">
        <f>IFERROR(AVERAGEIFS(Upload_Indiv[Score5],Upload_Indiv[[Player]:[Player]],$A19,Upload_Indiv[[Side]:[Side]],"Raintree Back")-IF(TRUNC(ROUND($B19,0)/9,0)=2,2+IF((ROUND($B19,0)-18)*2&gt;=Q$2,1,0),IF(TRUNC(ROUND($B19,0)/9,0)=1,1+IF((ROUND($B19,0)-9)*2&gt;=Q$2,1,0),IF(TRUNC(ROUND($B19,0)/9,0)=0,IF(TRUNC(ROUND($B19,0)/9,0)=0,0+IF((ROUND($B19,0))*2&gt;=Q$2,1,0),"Not"))))-Q$3,"")</f>
        <v/>
      </c>
    </row>
    <row r="836" spans="1:5" x14ac:dyDescent="0.25">
      <c r="A836" t="s">
        <v>724</v>
      </c>
      <c r="B836" t="s">
        <v>359</v>
      </c>
      <c r="C836" t="s">
        <v>725</v>
      </c>
      <c r="D836" t="s">
        <v>1015</v>
      </c>
      <c r="E836" t="str">
        <f>IFERROR(AVERAGEIFS(Upload_Indiv[Score5],Upload_Indiv[[Player]:[Player]],$A20,Upload_Indiv[[Side]:[Side]],"Raintree Front")-IF(TRUNC(ROUND($B20,0)/9,0)=2,2+IF((ROUND($B20,0)-18)*2&gt;=G$2,1,0),IF(TRUNC(ROUND($B20,0)/9,0)=1,1+IF((ROUND($B20,0)-9)*2&gt;=G$2,1,0),IF(TRUNC(ROUND($B20,0)/9,0)=0,IF(TRUNC(ROUND($B20,0)/9,0)=0,0+IF((ROUND($B20,0))*2&gt;=G$2,1,0),"Not"))))-G$3,"")</f>
        <v/>
      </c>
    </row>
    <row r="837" spans="1:5" x14ac:dyDescent="0.25">
      <c r="A837" t="s">
        <v>724</v>
      </c>
      <c r="B837" t="s">
        <v>359</v>
      </c>
      <c r="C837" t="s">
        <v>725</v>
      </c>
      <c r="D837" t="s">
        <v>1458</v>
      </c>
      <c r="E837" t="str">
        <f>IFERROR(AVERAGEIFS(Upload_Indiv[Score5],Upload_Indiv[[Player]:[Player]],$A20,Upload_Indiv[[Side]:[Side]],"Raintree Back")-IF(TRUNC(ROUND($B20,0)/9,0)=2,2+IF((ROUND($B20,0)-18)*2&gt;=Q$2,1,0),IF(TRUNC(ROUND($B20,0)/9,0)=1,1+IF((ROUND($B20,0)-9)*2&gt;=Q$2,1,0),IF(TRUNC(ROUND($B20,0)/9,0)=0,IF(TRUNC(ROUND($B20,0)/9,0)=0,0+IF((ROUND($B20,0))*2&gt;=Q$2,1,0),"Not"))))-Q$3,"")</f>
        <v/>
      </c>
    </row>
    <row r="838" spans="1:5" x14ac:dyDescent="0.25">
      <c r="A838" t="s">
        <v>724</v>
      </c>
      <c r="B838" t="s">
        <v>359</v>
      </c>
      <c r="C838" t="s">
        <v>725</v>
      </c>
      <c r="D838" t="s">
        <v>1017</v>
      </c>
      <c r="E838" t="str">
        <f>IFERROR(AVERAGEIFS(Upload_Indiv[Score5],Upload_Indiv[[Player]:[Player]],$A21,Upload_Indiv[[Side]:[Side]],"Raintree Front")-IF(TRUNC(ROUND($B21,0)/9,0)=2,2+IF((ROUND($B21,0)-18)*2&gt;=G$2,1,0),IF(TRUNC(ROUND($B21,0)/9,0)=1,1+IF((ROUND($B21,0)-9)*2&gt;=G$2,1,0),IF(TRUNC(ROUND($B21,0)/9,0)=0,IF(TRUNC(ROUND($B21,0)/9,0)=0,0+IF((ROUND($B21,0))*2&gt;=G$2,1,0),"Not"))))-G$3,"")</f>
        <v/>
      </c>
    </row>
    <row r="839" spans="1:5" x14ac:dyDescent="0.25">
      <c r="A839" t="s">
        <v>724</v>
      </c>
      <c r="B839" t="s">
        <v>359</v>
      </c>
      <c r="C839" t="s">
        <v>725</v>
      </c>
      <c r="D839" t="s">
        <v>1459</v>
      </c>
      <c r="E839" t="str">
        <f>IFERROR(AVERAGEIFS(Upload_Indiv[Score5],Upload_Indiv[[Player]:[Player]],$A21,Upload_Indiv[[Side]:[Side]],"Raintree Back")-IF(TRUNC(ROUND($B21,0)/9,0)=2,2+IF((ROUND($B21,0)-18)*2&gt;=Q$2,1,0),IF(TRUNC(ROUND($B21,0)/9,0)=1,1+IF((ROUND($B21,0)-9)*2&gt;=Q$2,1,0),IF(TRUNC(ROUND($B21,0)/9,0)=0,IF(TRUNC(ROUND($B21,0)/9,0)=0,0+IF((ROUND($B21,0))*2&gt;=Q$2,1,0),"Not"))))-Q$3,"")</f>
        <v/>
      </c>
    </row>
    <row r="840" spans="1:5" x14ac:dyDescent="0.25">
      <c r="A840" t="s">
        <v>724</v>
      </c>
      <c r="B840" t="s">
        <v>359</v>
      </c>
      <c r="C840" t="s">
        <v>725</v>
      </c>
      <c r="D840" t="s">
        <v>1019</v>
      </c>
      <c r="E840" t="str">
        <f>IFERROR(AVERAGEIFS(Upload_Indiv[Score5],Upload_Indiv[[Player]:[Player]],$A22,Upload_Indiv[[Side]:[Side]],"Raintree Front")-IF(TRUNC(ROUND($B22,0)/9,0)=2,2+IF((ROUND($B22,0)-18)*2&gt;=G$2,1,0),IF(TRUNC(ROUND($B22,0)/9,0)=1,1+IF((ROUND($B22,0)-9)*2&gt;=G$2,1,0),IF(TRUNC(ROUND($B22,0)/9,0)=0,IF(TRUNC(ROUND($B22,0)/9,0)=0,0+IF((ROUND($B22,0))*2&gt;=G$2,1,0),"Not"))))-G$3,"")</f>
        <v/>
      </c>
    </row>
    <row r="841" spans="1:5" x14ac:dyDescent="0.25">
      <c r="A841" t="s">
        <v>724</v>
      </c>
      <c r="B841" t="s">
        <v>359</v>
      </c>
      <c r="C841" t="s">
        <v>725</v>
      </c>
      <c r="D841" t="s">
        <v>1460</v>
      </c>
      <c r="E841" t="str">
        <f>IFERROR(AVERAGEIFS(Upload_Indiv[Score5],Upload_Indiv[[Player]:[Player]],$A22,Upload_Indiv[[Side]:[Side]],"Raintree Back")-IF(TRUNC(ROUND($B22,0)/9,0)=2,2+IF((ROUND($B22,0)-18)*2&gt;=Q$2,1,0),IF(TRUNC(ROUND($B22,0)/9,0)=1,1+IF((ROUND($B22,0)-9)*2&gt;=Q$2,1,0),IF(TRUNC(ROUND($B22,0)/9,0)=0,IF(TRUNC(ROUND($B22,0)/9,0)=0,0+IF((ROUND($B22,0))*2&gt;=Q$2,1,0),"Not"))))-Q$3,"")</f>
        <v/>
      </c>
    </row>
    <row r="842" spans="1:5" x14ac:dyDescent="0.25">
      <c r="A842" t="s">
        <v>724</v>
      </c>
      <c r="B842" t="s">
        <v>359</v>
      </c>
      <c r="C842" t="s">
        <v>725</v>
      </c>
      <c r="D842" t="s">
        <v>1021</v>
      </c>
      <c r="E842" t="str">
        <f>IFERROR(AVERAGEIFS(Upload_Indiv[Score5],Upload_Indiv[[Player]:[Player]],$A23,Upload_Indiv[[Side]:[Side]],"Raintree Front")-IF(TRUNC(ROUND($B23,0)/9,0)=2,2+IF((ROUND($B23,0)-18)*2&gt;=G$2,1,0),IF(TRUNC(ROUND($B23,0)/9,0)=1,1+IF((ROUND($B23,0)-9)*2&gt;=G$2,1,0),IF(TRUNC(ROUND($B23,0)/9,0)=0,IF(TRUNC(ROUND($B23,0)/9,0)=0,0+IF((ROUND($B23,0))*2&gt;=G$2,1,0),"Not"))))-G$3,"")</f>
        <v/>
      </c>
    </row>
    <row r="843" spans="1:5" x14ac:dyDescent="0.25">
      <c r="A843" t="s">
        <v>724</v>
      </c>
      <c r="B843" t="s">
        <v>359</v>
      </c>
      <c r="C843" t="s">
        <v>725</v>
      </c>
      <c r="D843" t="s">
        <v>1461</v>
      </c>
      <c r="E843" t="str">
        <f>IFERROR(AVERAGEIFS(Upload_Indiv[Score5],Upload_Indiv[[Player]:[Player]],$A23,Upload_Indiv[[Side]:[Side]],"Raintree Back")-IF(TRUNC(ROUND($B23,0)/9,0)=2,2+IF((ROUND($B23,0)-18)*2&gt;=Q$2,1,0),IF(TRUNC(ROUND($B23,0)/9,0)=1,1+IF((ROUND($B23,0)-9)*2&gt;=Q$2,1,0),IF(TRUNC(ROUND($B23,0)/9,0)=0,IF(TRUNC(ROUND($B23,0)/9,0)=0,0+IF((ROUND($B23,0))*2&gt;=Q$2,1,0),"Not"))))-Q$3,"")</f>
        <v/>
      </c>
    </row>
    <row r="844" spans="1:5" x14ac:dyDescent="0.25">
      <c r="A844" t="s">
        <v>724</v>
      </c>
      <c r="B844" t="s">
        <v>359</v>
      </c>
      <c r="C844" t="s">
        <v>725</v>
      </c>
      <c r="D844" t="s">
        <v>1023</v>
      </c>
      <c r="E844" t="str">
        <f>IFERROR(AVERAGEIFS(Upload_Indiv[Score5],Upload_Indiv[[Player]:[Player]],$A24,Upload_Indiv[[Side]:[Side]],"Raintree Front")-IF(TRUNC(ROUND($B24,0)/9,0)=2,2+IF((ROUND($B24,0)-18)*2&gt;=G$2,1,0),IF(TRUNC(ROUND($B24,0)/9,0)=1,1+IF((ROUND($B24,0)-9)*2&gt;=G$2,1,0),IF(TRUNC(ROUND($B24,0)/9,0)=0,IF(TRUNC(ROUND($B24,0)/9,0)=0,0+IF((ROUND($B24,0))*2&gt;=G$2,1,0),"Not"))))-G$3,"")</f>
        <v/>
      </c>
    </row>
    <row r="845" spans="1:5" x14ac:dyDescent="0.25">
      <c r="A845" t="s">
        <v>724</v>
      </c>
      <c r="B845" t="s">
        <v>359</v>
      </c>
      <c r="C845" t="s">
        <v>725</v>
      </c>
      <c r="D845" t="s">
        <v>1462</v>
      </c>
      <c r="E845" t="str">
        <f>IFERROR(AVERAGEIFS(Upload_Indiv[Score5],Upload_Indiv[[Player]:[Player]],$A24,Upload_Indiv[[Side]:[Side]],"Raintree Back")-IF(TRUNC(ROUND($B24,0)/9,0)=2,2+IF((ROUND($B24,0)-18)*2&gt;=Q$2,1,0),IF(TRUNC(ROUND($B24,0)/9,0)=1,1+IF((ROUND($B24,0)-9)*2&gt;=Q$2,1,0),IF(TRUNC(ROUND($B24,0)/9,0)=0,IF(TRUNC(ROUND($B24,0)/9,0)=0,0+IF((ROUND($B24,0))*2&gt;=Q$2,1,0),"Not"))))-Q$3,"")</f>
        <v/>
      </c>
    </row>
    <row r="846" spans="1:5" x14ac:dyDescent="0.25">
      <c r="A846" t="s">
        <v>724</v>
      </c>
      <c r="B846" t="s">
        <v>359</v>
      </c>
      <c r="C846" t="s">
        <v>725</v>
      </c>
      <c r="D846" t="s">
        <v>1025</v>
      </c>
      <c r="E846" t="str">
        <f>IFERROR(AVERAGEIFS(Upload_Indiv[Score5],Upload_Indiv[[Player]:[Player]],$A25,Upload_Indiv[[Side]:[Side]],"Raintree Front")-IF(TRUNC(ROUND($B25,0)/9,0)=2,2+IF((ROUND($B25,0)-18)*2&gt;=G$2,1,0),IF(TRUNC(ROUND($B25,0)/9,0)=1,1+IF((ROUND($B25,0)-9)*2&gt;=G$2,1,0),IF(TRUNC(ROUND($B25,0)/9,0)=0,IF(TRUNC(ROUND($B25,0)/9,0)=0,0+IF((ROUND($B25,0))*2&gt;=G$2,1,0),"Not"))))-G$3,"")</f>
        <v/>
      </c>
    </row>
    <row r="847" spans="1:5" x14ac:dyDescent="0.25">
      <c r="A847" t="s">
        <v>724</v>
      </c>
      <c r="B847" t="s">
        <v>359</v>
      </c>
      <c r="C847" t="s">
        <v>725</v>
      </c>
      <c r="D847" t="s">
        <v>1463</v>
      </c>
      <c r="E847" t="str">
        <f>IFERROR(AVERAGEIFS(Upload_Indiv[Score5],Upload_Indiv[[Player]:[Player]],$A25,Upload_Indiv[[Side]:[Side]],"Raintree Back")-IF(TRUNC(ROUND($B25,0)/9,0)=2,2+IF((ROUND($B25,0)-18)*2&gt;=Q$2,1,0),IF(TRUNC(ROUND($B25,0)/9,0)=1,1+IF((ROUND($B25,0)-9)*2&gt;=Q$2,1,0),IF(TRUNC(ROUND($B25,0)/9,0)=0,IF(TRUNC(ROUND($B25,0)/9,0)=0,0+IF((ROUND($B25,0))*2&gt;=Q$2,1,0),"Not"))))-Q$3,"")</f>
        <v/>
      </c>
    </row>
    <row r="848" spans="1:5" x14ac:dyDescent="0.25">
      <c r="A848" t="s">
        <v>724</v>
      </c>
      <c r="B848" t="s">
        <v>359</v>
      </c>
      <c r="C848" t="s">
        <v>725</v>
      </c>
      <c r="D848" t="s">
        <v>1027</v>
      </c>
      <c r="E848" t="str">
        <f>IFERROR(AVERAGEIFS(Upload_Indiv[Score5],Upload_Indiv[[Player]:[Player]],$A26,Upload_Indiv[[Side]:[Side]],"Raintree Front")-IF(TRUNC(ROUND($B26,0)/9,0)=2,2+IF((ROUND($B26,0)-18)*2&gt;=G$2,1,0),IF(TRUNC(ROUND($B26,0)/9,0)=1,1+IF((ROUND($B26,0)-9)*2&gt;=G$2,1,0),IF(TRUNC(ROUND($B26,0)/9,0)=0,IF(TRUNC(ROUND($B26,0)/9,0)=0,0+IF((ROUND($B26,0))*2&gt;=G$2,1,0),"Not"))))-G$3,"")</f>
        <v/>
      </c>
    </row>
    <row r="849" spans="1:5" x14ac:dyDescent="0.25">
      <c r="A849" t="s">
        <v>724</v>
      </c>
      <c r="B849" t="s">
        <v>359</v>
      </c>
      <c r="C849" t="s">
        <v>725</v>
      </c>
      <c r="D849" t="s">
        <v>1464</v>
      </c>
      <c r="E849" t="str">
        <f>IFERROR(AVERAGEIFS(Upload_Indiv[Score5],Upload_Indiv[[Player]:[Player]],$A26,Upload_Indiv[[Side]:[Side]],"Raintree Back")-IF(TRUNC(ROUND($B26,0)/9,0)=2,2+IF((ROUND($B26,0)-18)*2&gt;=Q$2,1,0),IF(TRUNC(ROUND($B26,0)/9,0)=1,1+IF((ROUND($B26,0)-9)*2&gt;=Q$2,1,0),IF(TRUNC(ROUND($B26,0)/9,0)=0,IF(TRUNC(ROUND($B26,0)/9,0)=0,0+IF((ROUND($B26,0))*2&gt;=Q$2,1,0),"Not"))))-Q$3,"")</f>
        <v/>
      </c>
    </row>
    <row r="850" spans="1:5" x14ac:dyDescent="0.25">
      <c r="A850" t="s">
        <v>724</v>
      </c>
      <c r="B850" t="s">
        <v>359</v>
      </c>
      <c r="C850" t="s">
        <v>725</v>
      </c>
      <c r="D850" t="s">
        <v>1029</v>
      </c>
      <c r="E850" t="str">
        <f>IFERROR(AVERAGEIFS(Upload_Indiv[Score5],Upload_Indiv[[Player]:[Player]],$A27,Upload_Indiv[[Side]:[Side]],"Raintree Front")-IF(TRUNC(ROUND($B27,0)/9,0)=2,2+IF((ROUND($B27,0)-18)*2&gt;=G$2,1,0),IF(TRUNC(ROUND($B27,0)/9,0)=1,1+IF((ROUND($B27,0)-9)*2&gt;=G$2,1,0),IF(TRUNC(ROUND($B27,0)/9,0)=0,IF(TRUNC(ROUND($B27,0)/9,0)=0,0+IF((ROUND($B27,0))*2&gt;=G$2,1,0),"Not"))))-G$3,"")</f>
        <v/>
      </c>
    </row>
    <row r="851" spans="1:5" x14ac:dyDescent="0.25">
      <c r="A851" t="s">
        <v>724</v>
      </c>
      <c r="B851" t="s">
        <v>359</v>
      </c>
      <c r="C851" t="s">
        <v>725</v>
      </c>
      <c r="D851" t="s">
        <v>1465</v>
      </c>
      <c r="E851" t="str">
        <f>IFERROR(AVERAGEIFS(Upload_Indiv[Score5],Upload_Indiv[[Player]:[Player]],$A27,Upload_Indiv[[Side]:[Side]],"Raintree Back")-IF(TRUNC(ROUND($B27,0)/9,0)=2,2+IF((ROUND($B27,0)-18)*2&gt;=Q$2,1,0),IF(TRUNC(ROUND($B27,0)/9,0)=1,1+IF((ROUND($B27,0)-9)*2&gt;=Q$2,1,0),IF(TRUNC(ROUND($B27,0)/9,0)=0,IF(TRUNC(ROUND($B27,0)/9,0)=0,0+IF((ROUND($B27,0))*2&gt;=Q$2,1,0),"Not"))))-Q$3,"")</f>
        <v/>
      </c>
    </row>
    <row r="852" spans="1:5" x14ac:dyDescent="0.25">
      <c r="A852" t="s">
        <v>724</v>
      </c>
      <c r="B852" t="s">
        <v>359</v>
      </c>
      <c r="C852" t="s">
        <v>725</v>
      </c>
      <c r="D852" t="s">
        <v>1031</v>
      </c>
      <c r="E852" t="str">
        <f>IFERROR(AVERAGEIFS(Upload_Indiv[Score5],Upload_Indiv[[Player]:[Player]],$A28,Upload_Indiv[[Side]:[Side]],"Raintree Front")-IF(TRUNC(ROUND($B28,0)/9,0)=2,2+IF((ROUND($B28,0)-18)*2&gt;=G$2,1,0),IF(TRUNC(ROUND($B28,0)/9,0)=1,1+IF((ROUND($B28,0)-9)*2&gt;=G$2,1,0),IF(TRUNC(ROUND($B28,0)/9,0)=0,IF(TRUNC(ROUND($B28,0)/9,0)=0,0+IF((ROUND($B28,0))*2&gt;=G$2,1,0),"Not"))))-G$3,"")</f>
        <v/>
      </c>
    </row>
    <row r="853" spans="1:5" x14ac:dyDescent="0.25">
      <c r="A853" t="s">
        <v>724</v>
      </c>
      <c r="B853" t="s">
        <v>359</v>
      </c>
      <c r="C853" t="s">
        <v>725</v>
      </c>
      <c r="D853" t="s">
        <v>1466</v>
      </c>
      <c r="E853" t="str">
        <f>IFERROR(AVERAGEIFS(Upload_Indiv[Score5],Upload_Indiv[[Player]:[Player]],$A28,Upload_Indiv[[Side]:[Side]],"Raintree Back")-IF(TRUNC(ROUND($B28,0)/9,0)=2,2+IF((ROUND($B28,0)-18)*2&gt;=Q$2,1,0),IF(TRUNC(ROUND($B28,0)/9,0)=1,1+IF((ROUND($B28,0)-9)*2&gt;=Q$2,1,0),IF(TRUNC(ROUND($B28,0)/9,0)=0,IF(TRUNC(ROUND($B28,0)/9,0)=0,0+IF((ROUND($B28,0))*2&gt;=Q$2,1,0),"Not"))))-Q$3,"")</f>
        <v/>
      </c>
    </row>
    <row r="854" spans="1:5" x14ac:dyDescent="0.25">
      <c r="A854" t="s">
        <v>724</v>
      </c>
      <c r="B854" t="s">
        <v>359</v>
      </c>
      <c r="C854" t="s">
        <v>725</v>
      </c>
      <c r="D854" t="s">
        <v>1033</v>
      </c>
      <c r="E854" t="str">
        <f>IFERROR(AVERAGEIFS(Upload_Indiv[Score5],Upload_Indiv[[Player]:[Player]],$A29,Upload_Indiv[[Side]:[Side]],"Raintree Front")-IF(TRUNC(ROUND($B29,0)/9,0)=2,2+IF((ROUND($B29,0)-18)*2&gt;=G$2,1,0),IF(TRUNC(ROUND($B29,0)/9,0)=1,1+IF((ROUND($B29,0)-9)*2&gt;=G$2,1,0),IF(TRUNC(ROUND($B29,0)/9,0)=0,IF(TRUNC(ROUND($B29,0)/9,0)=0,0+IF((ROUND($B29,0))*2&gt;=G$2,1,0),"Not"))))-G$3,"")</f>
        <v/>
      </c>
    </row>
    <row r="855" spans="1:5" x14ac:dyDescent="0.25">
      <c r="A855" t="s">
        <v>724</v>
      </c>
      <c r="B855" t="s">
        <v>359</v>
      </c>
      <c r="C855" t="s">
        <v>725</v>
      </c>
      <c r="D855" t="s">
        <v>1467</v>
      </c>
      <c r="E855" t="str">
        <f>IFERROR(AVERAGEIFS(Upload_Indiv[Score5],Upload_Indiv[[Player]:[Player]],$A29,Upload_Indiv[[Side]:[Side]],"Raintree Back")-IF(TRUNC(ROUND($B29,0)/9,0)=2,2+IF((ROUND($B29,0)-18)*2&gt;=Q$2,1,0),IF(TRUNC(ROUND($B29,0)/9,0)=1,1+IF((ROUND($B29,0)-9)*2&gt;=Q$2,1,0),IF(TRUNC(ROUND($B29,0)/9,0)=0,IF(TRUNC(ROUND($B29,0)/9,0)=0,0+IF((ROUND($B29,0))*2&gt;=Q$2,1,0),"Not"))))-Q$3,"")</f>
        <v/>
      </c>
    </row>
    <row r="856" spans="1:5" x14ac:dyDescent="0.25">
      <c r="A856" t="s">
        <v>724</v>
      </c>
      <c r="B856" t="s">
        <v>359</v>
      </c>
      <c r="C856" t="s">
        <v>725</v>
      </c>
      <c r="D856" t="s">
        <v>1035</v>
      </c>
      <c r="E856" t="str">
        <f>IFERROR(AVERAGEIFS(Upload_Indiv[Score5],Upload_Indiv[[Player]:[Player]],$A30,Upload_Indiv[[Side]:[Side]],"Raintree Front")-IF(TRUNC(ROUND($B30,0)/9,0)=2,2+IF((ROUND($B30,0)-18)*2&gt;=G$2,1,0),IF(TRUNC(ROUND($B30,0)/9,0)=1,1+IF((ROUND($B30,0)-9)*2&gt;=G$2,1,0),IF(TRUNC(ROUND($B30,0)/9,0)=0,IF(TRUNC(ROUND($B30,0)/9,0)=0,0+IF((ROUND($B30,0))*2&gt;=G$2,1,0),"Not"))))-G$3,"")</f>
        <v/>
      </c>
    </row>
    <row r="857" spans="1:5" x14ac:dyDescent="0.25">
      <c r="A857" t="s">
        <v>724</v>
      </c>
      <c r="B857" t="s">
        <v>359</v>
      </c>
      <c r="C857" t="s">
        <v>725</v>
      </c>
      <c r="D857" t="s">
        <v>1468</v>
      </c>
      <c r="E857" t="str">
        <f>IFERROR(AVERAGEIFS(Upload_Indiv[Score5],Upload_Indiv[[Player]:[Player]],$A30,Upload_Indiv[[Side]:[Side]],"Raintree Back")-IF(TRUNC(ROUND($B30,0)/9,0)=2,2+IF((ROUND($B30,0)-18)*2&gt;=Q$2,1,0),IF(TRUNC(ROUND($B30,0)/9,0)=1,1+IF((ROUND($B30,0)-9)*2&gt;=Q$2,1,0),IF(TRUNC(ROUND($B30,0)/9,0)=0,IF(TRUNC(ROUND($B30,0)/9,0)=0,0+IF((ROUND($B30,0))*2&gt;=Q$2,1,0),"Not"))))-Q$3,"")</f>
        <v/>
      </c>
    </row>
    <row r="858" spans="1:5" x14ac:dyDescent="0.25">
      <c r="A858" t="s">
        <v>724</v>
      </c>
      <c r="B858" t="s">
        <v>359</v>
      </c>
      <c r="C858" t="s">
        <v>725</v>
      </c>
      <c r="D858" t="s">
        <v>1037</v>
      </c>
      <c r="E858" t="str">
        <f>IFERROR(AVERAGEIFS(Upload_Indiv[Score5],Upload_Indiv[[Player]:[Player]],$A31,Upload_Indiv[[Side]:[Side]],"Raintree Front")-IF(TRUNC(ROUND($B31,0)/9,0)=2,2+IF((ROUND($B31,0)-18)*2&gt;=G$2,1,0),IF(TRUNC(ROUND($B31,0)/9,0)=1,1+IF((ROUND($B31,0)-9)*2&gt;=G$2,1,0),IF(TRUNC(ROUND($B31,0)/9,0)=0,IF(TRUNC(ROUND($B31,0)/9,0)=0,0+IF((ROUND($B31,0))*2&gt;=G$2,1,0),"Not"))))-G$3,"")</f>
        <v/>
      </c>
    </row>
    <row r="859" spans="1:5" x14ac:dyDescent="0.25">
      <c r="A859" t="s">
        <v>724</v>
      </c>
      <c r="B859" t="s">
        <v>359</v>
      </c>
      <c r="C859" t="s">
        <v>725</v>
      </c>
      <c r="D859" t="s">
        <v>1469</v>
      </c>
      <c r="E859" t="str">
        <f>IFERROR(AVERAGEIFS(Upload_Indiv[Score5],Upload_Indiv[[Player]:[Player]],$A31,Upload_Indiv[[Side]:[Side]],"Raintree Back")-IF(TRUNC(ROUND($B31,0)/9,0)=2,2+IF((ROUND($B31,0)-18)*2&gt;=Q$2,1,0),IF(TRUNC(ROUND($B31,0)/9,0)=1,1+IF((ROUND($B31,0)-9)*2&gt;=Q$2,1,0),IF(TRUNC(ROUND($B31,0)/9,0)=0,IF(TRUNC(ROUND($B31,0)/9,0)=0,0+IF((ROUND($B31,0))*2&gt;=Q$2,1,0),"Not"))))-Q$3,"")</f>
        <v/>
      </c>
    </row>
    <row r="860" spans="1:5" x14ac:dyDescent="0.25">
      <c r="A860" t="s">
        <v>724</v>
      </c>
      <c r="B860" t="s">
        <v>359</v>
      </c>
      <c r="C860" t="s">
        <v>725</v>
      </c>
      <c r="D860" t="s">
        <v>1039</v>
      </c>
      <c r="E860" t="str">
        <f>IFERROR(AVERAGEIFS(Upload_Indiv[Score5],Upload_Indiv[[Player]:[Player]],$A32,Upload_Indiv[[Side]:[Side]],"Raintree Front")-IF(TRUNC(ROUND($B32,0)/9,0)=2,2+IF((ROUND($B32,0)-18)*2&gt;=G$2,1,0),IF(TRUNC(ROUND($B32,0)/9,0)=1,1+IF((ROUND($B32,0)-9)*2&gt;=G$2,1,0),IF(TRUNC(ROUND($B32,0)/9,0)=0,IF(TRUNC(ROUND($B32,0)/9,0)=0,0+IF((ROUND($B32,0))*2&gt;=G$2,1,0),"Not"))))-G$3,"")</f>
        <v/>
      </c>
    </row>
    <row r="861" spans="1:5" x14ac:dyDescent="0.25">
      <c r="A861" t="s">
        <v>724</v>
      </c>
      <c r="B861" t="s">
        <v>359</v>
      </c>
      <c r="C861" t="s">
        <v>725</v>
      </c>
      <c r="D861" t="s">
        <v>1470</v>
      </c>
      <c r="E861" t="str">
        <f>IFERROR(AVERAGEIFS(Upload_Indiv[Score5],Upload_Indiv[[Player]:[Player]],$A32,Upload_Indiv[[Side]:[Side]],"Raintree Back")-IF(TRUNC(ROUND($B32,0)/9,0)=2,2+IF((ROUND($B32,0)-18)*2&gt;=Q$2,1,0),IF(TRUNC(ROUND($B32,0)/9,0)=1,1+IF((ROUND($B32,0)-9)*2&gt;=Q$2,1,0),IF(TRUNC(ROUND($B32,0)/9,0)=0,IF(TRUNC(ROUND($B32,0)/9,0)=0,0+IF((ROUND($B32,0))*2&gt;=Q$2,1,0),"Not"))))-Q$3,"")</f>
        <v/>
      </c>
    </row>
    <row r="862" spans="1:5" x14ac:dyDescent="0.25">
      <c r="A862" t="s">
        <v>724</v>
      </c>
      <c r="B862" t="s">
        <v>359</v>
      </c>
      <c r="C862" t="s">
        <v>725</v>
      </c>
      <c r="D862" t="s">
        <v>1041</v>
      </c>
      <c r="E862" t="str">
        <f>IFERROR(AVERAGEIFS(Upload_Indiv[Score5],Upload_Indiv[[Player]:[Player]],$A33,Upload_Indiv[[Side]:[Side]],"Raintree Front")-IF(TRUNC(ROUND($B33,0)/9,0)=2,2+IF((ROUND($B33,0)-18)*2&gt;=G$2,1,0),IF(TRUNC(ROUND($B33,0)/9,0)=1,1+IF((ROUND($B33,0)-9)*2&gt;=G$2,1,0),IF(TRUNC(ROUND($B33,0)/9,0)=0,IF(TRUNC(ROUND($B33,0)/9,0)=0,0+IF((ROUND($B33,0))*2&gt;=G$2,1,0),"Not"))))-G$3,"")</f>
        <v/>
      </c>
    </row>
    <row r="863" spans="1:5" x14ac:dyDescent="0.25">
      <c r="A863" t="s">
        <v>724</v>
      </c>
      <c r="B863" t="s">
        <v>359</v>
      </c>
      <c r="C863" t="s">
        <v>725</v>
      </c>
      <c r="D863" t="s">
        <v>1471</v>
      </c>
      <c r="E863" t="str">
        <f>IFERROR(AVERAGEIFS(Upload_Indiv[Score5],Upload_Indiv[[Player]:[Player]],$A33,Upload_Indiv[[Side]:[Side]],"Raintree Back")-IF(TRUNC(ROUND($B33,0)/9,0)=2,2+IF((ROUND($B33,0)-18)*2&gt;=Q$2,1,0),IF(TRUNC(ROUND($B33,0)/9,0)=1,1+IF((ROUND($B33,0)-9)*2&gt;=Q$2,1,0),IF(TRUNC(ROUND($B33,0)/9,0)=0,IF(TRUNC(ROUND($B33,0)/9,0)=0,0+IF((ROUND($B33,0))*2&gt;=Q$2,1,0),"Not"))))-Q$3,"")</f>
        <v/>
      </c>
    </row>
    <row r="864" spans="1:5" x14ac:dyDescent="0.25">
      <c r="A864" t="s">
        <v>724</v>
      </c>
      <c r="B864" t="s">
        <v>359</v>
      </c>
      <c r="C864" t="s">
        <v>725</v>
      </c>
      <c r="D864" t="s">
        <v>1043</v>
      </c>
      <c r="E864" t="str">
        <f>IFERROR(AVERAGEIFS(Upload_Indiv[Score5],Upload_Indiv[[Player]:[Player]],$A34,Upload_Indiv[[Side]:[Side]],"Raintree Front")-IF(TRUNC(ROUND($B34,0)/9,0)=2,2+IF((ROUND($B34,0)-18)*2&gt;=G$2,1,0),IF(TRUNC(ROUND($B34,0)/9,0)=1,1+IF((ROUND($B34,0)-9)*2&gt;=G$2,1,0),IF(TRUNC(ROUND($B34,0)/9,0)=0,IF(TRUNC(ROUND($B34,0)/9,0)=0,0+IF((ROUND($B34,0))*2&gt;=G$2,1,0),"Not"))))-G$3,"")</f>
        <v/>
      </c>
    </row>
    <row r="865" spans="1:5" x14ac:dyDescent="0.25">
      <c r="A865" t="s">
        <v>724</v>
      </c>
      <c r="B865" t="s">
        <v>359</v>
      </c>
      <c r="C865" t="s">
        <v>725</v>
      </c>
      <c r="D865" t="s">
        <v>1472</v>
      </c>
      <c r="E865" t="str">
        <f>IFERROR(AVERAGEIFS(Upload_Indiv[Score5],Upload_Indiv[[Player]:[Player]],$A34,Upload_Indiv[[Side]:[Side]],"Raintree Back")-IF(TRUNC(ROUND($B34,0)/9,0)=2,2+IF((ROUND($B34,0)-18)*2&gt;=Q$2,1,0),IF(TRUNC(ROUND($B34,0)/9,0)=1,1+IF((ROUND($B34,0)-9)*2&gt;=Q$2,1,0),IF(TRUNC(ROUND($B34,0)/9,0)=0,IF(TRUNC(ROUND($B34,0)/9,0)=0,0+IF((ROUND($B34,0))*2&gt;=Q$2,1,0),"Not"))))-Q$3,"")</f>
        <v/>
      </c>
    </row>
    <row r="866" spans="1:5" x14ac:dyDescent="0.25">
      <c r="A866" t="s">
        <v>724</v>
      </c>
      <c r="B866" t="s">
        <v>359</v>
      </c>
      <c r="C866" t="s">
        <v>725</v>
      </c>
      <c r="D866" t="s">
        <v>1045</v>
      </c>
      <c r="E866" t="str">
        <f>IFERROR(AVERAGEIFS(Upload_Indiv[Score5],Upload_Indiv[[Player]:[Player]],$A35,Upload_Indiv[[Side]:[Side]],"Raintree Front")-IF(TRUNC(ROUND($B35,0)/9,0)=2,2+IF((ROUND($B35,0)-18)*2&gt;=G$2,1,0),IF(TRUNC(ROUND($B35,0)/9,0)=1,1+IF((ROUND($B35,0)-9)*2&gt;=G$2,1,0),IF(TRUNC(ROUND($B35,0)/9,0)=0,IF(TRUNC(ROUND($B35,0)/9,0)=0,0+IF((ROUND($B35,0))*2&gt;=G$2,1,0),"Not"))))-G$3,"")</f>
        <v/>
      </c>
    </row>
    <row r="867" spans="1:5" x14ac:dyDescent="0.25">
      <c r="A867" t="s">
        <v>724</v>
      </c>
      <c r="B867" t="s">
        <v>359</v>
      </c>
      <c r="C867" t="s">
        <v>725</v>
      </c>
      <c r="D867" t="s">
        <v>1473</v>
      </c>
      <c r="E867" t="str">
        <f>IFERROR(AVERAGEIFS(Upload_Indiv[Score5],Upload_Indiv[[Player]:[Player]],$A35,Upload_Indiv[[Side]:[Side]],"Raintree Back")-IF(TRUNC(ROUND($B35,0)/9,0)=2,2+IF((ROUND($B35,0)-18)*2&gt;=Q$2,1,0),IF(TRUNC(ROUND($B35,0)/9,0)=1,1+IF((ROUND($B35,0)-9)*2&gt;=Q$2,1,0),IF(TRUNC(ROUND($B35,0)/9,0)=0,IF(TRUNC(ROUND($B35,0)/9,0)=0,0+IF((ROUND($B35,0))*2&gt;=Q$2,1,0),"Not"))))-Q$3,"")</f>
        <v/>
      </c>
    </row>
    <row r="868" spans="1:5" x14ac:dyDescent="0.25">
      <c r="A868" t="s">
        <v>724</v>
      </c>
      <c r="B868" t="s">
        <v>359</v>
      </c>
      <c r="C868" t="s">
        <v>725</v>
      </c>
      <c r="D868" t="s">
        <v>1047</v>
      </c>
      <c r="E868" t="str">
        <f>IFERROR(AVERAGEIFS(Upload_Indiv[Score5],Upload_Indiv[[Player]:[Player]],$A36,Upload_Indiv[[Side]:[Side]],"Raintree Front")-IF(TRUNC(ROUND($B36,0)/9,0)=2,2+IF((ROUND($B36,0)-18)*2&gt;=G$2,1,0),IF(TRUNC(ROUND($B36,0)/9,0)=1,1+IF((ROUND($B36,0)-9)*2&gt;=G$2,1,0),IF(TRUNC(ROUND($B36,0)/9,0)=0,IF(TRUNC(ROUND($B36,0)/9,0)=0,0+IF((ROUND($B36,0))*2&gt;=G$2,1,0),"Not"))))-G$3,"")</f>
        <v/>
      </c>
    </row>
    <row r="869" spans="1:5" x14ac:dyDescent="0.25">
      <c r="A869" t="s">
        <v>724</v>
      </c>
      <c r="B869" t="s">
        <v>359</v>
      </c>
      <c r="C869" t="s">
        <v>725</v>
      </c>
      <c r="D869" t="s">
        <v>1474</v>
      </c>
      <c r="E869" t="str">
        <f>IFERROR(AVERAGEIFS(Upload_Indiv[Score5],Upload_Indiv[[Player]:[Player]],$A36,Upload_Indiv[[Side]:[Side]],"Raintree Back")-IF(TRUNC(ROUND($B36,0)/9,0)=2,2+IF((ROUND($B36,0)-18)*2&gt;=Q$2,1,0),IF(TRUNC(ROUND($B36,0)/9,0)=1,1+IF((ROUND($B36,0)-9)*2&gt;=Q$2,1,0),IF(TRUNC(ROUND($B36,0)/9,0)=0,IF(TRUNC(ROUND($B36,0)/9,0)=0,0+IF((ROUND($B36,0))*2&gt;=Q$2,1,0),"Not"))))-Q$3,"")</f>
        <v/>
      </c>
    </row>
    <row r="870" spans="1:5" x14ac:dyDescent="0.25">
      <c r="A870" t="s">
        <v>724</v>
      </c>
      <c r="B870" t="s">
        <v>359</v>
      </c>
      <c r="C870" t="s">
        <v>725</v>
      </c>
      <c r="D870" t="s">
        <v>1049</v>
      </c>
      <c r="E870" t="str">
        <f>IFERROR(AVERAGEIFS(Upload_Indiv[Score5],Upload_Indiv[[Player]:[Player]],$A37,Upload_Indiv[[Side]:[Side]],"Raintree Front")-IF(TRUNC(ROUND($B37,0)/9,0)=2,2+IF((ROUND($B37,0)-18)*2&gt;=G$2,1,0),IF(TRUNC(ROUND($B37,0)/9,0)=1,1+IF((ROUND($B37,0)-9)*2&gt;=G$2,1,0),IF(TRUNC(ROUND($B37,0)/9,0)=0,IF(TRUNC(ROUND($B37,0)/9,0)=0,0+IF((ROUND($B37,0))*2&gt;=G$2,1,0),"Not"))))-G$3,"")</f>
        <v/>
      </c>
    </row>
    <row r="871" spans="1:5" x14ac:dyDescent="0.25">
      <c r="A871" t="s">
        <v>724</v>
      </c>
      <c r="B871" t="s">
        <v>359</v>
      </c>
      <c r="C871" t="s">
        <v>725</v>
      </c>
      <c r="D871" t="s">
        <v>1475</v>
      </c>
      <c r="E871" t="str">
        <f>IFERROR(AVERAGEIFS(Upload_Indiv[Score5],Upload_Indiv[[Player]:[Player]],$A37,Upload_Indiv[[Side]:[Side]],"Raintree Back")-IF(TRUNC(ROUND($B37,0)/9,0)=2,2+IF((ROUND($B37,0)-18)*2&gt;=Q$2,1,0),IF(TRUNC(ROUND($B37,0)/9,0)=1,1+IF((ROUND($B37,0)-9)*2&gt;=Q$2,1,0),IF(TRUNC(ROUND($B37,0)/9,0)=0,IF(TRUNC(ROUND($B37,0)/9,0)=0,0+IF((ROUND($B37,0))*2&gt;=Q$2,1,0),"Not"))))-Q$3,"")</f>
        <v/>
      </c>
    </row>
    <row r="872" spans="1:5" x14ac:dyDescent="0.25">
      <c r="A872" t="s">
        <v>724</v>
      </c>
      <c r="B872" t="s">
        <v>359</v>
      </c>
      <c r="C872" t="s">
        <v>725</v>
      </c>
      <c r="D872" t="s">
        <v>1051</v>
      </c>
      <c r="E872" t="str">
        <f>IFERROR(AVERAGEIFS(Upload_Indiv[Score5],Upload_Indiv[[Player]:[Player]],$A38,Upload_Indiv[[Side]:[Side]],"Raintree Front")-IF(TRUNC(ROUND($B38,0)/9,0)=2,2+IF((ROUND($B38,0)-18)*2&gt;=G$2,1,0),IF(TRUNC(ROUND($B38,0)/9,0)=1,1+IF((ROUND($B38,0)-9)*2&gt;=G$2,1,0),IF(TRUNC(ROUND($B38,0)/9,0)=0,IF(TRUNC(ROUND($B38,0)/9,0)=0,0+IF((ROUND($B38,0))*2&gt;=G$2,1,0),"Not"))))-G$3,"")</f>
        <v/>
      </c>
    </row>
    <row r="873" spans="1:5" x14ac:dyDescent="0.25">
      <c r="A873" t="s">
        <v>724</v>
      </c>
      <c r="B873" t="s">
        <v>359</v>
      </c>
      <c r="C873" t="s">
        <v>725</v>
      </c>
      <c r="D873" t="s">
        <v>1476</v>
      </c>
      <c r="E873" t="str">
        <f>IFERROR(AVERAGEIFS(Upload_Indiv[Score5],Upload_Indiv[[Player]:[Player]],$A38,Upload_Indiv[[Side]:[Side]],"Raintree Back")-IF(TRUNC(ROUND($B38,0)/9,0)=2,2+IF((ROUND($B38,0)-18)*2&gt;=Q$2,1,0),IF(TRUNC(ROUND($B38,0)/9,0)=1,1+IF((ROUND($B38,0)-9)*2&gt;=Q$2,1,0),IF(TRUNC(ROUND($B38,0)/9,0)=0,IF(TRUNC(ROUND($B38,0)/9,0)=0,0+IF((ROUND($B38,0))*2&gt;=Q$2,1,0),"Not"))))-Q$3,"")</f>
        <v/>
      </c>
    </row>
    <row r="874" spans="1:5" x14ac:dyDescent="0.25">
      <c r="A874" t="s">
        <v>724</v>
      </c>
      <c r="B874" t="s">
        <v>359</v>
      </c>
      <c r="C874" t="s">
        <v>725</v>
      </c>
      <c r="D874" t="s">
        <v>1053</v>
      </c>
      <c r="E874" t="str">
        <f>IFERROR(AVERAGEIFS(Upload_Indiv[Score5],Upload_Indiv[[Player]:[Player]],$A39,Upload_Indiv[[Side]:[Side]],"Raintree Front")-IF(TRUNC(ROUND($B39,0)/9,0)=2,2+IF((ROUND($B39,0)-18)*2&gt;=G$2,1,0),IF(TRUNC(ROUND($B39,0)/9,0)=1,1+IF((ROUND($B39,0)-9)*2&gt;=G$2,1,0),IF(TRUNC(ROUND($B39,0)/9,0)=0,IF(TRUNC(ROUND($B39,0)/9,0)=0,0+IF((ROUND($B39,0))*2&gt;=G$2,1,0),"Not"))))-G$3,"")</f>
        <v/>
      </c>
    </row>
    <row r="875" spans="1:5" x14ac:dyDescent="0.25">
      <c r="A875" t="s">
        <v>724</v>
      </c>
      <c r="B875" t="s">
        <v>359</v>
      </c>
      <c r="C875" t="s">
        <v>725</v>
      </c>
      <c r="D875" t="s">
        <v>1477</v>
      </c>
      <c r="E875" t="str">
        <f>IFERROR(AVERAGEIFS(Upload_Indiv[Score5],Upload_Indiv[[Player]:[Player]],$A39,Upload_Indiv[[Side]:[Side]],"Raintree Back")-IF(TRUNC(ROUND($B39,0)/9,0)=2,2+IF((ROUND($B39,0)-18)*2&gt;=Q$2,1,0),IF(TRUNC(ROUND($B39,0)/9,0)=1,1+IF((ROUND($B39,0)-9)*2&gt;=Q$2,1,0),IF(TRUNC(ROUND($B39,0)/9,0)=0,IF(TRUNC(ROUND($B39,0)/9,0)=0,0+IF((ROUND($B39,0))*2&gt;=Q$2,1,0),"Not"))))-Q$3,"")</f>
        <v/>
      </c>
    </row>
    <row r="876" spans="1:5" x14ac:dyDescent="0.25">
      <c r="A876" t="s">
        <v>724</v>
      </c>
      <c r="B876" t="s">
        <v>359</v>
      </c>
      <c r="C876" t="s">
        <v>725</v>
      </c>
      <c r="D876" t="s">
        <v>1055</v>
      </c>
      <c r="E876" t="str">
        <f>IFERROR(AVERAGEIFS(Upload_Indiv[Score5],Upload_Indiv[[Player]:[Player]],$A40,Upload_Indiv[[Side]:[Side]],"Raintree Front")-IF(TRUNC(ROUND($B40,0)/9,0)=2,2+IF((ROUND($B40,0)-18)*2&gt;=G$2,1,0),IF(TRUNC(ROUND($B40,0)/9,0)=1,1+IF((ROUND($B40,0)-9)*2&gt;=G$2,1,0),IF(TRUNC(ROUND($B40,0)/9,0)=0,IF(TRUNC(ROUND($B40,0)/9,0)=0,0+IF((ROUND($B40,0))*2&gt;=G$2,1,0),"Not"))))-G$3,"")</f>
        <v/>
      </c>
    </row>
    <row r="877" spans="1:5" x14ac:dyDescent="0.25">
      <c r="A877" t="s">
        <v>724</v>
      </c>
      <c r="B877" t="s">
        <v>359</v>
      </c>
      <c r="C877" t="s">
        <v>725</v>
      </c>
      <c r="D877" t="s">
        <v>1478</v>
      </c>
      <c r="E877" t="str">
        <f>IFERROR(AVERAGEIFS(Upload_Indiv[Score5],Upload_Indiv[[Player]:[Player]],$A40,Upload_Indiv[[Side]:[Side]],"Raintree Back")-IF(TRUNC(ROUND($B40,0)/9,0)=2,2+IF((ROUND($B40,0)-18)*2&gt;=Q$2,1,0),IF(TRUNC(ROUND($B40,0)/9,0)=1,1+IF((ROUND($B40,0)-9)*2&gt;=Q$2,1,0),IF(TRUNC(ROUND($B40,0)/9,0)=0,IF(TRUNC(ROUND($B40,0)/9,0)=0,0+IF((ROUND($B40,0))*2&gt;=Q$2,1,0),"Not"))))-Q$3,"")</f>
        <v/>
      </c>
    </row>
    <row r="878" spans="1:5" x14ac:dyDescent="0.25">
      <c r="A878" t="s">
        <v>724</v>
      </c>
      <c r="B878" t="s">
        <v>359</v>
      </c>
      <c r="C878" t="s">
        <v>725</v>
      </c>
      <c r="D878" t="s">
        <v>1057</v>
      </c>
      <c r="E878" t="str">
        <f>IFERROR(AVERAGEIFS(Upload_Indiv[Score5],Upload_Indiv[[Player]:[Player]],$A41,Upload_Indiv[[Side]:[Side]],"Raintree Front")-IF(TRUNC(ROUND($B41,0)/9,0)=2,2+IF((ROUND($B41,0)-18)*2&gt;=G$2,1,0),IF(TRUNC(ROUND($B41,0)/9,0)=1,1+IF((ROUND($B41,0)-9)*2&gt;=G$2,1,0),IF(TRUNC(ROUND($B41,0)/9,0)=0,IF(TRUNC(ROUND($B41,0)/9,0)=0,0+IF((ROUND($B41,0))*2&gt;=G$2,1,0),"Not"))))-G$3,"")</f>
        <v/>
      </c>
    </row>
    <row r="879" spans="1:5" x14ac:dyDescent="0.25">
      <c r="A879" t="s">
        <v>724</v>
      </c>
      <c r="B879" t="s">
        <v>359</v>
      </c>
      <c r="C879" t="s">
        <v>725</v>
      </c>
      <c r="D879" t="s">
        <v>1479</v>
      </c>
      <c r="E879" t="str">
        <f>IFERROR(AVERAGEIFS(Upload_Indiv[Score5],Upload_Indiv[[Player]:[Player]],$A41,Upload_Indiv[[Side]:[Side]],"Raintree Back")-IF(TRUNC(ROUND($B41,0)/9,0)=2,2+IF((ROUND($B41,0)-18)*2&gt;=Q$2,1,0),IF(TRUNC(ROUND($B41,0)/9,0)=1,1+IF((ROUND($B41,0)-9)*2&gt;=Q$2,1,0),IF(TRUNC(ROUND($B41,0)/9,0)=0,IF(TRUNC(ROUND($B41,0)/9,0)=0,0+IF((ROUND($B41,0))*2&gt;=Q$2,1,0),"Not"))))-Q$3,"")</f>
        <v/>
      </c>
    </row>
    <row r="880" spans="1:5" x14ac:dyDescent="0.25">
      <c r="A880" t="s">
        <v>724</v>
      </c>
      <c r="B880" t="s">
        <v>359</v>
      </c>
      <c r="C880" t="s">
        <v>725</v>
      </c>
      <c r="D880" t="s">
        <v>1059</v>
      </c>
      <c r="E880" t="str">
        <f>IFERROR(AVERAGEIFS(Upload_Indiv[Score5],Upload_Indiv[[Player]:[Player]],$A42,Upload_Indiv[[Side]:[Side]],"Raintree Front")-IF(TRUNC(ROUND($B42,0)/9,0)=2,2+IF((ROUND($B42,0)-18)*2&gt;=G$2,1,0),IF(TRUNC(ROUND($B42,0)/9,0)=1,1+IF((ROUND($B42,0)-9)*2&gt;=G$2,1,0),IF(TRUNC(ROUND($B42,0)/9,0)=0,IF(TRUNC(ROUND($B42,0)/9,0)=0,0+IF((ROUND($B42,0))*2&gt;=G$2,1,0),"Not"))))-G$3,"")</f>
        <v/>
      </c>
    </row>
    <row r="881" spans="1:5" x14ac:dyDescent="0.25">
      <c r="A881" t="s">
        <v>724</v>
      </c>
      <c r="B881" t="s">
        <v>359</v>
      </c>
      <c r="C881" t="s">
        <v>725</v>
      </c>
      <c r="D881" t="s">
        <v>1480</v>
      </c>
      <c r="E881" t="str">
        <f>IFERROR(AVERAGEIFS(Upload_Indiv[Score5],Upload_Indiv[[Player]:[Player]],$A42,Upload_Indiv[[Side]:[Side]],"Raintree Back")-IF(TRUNC(ROUND($B42,0)/9,0)=2,2+IF((ROUND($B42,0)-18)*2&gt;=Q$2,1,0),IF(TRUNC(ROUND($B42,0)/9,0)=1,1+IF((ROUND($B42,0)-9)*2&gt;=Q$2,1,0),IF(TRUNC(ROUND($B42,0)/9,0)=0,IF(TRUNC(ROUND($B42,0)/9,0)=0,0+IF((ROUND($B42,0))*2&gt;=Q$2,1,0),"Not"))))-Q$3,"")</f>
        <v/>
      </c>
    </row>
    <row r="882" spans="1:5" x14ac:dyDescent="0.25">
      <c r="A882" t="s">
        <v>724</v>
      </c>
      <c r="B882" t="s">
        <v>359</v>
      </c>
      <c r="C882" t="s">
        <v>725</v>
      </c>
      <c r="D882" t="s">
        <v>1061</v>
      </c>
      <c r="E882" t="str">
        <f>IFERROR(AVERAGEIFS(Upload_Indiv[Score5],Upload_Indiv[[Player]:[Player]],$A43,Upload_Indiv[[Side]:[Side]],"Raintree Front")-IF(TRUNC(ROUND($B43,0)/9,0)=2,2+IF((ROUND($B43,0)-18)*2&gt;=G$2,1,0),IF(TRUNC(ROUND($B43,0)/9,0)=1,1+IF((ROUND($B43,0)-9)*2&gt;=G$2,1,0),IF(TRUNC(ROUND($B43,0)/9,0)=0,IF(TRUNC(ROUND($B43,0)/9,0)=0,0+IF((ROUND($B43,0))*2&gt;=G$2,1,0),"Not"))))-G$3,"")</f>
        <v/>
      </c>
    </row>
    <row r="883" spans="1:5" x14ac:dyDescent="0.25">
      <c r="A883" t="s">
        <v>724</v>
      </c>
      <c r="B883" t="s">
        <v>359</v>
      </c>
      <c r="C883" t="s">
        <v>725</v>
      </c>
      <c r="D883" t="s">
        <v>1481</v>
      </c>
      <c r="E883" t="str">
        <f>IFERROR(AVERAGEIFS(Upload_Indiv[Score5],Upload_Indiv[[Player]:[Player]],$A43,Upload_Indiv[[Side]:[Side]],"Raintree Back")-IF(TRUNC(ROUND($B43,0)/9,0)=2,2+IF((ROUND($B43,0)-18)*2&gt;=Q$2,1,0),IF(TRUNC(ROUND($B43,0)/9,0)=1,1+IF((ROUND($B43,0)-9)*2&gt;=Q$2,1,0),IF(TRUNC(ROUND($B43,0)/9,0)=0,IF(TRUNC(ROUND($B43,0)/9,0)=0,0+IF((ROUND($B43,0))*2&gt;=Q$2,1,0),"Not"))))-Q$3,"")</f>
        <v/>
      </c>
    </row>
    <row r="884" spans="1:5" x14ac:dyDescent="0.25">
      <c r="A884" t="s">
        <v>724</v>
      </c>
      <c r="B884" t="s">
        <v>359</v>
      </c>
      <c r="C884" t="s">
        <v>725</v>
      </c>
      <c r="D884" t="s">
        <v>1063</v>
      </c>
      <c r="E884" t="str">
        <f>IFERROR(AVERAGEIFS(Upload_Indiv[Score5],Upload_Indiv[[Player]:[Player]],$A44,Upload_Indiv[[Side]:[Side]],"Raintree Front")-IF(TRUNC(ROUND($B44,0)/9,0)=2,2+IF((ROUND($B44,0)-18)*2&gt;=G$2,1,0),IF(TRUNC(ROUND($B44,0)/9,0)=1,1+IF((ROUND($B44,0)-9)*2&gt;=G$2,1,0),IF(TRUNC(ROUND($B44,0)/9,0)=0,IF(TRUNC(ROUND($B44,0)/9,0)=0,0+IF((ROUND($B44,0))*2&gt;=G$2,1,0),"Not"))))-G$3,"")</f>
        <v/>
      </c>
    </row>
    <row r="885" spans="1:5" x14ac:dyDescent="0.25">
      <c r="A885" t="s">
        <v>724</v>
      </c>
      <c r="B885" t="s">
        <v>359</v>
      </c>
      <c r="C885" t="s">
        <v>725</v>
      </c>
      <c r="D885" t="s">
        <v>1482</v>
      </c>
      <c r="E885" t="str">
        <f>IFERROR(AVERAGEIFS(Upload_Indiv[Score5],Upload_Indiv[[Player]:[Player]],$A44,Upload_Indiv[[Side]:[Side]],"Raintree Back")-IF(TRUNC(ROUND($B44,0)/9,0)=2,2+IF((ROUND($B44,0)-18)*2&gt;=Q$2,1,0),IF(TRUNC(ROUND($B44,0)/9,0)=1,1+IF((ROUND($B44,0)-9)*2&gt;=Q$2,1,0),IF(TRUNC(ROUND($B44,0)/9,0)=0,IF(TRUNC(ROUND($B44,0)/9,0)=0,0+IF((ROUND($B44,0))*2&gt;=Q$2,1,0),"Not"))))-Q$3,"")</f>
        <v/>
      </c>
    </row>
    <row r="886" spans="1:5" x14ac:dyDescent="0.25">
      <c r="A886" t="s">
        <v>724</v>
      </c>
      <c r="B886" t="s">
        <v>359</v>
      </c>
      <c r="C886" t="s">
        <v>725</v>
      </c>
      <c r="D886" t="s">
        <v>1065</v>
      </c>
      <c r="E886" t="str">
        <f>IFERROR(AVERAGEIFS(Upload_Indiv[Score5],Upload_Indiv[[Player]:[Player]],$A45,Upload_Indiv[[Side]:[Side]],"Raintree Front")-IF(TRUNC(ROUND($B45,0)/9,0)=2,2+IF((ROUND($B45,0)-18)*2&gt;=G$2,1,0),IF(TRUNC(ROUND($B45,0)/9,0)=1,1+IF((ROUND($B45,0)-9)*2&gt;=G$2,1,0),IF(TRUNC(ROUND($B45,0)/9,0)=0,IF(TRUNC(ROUND($B45,0)/9,0)=0,0+IF((ROUND($B45,0))*2&gt;=G$2,1,0),"Not"))))-G$3,"")</f>
        <v/>
      </c>
    </row>
    <row r="887" spans="1:5" x14ac:dyDescent="0.25">
      <c r="A887" t="s">
        <v>724</v>
      </c>
      <c r="B887" t="s">
        <v>359</v>
      </c>
      <c r="C887" t="s">
        <v>725</v>
      </c>
      <c r="D887" t="s">
        <v>1483</v>
      </c>
      <c r="E887" t="str">
        <f>IFERROR(AVERAGEIFS(Upload_Indiv[Score5],Upload_Indiv[[Player]:[Player]],$A45,Upload_Indiv[[Side]:[Side]],"Raintree Back")-IF(TRUNC(ROUND($B45,0)/9,0)=2,2+IF((ROUND($B45,0)-18)*2&gt;=Q$2,1,0),IF(TRUNC(ROUND($B45,0)/9,0)=1,1+IF((ROUND($B45,0)-9)*2&gt;=Q$2,1,0),IF(TRUNC(ROUND($B45,0)/9,0)=0,IF(TRUNC(ROUND($B45,0)/9,0)=0,0+IF((ROUND($B45,0))*2&gt;=Q$2,1,0),"Not"))))-Q$3,"")</f>
        <v/>
      </c>
    </row>
    <row r="888" spans="1:5" x14ac:dyDescent="0.25">
      <c r="A888" t="s">
        <v>724</v>
      </c>
      <c r="B888" t="s">
        <v>359</v>
      </c>
      <c r="C888" t="s">
        <v>725</v>
      </c>
      <c r="D888" t="s">
        <v>1067</v>
      </c>
      <c r="E888" t="str">
        <f>IFERROR(AVERAGEIFS(Upload_Indiv[Score5],Upload_Indiv[[Player]:[Player]],$A46,Upload_Indiv[[Side]:[Side]],"Raintree Front")-IF(TRUNC(ROUND($B46,0)/9,0)=2,2+IF((ROUND($B46,0)-18)*2&gt;=G$2,1,0),IF(TRUNC(ROUND($B46,0)/9,0)=1,1+IF((ROUND($B46,0)-9)*2&gt;=G$2,1,0),IF(TRUNC(ROUND($B46,0)/9,0)=0,IF(TRUNC(ROUND($B46,0)/9,0)=0,0+IF((ROUND($B46,0))*2&gt;=G$2,1,0),"Not"))))-G$3,"")</f>
        <v/>
      </c>
    </row>
    <row r="889" spans="1:5" x14ac:dyDescent="0.25">
      <c r="A889" t="s">
        <v>724</v>
      </c>
      <c r="B889" t="s">
        <v>359</v>
      </c>
      <c r="C889" t="s">
        <v>725</v>
      </c>
      <c r="D889" t="s">
        <v>1484</v>
      </c>
      <c r="E889" t="str">
        <f>IFERROR(AVERAGEIFS(Upload_Indiv[Score5],Upload_Indiv[[Player]:[Player]],$A46,Upload_Indiv[[Side]:[Side]],"Raintree Back")-IF(TRUNC(ROUND($B46,0)/9,0)=2,2+IF((ROUND($B46,0)-18)*2&gt;=Q$2,1,0),IF(TRUNC(ROUND($B46,0)/9,0)=1,1+IF((ROUND($B46,0)-9)*2&gt;=Q$2,1,0),IF(TRUNC(ROUND($B46,0)/9,0)=0,IF(TRUNC(ROUND($B46,0)/9,0)=0,0+IF((ROUND($B46,0))*2&gt;=Q$2,1,0),"Not"))))-Q$3,"")</f>
        <v/>
      </c>
    </row>
    <row r="890" spans="1:5" x14ac:dyDescent="0.25">
      <c r="A890" t="s">
        <v>724</v>
      </c>
      <c r="B890" t="s">
        <v>359</v>
      </c>
      <c r="C890" t="s">
        <v>725</v>
      </c>
      <c r="D890" t="s">
        <v>1069</v>
      </c>
      <c r="E890" t="str">
        <f>IFERROR(AVERAGEIFS(Upload_Indiv[Score5],Upload_Indiv[[Player]:[Player]],$A47,Upload_Indiv[[Side]:[Side]],"Raintree Front")-IF(TRUNC(ROUND($B47,0)/9,0)=2,2+IF((ROUND($B47,0)-18)*2&gt;=G$2,1,0),IF(TRUNC(ROUND($B47,0)/9,0)=1,1+IF((ROUND($B47,0)-9)*2&gt;=G$2,1,0),IF(TRUNC(ROUND($B47,0)/9,0)=0,IF(TRUNC(ROUND($B47,0)/9,0)=0,0+IF((ROUND($B47,0))*2&gt;=G$2,1,0),"Not"))))-G$3,"")</f>
        <v/>
      </c>
    </row>
    <row r="891" spans="1:5" x14ac:dyDescent="0.25">
      <c r="A891" t="s">
        <v>724</v>
      </c>
      <c r="B891" t="s">
        <v>359</v>
      </c>
      <c r="C891" t="s">
        <v>725</v>
      </c>
      <c r="D891" t="s">
        <v>1485</v>
      </c>
      <c r="E891" t="str">
        <f>IFERROR(AVERAGEIFS(Upload_Indiv[Score5],Upload_Indiv[[Player]:[Player]],$A47,Upload_Indiv[[Side]:[Side]],"Raintree Back")-IF(TRUNC(ROUND($B47,0)/9,0)=2,2+IF((ROUND($B47,0)-18)*2&gt;=Q$2,1,0),IF(TRUNC(ROUND($B47,0)/9,0)=1,1+IF((ROUND($B47,0)-9)*2&gt;=Q$2,1,0),IF(TRUNC(ROUND($B47,0)/9,0)=0,IF(TRUNC(ROUND($B47,0)/9,0)=0,0+IF((ROUND($B47,0))*2&gt;=Q$2,1,0),"Not"))))-Q$3,"")</f>
        <v/>
      </c>
    </row>
    <row r="892" spans="1:5" x14ac:dyDescent="0.25">
      <c r="A892" t="s">
        <v>724</v>
      </c>
      <c r="B892" t="s">
        <v>359</v>
      </c>
      <c r="C892" t="s">
        <v>725</v>
      </c>
      <c r="D892" t="s">
        <v>1071</v>
      </c>
      <c r="E892" t="str">
        <f>IFERROR(AVERAGEIFS(Upload_Indiv[Score5],Upload_Indiv[[Player]:[Player]],$A48,Upload_Indiv[[Side]:[Side]],"Raintree Front")-IF(TRUNC(ROUND($B48,0)/9,0)=2,2+IF((ROUND($B48,0)-18)*2&gt;=G$2,1,0),IF(TRUNC(ROUND($B48,0)/9,0)=1,1+IF((ROUND($B48,0)-9)*2&gt;=G$2,1,0),IF(TRUNC(ROUND($B48,0)/9,0)=0,IF(TRUNC(ROUND($B48,0)/9,0)=0,0+IF((ROUND($B48,0))*2&gt;=G$2,1,0),"Not"))))-G$3,"")</f>
        <v/>
      </c>
    </row>
    <row r="893" spans="1:5" x14ac:dyDescent="0.25">
      <c r="A893" t="s">
        <v>724</v>
      </c>
      <c r="B893" t="s">
        <v>359</v>
      </c>
      <c r="C893" t="s">
        <v>725</v>
      </c>
      <c r="D893" t="s">
        <v>1486</v>
      </c>
      <c r="E893" t="str">
        <f>IFERROR(AVERAGEIFS(Upload_Indiv[Score5],Upload_Indiv[[Player]:[Player]],$A48,Upload_Indiv[[Side]:[Side]],"Raintree Back")-IF(TRUNC(ROUND($B48,0)/9,0)=2,2+IF((ROUND($B48,0)-18)*2&gt;=Q$2,1,0),IF(TRUNC(ROUND($B48,0)/9,0)=1,1+IF((ROUND($B48,0)-9)*2&gt;=Q$2,1,0),IF(TRUNC(ROUND($B48,0)/9,0)=0,IF(TRUNC(ROUND($B48,0)/9,0)=0,0+IF((ROUND($B48,0))*2&gt;=Q$2,1,0),"Not"))))-Q$3,"")</f>
        <v/>
      </c>
    </row>
    <row r="894" spans="1:5" x14ac:dyDescent="0.25">
      <c r="A894" t="s">
        <v>724</v>
      </c>
      <c r="B894" t="s">
        <v>359</v>
      </c>
      <c r="C894" t="s">
        <v>725</v>
      </c>
      <c r="D894" t="s">
        <v>1073</v>
      </c>
      <c r="E894" t="str">
        <f>IFERROR(AVERAGEIFS(Upload_Indiv[Score5],Upload_Indiv[[Player]:[Player]],$A49,Upload_Indiv[[Side]:[Side]],"Raintree Front")-IF(TRUNC(ROUND($B49,0)/9,0)=2,2+IF((ROUND($B49,0)-18)*2&gt;=G$2,1,0),IF(TRUNC(ROUND($B49,0)/9,0)=1,1+IF((ROUND($B49,0)-9)*2&gt;=G$2,1,0),IF(TRUNC(ROUND($B49,0)/9,0)=0,IF(TRUNC(ROUND($B49,0)/9,0)=0,0+IF((ROUND($B49,0))*2&gt;=G$2,1,0),"Not"))))-G$3,"")</f>
        <v/>
      </c>
    </row>
    <row r="895" spans="1:5" x14ac:dyDescent="0.25">
      <c r="A895" t="s">
        <v>724</v>
      </c>
      <c r="B895" t="s">
        <v>359</v>
      </c>
      <c r="C895" t="s">
        <v>725</v>
      </c>
      <c r="D895" t="s">
        <v>1487</v>
      </c>
      <c r="E895" t="str">
        <f>IFERROR(AVERAGEIFS(Upload_Indiv[Score5],Upload_Indiv[[Player]:[Player]],$A49,Upload_Indiv[[Side]:[Side]],"Raintree Back")-IF(TRUNC(ROUND($B49,0)/9,0)=2,2+IF((ROUND($B49,0)-18)*2&gt;=Q$2,1,0),IF(TRUNC(ROUND($B49,0)/9,0)=1,1+IF((ROUND($B49,0)-9)*2&gt;=Q$2,1,0),IF(TRUNC(ROUND($B49,0)/9,0)=0,IF(TRUNC(ROUND($B49,0)/9,0)=0,0+IF((ROUND($B49,0))*2&gt;=Q$2,1,0),"Not"))))-Q$3,"")</f>
        <v/>
      </c>
    </row>
    <row r="896" spans="1:5" x14ac:dyDescent="0.25">
      <c r="A896" t="s">
        <v>724</v>
      </c>
      <c r="B896" t="s">
        <v>359</v>
      </c>
      <c r="C896" t="s">
        <v>725</v>
      </c>
      <c r="D896" t="s">
        <v>1075</v>
      </c>
      <c r="E896" t="str">
        <f>IFERROR(AVERAGEIFS(Upload_Indiv[Score5],Upload_Indiv[[Player]:[Player]],$A50,Upload_Indiv[[Side]:[Side]],"Raintree Front")-IF(TRUNC(ROUND($B50,0)/9,0)=2,2+IF((ROUND($B50,0)-18)*2&gt;=G$2,1,0),IF(TRUNC(ROUND($B50,0)/9,0)=1,1+IF((ROUND($B50,0)-9)*2&gt;=G$2,1,0),IF(TRUNC(ROUND($B50,0)/9,0)=0,IF(TRUNC(ROUND($B50,0)/9,0)=0,0+IF((ROUND($B50,0))*2&gt;=G$2,1,0),"Not"))))-G$3,"")</f>
        <v/>
      </c>
    </row>
    <row r="897" spans="1:5" x14ac:dyDescent="0.25">
      <c r="A897" t="s">
        <v>724</v>
      </c>
      <c r="B897" t="s">
        <v>359</v>
      </c>
      <c r="C897" t="s">
        <v>725</v>
      </c>
      <c r="D897" t="s">
        <v>1488</v>
      </c>
      <c r="E897" t="str">
        <f>IFERROR(AVERAGEIFS(Upload_Indiv[Score5],Upload_Indiv[[Player]:[Player]],$A50,Upload_Indiv[[Side]:[Side]],"Raintree Back")-IF(TRUNC(ROUND($B50,0)/9,0)=2,2+IF((ROUND($B50,0)-18)*2&gt;=Q$2,1,0),IF(TRUNC(ROUND($B50,0)/9,0)=1,1+IF((ROUND($B50,0)-9)*2&gt;=Q$2,1,0),IF(TRUNC(ROUND($B50,0)/9,0)=0,IF(TRUNC(ROUND($B50,0)/9,0)=0,0+IF((ROUND($B50,0))*2&gt;=Q$2,1,0),"Not"))))-Q$3,"")</f>
        <v/>
      </c>
    </row>
    <row r="898" spans="1:5" x14ac:dyDescent="0.25">
      <c r="A898" t="s">
        <v>724</v>
      </c>
      <c r="B898" t="s">
        <v>359</v>
      </c>
      <c r="C898" t="s">
        <v>725</v>
      </c>
      <c r="D898" t="s">
        <v>1077</v>
      </c>
      <c r="E898" t="str">
        <f>IFERROR(AVERAGEIFS(Upload_Indiv[Score5],Upload_Indiv[[Player]:[Player]],$A51,Upload_Indiv[[Side]:[Side]],"Raintree Front")-IF(TRUNC(ROUND($B51,0)/9,0)=2,2+IF((ROUND($B51,0)-18)*2&gt;=G$2,1,0),IF(TRUNC(ROUND($B51,0)/9,0)=1,1+IF((ROUND($B51,0)-9)*2&gt;=G$2,1,0),IF(TRUNC(ROUND($B51,0)/9,0)=0,IF(TRUNC(ROUND($B51,0)/9,0)=0,0+IF((ROUND($B51,0))*2&gt;=G$2,1,0),"Not"))))-G$3,"")</f>
        <v/>
      </c>
    </row>
    <row r="899" spans="1:5" x14ac:dyDescent="0.25">
      <c r="A899" t="s">
        <v>724</v>
      </c>
      <c r="B899" t="s">
        <v>359</v>
      </c>
      <c r="C899" t="s">
        <v>725</v>
      </c>
      <c r="D899" t="s">
        <v>1489</v>
      </c>
      <c r="E899" t="str">
        <f>IFERROR(AVERAGEIFS(Upload_Indiv[Score5],Upload_Indiv[[Player]:[Player]],$A51,Upload_Indiv[[Side]:[Side]],"Raintree Back")-IF(TRUNC(ROUND($B51,0)/9,0)=2,2+IF((ROUND($B51,0)-18)*2&gt;=Q$2,1,0),IF(TRUNC(ROUND($B51,0)/9,0)=1,1+IF((ROUND($B51,0)-9)*2&gt;=Q$2,1,0),IF(TRUNC(ROUND($B51,0)/9,0)=0,IF(TRUNC(ROUND($B51,0)/9,0)=0,0+IF((ROUND($B51,0))*2&gt;=Q$2,1,0),"Not"))))-Q$3,"")</f>
        <v/>
      </c>
    </row>
    <row r="900" spans="1:5" x14ac:dyDescent="0.25">
      <c r="A900" t="s">
        <v>724</v>
      </c>
      <c r="B900" t="s">
        <v>359</v>
      </c>
      <c r="C900" t="s">
        <v>725</v>
      </c>
      <c r="D900" t="s">
        <v>1079</v>
      </c>
      <c r="E900" t="str">
        <f>IFERROR(AVERAGEIFS(Upload_Indiv[Score5],Upload_Indiv[[Player]:[Player]],$A52,Upload_Indiv[[Side]:[Side]],"Raintree Front")-IF(TRUNC(ROUND($B52,0)/9,0)=2,2+IF((ROUND($B52,0)-18)*2&gt;=G$2,1,0),IF(TRUNC(ROUND($B52,0)/9,0)=1,1+IF((ROUND($B52,0)-9)*2&gt;=G$2,1,0),IF(TRUNC(ROUND($B52,0)/9,0)=0,IF(TRUNC(ROUND($B52,0)/9,0)=0,0+IF((ROUND($B52,0))*2&gt;=G$2,1,0),"Not"))))-G$3,"")</f>
        <v/>
      </c>
    </row>
    <row r="901" spans="1:5" x14ac:dyDescent="0.25">
      <c r="A901" t="s">
        <v>724</v>
      </c>
      <c r="B901" t="s">
        <v>359</v>
      </c>
      <c r="C901" t="s">
        <v>725</v>
      </c>
      <c r="D901" t="s">
        <v>1490</v>
      </c>
      <c r="E901" t="str">
        <f>IFERROR(AVERAGEIFS(Upload_Indiv[Score5],Upload_Indiv[[Player]:[Player]],$A52,Upload_Indiv[[Side]:[Side]],"Raintree Back")-IF(TRUNC(ROUND($B52,0)/9,0)=2,2+IF((ROUND($B52,0)-18)*2&gt;=Q$2,1,0),IF(TRUNC(ROUND($B52,0)/9,0)=1,1+IF((ROUND($B52,0)-9)*2&gt;=Q$2,1,0),IF(TRUNC(ROUND($B52,0)/9,0)=0,IF(TRUNC(ROUND($B52,0)/9,0)=0,0+IF((ROUND($B52,0))*2&gt;=Q$2,1,0),"Not"))))-Q$3,"")</f>
        <v/>
      </c>
    </row>
    <row r="902" spans="1:5" x14ac:dyDescent="0.25">
      <c r="A902" t="s">
        <v>724</v>
      </c>
      <c r="B902" t="s">
        <v>359</v>
      </c>
      <c r="C902" t="s">
        <v>725</v>
      </c>
      <c r="D902" t="s">
        <v>1081</v>
      </c>
      <c r="E902" t="str">
        <f>IFERROR(AVERAGEIFS(Upload_Indiv[Score5],Upload_Indiv[[Player]:[Player]],$A53,Upload_Indiv[[Side]:[Side]],"Raintree Front")-IF(TRUNC(ROUND($B53,0)/9,0)=2,2+IF((ROUND($B53,0)-18)*2&gt;=G$2,1,0),IF(TRUNC(ROUND($B53,0)/9,0)=1,1+IF((ROUND($B53,0)-9)*2&gt;=G$2,1,0),IF(TRUNC(ROUND($B53,0)/9,0)=0,IF(TRUNC(ROUND($B53,0)/9,0)=0,0+IF((ROUND($B53,0))*2&gt;=G$2,1,0),"Not"))))-G$3,"")</f>
        <v/>
      </c>
    </row>
    <row r="903" spans="1:5" x14ac:dyDescent="0.25">
      <c r="A903" t="s">
        <v>724</v>
      </c>
      <c r="B903" t="s">
        <v>359</v>
      </c>
      <c r="C903" t="s">
        <v>725</v>
      </c>
      <c r="D903" t="s">
        <v>1491</v>
      </c>
      <c r="E903" t="str">
        <f>IFERROR(AVERAGEIFS(Upload_Indiv[Score5],Upload_Indiv[[Player]:[Player]],$A53,Upload_Indiv[[Side]:[Side]],"Raintree Back")-IF(TRUNC(ROUND($B53,0)/9,0)=2,2+IF((ROUND($B53,0)-18)*2&gt;=Q$2,1,0),IF(TRUNC(ROUND($B53,0)/9,0)=1,1+IF((ROUND($B53,0)-9)*2&gt;=Q$2,1,0),IF(TRUNC(ROUND($B53,0)/9,0)=0,IF(TRUNC(ROUND($B53,0)/9,0)=0,0+IF((ROUND($B53,0))*2&gt;=Q$2,1,0),"Not"))))-Q$3,"")</f>
        <v/>
      </c>
    </row>
    <row r="904" spans="1:5" x14ac:dyDescent="0.25">
      <c r="A904" t="s">
        <v>724</v>
      </c>
      <c r="B904" t="s">
        <v>359</v>
      </c>
      <c r="C904" t="s">
        <v>725</v>
      </c>
      <c r="D904" t="s">
        <v>1083</v>
      </c>
      <c r="E904" t="str">
        <f>IFERROR(AVERAGEIFS(Upload_Indiv[Score5],Upload_Indiv[[Player]:[Player]],$A54,Upload_Indiv[[Side]:[Side]],"Raintree Front")-IF(TRUNC(ROUND($B54,0)/9,0)=2,2+IF((ROUND($B54,0)-18)*2&gt;=G$2,1,0),IF(TRUNC(ROUND($B54,0)/9,0)=1,1+IF((ROUND($B54,0)-9)*2&gt;=G$2,1,0),IF(TRUNC(ROUND($B54,0)/9,0)=0,IF(TRUNC(ROUND($B54,0)/9,0)=0,0+IF((ROUND($B54,0))*2&gt;=G$2,1,0),"Not"))))-G$3,"")</f>
        <v/>
      </c>
    </row>
    <row r="905" spans="1:5" x14ac:dyDescent="0.25">
      <c r="A905" t="s">
        <v>724</v>
      </c>
      <c r="B905" t="s">
        <v>359</v>
      </c>
      <c r="C905" t="s">
        <v>725</v>
      </c>
      <c r="D905" t="s">
        <v>1492</v>
      </c>
      <c r="E905" t="str">
        <f>IFERROR(AVERAGEIFS(Upload_Indiv[Score5],Upload_Indiv[[Player]:[Player]],$A54,Upload_Indiv[[Side]:[Side]],"Raintree Back")-IF(TRUNC(ROUND($B54,0)/9,0)=2,2+IF((ROUND($B54,0)-18)*2&gt;=Q$2,1,0),IF(TRUNC(ROUND($B54,0)/9,0)=1,1+IF((ROUND($B54,0)-9)*2&gt;=Q$2,1,0),IF(TRUNC(ROUND($B54,0)/9,0)=0,IF(TRUNC(ROUND($B54,0)/9,0)=0,0+IF((ROUND($B54,0))*2&gt;=Q$2,1,0),"Not"))))-Q$3,"")</f>
        <v/>
      </c>
    </row>
    <row r="906" spans="1:5" x14ac:dyDescent="0.25">
      <c r="A906" t="s">
        <v>724</v>
      </c>
      <c r="B906" t="s">
        <v>359</v>
      </c>
      <c r="C906" t="s">
        <v>725</v>
      </c>
      <c r="D906" t="s">
        <v>1493</v>
      </c>
      <c r="E906" t="str">
        <f>IFERROR(AVERAGEIFS(Upload_Indiv[Score5],Upload_Indiv[[Player]:[Player]],$A55,Upload_Indiv[[Side]:[Side]],"Raintree Front")-IF(TRUNC(ROUND($B55,0)/9,0)=2,2+IF((ROUND($B55,0)-18)*2&gt;=G$2,1,0),IF(TRUNC(ROUND($B55,0)/9,0)=1,1+IF((ROUND($B55,0)-9)*2&gt;=G$2,1,0),IF(TRUNC(ROUND($B55,0)/9,0)=0,IF(TRUNC(ROUND($B55,0)/9,0)=0,0+IF((ROUND($B55,0))*2&gt;=G$2,1,0),"Not"))))-G$3,"")</f>
        <v/>
      </c>
    </row>
    <row r="907" spans="1:5" x14ac:dyDescent="0.25">
      <c r="A907" t="s">
        <v>724</v>
      </c>
      <c r="B907" t="s">
        <v>359</v>
      </c>
      <c r="C907" t="s">
        <v>725</v>
      </c>
      <c r="D907" t="s">
        <v>1494</v>
      </c>
      <c r="E907" t="str">
        <f>IFERROR(AVERAGEIFS(Upload_Indiv[Score5],Upload_Indiv[[Player]:[Player]],$A55,Upload_Indiv[[Side]:[Side]],"Raintree Back")-IF(TRUNC(ROUND($B55,0)/9,0)=2,2+IF((ROUND($B55,0)-18)*2&gt;=Q$2,1,0),IF(TRUNC(ROUND($B55,0)/9,0)=1,1+IF((ROUND($B55,0)-9)*2&gt;=Q$2,1,0),IF(TRUNC(ROUND($B55,0)/9,0)=0,IF(TRUNC(ROUND($B55,0)/9,0)=0,0+IF((ROUND($B55,0))*2&gt;=Q$2,1,0),"Not"))))-Q$3,"")</f>
        <v/>
      </c>
    </row>
    <row r="908" spans="1:5" x14ac:dyDescent="0.25">
      <c r="A908" t="s">
        <v>724</v>
      </c>
      <c r="B908" t="s">
        <v>359</v>
      </c>
      <c r="C908" t="s">
        <v>725</v>
      </c>
      <c r="D908" t="s">
        <v>1495</v>
      </c>
      <c r="E908" t="str">
        <f>IFERROR(AVERAGEIFS(Upload_Indiv[Score5],Upload_Indiv[[Player]:[Player]],$A56,Upload_Indiv[[Side]:[Side]],"Raintree Front")-IF(TRUNC(ROUND($B56,0)/9,0)=2,2+IF((ROUND($B56,0)-18)*2&gt;=G$2,1,0),IF(TRUNC(ROUND($B56,0)/9,0)=1,1+IF((ROUND($B56,0)-9)*2&gt;=G$2,1,0),IF(TRUNC(ROUND($B56,0)/9,0)=0,IF(TRUNC(ROUND($B56,0)/9,0)=0,0+IF((ROUND($B56,0))*2&gt;=G$2,1,0),"Not"))))-G$3,"")</f>
        <v/>
      </c>
    </row>
    <row r="909" spans="1:5" x14ac:dyDescent="0.25">
      <c r="A909" t="s">
        <v>724</v>
      </c>
      <c r="B909" t="s">
        <v>359</v>
      </c>
      <c r="C909" t="s">
        <v>725</v>
      </c>
      <c r="D909" t="s">
        <v>1496</v>
      </c>
      <c r="E909" t="str">
        <f>IFERROR(AVERAGEIFS(Upload_Indiv[Score5],Upload_Indiv[[Player]:[Player]],$A56,Upload_Indiv[[Side]:[Side]],"Raintree Back")-IF(TRUNC(ROUND($B56,0)/9,0)=2,2+IF((ROUND($B56,0)-18)*2&gt;=Q$2,1,0),IF(TRUNC(ROUND($B56,0)/9,0)=1,1+IF((ROUND($B56,0)-9)*2&gt;=Q$2,1,0),IF(TRUNC(ROUND($B56,0)/9,0)=0,IF(TRUNC(ROUND($B56,0)/9,0)=0,0+IF((ROUND($B56,0))*2&gt;=Q$2,1,0),"Not"))))-Q$3,"")</f>
        <v/>
      </c>
    </row>
    <row r="910" spans="1:5" x14ac:dyDescent="0.25">
      <c r="A910" t="s">
        <v>724</v>
      </c>
      <c r="B910" t="s">
        <v>359</v>
      </c>
      <c r="C910" t="s">
        <v>725</v>
      </c>
      <c r="D910" t="s">
        <v>1497</v>
      </c>
      <c r="E910" t="str">
        <f>IFERROR(AVERAGEIFS(Upload_Indiv[Score5],Upload_Indiv[[Player]:[Player]],$A57,Upload_Indiv[[Side]:[Side]],"Raintree Front")-IF(TRUNC(ROUND($B57,0)/9,0)=2,2+IF((ROUND($B57,0)-18)*2&gt;=G$2,1,0),IF(TRUNC(ROUND($B57,0)/9,0)=1,1+IF((ROUND($B57,0)-9)*2&gt;=G$2,1,0),IF(TRUNC(ROUND($B57,0)/9,0)=0,IF(TRUNC(ROUND($B57,0)/9,0)=0,0+IF((ROUND($B57,0))*2&gt;=G$2,1,0),"Not"))))-G$3,"")</f>
        <v/>
      </c>
    </row>
    <row r="911" spans="1:5" x14ac:dyDescent="0.25">
      <c r="A911" t="s">
        <v>724</v>
      </c>
      <c r="B911" t="s">
        <v>359</v>
      </c>
      <c r="C911" t="s">
        <v>725</v>
      </c>
      <c r="D911" t="s">
        <v>1498</v>
      </c>
      <c r="E911" t="str">
        <f>IFERROR(AVERAGEIFS(Upload_Indiv[Score5],Upload_Indiv[[Player]:[Player]],$A57,Upload_Indiv[[Side]:[Side]],"Raintree Back")-IF(TRUNC(ROUND($B57,0)/9,0)=2,2+IF((ROUND($B57,0)-18)*2&gt;=Q$2,1,0),IF(TRUNC(ROUND($B57,0)/9,0)=1,1+IF((ROUND($B57,0)-9)*2&gt;=Q$2,1,0),IF(TRUNC(ROUND($B57,0)/9,0)=0,IF(TRUNC(ROUND($B57,0)/9,0)=0,0+IF((ROUND($B57,0))*2&gt;=Q$2,1,0),"Not"))))-Q$3,"")</f>
        <v/>
      </c>
    </row>
    <row r="912" spans="1:5" x14ac:dyDescent="0.25">
      <c r="A912" t="s">
        <v>724</v>
      </c>
      <c r="B912" t="s">
        <v>359</v>
      </c>
      <c r="C912" t="s">
        <v>725</v>
      </c>
      <c r="D912" t="s">
        <v>1499</v>
      </c>
      <c r="E912" t="str">
        <f>IFERROR(AVERAGEIFS(Upload_Indiv[Score5],Upload_Indiv[[Player]:[Player]],$A58,Upload_Indiv[[Side]:[Side]],"Raintree Front")-IF(TRUNC(ROUND($B58,0)/9,0)=2,2+IF((ROUND($B58,0)-18)*2&gt;=G$2,1,0),IF(TRUNC(ROUND($B58,0)/9,0)=1,1+IF((ROUND($B58,0)-9)*2&gt;=G$2,1,0),IF(TRUNC(ROUND($B58,0)/9,0)=0,IF(TRUNC(ROUND($B58,0)/9,0)=0,0+IF((ROUND($B58,0))*2&gt;=G$2,1,0),"Not"))))-G$3,"")</f>
        <v/>
      </c>
    </row>
    <row r="913" spans="1:5" x14ac:dyDescent="0.25">
      <c r="A913" t="s">
        <v>724</v>
      </c>
      <c r="B913" t="s">
        <v>359</v>
      </c>
      <c r="C913" t="s">
        <v>725</v>
      </c>
      <c r="D913" t="s">
        <v>1500</v>
      </c>
      <c r="E913" t="str">
        <f>IFERROR(AVERAGEIFS(Upload_Indiv[Score5],Upload_Indiv[[Player]:[Player]],$A58,Upload_Indiv[[Side]:[Side]],"Raintree Back")-IF(TRUNC(ROUND($B58,0)/9,0)=2,2+IF((ROUND($B58,0)-18)*2&gt;=Q$2,1,0),IF(TRUNC(ROUND($B58,0)/9,0)=1,1+IF((ROUND($B58,0)-9)*2&gt;=Q$2,1,0),IF(TRUNC(ROUND($B58,0)/9,0)=0,IF(TRUNC(ROUND($B58,0)/9,0)=0,0+IF((ROUND($B58,0))*2&gt;=Q$2,1,0),"Not"))))-Q$3,"")</f>
        <v/>
      </c>
    </row>
    <row r="914" spans="1:5" x14ac:dyDescent="0.25">
      <c r="A914" t="s">
        <v>724</v>
      </c>
      <c r="B914" t="s">
        <v>359</v>
      </c>
      <c r="C914" t="s">
        <v>725</v>
      </c>
      <c r="D914" t="s">
        <v>1501</v>
      </c>
      <c r="E914" t="str">
        <f>IFERROR(AVERAGEIFS(Upload_Indiv[Score5],Upload_Indiv[[Player]:[Player]],$A59,Upload_Indiv[[Side]:[Side]],"Raintree Front")-IF(TRUNC(ROUND($B59,0)/9,0)=2,2+IF((ROUND($B59,0)-18)*2&gt;=G$2,1,0),IF(TRUNC(ROUND($B59,0)/9,0)=1,1+IF((ROUND($B59,0)-9)*2&gt;=G$2,1,0),IF(TRUNC(ROUND($B59,0)/9,0)=0,IF(TRUNC(ROUND($B59,0)/9,0)=0,0+IF((ROUND($B59,0))*2&gt;=G$2,1,0),"Not"))))-G$3,"")</f>
        <v/>
      </c>
    </row>
    <row r="915" spans="1:5" x14ac:dyDescent="0.25">
      <c r="A915" t="s">
        <v>724</v>
      </c>
      <c r="B915" t="s">
        <v>359</v>
      </c>
      <c r="C915" t="s">
        <v>725</v>
      </c>
      <c r="D915" t="s">
        <v>1502</v>
      </c>
      <c r="E915" t="str">
        <f>IFERROR(AVERAGEIFS(Upload_Indiv[Score5],Upload_Indiv[[Player]:[Player]],$A59,Upload_Indiv[[Side]:[Side]],"Raintree Back")-IF(TRUNC(ROUND($B59,0)/9,0)=2,2+IF((ROUND($B59,0)-18)*2&gt;=Q$2,1,0),IF(TRUNC(ROUND($B59,0)/9,0)=1,1+IF((ROUND($B59,0)-9)*2&gt;=Q$2,1,0),IF(TRUNC(ROUND($B59,0)/9,0)=0,IF(TRUNC(ROUND($B59,0)/9,0)=0,0+IF((ROUND($B59,0))*2&gt;=Q$2,1,0),"Not"))))-Q$3,"")</f>
        <v/>
      </c>
    </row>
    <row r="916" spans="1:5" x14ac:dyDescent="0.25">
      <c r="A916" t="s">
        <v>724</v>
      </c>
      <c r="B916" t="s">
        <v>359</v>
      </c>
      <c r="C916" t="s">
        <v>725</v>
      </c>
      <c r="D916" t="s">
        <v>1503</v>
      </c>
      <c r="E916" t="str">
        <f>IFERROR(AVERAGEIFS(Upload_Indiv[Score5],Upload_Indiv[[Player]:[Player]],$A60,Upload_Indiv[[Side]:[Side]],"Raintree Front")-IF(TRUNC(ROUND($B60,0)/9,0)=2,2+IF((ROUND($B60,0)-18)*2&gt;=G$2,1,0),IF(TRUNC(ROUND($B60,0)/9,0)=1,1+IF((ROUND($B60,0)-9)*2&gt;=G$2,1,0),IF(TRUNC(ROUND($B60,0)/9,0)=0,IF(TRUNC(ROUND($B60,0)/9,0)=0,0+IF((ROUND($B60,0))*2&gt;=G$2,1,0),"Not"))))-G$3,"")</f>
        <v/>
      </c>
    </row>
    <row r="917" spans="1:5" x14ac:dyDescent="0.25">
      <c r="A917" t="s">
        <v>724</v>
      </c>
      <c r="B917" t="s">
        <v>359</v>
      </c>
      <c r="C917" t="s">
        <v>725</v>
      </c>
      <c r="D917" t="s">
        <v>1504</v>
      </c>
      <c r="E917" t="str">
        <f>IFERROR(AVERAGEIFS(Upload_Indiv[Score5],Upload_Indiv[[Player]:[Player]],$A60,Upload_Indiv[[Side]:[Side]],"Raintree Back")-IF(TRUNC(ROUND($B60,0)/9,0)=2,2+IF((ROUND($B60,0)-18)*2&gt;=Q$2,1,0),IF(TRUNC(ROUND($B60,0)/9,0)=1,1+IF((ROUND($B60,0)-9)*2&gt;=Q$2,1,0),IF(TRUNC(ROUND($B60,0)/9,0)=0,IF(TRUNC(ROUND($B60,0)/9,0)=0,0+IF((ROUND($B60,0))*2&gt;=Q$2,1,0),"Not"))))-Q$3,"")</f>
        <v/>
      </c>
    </row>
    <row r="918" spans="1:5" x14ac:dyDescent="0.25">
      <c r="A918" t="s">
        <v>724</v>
      </c>
      <c r="B918" t="s">
        <v>359</v>
      </c>
      <c r="C918" t="s">
        <v>834</v>
      </c>
      <c r="D918" t="s">
        <v>1505</v>
      </c>
      <c r="E918">
        <f>IFERROR(AVERAGEIFS(Upload_Indiv[Score5],Upload_Indiv[[Side]:[Side]],"Raintree Front",Upload_Indiv[[Excl Score]:[Excl Score]],0),"")</f>
        <v>5.5482456140350873</v>
      </c>
    </row>
    <row r="919" spans="1:5" x14ac:dyDescent="0.25">
      <c r="A919" t="s">
        <v>724</v>
      </c>
      <c r="B919" t="s">
        <v>359</v>
      </c>
      <c r="C919" t="s">
        <v>834</v>
      </c>
      <c r="D919" t="s">
        <v>1506</v>
      </c>
      <c r="E919">
        <f>IFERROR(AVERAGEIFS(Upload_Indiv[Score5],Upload_Indiv[[Side]:[Side]],"Raintree Back",Upload_Indiv[[Excl Score]:[Excl Score]],0),"")</f>
        <v>5.5221238938053094</v>
      </c>
    </row>
    <row r="920" spans="1:5" x14ac:dyDescent="0.25">
      <c r="A920" t="s">
        <v>724</v>
      </c>
      <c r="B920" t="s">
        <v>359</v>
      </c>
      <c r="C920" t="s">
        <v>834</v>
      </c>
      <c r="D920" t="s">
        <v>1292</v>
      </c>
      <c r="E920" t="str">
        <f>IFERROR(AVERAGEIFS(Upload_Indiv[Score5],Upload_Indiv[[Player]:[Player]],$A9,Upload_Indiv[[Side]:[Side]],"Raintree Front",Upload_Indiv[[Excl Score]:[Excl Score]],0),"")</f>
        <v/>
      </c>
    </row>
    <row r="921" spans="1:5" x14ac:dyDescent="0.25">
      <c r="A921" t="s">
        <v>724</v>
      </c>
      <c r="B921" t="s">
        <v>359</v>
      </c>
      <c r="C921" t="s">
        <v>834</v>
      </c>
      <c r="D921" t="s">
        <v>1507</v>
      </c>
      <c r="E921" t="str">
        <f>IFERROR(AVERAGEIFS(Upload_Indiv[Score5],Upload_Indiv[[Player]:[Player]],$A9,Upload_Indiv[[Side]:[Side]],"Raintree Back",Upload_Indiv[[Excl Score]:[Excl Score]],0),"")</f>
        <v/>
      </c>
    </row>
    <row r="922" spans="1:5" x14ac:dyDescent="0.25">
      <c r="A922" t="s">
        <v>724</v>
      </c>
      <c r="B922" t="s">
        <v>359</v>
      </c>
      <c r="C922" t="s">
        <v>834</v>
      </c>
      <c r="D922" t="s">
        <v>1294</v>
      </c>
      <c r="E922" t="str">
        <f>IFERROR(AVERAGEIFS(Upload_Indiv[Score5],Upload_Indiv[[Player]:[Player]],$A10,Upload_Indiv[[Side]:[Side]],"Raintree Front",Upload_Indiv[[Excl Score]:[Excl Score]],0),"")</f>
        <v/>
      </c>
    </row>
    <row r="923" spans="1:5" x14ac:dyDescent="0.25">
      <c r="A923" t="s">
        <v>724</v>
      </c>
      <c r="B923" t="s">
        <v>359</v>
      </c>
      <c r="C923" t="s">
        <v>834</v>
      </c>
      <c r="D923" t="s">
        <v>1508</v>
      </c>
      <c r="E923" t="str">
        <f>IFERROR(AVERAGEIFS(Upload_Indiv[Score5],Upload_Indiv[[Player]:[Player]],$A10,Upload_Indiv[[Side]:[Side]],"Raintree Back",Upload_Indiv[[Excl Score]:[Excl Score]],0),"")</f>
        <v/>
      </c>
    </row>
    <row r="924" spans="1:5" x14ac:dyDescent="0.25">
      <c r="A924" t="s">
        <v>724</v>
      </c>
      <c r="B924" t="s">
        <v>359</v>
      </c>
      <c r="C924" t="s">
        <v>834</v>
      </c>
      <c r="D924" t="s">
        <v>1296</v>
      </c>
      <c r="E924" t="str">
        <f>IFERROR(AVERAGEIFS(Upload_Indiv[Score5],Upload_Indiv[[Player]:[Player]],$A11,Upload_Indiv[[Side]:[Side]],"Raintree Front",Upload_Indiv[[Excl Score]:[Excl Score]],0),"")</f>
        <v/>
      </c>
    </row>
    <row r="925" spans="1:5" x14ac:dyDescent="0.25">
      <c r="A925" t="s">
        <v>724</v>
      </c>
      <c r="B925" t="s">
        <v>359</v>
      </c>
      <c r="C925" t="s">
        <v>834</v>
      </c>
      <c r="D925" t="s">
        <v>1509</v>
      </c>
      <c r="E925" t="str">
        <f>IFERROR(AVERAGEIFS(Upload_Indiv[Score5],Upload_Indiv[[Player]:[Player]],$A11,Upload_Indiv[[Side]:[Side]],"Raintree Back",Upload_Indiv[[Excl Score]:[Excl Score]],0),"")</f>
        <v/>
      </c>
    </row>
    <row r="926" spans="1:5" x14ac:dyDescent="0.25">
      <c r="A926" t="s">
        <v>724</v>
      </c>
      <c r="B926" t="s">
        <v>359</v>
      </c>
      <c r="C926" t="s">
        <v>834</v>
      </c>
      <c r="D926" t="s">
        <v>1298</v>
      </c>
      <c r="E926" t="str">
        <f>IFERROR(AVERAGEIFS(Upload_Indiv[Score5],Upload_Indiv[[Player]:[Player]],$A12,Upload_Indiv[[Side]:[Side]],"Raintree Front",Upload_Indiv[[Excl Score]:[Excl Score]],0),"")</f>
        <v/>
      </c>
    </row>
    <row r="927" spans="1:5" x14ac:dyDescent="0.25">
      <c r="A927" t="s">
        <v>724</v>
      </c>
      <c r="B927" t="s">
        <v>359</v>
      </c>
      <c r="C927" t="s">
        <v>834</v>
      </c>
      <c r="D927" t="s">
        <v>1510</v>
      </c>
      <c r="E927" t="str">
        <f>IFERROR(AVERAGEIFS(Upload_Indiv[Score5],Upload_Indiv[[Player]:[Player]],$A12,Upload_Indiv[[Side]:[Side]],"Raintree Back",Upload_Indiv[[Excl Score]:[Excl Score]],0),"")</f>
        <v/>
      </c>
    </row>
    <row r="928" spans="1:5" x14ac:dyDescent="0.25">
      <c r="A928" t="s">
        <v>724</v>
      </c>
      <c r="B928" t="s">
        <v>359</v>
      </c>
      <c r="C928" t="s">
        <v>834</v>
      </c>
      <c r="D928" t="s">
        <v>1300</v>
      </c>
      <c r="E928" t="str">
        <f>IFERROR(AVERAGEIFS(Upload_Indiv[Score5],Upload_Indiv[[Player]:[Player]],$A13,Upload_Indiv[[Side]:[Side]],"Raintree Front",Upload_Indiv[[Excl Score]:[Excl Score]],0),"")</f>
        <v/>
      </c>
    </row>
    <row r="929" spans="1:5" x14ac:dyDescent="0.25">
      <c r="A929" t="s">
        <v>724</v>
      </c>
      <c r="B929" t="s">
        <v>359</v>
      </c>
      <c r="C929" t="s">
        <v>834</v>
      </c>
      <c r="D929" t="s">
        <v>1511</v>
      </c>
      <c r="E929" t="str">
        <f>IFERROR(AVERAGEIFS(Upload_Indiv[Score5],Upload_Indiv[[Player]:[Player]],$A13,Upload_Indiv[[Side]:[Side]],"Raintree Back",Upload_Indiv[[Excl Score]:[Excl Score]],0),"")</f>
        <v/>
      </c>
    </row>
    <row r="930" spans="1:5" x14ac:dyDescent="0.25">
      <c r="A930" t="s">
        <v>724</v>
      </c>
      <c r="B930" t="s">
        <v>359</v>
      </c>
      <c r="C930" t="s">
        <v>834</v>
      </c>
      <c r="D930" t="s">
        <v>1302</v>
      </c>
      <c r="E930" t="str">
        <f>IFERROR(AVERAGEIFS(Upload_Indiv[Score5],Upload_Indiv[[Player]:[Player]],$A14,Upload_Indiv[[Side]:[Side]],"Raintree Front",Upload_Indiv[[Excl Score]:[Excl Score]],0),"")</f>
        <v/>
      </c>
    </row>
    <row r="931" spans="1:5" x14ac:dyDescent="0.25">
      <c r="A931" t="s">
        <v>724</v>
      </c>
      <c r="B931" t="s">
        <v>359</v>
      </c>
      <c r="C931" t="s">
        <v>834</v>
      </c>
      <c r="D931" t="s">
        <v>1512</v>
      </c>
      <c r="E931" t="str">
        <f>IFERROR(AVERAGEIFS(Upload_Indiv[Score5],Upload_Indiv[[Player]:[Player]],$A14,Upload_Indiv[[Side]:[Side]],"Raintree Back",Upload_Indiv[[Excl Score]:[Excl Score]],0),"")</f>
        <v/>
      </c>
    </row>
    <row r="932" spans="1:5" x14ac:dyDescent="0.25">
      <c r="A932" t="s">
        <v>724</v>
      </c>
      <c r="B932" t="s">
        <v>359</v>
      </c>
      <c r="C932" t="s">
        <v>834</v>
      </c>
      <c r="D932" t="s">
        <v>1304</v>
      </c>
      <c r="E932" t="str">
        <f>IFERROR(AVERAGEIFS(Upload_Indiv[Score5],Upload_Indiv[[Player]:[Player]],$A15,Upload_Indiv[[Side]:[Side]],"Raintree Front",Upload_Indiv[[Excl Score]:[Excl Score]],0),"")</f>
        <v/>
      </c>
    </row>
    <row r="933" spans="1:5" x14ac:dyDescent="0.25">
      <c r="A933" t="s">
        <v>724</v>
      </c>
      <c r="B933" t="s">
        <v>359</v>
      </c>
      <c r="C933" t="s">
        <v>834</v>
      </c>
      <c r="D933" t="s">
        <v>1513</v>
      </c>
      <c r="E933" t="str">
        <f>IFERROR(AVERAGEIFS(Upload_Indiv[Score5],Upload_Indiv[[Player]:[Player]],$A15,Upload_Indiv[[Side]:[Side]],"Raintree Back",Upload_Indiv[[Excl Score]:[Excl Score]],0),"")</f>
        <v/>
      </c>
    </row>
    <row r="934" spans="1:5" x14ac:dyDescent="0.25">
      <c r="A934" t="s">
        <v>724</v>
      </c>
      <c r="B934" t="s">
        <v>359</v>
      </c>
      <c r="C934" t="s">
        <v>834</v>
      </c>
      <c r="D934" t="s">
        <v>1306</v>
      </c>
      <c r="E934" t="str">
        <f>IFERROR(AVERAGEIFS(Upload_Indiv[Score5],Upload_Indiv[[Player]:[Player]],$A16,Upload_Indiv[[Side]:[Side]],"Raintree Front",Upload_Indiv[[Excl Score]:[Excl Score]],0),"")</f>
        <v/>
      </c>
    </row>
    <row r="935" spans="1:5" x14ac:dyDescent="0.25">
      <c r="A935" t="s">
        <v>724</v>
      </c>
      <c r="B935" t="s">
        <v>359</v>
      </c>
      <c r="C935" t="s">
        <v>834</v>
      </c>
      <c r="D935" t="s">
        <v>1514</v>
      </c>
      <c r="E935" t="str">
        <f>IFERROR(AVERAGEIFS(Upload_Indiv[Score5],Upload_Indiv[[Player]:[Player]],$A16,Upload_Indiv[[Side]:[Side]],"Raintree Back",Upload_Indiv[[Excl Score]:[Excl Score]],0),"")</f>
        <v/>
      </c>
    </row>
    <row r="936" spans="1:5" x14ac:dyDescent="0.25">
      <c r="A936" t="s">
        <v>724</v>
      </c>
      <c r="B936" t="s">
        <v>359</v>
      </c>
      <c r="C936" t="s">
        <v>834</v>
      </c>
      <c r="D936" t="s">
        <v>1308</v>
      </c>
      <c r="E936" t="str">
        <f>IFERROR(AVERAGEIFS(Upload_Indiv[Score5],Upload_Indiv[[Player]:[Player]],$A17,Upload_Indiv[[Side]:[Side]],"Raintree Front",Upload_Indiv[[Excl Score]:[Excl Score]],0),"")</f>
        <v/>
      </c>
    </row>
    <row r="937" spans="1:5" x14ac:dyDescent="0.25">
      <c r="A937" t="s">
        <v>724</v>
      </c>
      <c r="B937" t="s">
        <v>359</v>
      </c>
      <c r="C937" t="s">
        <v>834</v>
      </c>
      <c r="D937" t="s">
        <v>1515</v>
      </c>
      <c r="E937" t="str">
        <f>IFERROR(AVERAGEIFS(Upload_Indiv[Score5],Upload_Indiv[[Player]:[Player]],$A17,Upload_Indiv[[Side]:[Side]],"Raintree Back",Upload_Indiv[[Excl Score]:[Excl Score]],0),"")</f>
        <v/>
      </c>
    </row>
    <row r="938" spans="1:5" x14ac:dyDescent="0.25">
      <c r="A938" t="s">
        <v>724</v>
      </c>
      <c r="B938" t="s">
        <v>359</v>
      </c>
      <c r="C938" t="s">
        <v>834</v>
      </c>
      <c r="D938" t="s">
        <v>1310</v>
      </c>
      <c r="E938" t="str">
        <f>IFERROR(AVERAGEIFS(Upload_Indiv[Score5],Upload_Indiv[[Player]:[Player]],$A18,Upload_Indiv[[Side]:[Side]],"Raintree Front",Upload_Indiv[[Excl Score]:[Excl Score]],0),"")</f>
        <v/>
      </c>
    </row>
    <row r="939" spans="1:5" x14ac:dyDescent="0.25">
      <c r="A939" t="s">
        <v>724</v>
      </c>
      <c r="B939" t="s">
        <v>359</v>
      </c>
      <c r="C939" t="s">
        <v>834</v>
      </c>
      <c r="D939" t="s">
        <v>1516</v>
      </c>
      <c r="E939" t="str">
        <f>IFERROR(AVERAGEIFS(Upload_Indiv[Score5],Upload_Indiv[[Player]:[Player]],$A18,Upload_Indiv[[Side]:[Side]],"Raintree Back",Upload_Indiv[[Excl Score]:[Excl Score]],0),"")</f>
        <v/>
      </c>
    </row>
    <row r="940" spans="1:5" x14ac:dyDescent="0.25">
      <c r="A940" t="s">
        <v>724</v>
      </c>
      <c r="B940" t="s">
        <v>359</v>
      </c>
      <c r="C940" t="s">
        <v>834</v>
      </c>
      <c r="D940" t="s">
        <v>1312</v>
      </c>
      <c r="E940" t="str">
        <f>IFERROR(AVERAGEIFS(Upload_Indiv[Score5],Upload_Indiv[[Player]:[Player]],$A19,Upload_Indiv[[Side]:[Side]],"Raintree Front",Upload_Indiv[[Excl Score]:[Excl Score]],0),"")</f>
        <v/>
      </c>
    </row>
    <row r="941" spans="1:5" x14ac:dyDescent="0.25">
      <c r="A941" t="s">
        <v>724</v>
      </c>
      <c r="B941" t="s">
        <v>359</v>
      </c>
      <c r="C941" t="s">
        <v>834</v>
      </c>
      <c r="D941" t="s">
        <v>1517</v>
      </c>
      <c r="E941" t="str">
        <f>IFERROR(AVERAGEIFS(Upload_Indiv[Score5],Upload_Indiv[[Player]:[Player]],$A19,Upload_Indiv[[Side]:[Side]],"Raintree Back",Upload_Indiv[[Excl Score]:[Excl Score]],0),"")</f>
        <v/>
      </c>
    </row>
    <row r="942" spans="1:5" x14ac:dyDescent="0.25">
      <c r="A942" t="s">
        <v>724</v>
      </c>
      <c r="B942" t="s">
        <v>359</v>
      </c>
      <c r="C942" t="s">
        <v>834</v>
      </c>
      <c r="D942" t="s">
        <v>1314</v>
      </c>
      <c r="E942" t="str">
        <f>IFERROR(AVERAGEIFS(Upload_Indiv[Score5],Upload_Indiv[[Player]:[Player]],$A20,Upload_Indiv[[Side]:[Side]],"Raintree Front",Upload_Indiv[[Excl Score]:[Excl Score]],0),"")</f>
        <v/>
      </c>
    </row>
    <row r="943" spans="1:5" x14ac:dyDescent="0.25">
      <c r="A943" t="s">
        <v>724</v>
      </c>
      <c r="B943" t="s">
        <v>359</v>
      </c>
      <c r="C943" t="s">
        <v>834</v>
      </c>
      <c r="D943" t="s">
        <v>1518</v>
      </c>
      <c r="E943" t="str">
        <f>IFERROR(AVERAGEIFS(Upload_Indiv[Score5],Upload_Indiv[[Player]:[Player]],$A20,Upload_Indiv[[Side]:[Side]],"Raintree Back",Upload_Indiv[[Excl Score]:[Excl Score]],0),"")</f>
        <v/>
      </c>
    </row>
    <row r="944" spans="1:5" x14ac:dyDescent="0.25">
      <c r="A944" t="s">
        <v>724</v>
      </c>
      <c r="B944" t="s">
        <v>359</v>
      </c>
      <c r="C944" t="s">
        <v>834</v>
      </c>
      <c r="D944" t="s">
        <v>1316</v>
      </c>
      <c r="E944" t="str">
        <f>IFERROR(AVERAGEIFS(Upload_Indiv[Score5],Upload_Indiv[[Player]:[Player]],$A21,Upload_Indiv[[Side]:[Side]],"Raintree Front",Upload_Indiv[[Excl Score]:[Excl Score]],0),"")</f>
        <v/>
      </c>
    </row>
    <row r="945" spans="1:5" x14ac:dyDescent="0.25">
      <c r="A945" t="s">
        <v>724</v>
      </c>
      <c r="B945" t="s">
        <v>359</v>
      </c>
      <c r="C945" t="s">
        <v>834</v>
      </c>
      <c r="D945" t="s">
        <v>1519</v>
      </c>
      <c r="E945" t="str">
        <f>IFERROR(AVERAGEIFS(Upload_Indiv[Score5],Upload_Indiv[[Player]:[Player]],$A21,Upload_Indiv[[Side]:[Side]],"Raintree Back",Upload_Indiv[[Excl Score]:[Excl Score]],0),"")</f>
        <v/>
      </c>
    </row>
    <row r="946" spans="1:5" x14ac:dyDescent="0.25">
      <c r="A946" t="s">
        <v>724</v>
      </c>
      <c r="B946" t="s">
        <v>359</v>
      </c>
      <c r="C946" t="s">
        <v>834</v>
      </c>
      <c r="D946" t="s">
        <v>1318</v>
      </c>
      <c r="E946" t="str">
        <f>IFERROR(AVERAGEIFS(Upload_Indiv[Score5],Upload_Indiv[[Player]:[Player]],$A22,Upload_Indiv[[Side]:[Side]],"Raintree Front",Upload_Indiv[[Excl Score]:[Excl Score]],0),"")</f>
        <v/>
      </c>
    </row>
    <row r="947" spans="1:5" x14ac:dyDescent="0.25">
      <c r="A947" t="s">
        <v>724</v>
      </c>
      <c r="B947" t="s">
        <v>359</v>
      </c>
      <c r="C947" t="s">
        <v>834</v>
      </c>
      <c r="D947" t="s">
        <v>1520</v>
      </c>
      <c r="E947" t="str">
        <f>IFERROR(AVERAGEIFS(Upload_Indiv[Score5],Upload_Indiv[[Player]:[Player]],$A22,Upload_Indiv[[Side]:[Side]],"Raintree Back",Upload_Indiv[[Excl Score]:[Excl Score]],0),"")</f>
        <v/>
      </c>
    </row>
    <row r="948" spans="1:5" x14ac:dyDescent="0.25">
      <c r="A948" t="s">
        <v>724</v>
      </c>
      <c r="B948" t="s">
        <v>359</v>
      </c>
      <c r="C948" t="s">
        <v>834</v>
      </c>
      <c r="D948" t="s">
        <v>1320</v>
      </c>
      <c r="E948" t="str">
        <f>IFERROR(AVERAGEIFS(Upload_Indiv[Score5],Upload_Indiv[[Player]:[Player]],$A23,Upload_Indiv[[Side]:[Side]],"Raintree Front",Upload_Indiv[[Excl Score]:[Excl Score]],0),"")</f>
        <v/>
      </c>
    </row>
    <row r="949" spans="1:5" x14ac:dyDescent="0.25">
      <c r="A949" t="s">
        <v>724</v>
      </c>
      <c r="B949" t="s">
        <v>359</v>
      </c>
      <c r="C949" t="s">
        <v>834</v>
      </c>
      <c r="D949" t="s">
        <v>1521</v>
      </c>
      <c r="E949" t="str">
        <f>IFERROR(AVERAGEIFS(Upload_Indiv[Score5],Upload_Indiv[[Player]:[Player]],$A23,Upload_Indiv[[Side]:[Side]],"Raintree Back",Upload_Indiv[[Excl Score]:[Excl Score]],0),"")</f>
        <v/>
      </c>
    </row>
    <row r="950" spans="1:5" x14ac:dyDescent="0.25">
      <c r="A950" t="s">
        <v>724</v>
      </c>
      <c r="B950" t="s">
        <v>359</v>
      </c>
      <c r="C950" t="s">
        <v>834</v>
      </c>
      <c r="D950" t="s">
        <v>1322</v>
      </c>
      <c r="E950" t="str">
        <f>IFERROR(AVERAGEIFS(Upload_Indiv[Score5],Upload_Indiv[[Player]:[Player]],$A24,Upload_Indiv[[Side]:[Side]],"Raintree Front",Upload_Indiv[[Excl Score]:[Excl Score]],0),"")</f>
        <v/>
      </c>
    </row>
    <row r="951" spans="1:5" x14ac:dyDescent="0.25">
      <c r="A951" t="s">
        <v>724</v>
      </c>
      <c r="B951" t="s">
        <v>359</v>
      </c>
      <c r="C951" t="s">
        <v>834</v>
      </c>
      <c r="D951" t="s">
        <v>1522</v>
      </c>
      <c r="E951" t="str">
        <f>IFERROR(AVERAGEIFS(Upload_Indiv[Score5],Upload_Indiv[[Player]:[Player]],$A24,Upload_Indiv[[Side]:[Side]],"Raintree Back",Upload_Indiv[[Excl Score]:[Excl Score]],0),"")</f>
        <v/>
      </c>
    </row>
    <row r="952" spans="1:5" x14ac:dyDescent="0.25">
      <c r="A952" t="s">
        <v>724</v>
      </c>
      <c r="B952" t="s">
        <v>359</v>
      </c>
      <c r="C952" t="s">
        <v>834</v>
      </c>
      <c r="D952" t="s">
        <v>1324</v>
      </c>
      <c r="E952" t="str">
        <f>IFERROR(AVERAGEIFS(Upload_Indiv[Score5],Upload_Indiv[[Player]:[Player]],$A25,Upload_Indiv[[Side]:[Side]],"Raintree Front",Upload_Indiv[[Excl Score]:[Excl Score]],0),"")</f>
        <v/>
      </c>
    </row>
    <row r="953" spans="1:5" x14ac:dyDescent="0.25">
      <c r="A953" t="s">
        <v>724</v>
      </c>
      <c r="B953" t="s">
        <v>359</v>
      </c>
      <c r="C953" t="s">
        <v>834</v>
      </c>
      <c r="D953" t="s">
        <v>1523</v>
      </c>
      <c r="E953" t="str">
        <f>IFERROR(AVERAGEIFS(Upload_Indiv[Score5],Upload_Indiv[[Player]:[Player]],$A25,Upload_Indiv[[Side]:[Side]],"Raintree Back",Upload_Indiv[[Excl Score]:[Excl Score]],0),"")</f>
        <v/>
      </c>
    </row>
    <row r="954" spans="1:5" x14ac:dyDescent="0.25">
      <c r="A954" t="s">
        <v>724</v>
      </c>
      <c r="B954" t="s">
        <v>359</v>
      </c>
      <c r="C954" t="s">
        <v>834</v>
      </c>
      <c r="D954" t="s">
        <v>1326</v>
      </c>
      <c r="E954" t="str">
        <f>IFERROR(AVERAGEIFS(Upload_Indiv[Score5],Upload_Indiv[[Player]:[Player]],$A26,Upload_Indiv[[Side]:[Side]],"Raintree Front",Upload_Indiv[[Excl Score]:[Excl Score]],0),"")</f>
        <v/>
      </c>
    </row>
    <row r="955" spans="1:5" x14ac:dyDescent="0.25">
      <c r="A955" t="s">
        <v>724</v>
      </c>
      <c r="B955" t="s">
        <v>359</v>
      </c>
      <c r="C955" t="s">
        <v>834</v>
      </c>
      <c r="D955" t="s">
        <v>1524</v>
      </c>
      <c r="E955" t="str">
        <f>IFERROR(AVERAGEIFS(Upload_Indiv[Score5],Upload_Indiv[[Player]:[Player]],$A26,Upload_Indiv[[Side]:[Side]],"Raintree Back",Upload_Indiv[[Excl Score]:[Excl Score]],0),"")</f>
        <v/>
      </c>
    </row>
    <row r="956" spans="1:5" x14ac:dyDescent="0.25">
      <c r="A956" t="s">
        <v>724</v>
      </c>
      <c r="B956" t="s">
        <v>359</v>
      </c>
      <c r="C956" t="s">
        <v>834</v>
      </c>
      <c r="D956" t="s">
        <v>1328</v>
      </c>
      <c r="E956" t="str">
        <f>IFERROR(AVERAGEIFS(Upload_Indiv[Score5],Upload_Indiv[[Player]:[Player]],$A27,Upload_Indiv[[Side]:[Side]],"Raintree Front",Upload_Indiv[[Excl Score]:[Excl Score]],0),"")</f>
        <v/>
      </c>
    </row>
    <row r="957" spans="1:5" x14ac:dyDescent="0.25">
      <c r="A957" t="s">
        <v>724</v>
      </c>
      <c r="B957" t="s">
        <v>359</v>
      </c>
      <c r="C957" t="s">
        <v>834</v>
      </c>
      <c r="D957" t="s">
        <v>1525</v>
      </c>
      <c r="E957" t="str">
        <f>IFERROR(AVERAGEIFS(Upload_Indiv[Score5],Upload_Indiv[[Player]:[Player]],$A27,Upload_Indiv[[Side]:[Side]],"Raintree Back",Upload_Indiv[[Excl Score]:[Excl Score]],0),"")</f>
        <v/>
      </c>
    </row>
    <row r="958" spans="1:5" x14ac:dyDescent="0.25">
      <c r="A958" t="s">
        <v>724</v>
      </c>
      <c r="B958" t="s">
        <v>359</v>
      </c>
      <c r="C958" t="s">
        <v>834</v>
      </c>
      <c r="D958" t="s">
        <v>1330</v>
      </c>
      <c r="E958" t="str">
        <f>IFERROR(AVERAGEIFS(Upload_Indiv[Score5],Upload_Indiv[[Player]:[Player]],$A28,Upload_Indiv[[Side]:[Side]],"Raintree Front",Upload_Indiv[[Excl Score]:[Excl Score]],0),"")</f>
        <v/>
      </c>
    </row>
    <row r="959" spans="1:5" x14ac:dyDescent="0.25">
      <c r="A959" t="s">
        <v>724</v>
      </c>
      <c r="B959" t="s">
        <v>359</v>
      </c>
      <c r="C959" t="s">
        <v>834</v>
      </c>
      <c r="D959" t="s">
        <v>1526</v>
      </c>
      <c r="E959" t="str">
        <f>IFERROR(AVERAGEIFS(Upload_Indiv[Score5],Upload_Indiv[[Player]:[Player]],$A28,Upload_Indiv[[Side]:[Side]],"Raintree Back",Upload_Indiv[[Excl Score]:[Excl Score]],0),"")</f>
        <v/>
      </c>
    </row>
    <row r="960" spans="1:5" x14ac:dyDescent="0.25">
      <c r="A960" t="s">
        <v>724</v>
      </c>
      <c r="B960" t="s">
        <v>359</v>
      </c>
      <c r="C960" t="s">
        <v>834</v>
      </c>
      <c r="D960" t="s">
        <v>1332</v>
      </c>
      <c r="E960" t="str">
        <f>IFERROR(AVERAGEIFS(Upload_Indiv[Score5],Upload_Indiv[[Player]:[Player]],$A29,Upload_Indiv[[Side]:[Side]],"Raintree Front",Upload_Indiv[[Excl Score]:[Excl Score]],0),"")</f>
        <v/>
      </c>
    </row>
    <row r="961" spans="1:5" x14ac:dyDescent="0.25">
      <c r="A961" t="s">
        <v>724</v>
      </c>
      <c r="B961" t="s">
        <v>359</v>
      </c>
      <c r="C961" t="s">
        <v>834</v>
      </c>
      <c r="D961" t="s">
        <v>1527</v>
      </c>
      <c r="E961" t="str">
        <f>IFERROR(AVERAGEIFS(Upload_Indiv[Score5],Upload_Indiv[[Player]:[Player]],$A29,Upload_Indiv[[Side]:[Side]],"Raintree Back",Upload_Indiv[[Excl Score]:[Excl Score]],0),"")</f>
        <v/>
      </c>
    </row>
    <row r="962" spans="1:5" x14ac:dyDescent="0.25">
      <c r="A962" t="s">
        <v>724</v>
      </c>
      <c r="B962" t="s">
        <v>359</v>
      </c>
      <c r="C962" t="s">
        <v>834</v>
      </c>
      <c r="D962" t="s">
        <v>1334</v>
      </c>
      <c r="E962" t="str">
        <f>IFERROR(AVERAGEIFS(Upload_Indiv[Score5],Upload_Indiv[[Player]:[Player]],$A30,Upload_Indiv[[Side]:[Side]],"Raintree Front",Upload_Indiv[[Excl Score]:[Excl Score]],0),"")</f>
        <v/>
      </c>
    </row>
    <row r="963" spans="1:5" x14ac:dyDescent="0.25">
      <c r="A963" t="s">
        <v>724</v>
      </c>
      <c r="B963" t="s">
        <v>359</v>
      </c>
      <c r="C963" t="s">
        <v>834</v>
      </c>
      <c r="D963" t="s">
        <v>1528</v>
      </c>
      <c r="E963" t="str">
        <f>IFERROR(AVERAGEIFS(Upload_Indiv[Score5],Upload_Indiv[[Player]:[Player]],$A30,Upload_Indiv[[Side]:[Side]],"Raintree Back",Upload_Indiv[[Excl Score]:[Excl Score]],0),"")</f>
        <v/>
      </c>
    </row>
    <row r="964" spans="1:5" x14ac:dyDescent="0.25">
      <c r="A964" t="s">
        <v>724</v>
      </c>
      <c r="B964" t="s">
        <v>359</v>
      </c>
      <c r="C964" t="s">
        <v>834</v>
      </c>
      <c r="D964" t="s">
        <v>1336</v>
      </c>
      <c r="E964" t="str">
        <f>IFERROR(AVERAGEIFS(Upload_Indiv[Score5],Upload_Indiv[[Player]:[Player]],$A31,Upload_Indiv[[Side]:[Side]],"Raintree Front",Upload_Indiv[[Excl Score]:[Excl Score]],0),"")</f>
        <v/>
      </c>
    </row>
    <row r="965" spans="1:5" x14ac:dyDescent="0.25">
      <c r="A965" t="s">
        <v>724</v>
      </c>
      <c r="B965" t="s">
        <v>359</v>
      </c>
      <c r="C965" t="s">
        <v>834</v>
      </c>
      <c r="D965" t="s">
        <v>1529</v>
      </c>
      <c r="E965" t="str">
        <f>IFERROR(AVERAGEIFS(Upload_Indiv[Score5],Upload_Indiv[[Player]:[Player]],$A31,Upload_Indiv[[Side]:[Side]],"Raintree Back",Upload_Indiv[[Excl Score]:[Excl Score]],0),"")</f>
        <v/>
      </c>
    </row>
    <row r="966" spans="1:5" x14ac:dyDescent="0.25">
      <c r="A966" t="s">
        <v>724</v>
      </c>
      <c r="B966" t="s">
        <v>359</v>
      </c>
      <c r="C966" t="s">
        <v>834</v>
      </c>
      <c r="D966" t="s">
        <v>1338</v>
      </c>
      <c r="E966" t="str">
        <f>IFERROR(AVERAGEIFS(Upload_Indiv[Score5],Upload_Indiv[[Player]:[Player]],$A32,Upload_Indiv[[Side]:[Side]],"Raintree Front",Upload_Indiv[[Excl Score]:[Excl Score]],0),"")</f>
        <v/>
      </c>
    </row>
    <row r="967" spans="1:5" x14ac:dyDescent="0.25">
      <c r="A967" t="s">
        <v>724</v>
      </c>
      <c r="B967" t="s">
        <v>359</v>
      </c>
      <c r="C967" t="s">
        <v>834</v>
      </c>
      <c r="D967" t="s">
        <v>1530</v>
      </c>
      <c r="E967" t="str">
        <f>IFERROR(AVERAGEIFS(Upload_Indiv[Score5],Upload_Indiv[[Player]:[Player]],$A32,Upload_Indiv[[Side]:[Side]],"Raintree Back",Upload_Indiv[[Excl Score]:[Excl Score]],0),"")</f>
        <v/>
      </c>
    </row>
    <row r="968" spans="1:5" x14ac:dyDescent="0.25">
      <c r="A968" t="s">
        <v>724</v>
      </c>
      <c r="B968" t="s">
        <v>359</v>
      </c>
      <c r="C968" t="s">
        <v>834</v>
      </c>
      <c r="D968" t="s">
        <v>1340</v>
      </c>
      <c r="E968" t="str">
        <f>IFERROR(AVERAGEIFS(Upload_Indiv[Score5],Upload_Indiv[[Player]:[Player]],$A33,Upload_Indiv[[Side]:[Side]],"Raintree Front",Upload_Indiv[[Excl Score]:[Excl Score]],0),"")</f>
        <v/>
      </c>
    </row>
    <row r="969" spans="1:5" x14ac:dyDescent="0.25">
      <c r="A969" t="s">
        <v>724</v>
      </c>
      <c r="B969" t="s">
        <v>359</v>
      </c>
      <c r="C969" t="s">
        <v>834</v>
      </c>
      <c r="D969" t="s">
        <v>1531</v>
      </c>
      <c r="E969" t="str">
        <f>IFERROR(AVERAGEIFS(Upload_Indiv[Score5],Upload_Indiv[[Player]:[Player]],$A33,Upload_Indiv[[Side]:[Side]],"Raintree Back",Upload_Indiv[[Excl Score]:[Excl Score]],0),"")</f>
        <v/>
      </c>
    </row>
    <row r="970" spans="1:5" x14ac:dyDescent="0.25">
      <c r="A970" t="s">
        <v>724</v>
      </c>
      <c r="B970" t="s">
        <v>359</v>
      </c>
      <c r="C970" t="s">
        <v>834</v>
      </c>
      <c r="D970" t="s">
        <v>1342</v>
      </c>
      <c r="E970" t="str">
        <f>IFERROR(AVERAGEIFS(Upload_Indiv[Score5],Upload_Indiv[[Player]:[Player]],$A34,Upload_Indiv[[Side]:[Side]],"Raintree Front",Upload_Indiv[[Excl Score]:[Excl Score]],0),"")</f>
        <v/>
      </c>
    </row>
    <row r="971" spans="1:5" x14ac:dyDescent="0.25">
      <c r="A971" t="s">
        <v>724</v>
      </c>
      <c r="B971" t="s">
        <v>359</v>
      </c>
      <c r="C971" t="s">
        <v>834</v>
      </c>
      <c r="D971" t="s">
        <v>1532</v>
      </c>
      <c r="E971" t="str">
        <f>IFERROR(AVERAGEIFS(Upload_Indiv[Score5],Upload_Indiv[[Player]:[Player]],$A34,Upload_Indiv[[Side]:[Side]],"Raintree Back",Upload_Indiv[[Excl Score]:[Excl Score]],0),"")</f>
        <v/>
      </c>
    </row>
    <row r="972" spans="1:5" x14ac:dyDescent="0.25">
      <c r="A972" t="s">
        <v>724</v>
      </c>
      <c r="B972" t="s">
        <v>359</v>
      </c>
      <c r="C972" t="s">
        <v>834</v>
      </c>
      <c r="D972" t="s">
        <v>1344</v>
      </c>
      <c r="E972" t="str">
        <f>IFERROR(AVERAGEIFS(Upload_Indiv[Score5],Upload_Indiv[[Player]:[Player]],$A35,Upload_Indiv[[Side]:[Side]],"Raintree Front",Upload_Indiv[[Excl Score]:[Excl Score]],0),"")</f>
        <v/>
      </c>
    </row>
    <row r="973" spans="1:5" x14ac:dyDescent="0.25">
      <c r="A973" t="s">
        <v>724</v>
      </c>
      <c r="B973" t="s">
        <v>359</v>
      </c>
      <c r="C973" t="s">
        <v>834</v>
      </c>
      <c r="D973" t="s">
        <v>1533</v>
      </c>
      <c r="E973" t="str">
        <f>IFERROR(AVERAGEIFS(Upload_Indiv[Score5],Upload_Indiv[[Player]:[Player]],$A35,Upload_Indiv[[Side]:[Side]],"Raintree Back",Upload_Indiv[[Excl Score]:[Excl Score]],0),"")</f>
        <v/>
      </c>
    </row>
    <row r="974" spans="1:5" x14ac:dyDescent="0.25">
      <c r="A974" t="s">
        <v>724</v>
      </c>
      <c r="B974" t="s">
        <v>359</v>
      </c>
      <c r="C974" t="s">
        <v>834</v>
      </c>
      <c r="D974" t="s">
        <v>1346</v>
      </c>
      <c r="E974" t="str">
        <f>IFERROR(AVERAGEIFS(Upload_Indiv[Score5],Upload_Indiv[[Player]:[Player]],$A36,Upload_Indiv[[Side]:[Side]],"Raintree Front",Upload_Indiv[[Excl Score]:[Excl Score]],0),"")</f>
        <v/>
      </c>
    </row>
    <row r="975" spans="1:5" x14ac:dyDescent="0.25">
      <c r="A975" t="s">
        <v>724</v>
      </c>
      <c r="B975" t="s">
        <v>359</v>
      </c>
      <c r="C975" t="s">
        <v>834</v>
      </c>
      <c r="D975" t="s">
        <v>1534</v>
      </c>
      <c r="E975" t="str">
        <f>IFERROR(AVERAGEIFS(Upload_Indiv[Score5],Upload_Indiv[[Player]:[Player]],$A36,Upload_Indiv[[Side]:[Side]],"Raintree Back",Upload_Indiv[[Excl Score]:[Excl Score]],0),"")</f>
        <v/>
      </c>
    </row>
    <row r="976" spans="1:5" x14ac:dyDescent="0.25">
      <c r="A976" t="s">
        <v>724</v>
      </c>
      <c r="B976" t="s">
        <v>359</v>
      </c>
      <c r="C976" t="s">
        <v>834</v>
      </c>
      <c r="D976" t="s">
        <v>1348</v>
      </c>
      <c r="E976" t="str">
        <f>IFERROR(AVERAGEIFS(Upload_Indiv[Score5],Upload_Indiv[[Player]:[Player]],$A37,Upload_Indiv[[Side]:[Side]],"Raintree Front",Upload_Indiv[[Excl Score]:[Excl Score]],0),"")</f>
        <v/>
      </c>
    </row>
    <row r="977" spans="1:5" x14ac:dyDescent="0.25">
      <c r="A977" t="s">
        <v>724</v>
      </c>
      <c r="B977" t="s">
        <v>359</v>
      </c>
      <c r="C977" t="s">
        <v>834</v>
      </c>
      <c r="D977" t="s">
        <v>1535</v>
      </c>
      <c r="E977" t="str">
        <f>IFERROR(AVERAGEIFS(Upload_Indiv[Score5],Upload_Indiv[[Player]:[Player]],$A37,Upload_Indiv[[Side]:[Side]],"Raintree Back",Upload_Indiv[[Excl Score]:[Excl Score]],0),"")</f>
        <v/>
      </c>
    </row>
    <row r="978" spans="1:5" x14ac:dyDescent="0.25">
      <c r="A978" t="s">
        <v>724</v>
      </c>
      <c r="B978" t="s">
        <v>359</v>
      </c>
      <c r="C978" t="s">
        <v>834</v>
      </c>
      <c r="D978" t="s">
        <v>1350</v>
      </c>
      <c r="E978" t="str">
        <f>IFERROR(AVERAGEIFS(Upload_Indiv[Score5],Upload_Indiv[[Player]:[Player]],$A38,Upload_Indiv[[Side]:[Side]],"Raintree Front",Upload_Indiv[[Excl Score]:[Excl Score]],0),"")</f>
        <v/>
      </c>
    </row>
    <row r="979" spans="1:5" x14ac:dyDescent="0.25">
      <c r="A979" t="s">
        <v>724</v>
      </c>
      <c r="B979" t="s">
        <v>359</v>
      </c>
      <c r="C979" t="s">
        <v>834</v>
      </c>
      <c r="D979" t="s">
        <v>1536</v>
      </c>
      <c r="E979" t="str">
        <f>IFERROR(AVERAGEIFS(Upload_Indiv[Score5],Upload_Indiv[[Player]:[Player]],$A38,Upload_Indiv[[Side]:[Side]],"Raintree Back",Upload_Indiv[[Excl Score]:[Excl Score]],0),"")</f>
        <v/>
      </c>
    </row>
    <row r="980" spans="1:5" x14ac:dyDescent="0.25">
      <c r="A980" t="s">
        <v>724</v>
      </c>
      <c r="B980" t="s">
        <v>359</v>
      </c>
      <c r="C980" t="s">
        <v>834</v>
      </c>
      <c r="D980" t="s">
        <v>1352</v>
      </c>
      <c r="E980" t="str">
        <f>IFERROR(AVERAGEIFS(Upload_Indiv[Score5],Upload_Indiv[[Player]:[Player]],$A39,Upload_Indiv[[Side]:[Side]],"Raintree Front",Upload_Indiv[[Excl Score]:[Excl Score]],0),"")</f>
        <v/>
      </c>
    </row>
    <row r="981" spans="1:5" x14ac:dyDescent="0.25">
      <c r="A981" t="s">
        <v>724</v>
      </c>
      <c r="B981" t="s">
        <v>359</v>
      </c>
      <c r="C981" t="s">
        <v>834</v>
      </c>
      <c r="D981" t="s">
        <v>1537</v>
      </c>
      <c r="E981" t="str">
        <f>IFERROR(AVERAGEIFS(Upload_Indiv[Score5],Upload_Indiv[[Player]:[Player]],$A39,Upload_Indiv[[Side]:[Side]],"Raintree Back",Upload_Indiv[[Excl Score]:[Excl Score]],0),"")</f>
        <v/>
      </c>
    </row>
    <row r="982" spans="1:5" x14ac:dyDescent="0.25">
      <c r="A982" t="s">
        <v>724</v>
      </c>
      <c r="B982" t="s">
        <v>359</v>
      </c>
      <c r="C982" t="s">
        <v>834</v>
      </c>
      <c r="D982" t="s">
        <v>1354</v>
      </c>
      <c r="E982" t="str">
        <f>IFERROR(AVERAGEIFS(Upload_Indiv[Score5],Upload_Indiv[[Player]:[Player]],$A40,Upload_Indiv[[Side]:[Side]],"Raintree Front",Upload_Indiv[[Excl Score]:[Excl Score]],0),"")</f>
        <v/>
      </c>
    </row>
    <row r="983" spans="1:5" x14ac:dyDescent="0.25">
      <c r="A983" t="s">
        <v>724</v>
      </c>
      <c r="B983" t="s">
        <v>359</v>
      </c>
      <c r="C983" t="s">
        <v>834</v>
      </c>
      <c r="D983" t="s">
        <v>1538</v>
      </c>
      <c r="E983" t="str">
        <f>IFERROR(AVERAGEIFS(Upload_Indiv[Score5],Upload_Indiv[[Player]:[Player]],$A40,Upload_Indiv[[Side]:[Side]],"Raintree Back",Upload_Indiv[[Excl Score]:[Excl Score]],0),"")</f>
        <v/>
      </c>
    </row>
    <row r="984" spans="1:5" x14ac:dyDescent="0.25">
      <c r="A984" t="s">
        <v>724</v>
      </c>
      <c r="B984" t="s">
        <v>359</v>
      </c>
      <c r="C984" t="s">
        <v>834</v>
      </c>
      <c r="D984" t="s">
        <v>1356</v>
      </c>
      <c r="E984" t="str">
        <f>IFERROR(AVERAGEIFS(Upload_Indiv[Score5],Upload_Indiv[[Player]:[Player]],$A41,Upload_Indiv[[Side]:[Side]],"Raintree Front",Upload_Indiv[[Excl Score]:[Excl Score]],0),"")</f>
        <v/>
      </c>
    </row>
    <row r="985" spans="1:5" x14ac:dyDescent="0.25">
      <c r="A985" t="s">
        <v>724</v>
      </c>
      <c r="B985" t="s">
        <v>359</v>
      </c>
      <c r="C985" t="s">
        <v>834</v>
      </c>
      <c r="D985" t="s">
        <v>1539</v>
      </c>
      <c r="E985" t="str">
        <f>IFERROR(AVERAGEIFS(Upload_Indiv[Score5],Upload_Indiv[[Player]:[Player]],$A41,Upload_Indiv[[Side]:[Side]],"Raintree Back",Upload_Indiv[[Excl Score]:[Excl Score]],0),"")</f>
        <v/>
      </c>
    </row>
    <row r="986" spans="1:5" x14ac:dyDescent="0.25">
      <c r="A986" t="s">
        <v>724</v>
      </c>
      <c r="B986" t="s">
        <v>359</v>
      </c>
      <c r="C986" t="s">
        <v>834</v>
      </c>
      <c r="D986" t="s">
        <v>1358</v>
      </c>
      <c r="E986" t="str">
        <f>IFERROR(AVERAGEIFS(Upload_Indiv[Score5],Upload_Indiv[[Player]:[Player]],$A42,Upload_Indiv[[Side]:[Side]],"Raintree Front",Upload_Indiv[[Excl Score]:[Excl Score]],0),"")</f>
        <v/>
      </c>
    </row>
    <row r="987" spans="1:5" x14ac:dyDescent="0.25">
      <c r="A987" t="s">
        <v>724</v>
      </c>
      <c r="B987" t="s">
        <v>359</v>
      </c>
      <c r="C987" t="s">
        <v>834</v>
      </c>
      <c r="D987" t="s">
        <v>1540</v>
      </c>
      <c r="E987" t="str">
        <f>IFERROR(AVERAGEIFS(Upload_Indiv[Score5],Upload_Indiv[[Player]:[Player]],$A42,Upload_Indiv[[Side]:[Side]],"Raintree Back",Upload_Indiv[[Excl Score]:[Excl Score]],0),"")</f>
        <v/>
      </c>
    </row>
    <row r="988" spans="1:5" x14ac:dyDescent="0.25">
      <c r="A988" t="s">
        <v>724</v>
      </c>
      <c r="B988" t="s">
        <v>359</v>
      </c>
      <c r="C988" t="s">
        <v>834</v>
      </c>
      <c r="D988" t="s">
        <v>1360</v>
      </c>
      <c r="E988" t="str">
        <f>IFERROR(AVERAGEIFS(Upload_Indiv[Score5],Upload_Indiv[[Player]:[Player]],$A43,Upload_Indiv[[Side]:[Side]],"Raintree Front",Upload_Indiv[[Excl Score]:[Excl Score]],0),"")</f>
        <v/>
      </c>
    </row>
    <row r="989" spans="1:5" x14ac:dyDescent="0.25">
      <c r="A989" t="s">
        <v>724</v>
      </c>
      <c r="B989" t="s">
        <v>359</v>
      </c>
      <c r="C989" t="s">
        <v>834</v>
      </c>
      <c r="D989" t="s">
        <v>1541</v>
      </c>
      <c r="E989" t="str">
        <f>IFERROR(AVERAGEIFS(Upload_Indiv[Score5],Upload_Indiv[[Player]:[Player]],$A43,Upload_Indiv[[Side]:[Side]],"Raintree Back",Upload_Indiv[[Excl Score]:[Excl Score]],0),"")</f>
        <v/>
      </c>
    </row>
    <row r="990" spans="1:5" x14ac:dyDescent="0.25">
      <c r="A990" t="s">
        <v>724</v>
      </c>
      <c r="B990" t="s">
        <v>359</v>
      </c>
      <c r="C990" t="s">
        <v>834</v>
      </c>
      <c r="D990" t="s">
        <v>1362</v>
      </c>
      <c r="E990" t="str">
        <f>IFERROR(AVERAGEIFS(Upload_Indiv[Score5],Upload_Indiv[[Player]:[Player]],$A44,Upload_Indiv[[Side]:[Side]],"Raintree Front",Upload_Indiv[[Excl Score]:[Excl Score]],0),"")</f>
        <v/>
      </c>
    </row>
    <row r="991" spans="1:5" x14ac:dyDescent="0.25">
      <c r="A991" t="s">
        <v>724</v>
      </c>
      <c r="B991" t="s">
        <v>359</v>
      </c>
      <c r="C991" t="s">
        <v>834</v>
      </c>
      <c r="D991" t="s">
        <v>1542</v>
      </c>
      <c r="E991" t="str">
        <f>IFERROR(AVERAGEIFS(Upload_Indiv[Score5],Upload_Indiv[[Player]:[Player]],$A44,Upload_Indiv[[Side]:[Side]],"Raintree Back",Upload_Indiv[[Excl Score]:[Excl Score]],0),"")</f>
        <v/>
      </c>
    </row>
    <row r="992" spans="1:5" x14ac:dyDescent="0.25">
      <c r="A992" t="s">
        <v>724</v>
      </c>
      <c r="B992" t="s">
        <v>359</v>
      </c>
      <c r="C992" t="s">
        <v>834</v>
      </c>
      <c r="D992" t="s">
        <v>1364</v>
      </c>
      <c r="E992" t="str">
        <f>IFERROR(AVERAGEIFS(Upload_Indiv[Score5],Upload_Indiv[[Player]:[Player]],$A45,Upload_Indiv[[Side]:[Side]],"Raintree Front",Upload_Indiv[[Excl Score]:[Excl Score]],0),"")</f>
        <v/>
      </c>
    </row>
    <row r="993" spans="1:5" x14ac:dyDescent="0.25">
      <c r="A993" t="s">
        <v>724</v>
      </c>
      <c r="B993" t="s">
        <v>359</v>
      </c>
      <c r="C993" t="s">
        <v>834</v>
      </c>
      <c r="D993" t="s">
        <v>1543</v>
      </c>
      <c r="E993" t="str">
        <f>IFERROR(AVERAGEIFS(Upload_Indiv[Score5],Upload_Indiv[[Player]:[Player]],$A45,Upload_Indiv[[Side]:[Side]],"Raintree Back",Upload_Indiv[[Excl Score]:[Excl Score]],0),"")</f>
        <v/>
      </c>
    </row>
    <row r="994" spans="1:5" x14ac:dyDescent="0.25">
      <c r="A994" t="s">
        <v>724</v>
      </c>
      <c r="B994" t="s">
        <v>359</v>
      </c>
      <c r="C994" t="s">
        <v>834</v>
      </c>
      <c r="D994" t="s">
        <v>1366</v>
      </c>
      <c r="E994" t="str">
        <f>IFERROR(AVERAGEIFS(Upload_Indiv[Score5],Upload_Indiv[[Player]:[Player]],$A46,Upload_Indiv[[Side]:[Side]],"Raintree Front",Upload_Indiv[[Excl Score]:[Excl Score]],0),"")</f>
        <v/>
      </c>
    </row>
    <row r="995" spans="1:5" x14ac:dyDescent="0.25">
      <c r="A995" t="s">
        <v>724</v>
      </c>
      <c r="B995" t="s">
        <v>359</v>
      </c>
      <c r="C995" t="s">
        <v>834</v>
      </c>
      <c r="D995" t="s">
        <v>1544</v>
      </c>
      <c r="E995" t="str">
        <f>IFERROR(AVERAGEIFS(Upload_Indiv[Score5],Upload_Indiv[[Player]:[Player]],$A46,Upload_Indiv[[Side]:[Side]],"Raintree Back",Upload_Indiv[[Excl Score]:[Excl Score]],0),"")</f>
        <v/>
      </c>
    </row>
    <row r="996" spans="1:5" x14ac:dyDescent="0.25">
      <c r="A996" t="s">
        <v>724</v>
      </c>
      <c r="B996" t="s">
        <v>359</v>
      </c>
      <c r="C996" t="s">
        <v>834</v>
      </c>
      <c r="D996" t="s">
        <v>1368</v>
      </c>
      <c r="E996" t="str">
        <f>IFERROR(AVERAGEIFS(Upload_Indiv[Score5],Upload_Indiv[[Player]:[Player]],$A47,Upload_Indiv[[Side]:[Side]],"Raintree Front",Upload_Indiv[[Excl Score]:[Excl Score]],0),"")</f>
        <v/>
      </c>
    </row>
    <row r="997" spans="1:5" x14ac:dyDescent="0.25">
      <c r="A997" t="s">
        <v>724</v>
      </c>
      <c r="B997" t="s">
        <v>359</v>
      </c>
      <c r="C997" t="s">
        <v>834</v>
      </c>
      <c r="D997" t="s">
        <v>1545</v>
      </c>
      <c r="E997" t="str">
        <f>IFERROR(AVERAGEIFS(Upload_Indiv[Score5],Upload_Indiv[[Player]:[Player]],$A47,Upload_Indiv[[Side]:[Side]],"Raintree Back",Upload_Indiv[[Excl Score]:[Excl Score]],0),"")</f>
        <v/>
      </c>
    </row>
    <row r="998" spans="1:5" x14ac:dyDescent="0.25">
      <c r="A998" t="s">
        <v>724</v>
      </c>
      <c r="B998" t="s">
        <v>359</v>
      </c>
      <c r="C998" t="s">
        <v>834</v>
      </c>
      <c r="D998" t="s">
        <v>1370</v>
      </c>
      <c r="E998" t="str">
        <f>IFERROR(AVERAGEIFS(Upload_Indiv[Score5],Upload_Indiv[[Player]:[Player]],$A48,Upload_Indiv[[Side]:[Side]],"Raintree Front",Upload_Indiv[[Excl Score]:[Excl Score]],0),"")</f>
        <v/>
      </c>
    </row>
    <row r="999" spans="1:5" x14ac:dyDescent="0.25">
      <c r="A999" t="s">
        <v>724</v>
      </c>
      <c r="B999" t="s">
        <v>359</v>
      </c>
      <c r="C999" t="s">
        <v>834</v>
      </c>
      <c r="D999" t="s">
        <v>1546</v>
      </c>
      <c r="E999" t="str">
        <f>IFERROR(AVERAGEIFS(Upload_Indiv[Score5],Upload_Indiv[[Player]:[Player]],$A48,Upload_Indiv[[Side]:[Side]],"Raintree Back",Upload_Indiv[[Excl Score]:[Excl Score]],0),"")</f>
        <v/>
      </c>
    </row>
    <row r="1000" spans="1:5" x14ac:dyDescent="0.25">
      <c r="A1000" t="s">
        <v>724</v>
      </c>
      <c r="B1000" t="s">
        <v>359</v>
      </c>
      <c r="C1000" t="s">
        <v>834</v>
      </c>
      <c r="D1000" t="s">
        <v>1372</v>
      </c>
      <c r="E1000" t="str">
        <f>IFERROR(AVERAGEIFS(Upload_Indiv[Score5],Upload_Indiv[[Player]:[Player]],$A49,Upload_Indiv[[Side]:[Side]],"Raintree Front",Upload_Indiv[[Excl Score]:[Excl Score]],0),"")</f>
        <v/>
      </c>
    </row>
    <row r="1001" spans="1:5" x14ac:dyDescent="0.25">
      <c r="A1001" t="s">
        <v>724</v>
      </c>
      <c r="B1001" t="s">
        <v>359</v>
      </c>
      <c r="C1001" t="s">
        <v>834</v>
      </c>
      <c r="D1001" t="s">
        <v>1547</v>
      </c>
      <c r="E1001" t="str">
        <f>IFERROR(AVERAGEIFS(Upload_Indiv[Score5],Upload_Indiv[[Player]:[Player]],$A49,Upload_Indiv[[Side]:[Side]],"Raintree Back",Upload_Indiv[[Excl Score]:[Excl Score]],0),"")</f>
        <v/>
      </c>
    </row>
    <row r="1002" spans="1:5" x14ac:dyDescent="0.25">
      <c r="A1002" t="s">
        <v>724</v>
      </c>
      <c r="B1002" t="s">
        <v>359</v>
      </c>
      <c r="C1002" t="s">
        <v>834</v>
      </c>
      <c r="D1002" t="s">
        <v>1374</v>
      </c>
      <c r="E1002" t="str">
        <f>IFERROR(AVERAGEIFS(Upload_Indiv[Score5],Upload_Indiv[[Player]:[Player]],$A50,Upload_Indiv[[Side]:[Side]],"Raintree Front",Upload_Indiv[[Excl Score]:[Excl Score]],0),"")</f>
        <v/>
      </c>
    </row>
    <row r="1003" spans="1:5" x14ac:dyDescent="0.25">
      <c r="A1003" t="s">
        <v>724</v>
      </c>
      <c r="B1003" t="s">
        <v>359</v>
      </c>
      <c r="C1003" t="s">
        <v>834</v>
      </c>
      <c r="D1003" t="s">
        <v>1548</v>
      </c>
      <c r="E1003" t="str">
        <f>IFERROR(AVERAGEIFS(Upload_Indiv[Score5],Upload_Indiv[[Player]:[Player]],$A50,Upload_Indiv[[Side]:[Side]],"Raintree Back",Upload_Indiv[[Excl Score]:[Excl Score]],0),"")</f>
        <v/>
      </c>
    </row>
    <row r="1004" spans="1:5" x14ac:dyDescent="0.25">
      <c r="A1004" t="s">
        <v>724</v>
      </c>
      <c r="B1004" t="s">
        <v>359</v>
      </c>
      <c r="C1004" t="s">
        <v>834</v>
      </c>
      <c r="D1004" t="s">
        <v>1376</v>
      </c>
      <c r="E1004" t="str">
        <f>IFERROR(AVERAGEIFS(Upload_Indiv[Score5],Upload_Indiv[[Player]:[Player]],$A51,Upload_Indiv[[Side]:[Side]],"Raintree Front",Upload_Indiv[[Excl Score]:[Excl Score]],0),"")</f>
        <v/>
      </c>
    </row>
    <row r="1005" spans="1:5" x14ac:dyDescent="0.25">
      <c r="A1005" t="s">
        <v>724</v>
      </c>
      <c r="B1005" t="s">
        <v>359</v>
      </c>
      <c r="C1005" t="s">
        <v>834</v>
      </c>
      <c r="D1005" t="s">
        <v>1549</v>
      </c>
      <c r="E1005" t="str">
        <f>IFERROR(AVERAGEIFS(Upload_Indiv[Score5],Upload_Indiv[[Player]:[Player]],$A51,Upload_Indiv[[Side]:[Side]],"Raintree Back",Upload_Indiv[[Excl Score]:[Excl Score]],0),"")</f>
        <v/>
      </c>
    </row>
    <row r="1006" spans="1:5" x14ac:dyDescent="0.25">
      <c r="A1006" t="s">
        <v>724</v>
      </c>
      <c r="B1006" t="s">
        <v>359</v>
      </c>
      <c r="C1006" t="s">
        <v>834</v>
      </c>
      <c r="D1006" t="s">
        <v>1378</v>
      </c>
      <c r="E1006" t="str">
        <f>IFERROR(AVERAGEIFS(Upload_Indiv[Score5],Upload_Indiv[[Player]:[Player]],$A52,Upload_Indiv[[Side]:[Side]],"Raintree Front",Upload_Indiv[[Excl Score]:[Excl Score]],0),"")</f>
        <v/>
      </c>
    </row>
    <row r="1007" spans="1:5" x14ac:dyDescent="0.25">
      <c r="A1007" t="s">
        <v>724</v>
      </c>
      <c r="B1007" t="s">
        <v>359</v>
      </c>
      <c r="C1007" t="s">
        <v>834</v>
      </c>
      <c r="D1007" t="s">
        <v>1550</v>
      </c>
      <c r="E1007" t="str">
        <f>IFERROR(AVERAGEIFS(Upload_Indiv[Score5],Upload_Indiv[[Player]:[Player]],$A52,Upload_Indiv[[Side]:[Side]],"Raintree Back",Upload_Indiv[[Excl Score]:[Excl Score]],0),"")</f>
        <v/>
      </c>
    </row>
    <row r="1008" spans="1:5" x14ac:dyDescent="0.25">
      <c r="A1008" t="s">
        <v>724</v>
      </c>
      <c r="B1008" t="s">
        <v>359</v>
      </c>
      <c r="C1008" t="s">
        <v>834</v>
      </c>
      <c r="D1008" t="s">
        <v>1380</v>
      </c>
      <c r="E1008" t="str">
        <f>IFERROR(AVERAGEIFS(Upload_Indiv[Score5],Upload_Indiv[[Player]:[Player]],$A53,Upload_Indiv[[Side]:[Side]],"Raintree Front",Upload_Indiv[[Excl Score]:[Excl Score]],0),"")</f>
        <v/>
      </c>
    </row>
    <row r="1009" spans="1:5" x14ac:dyDescent="0.25">
      <c r="A1009" t="s">
        <v>724</v>
      </c>
      <c r="B1009" t="s">
        <v>359</v>
      </c>
      <c r="C1009" t="s">
        <v>834</v>
      </c>
      <c r="D1009" t="s">
        <v>1551</v>
      </c>
      <c r="E1009" t="str">
        <f>IFERROR(AVERAGEIFS(Upload_Indiv[Score5],Upload_Indiv[[Player]:[Player]],$A53,Upload_Indiv[[Side]:[Side]],"Raintree Back",Upload_Indiv[[Excl Score]:[Excl Score]],0),"")</f>
        <v/>
      </c>
    </row>
    <row r="1010" spans="1:5" x14ac:dyDescent="0.25">
      <c r="A1010" t="s">
        <v>724</v>
      </c>
      <c r="B1010" t="s">
        <v>359</v>
      </c>
      <c r="C1010" t="s">
        <v>834</v>
      </c>
      <c r="D1010" t="s">
        <v>1382</v>
      </c>
      <c r="E1010" t="str">
        <f>IFERROR(AVERAGEIFS(Upload_Indiv[Score5],Upload_Indiv[[Player]:[Player]],$A54,Upload_Indiv[[Side]:[Side]],"Raintree Front",Upload_Indiv[[Excl Score]:[Excl Score]],0),"")</f>
        <v/>
      </c>
    </row>
    <row r="1011" spans="1:5" x14ac:dyDescent="0.25">
      <c r="A1011" t="s">
        <v>724</v>
      </c>
      <c r="B1011" t="s">
        <v>359</v>
      </c>
      <c r="C1011" t="s">
        <v>834</v>
      </c>
      <c r="D1011" t="s">
        <v>1552</v>
      </c>
      <c r="E1011" t="str">
        <f>IFERROR(AVERAGEIFS(Upload_Indiv[Score5],Upload_Indiv[[Player]:[Player]],$A54,Upload_Indiv[[Side]:[Side]],"Raintree Back",Upload_Indiv[[Excl Score]:[Excl Score]],0),"")</f>
        <v/>
      </c>
    </row>
    <row r="1012" spans="1:5" x14ac:dyDescent="0.25">
      <c r="A1012" t="s">
        <v>724</v>
      </c>
      <c r="B1012" t="s">
        <v>360</v>
      </c>
      <c r="C1012" t="s">
        <v>725</v>
      </c>
      <c r="D1012" t="s">
        <v>1553</v>
      </c>
      <c r="E1012" t="str">
        <f>IFERROR(AVERAGEIFS(Upload_Indiv[Score6],Upload_Indiv[[Side]:[Side]],"Raintree Front")-IF(TRUNC(ROUND($B6,0)/9,0)=2,2+IF((ROUND($B6,0)-18)*2&gt;=H$2,1,0),IF(TRUNC(ROUND($B6,0)/9,0)=1,1+IF((ROUND($B6,0)-9)*2&gt;=H$2,1,0),IF(TRUNC(ROUND($B6,0)/9,0)=0,IF(TRUNC(ROUND($B6,0)/9,0)=0,0+IF((ROUND($B6,0))*2&gt;=H$2,1,0),"Not"))))-H$3,"")</f>
        <v/>
      </c>
    </row>
    <row r="1013" spans="1:5" x14ac:dyDescent="0.25">
      <c r="A1013" t="s">
        <v>724</v>
      </c>
      <c r="B1013" t="s">
        <v>360</v>
      </c>
      <c r="C1013" t="s">
        <v>725</v>
      </c>
      <c r="D1013" t="s">
        <v>1554</v>
      </c>
      <c r="E1013" t="str">
        <f>IFERROR(AVERAGEIFS(Upload_Indiv[Score6],Upload_Indiv[[Side]:[Side]],"Raintree Back")-IF(TRUNC(ROUND($B6,0)/9,0)=2,2+IF((ROUND($B6,0)-18)*2&gt;=R$2,1,0),IF(TRUNC(ROUND($B6,0)/9,0)=1,1+IF((ROUND($B6,0)-9)*2&gt;=R$2,1,0),IF(TRUNC(ROUND($B6,0)/9,0)=0,IF(TRUNC(ROUND($B6,0)/9,0)=0,0+IF((ROUND($B6,0))*2&gt;=R$2,1,0),"Not"))))-R$3,"")</f>
        <v/>
      </c>
    </row>
    <row r="1014" spans="1:5" x14ac:dyDescent="0.25">
      <c r="A1014" t="s">
        <v>724</v>
      </c>
      <c r="B1014" t="s">
        <v>360</v>
      </c>
      <c r="C1014" t="s">
        <v>725</v>
      </c>
      <c r="D1014" t="s">
        <v>1555</v>
      </c>
      <c r="E1014" t="str">
        <f>IFERROR(AVERAGEIFS(Upload_Indiv[Score6],Upload_Indiv[[Player]:[Player]],$A8,Upload_Indiv[[Side]:[Side]],"Raintree Front")-IF(TRUNC(ROUND($B8,0)/9,0)=2,2+IF((ROUND($B8,0)-18)*2&gt;=H$2,1,0),IF(TRUNC(ROUND($B8,0)/9,0)=1,1+IF((ROUND($B8,0)-9)*2&gt;=H$2,1,0),IF(TRUNC(ROUND($B8,0)/9,0)=0,IF(TRUNC(ROUND($B8,0)/9,0)=0,0+IF((ROUND($B8,0))*2&gt;=H$2,1,0),"Not"))))-H$3,"")</f>
        <v/>
      </c>
    </row>
    <row r="1015" spans="1:5" x14ac:dyDescent="0.25">
      <c r="A1015" t="s">
        <v>724</v>
      </c>
      <c r="B1015" t="s">
        <v>360</v>
      </c>
      <c r="C1015" t="s">
        <v>725</v>
      </c>
      <c r="D1015" t="s">
        <v>1556</v>
      </c>
      <c r="E1015" t="str">
        <f>IFERROR(AVERAGEIFS(Upload_Indiv[Score6],Upload_Indiv[[Player]:[Player]],$A8,Upload_Indiv[[Side]:[Side]],"Raintree Back")-IF(TRUNC(ROUND($B8,0)/9,0)=2,2+IF((ROUND($B8,0)-18)*2&gt;=R$2,1,0),IF(TRUNC(ROUND($B8,0)/9,0)=1,1+IF((ROUND($B8,0)-9)*2&gt;=R$2,1,0),IF(TRUNC(ROUND($B8,0)/9,0)=0,IF(TRUNC(ROUND($B8,0)/9,0)=0,0+IF((ROUND($B8,0))*2&gt;=R$2,1,0),"Not"))))-R$3,"")</f>
        <v/>
      </c>
    </row>
    <row r="1016" spans="1:5" x14ac:dyDescent="0.25">
      <c r="A1016" t="s">
        <v>724</v>
      </c>
      <c r="B1016" t="s">
        <v>360</v>
      </c>
      <c r="C1016" t="s">
        <v>725</v>
      </c>
      <c r="D1016" t="s">
        <v>1557</v>
      </c>
      <c r="E1016" t="str">
        <f>IFERROR(AVERAGEIFS(Upload_Indiv[Score6],Upload_Indiv[[Player]:[Player]],$A9,Upload_Indiv[[Side]:[Side]],"Raintree Front")-IF(TRUNC(ROUND($B9,0)/9,0)=2,2+IF((ROUND($B9,0)-18)*2&gt;=H$2,1,0),IF(TRUNC(ROUND($B9,0)/9,0)=1,1+IF((ROUND($B9,0)-9)*2&gt;=H$2,1,0),IF(TRUNC(ROUND($B9,0)/9,0)=0,IF(TRUNC(ROUND($B9,0)/9,0)=0,0+IF((ROUND($B9,0))*2&gt;=H$2,1,0),"Not"))))-H$3,"")</f>
        <v/>
      </c>
    </row>
    <row r="1017" spans="1:5" x14ac:dyDescent="0.25">
      <c r="A1017" t="s">
        <v>724</v>
      </c>
      <c r="B1017" t="s">
        <v>360</v>
      </c>
      <c r="C1017" t="s">
        <v>725</v>
      </c>
      <c r="D1017" t="s">
        <v>1558</v>
      </c>
      <c r="E1017" t="str">
        <f>IFERROR(AVERAGEIFS(Upload_Indiv[Score6],Upload_Indiv[[Player]:[Player]],$A9,Upload_Indiv[[Side]:[Side]],"Raintree Back")-IF(TRUNC(ROUND($B9,0)/9,0)=2,2+IF((ROUND($B9,0)-18)*2&gt;=R$2,1,0),IF(TRUNC(ROUND($B9,0)/9,0)=1,1+IF((ROUND($B9,0)-9)*2&gt;=R$2,1,0),IF(TRUNC(ROUND($B9,0)/9,0)=0,IF(TRUNC(ROUND($B9,0)/9,0)=0,0+IF((ROUND($B9,0))*2&gt;=R$2,1,0),"Not"))))-R$3,"")</f>
        <v/>
      </c>
    </row>
    <row r="1018" spans="1:5" x14ac:dyDescent="0.25">
      <c r="A1018" t="s">
        <v>724</v>
      </c>
      <c r="B1018" t="s">
        <v>360</v>
      </c>
      <c r="C1018" t="s">
        <v>725</v>
      </c>
      <c r="D1018" t="s">
        <v>1559</v>
      </c>
      <c r="E1018" t="str">
        <f>IFERROR(AVERAGEIFS(Upload_Indiv[Score6],Upload_Indiv[[Player]:[Player]],$A10,Upload_Indiv[[Side]:[Side]],"Raintree Front")-IF(TRUNC(ROUND($B10,0)/9,0)=2,2+IF((ROUND($B10,0)-18)*2&gt;=H$2,1,0),IF(TRUNC(ROUND($B10,0)/9,0)=1,1+IF((ROUND($B10,0)-9)*2&gt;=H$2,1,0),IF(TRUNC(ROUND($B10,0)/9,0)=0,IF(TRUNC(ROUND($B10,0)/9,0)=0,0+IF((ROUND($B10,0))*2&gt;=H$2,1,0),"Not"))))-H$3,"")</f>
        <v/>
      </c>
    </row>
    <row r="1019" spans="1:5" x14ac:dyDescent="0.25">
      <c r="A1019" t="s">
        <v>724</v>
      </c>
      <c r="B1019" t="s">
        <v>360</v>
      </c>
      <c r="C1019" t="s">
        <v>725</v>
      </c>
      <c r="D1019" t="s">
        <v>1560</v>
      </c>
      <c r="E1019" t="str">
        <f>IFERROR(AVERAGEIFS(Upload_Indiv[Score6],Upload_Indiv[[Player]:[Player]],$A10,Upload_Indiv[[Side]:[Side]],"Raintree Back")-IF(TRUNC(ROUND($B10,0)/9,0)=2,2+IF((ROUND($B10,0)-18)*2&gt;=R$2,1,0),IF(TRUNC(ROUND($B10,0)/9,0)=1,1+IF((ROUND($B10,0)-9)*2&gt;=R$2,1,0),IF(TRUNC(ROUND($B10,0)/9,0)=0,IF(TRUNC(ROUND($B10,0)/9,0)=0,0+IF((ROUND($B10,0))*2&gt;=R$2,1,0),"Not"))))-R$3,"")</f>
        <v/>
      </c>
    </row>
    <row r="1020" spans="1:5" x14ac:dyDescent="0.25">
      <c r="A1020" t="s">
        <v>724</v>
      </c>
      <c r="B1020" t="s">
        <v>360</v>
      </c>
      <c r="C1020" t="s">
        <v>725</v>
      </c>
      <c r="D1020" t="s">
        <v>1561</v>
      </c>
      <c r="E1020" t="str">
        <f>IFERROR(AVERAGEIFS(Upload_Indiv[Score6],Upload_Indiv[[Player]:[Player]],$A11,Upload_Indiv[[Side]:[Side]],"Raintree Front")-IF(TRUNC(ROUND($B11,0)/9,0)=2,2+IF((ROUND($B11,0)-18)*2&gt;=H$2,1,0),IF(TRUNC(ROUND($B11,0)/9,0)=1,1+IF((ROUND($B11,0)-9)*2&gt;=H$2,1,0),IF(TRUNC(ROUND($B11,0)/9,0)=0,IF(TRUNC(ROUND($B11,0)/9,0)=0,0+IF((ROUND($B11,0))*2&gt;=H$2,1,0),"Not"))))-H$3,"")</f>
        <v/>
      </c>
    </row>
    <row r="1021" spans="1:5" x14ac:dyDescent="0.25">
      <c r="A1021" t="s">
        <v>724</v>
      </c>
      <c r="B1021" t="s">
        <v>360</v>
      </c>
      <c r="C1021" t="s">
        <v>725</v>
      </c>
      <c r="D1021" t="s">
        <v>1562</v>
      </c>
      <c r="E1021" t="str">
        <f>IFERROR(AVERAGEIFS(Upload_Indiv[Score6],Upload_Indiv[[Player]:[Player]],$A11,Upload_Indiv[[Side]:[Side]],"Raintree Back")-IF(TRUNC(ROUND($B11,0)/9,0)=2,2+IF((ROUND($B11,0)-18)*2&gt;=R$2,1,0),IF(TRUNC(ROUND($B11,0)/9,0)=1,1+IF((ROUND($B11,0)-9)*2&gt;=R$2,1,0),IF(TRUNC(ROUND($B11,0)/9,0)=0,IF(TRUNC(ROUND($B11,0)/9,0)=0,0+IF((ROUND($B11,0))*2&gt;=R$2,1,0),"Not"))))-R$3,"")</f>
        <v/>
      </c>
    </row>
    <row r="1022" spans="1:5" x14ac:dyDescent="0.25">
      <c r="A1022" t="s">
        <v>724</v>
      </c>
      <c r="B1022" t="s">
        <v>360</v>
      </c>
      <c r="C1022" t="s">
        <v>725</v>
      </c>
      <c r="D1022" t="s">
        <v>1563</v>
      </c>
      <c r="E1022" t="str">
        <f>IFERROR(AVERAGEIFS(Upload_Indiv[Score6],Upload_Indiv[[Player]:[Player]],$A12,Upload_Indiv[[Side]:[Side]],"Raintree Front")-IF(TRUNC(ROUND($B12,0)/9,0)=2,2+IF((ROUND($B12,0)-18)*2&gt;=H$2,1,0),IF(TRUNC(ROUND($B12,0)/9,0)=1,1+IF((ROUND($B12,0)-9)*2&gt;=H$2,1,0),IF(TRUNC(ROUND($B12,0)/9,0)=0,IF(TRUNC(ROUND($B12,0)/9,0)=0,0+IF((ROUND($B12,0))*2&gt;=H$2,1,0),"Not"))))-H$3,"")</f>
        <v/>
      </c>
    </row>
    <row r="1023" spans="1:5" x14ac:dyDescent="0.25">
      <c r="A1023" t="s">
        <v>724</v>
      </c>
      <c r="B1023" t="s">
        <v>360</v>
      </c>
      <c r="C1023" t="s">
        <v>725</v>
      </c>
      <c r="D1023" t="s">
        <v>1564</v>
      </c>
      <c r="E1023" t="str">
        <f>IFERROR(AVERAGEIFS(Upload_Indiv[Score6],Upload_Indiv[[Player]:[Player]],$A12,Upload_Indiv[[Side]:[Side]],"Raintree Back")-IF(TRUNC(ROUND($B12,0)/9,0)=2,2+IF((ROUND($B12,0)-18)*2&gt;=R$2,1,0),IF(TRUNC(ROUND($B12,0)/9,0)=1,1+IF((ROUND($B12,0)-9)*2&gt;=R$2,1,0),IF(TRUNC(ROUND($B12,0)/9,0)=0,IF(TRUNC(ROUND($B12,0)/9,0)=0,0+IF((ROUND($B12,0))*2&gt;=R$2,1,0),"Not"))))-R$3,"")</f>
        <v/>
      </c>
    </row>
    <row r="1024" spans="1:5" x14ac:dyDescent="0.25">
      <c r="A1024" t="s">
        <v>724</v>
      </c>
      <c r="B1024" t="s">
        <v>360</v>
      </c>
      <c r="C1024" t="s">
        <v>725</v>
      </c>
      <c r="D1024" t="s">
        <v>1565</v>
      </c>
      <c r="E1024" t="str">
        <f>IFERROR(AVERAGEIFS(Upload_Indiv[Score6],Upload_Indiv[[Player]:[Player]],$A13,Upload_Indiv[[Side]:[Side]],"Raintree Front")-IF(TRUNC(ROUND($B13,0)/9,0)=2,2+IF((ROUND($B13,0)-18)*2&gt;=H$2,1,0),IF(TRUNC(ROUND($B13,0)/9,0)=1,1+IF((ROUND($B13,0)-9)*2&gt;=H$2,1,0),IF(TRUNC(ROUND($B13,0)/9,0)=0,IF(TRUNC(ROUND($B13,0)/9,0)=0,0+IF((ROUND($B13,0))*2&gt;=H$2,1,0),"Not"))))-H$3,"")</f>
        <v/>
      </c>
    </row>
    <row r="1025" spans="1:5" x14ac:dyDescent="0.25">
      <c r="A1025" t="s">
        <v>724</v>
      </c>
      <c r="B1025" t="s">
        <v>360</v>
      </c>
      <c r="C1025" t="s">
        <v>725</v>
      </c>
      <c r="D1025" t="s">
        <v>1566</v>
      </c>
      <c r="E1025" t="str">
        <f>IFERROR(AVERAGEIFS(Upload_Indiv[Score6],Upload_Indiv[[Player]:[Player]],$A13,Upload_Indiv[[Side]:[Side]],"Raintree Back")-IF(TRUNC(ROUND($B13,0)/9,0)=2,2+IF((ROUND($B13,0)-18)*2&gt;=R$2,1,0),IF(TRUNC(ROUND($B13,0)/9,0)=1,1+IF((ROUND($B13,0)-9)*2&gt;=R$2,1,0),IF(TRUNC(ROUND($B13,0)/9,0)=0,IF(TRUNC(ROUND($B13,0)/9,0)=0,0+IF((ROUND($B13,0))*2&gt;=R$2,1,0),"Not"))))-R$3,"")</f>
        <v/>
      </c>
    </row>
    <row r="1026" spans="1:5" x14ac:dyDescent="0.25">
      <c r="A1026" t="s">
        <v>724</v>
      </c>
      <c r="B1026" t="s">
        <v>360</v>
      </c>
      <c r="C1026" t="s">
        <v>725</v>
      </c>
      <c r="D1026" t="s">
        <v>1567</v>
      </c>
      <c r="E1026" t="str">
        <f>IFERROR(AVERAGEIFS(Upload_Indiv[Score6],Upload_Indiv[[Player]:[Player]],$A14,Upload_Indiv[[Side]:[Side]],"Raintree Front")-IF(TRUNC(ROUND($B14,0)/9,0)=2,2+IF((ROUND($B14,0)-18)*2&gt;=H$2,1,0),IF(TRUNC(ROUND($B14,0)/9,0)=1,1+IF((ROUND($B14,0)-9)*2&gt;=H$2,1,0),IF(TRUNC(ROUND($B14,0)/9,0)=0,IF(TRUNC(ROUND($B14,0)/9,0)=0,0+IF((ROUND($B14,0))*2&gt;=H$2,1,0),"Not"))))-H$3,"")</f>
        <v/>
      </c>
    </row>
    <row r="1027" spans="1:5" x14ac:dyDescent="0.25">
      <c r="A1027" t="s">
        <v>724</v>
      </c>
      <c r="B1027" t="s">
        <v>360</v>
      </c>
      <c r="C1027" t="s">
        <v>725</v>
      </c>
      <c r="D1027" t="s">
        <v>1568</v>
      </c>
      <c r="E1027" t="str">
        <f>IFERROR(AVERAGEIFS(Upload_Indiv[Score6],Upload_Indiv[[Player]:[Player]],$A14,Upload_Indiv[[Side]:[Side]],"Raintree Back")-IF(TRUNC(ROUND($B14,0)/9,0)=2,2+IF((ROUND($B14,0)-18)*2&gt;=R$2,1,0),IF(TRUNC(ROUND($B14,0)/9,0)=1,1+IF((ROUND($B14,0)-9)*2&gt;=R$2,1,0),IF(TRUNC(ROUND($B14,0)/9,0)=0,IF(TRUNC(ROUND($B14,0)/9,0)=0,0+IF((ROUND($B14,0))*2&gt;=R$2,1,0),"Not"))))-R$3,"")</f>
        <v/>
      </c>
    </row>
    <row r="1028" spans="1:5" x14ac:dyDescent="0.25">
      <c r="A1028" t="s">
        <v>724</v>
      </c>
      <c r="B1028" t="s">
        <v>360</v>
      </c>
      <c r="C1028" t="s">
        <v>725</v>
      </c>
      <c r="D1028" t="s">
        <v>1569</v>
      </c>
      <c r="E1028" t="str">
        <f>IFERROR(AVERAGEIFS(Upload_Indiv[Score6],Upload_Indiv[[Player]:[Player]],$A15,Upload_Indiv[[Side]:[Side]],"Raintree Front")-IF(TRUNC(ROUND($B15,0)/9,0)=2,2+IF((ROUND($B15,0)-18)*2&gt;=H$2,1,0),IF(TRUNC(ROUND($B15,0)/9,0)=1,1+IF((ROUND($B15,0)-9)*2&gt;=H$2,1,0),IF(TRUNC(ROUND($B15,0)/9,0)=0,IF(TRUNC(ROUND($B15,0)/9,0)=0,0+IF((ROUND($B15,0))*2&gt;=H$2,1,0),"Not"))))-H$3,"")</f>
        <v/>
      </c>
    </row>
    <row r="1029" spans="1:5" x14ac:dyDescent="0.25">
      <c r="A1029" t="s">
        <v>724</v>
      </c>
      <c r="B1029" t="s">
        <v>360</v>
      </c>
      <c r="C1029" t="s">
        <v>725</v>
      </c>
      <c r="D1029" t="s">
        <v>1570</v>
      </c>
      <c r="E1029" t="str">
        <f>IFERROR(AVERAGEIFS(Upload_Indiv[Score6],Upload_Indiv[[Player]:[Player]],$A15,Upload_Indiv[[Side]:[Side]],"Raintree Back")-IF(TRUNC(ROUND($B15,0)/9,0)=2,2+IF((ROUND($B15,0)-18)*2&gt;=R$2,1,0),IF(TRUNC(ROUND($B15,0)/9,0)=1,1+IF((ROUND($B15,0)-9)*2&gt;=R$2,1,0),IF(TRUNC(ROUND($B15,0)/9,0)=0,IF(TRUNC(ROUND($B15,0)/9,0)=0,0+IF((ROUND($B15,0))*2&gt;=R$2,1,0),"Not"))))-R$3,"")</f>
        <v/>
      </c>
    </row>
    <row r="1030" spans="1:5" x14ac:dyDescent="0.25">
      <c r="A1030" t="s">
        <v>724</v>
      </c>
      <c r="B1030" t="s">
        <v>360</v>
      </c>
      <c r="C1030" t="s">
        <v>725</v>
      </c>
      <c r="D1030" t="s">
        <v>1571</v>
      </c>
      <c r="E1030" t="str">
        <f>IFERROR(AVERAGEIFS(Upload_Indiv[Score6],Upload_Indiv[[Player]:[Player]],$A16,Upload_Indiv[[Side]:[Side]],"Raintree Front")-IF(TRUNC(ROUND($B16,0)/9,0)=2,2+IF((ROUND($B16,0)-18)*2&gt;=H$2,1,0),IF(TRUNC(ROUND($B16,0)/9,0)=1,1+IF((ROUND($B16,0)-9)*2&gt;=H$2,1,0),IF(TRUNC(ROUND($B16,0)/9,0)=0,IF(TRUNC(ROUND($B16,0)/9,0)=0,0+IF((ROUND($B16,0))*2&gt;=H$2,1,0),"Not"))))-H$3,"")</f>
        <v/>
      </c>
    </row>
    <row r="1031" spans="1:5" x14ac:dyDescent="0.25">
      <c r="A1031" t="s">
        <v>724</v>
      </c>
      <c r="B1031" t="s">
        <v>360</v>
      </c>
      <c r="C1031" t="s">
        <v>725</v>
      </c>
      <c r="D1031" t="s">
        <v>1572</v>
      </c>
      <c r="E1031" t="str">
        <f>IFERROR(AVERAGEIFS(Upload_Indiv[Score6],Upload_Indiv[[Player]:[Player]],$A16,Upload_Indiv[[Side]:[Side]],"Raintree Back")-IF(TRUNC(ROUND($B16,0)/9,0)=2,2+IF((ROUND($B16,0)-18)*2&gt;=R$2,1,0),IF(TRUNC(ROUND($B16,0)/9,0)=1,1+IF((ROUND($B16,0)-9)*2&gt;=R$2,1,0),IF(TRUNC(ROUND($B16,0)/9,0)=0,IF(TRUNC(ROUND($B16,0)/9,0)=0,0+IF((ROUND($B16,0))*2&gt;=R$2,1,0),"Not"))))-R$3,"")</f>
        <v/>
      </c>
    </row>
    <row r="1032" spans="1:5" x14ac:dyDescent="0.25">
      <c r="A1032" t="s">
        <v>724</v>
      </c>
      <c r="B1032" t="s">
        <v>360</v>
      </c>
      <c r="C1032" t="s">
        <v>725</v>
      </c>
      <c r="D1032" t="s">
        <v>1573</v>
      </c>
      <c r="E1032" t="str">
        <f>IFERROR(AVERAGEIFS(Upload_Indiv[Score6],Upload_Indiv[[Player]:[Player]],$A17,Upload_Indiv[[Side]:[Side]],"Raintree Front")-IF(TRUNC(ROUND($B17,0)/9,0)=2,2+IF((ROUND($B17,0)-18)*2&gt;=H$2,1,0),IF(TRUNC(ROUND($B17,0)/9,0)=1,1+IF((ROUND($B17,0)-9)*2&gt;=H$2,1,0),IF(TRUNC(ROUND($B17,0)/9,0)=0,IF(TRUNC(ROUND($B17,0)/9,0)=0,0+IF((ROUND($B17,0))*2&gt;=H$2,1,0),"Not"))))-H$3,"")</f>
        <v/>
      </c>
    </row>
    <row r="1033" spans="1:5" x14ac:dyDescent="0.25">
      <c r="A1033" t="s">
        <v>724</v>
      </c>
      <c r="B1033" t="s">
        <v>360</v>
      </c>
      <c r="C1033" t="s">
        <v>725</v>
      </c>
      <c r="D1033" t="s">
        <v>1574</v>
      </c>
      <c r="E1033" t="str">
        <f>IFERROR(AVERAGEIFS(Upload_Indiv[Score6],Upload_Indiv[[Player]:[Player]],$A17,Upload_Indiv[[Side]:[Side]],"Raintree Back")-IF(TRUNC(ROUND($B17,0)/9,0)=2,2+IF((ROUND($B17,0)-18)*2&gt;=R$2,1,0),IF(TRUNC(ROUND($B17,0)/9,0)=1,1+IF((ROUND($B17,0)-9)*2&gt;=R$2,1,0),IF(TRUNC(ROUND($B17,0)/9,0)=0,IF(TRUNC(ROUND($B17,0)/9,0)=0,0+IF((ROUND($B17,0))*2&gt;=R$2,1,0),"Not"))))-R$3,"")</f>
        <v/>
      </c>
    </row>
    <row r="1034" spans="1:5" x14ac:dyDescent="0.25">
      <c r="A1034" t="s">
        <v>724</v>
      </c>
      <c r="B1034" t="s">
        <v>360</v>
      </c>
      <c r="C1034" t="s">
        <v>725</v>
      </c>
      <c r="D1034" t="s">
        <v>1575</v>
      </c>
      <c r="E1034" t="str">
        <f>IFERROR(AVERAGEIFS(Upload_Indiv[Score6],Upload_Indiv[[Player]:[Player]],$A18,Upload_Indiv[[Side]:[Side]],"Raintree Front")-IF(TRUNC(ROUND($B18,0)/9,0)=2,2+IF((ROUND($B18,0)-18)*2&gt;=H$2,1,0),IF(TRUNC(ROUND($B18,0)/9,0)=1,1+IF((ROUND($B18,0)-9)*2&gt;=H$2,1,0),IF(TRUNC(ROUND($B18,0)/9,0)=0,IF(TRUNC(ROUND($B18,0)/9,0)=0,0+IF((ROUND($B18,0))*2&gt;=H$2,1,0),"Not"))))-H$3,"")</f>
        <v/>
      </c>
    </row>
    <row r="1035" spans="1:5" x14ac:dyDescent="0.25">
      <c r="A1035" t="s">
        <v>724</v>
      </c>
      <c r="B1035" t="s">
        <v>360</v>
      </c>
      <c r="C1035" t="s">
        <v>725</v>
      </c>
      <c r="D1035" t="s">
        <v>1576</v>
      </c>
      <c r="E1035" t="str">
        <f>IFERROR(AVERAGEIFS(Upload_Indiv[Score6],Upload_Indiv[[Player]:[Player]],$A18,Upload_Indiv[[Side]:[Side]],"Raintree Back")-IF(TRUNC(ROUND($B18,0)/9,0)=2,2+IF((ROUND($B18,0)-18)*2&gt;=R$2,1,0),IF(TRUNC(ROUND($B18,0)/9,0)=1,1+IF((ROUND($B18,0)-9)*2&gt;=R$2,1,0),IF(TRUNC(ROUND($B18,0)/9,0)=0,IF(TRUNC(ROUND($B18,0)/9,0)=0,0+IF((ROUND($B18,0))*2&gt;=R$2,1,0),"Not"))))-R$3,"")</f>
        <v/>
      </c>
    </row>
    <row r="1036" spans="1:5" x14ac:dyDescent="0.25">
      <c r="A1036" t="s">
        <v>724</v>
      </c>
      <c r="B1036" t="s">
        <v>360</v>
      </c>
      <c r="C1036" t="s">
        <v>725</v>
      </c>
      <c r="D1036" t="s">
        <v>1577</v>
      </c>
      <c r="E1036" t="str">
        <f>IFERROR(AVERAGEIFS(Upload_Indiv[Score6],Upload_Indiv[[Player]:[Player]],$A19,Upload_Indiv[[Side]:[Side]],"Raintree Front")-IF(TRUNC(ROUND($B19,0)/9,0)=2,2+IF((ROUND($B19,0)-18)*2&gt;=H$2,1,0),IF(TRUNC(ROUND($B19,0)/9,0)=1,1+IF((ROUND($B19,0)-9)*2&gt;=H$2,1,0),IF(TRUNC(ROUND($B19,0)/9,0)=0,IF(TRUNC(ROUND($B19,0)/9,0)=0,0+IF((ROUND($B19,0))*2&gt;=H$2,1,0),"Not"))))-H$3,"")</f>
        <v/>
      </c>
    </row>
    <row r="1037" spans="1:5" x14ac:dyDescent="0.25">
      <c r="A1037" t="s">
        <v>724</v>
      </c>
      <c r="B1037" t="s">
        <v>360</v>
      </c>
      <c r="C1037" t="s">
        <v>725</v>
      </c>
      <c r="D1037" t="s">
        <v>1578</v>
      </c>
      <c r="E1037" t="str">
        <f>IFERROR(AVERAGEIFS(Upload_Indiv[Score6],Upload_Indiv[[Player]:[Player]],$A19,Upload_Indiv[[Side]:[Side]],"Raintree Back")-IF(TRUNC(ROUND($B19,0)/9,0)=2,2+IF((ROUND($B19,0)-18)*2&gt;=R$2,1,0),IF(TRUNC(ROUND($B19,0)/9,0)=1,1+IF((ROUND($B19,0)-9)*2&gt;=R$2,1,0),IF(TRUNC(ROUND($B19,0)/9,0)=0,IF(TRUNC(ROUND($B19,0)/9,0)=0,0+IF((ROUND($B19,0))*2&gt;=R$2,1,0),"Not"))))-R$3,"")</f>
        <v/>
      </c>
    </row>
    <row r="1038" spans="1:5" x14ac:dyDescent="0.25">
      <c r="A1038" t="s">
        <v>724</v>
      </c>
      <c r="B1038" t="s">
        <v>360</v>
      </c>
      <c r="C1038" t="s">
        <v>725</v>
      </c>
      <c r="D1038" t="s">
        <v>1579</v>
      </c>
      <c r="E1038" t="str">
        <f>IFERROR(AVERAGEIFS(Upload_Indiv[Score6],Upload_Indiv[[Player]:[Player]],$A20,Upload_Indiv[[Side]:[Side]],"Raintree Front")-IF(TRUNC(ROUND($B20,0)/9,0)=2,2+IF((ROUND($B20,0)-18)*2&gt;=H$2,1,0),IF(TRUNC(ROUND($B20,0)/9,0)=1,1+IF((ROUND($B20,0)-9)*2&gt;=H$2,1,0),IF(TRUNC(ROUND($B20,0)/9,0)=0,IF(TRUNC(ROUND($B20,0)/9,0)=0,0+IF((ROUND($B20,0))*2&gt;=H$2,1,0),"Not"))))-H$3,"")</f>
        <v/>
      </c>
    </row>
    <row r="1039" spans="1:5" x14ac:dyDescent="0.25">
      <c r="A1039" t="s">
        <v>724</v>
      </c>
      <c r="B1039" t="s">
        <v>360</v>
      </c>
      <c r="C1039" t="s">
        <v>725</v>
      </c>
      <c r="D1039" t="s">
        <v>1580</v>
      </c>
      <c r="E1039" t="str">
        <f>IFERROR(AVERAGEIFS(Upload_Indiv[Score6],Upload_Indiv[[Player]:[Player]],$A20,Upload_Indiv[[Side]:[Side]],"Raintree Back")-IF(TRUNC(ROUND($B20,0)/9,0)=2,2+IF((ROUND($B20,0)-18)*2&gt;=R$2,1,0),IF(TRUNC(ROUND($B20,0)/9,0)=1,1+IF((ROUND($B20,0)-9)*2&gt;=R$2,1,0),IF(TRUNC(ROUND($B20,0)/9,0)=0,IF(TRUNC(ROUND($B20,0)/9,0)=0,0+IF((ROUND($B20,0))*2&gt;=R$2,1,0),"Not"))))-R$3,"")</f>
        <v/>
      </c>
    </row>
    <row r="1040" spans="1:5" x14ac:dyDescent="0.25">
      <c r="A1040" t="s">
        <v>724</v>
      </c>
      <c r="B1040" t="s">
        <v>360</v>
      </c>
      <c r="C1040" t="s">
        <v>725</v>
      </c>
      <c r="D1040" t="s">
        <v>1581</v>
      </c>
      <c r="E1040" t="str">
        <f>IFERROR(AVERAGEIFS(Upload_Indiv[Score6],Upload_Indiv[[Player]:[Player]],$A21,Upload_Indiv[[Side]:[Side]],"Raintree Front")-IF(TRUNC(ROUND($B21,0)/9,0)=2,2+IF((ROUND($B21,0)-18)*2&gt;=H$2,1,0),IF(TRUNC(ROUND($B21,0)/9,0)=1,1+IF((ROUND($B21,0)-9)*2&gt;=H$2,1,0),IF(TRUNC(ROUND($B21,0)/9,0)=0,IF(TRUNC(ROUND($B21,0)/9,0)=0,0+IF((ROUND($B21,0))*2&gt;=H$2,1,0),"Not"))))-H$3,"")</f>
        <v/>
      </c>
    </row>
    <row r="1041" spans="1:5" x14ac:dyDescent="0.25">
      <c r="A1041" t="s">
        <v>724</v>
      </c>
      <c r="B1041" t="s">
        <v>360</v>
      </c>
      <c r="C1041" t="s">
        <v>725</v>
      </c>
      <c r="D1041" t="s">
        <v>1582</v>
      </c>
      <c r="E1041" t="str">
        <f>IFERROR(AVERAGEIFS(Upload_Indiv[Score6],Upload_Indiv[[Player]:[Player]],$A21,Upload_Indiv[[Side]:[Side]],"Raintree Back")-IF(TRUNC(ROUND($B21,0)/9,0)=2,2+IF((ROUND($B21,0)-18)*2&gt;=R$2,1,0),IF(TRUNC(ROUND($B21,0)/9,0)=1,1+IF((ROUND($B21,0)-9)*2&gt;=R$2,1,0),IF(TRUNC(ROUND($B21,0)/9,0)=0,IF(TRUNC(ROUND($B21,0)/9,0)=0,0+IF((ROUND($B21,0))*2&gt;=R$2,1,0),"Not"))))-R$3,"")</f>
        <v/>
      </c>
    </row>
    <row r="1042" spans="1:5" x14ac:dyDescent="0.25">
      <c r="A1042" t="s">
        <v>724</v>
      </c>
      <c r="B1042" t="s">
        <v>360</v>
      </c>
      <c r="C1042" t="s">
        <v>725</v>
      </c>
      <c r="D1042" t="s">
        <v>1583</v>
      </c>
      <c r="E1042" t="str">
        <f>IFERROR(AVERAGEIFS(Upload_Indiv[Score6],Upload_Indiv[[Player]:[Player]],$A22,Upload_Indiv[[Side]:[Side]],"Raintree Front")-IF(TRUNC(ROUND($B22,0)/9,0)=2,2+IF((ROUND($B22,0)-18)*2&gt;=H$2,1,0),IF(TRUNC(ROUND($B22,0)/9,0)=1,1+IF((ROUND($B22,0)-9)*2&gt;=H$2,1,0),IF(TRUNC(ROUND($B22,0)/9,0)=0,IF(TRUNC(ROUND($B22,0)/9,0)=0,0+IF((ROUND($B22,0))*2&gt;=H$2,1,0),"Not"))))-H$3,"")</f>
        <v/>
      </c>
    </row>
    <row r="1043" spans="1:5" x14ac:dyDescent="0.25">
      <c r="A1043" t="s">
        <v>724</v>
      </c>
      <c r="B1043" t="s">
        <v>360</v>
      </c>
      <c r="C1043" t="s">
        <v>725</v>
      </c>
      <c r="D1043" t="s">
        <v>1584</v>
      </c>
      <c r="E1043" t="str">
        <f>IFERROR(AVERAGEIFS(Upload_Indiv[Score6],Upload_Indiv[[Player]:[Player]],$A22,Upload_Indiv[[Side]:[Side]],"Raintree Back")-IF(TRUNC(ROUND($B22,0)/9,0)=2,2+IF((ROUND($B22,0)-18)*2&gt;=R$2,1,0),IF(TRUNC(ROUND($B22,0)/9,0)=1,1+IF((ROUND($B22,0)-9)*2&gt;=R$2,1,0),IF(TRUNC(ROUND($B22,0)/9,0)=0,IF(TRUNC(ROUND($B22,0)/9,0)=0,0+IF((ROUND($B22,0))*2&gt;=R$2,1,0),"Not"))))-R$3,"")</f>
        <v/>
      </c>
    </row>
    <row r="1044" spans="1:5" x14ac:dyDescent="0.25">
      <c r="A1044" t="s">
        <v>724</v>
      </c>
      <c r="B1044" t="s">
        <v>360</v>
      </c>
      <c r="C1044" t="s">
        <v>725</v>
      </c>
      <c r="D1044" t="s">
        <v>1585</v>
      </c>
      <c r="E1044" t="str">
        <f>IFERROR(AVERAGEIFS(Upload_Indiv[Score6],Upload_Indiv[[Player]:[Player]],$A23,Upload_Indiv[[Side]:[Side]],"Raintree Front")-IF(TRUNC(ROUND($B23,0)/9,0)=2,2+IF((ROUND($B23,0)-18)*2&gt;=H$2,1,0),IF(TRUNC(ROUND($B23,0)/9,0)=1,1+IF((ROUND($B23,0)-9)*2&gt;=H$2,1,0),IF(TRUNC(ROUND($B23,0)/9,0)=0,IF(TRUNC(ROUND($B23,0)/9,0)=0,0+IF((ROUND($B23,0))*2&gt;=H$2,1,0),"Not"))))-H$3,"")</f>
        <v/>
      </c>
    </row>
    <row r="1045" spans="1:5" x14ac:dyDescent="0.25">
      <c r="A1045" t="s">
        <v>724</v>
      </c>
      <c r="B1045" t="s">
        <v>360</v>
      </c>
      <c r="C1045" t="s">
        <v>725</v>
      </c>
      <c r="D1045" t="s">
        <v>1586</v>
      </c>
      <c r="E1045" t="str">
        <f>IFERROR(AVERAGEIFS(Upload_Indiv[Score6],Upload_Indiv[[Player]:[Player]],$A23,Upload_Indiv[[Side]:[Side]],"Raintree Back")-IF(TRUNC(ROUND($B23,0)/9,0)=2,2+IF((ROUND($B23,0)-18)*2&gt;=R$2,1,0),IF(TRUNC(ROUND($B23,0)/9,0)=1,1+IF((ROUND($B23,0)-9)*2&gt;=R$2,1,0),IF(TRUNC(ROUND($B23,0)/9,0)=0,IF(TRUNC(ROUND($B23,0)/9,0)=0,0+IF((ROUND($B23,0))*2&gt;=R$2,1,0),"Not"))))-R$3,"")</f>
        <v/>
      </c>
    </row>
    <row r="1046" spans="1:5" x14ac:dyDescent="0.25">
      <c r="A1046" t="s">
        <v>724</v>
      </c>
      <c r="B1046" t="s">
        <v>360</v>
      </c>
      <c r="C1046" t="s">
        <v>725</v>
      </c>
      <c r="D1046" t="s">
        <v>1587</v>
      </c>
      <c r="E1046" t="str">
        <f>IFERROR(AVERAGEIFS(Upload_Indiv[Score6],Upload_Indiv[[Player]:[Player]],$A24,Upload_Indiv[[Side]:[Side]],"Raintree Front")-IF(TRUNC(ROUND($B24,0)/9,0)=2,2+IF((ROUND($B24,0)-18)*2&gt;=H$2,1,0),IF(TRUNC(ROUND($B24,0)/9,0)=1,1+IF((ROUND($B24,0)-9)*2&gt;=H$2,1,0),IF(TRUNC(ROUND($B24,0)/9,0)=0,IF(TRUNC(ROUND($B24,0)/9,0)=0,0+IF((ROUND($B24,0))*2&gt;=H$2,1,0),"Not"))))-H$3,"")</f>
        <v/>
      </c>
    </row>
    <row r="1047" spans="1:5" x14ac:dyDescent="0.25">
      <c r="A1047" t="s">
        <v>724</v>
      </c>
      <c r="B1047" t="s">
        <v>360</v>
      </c>
      <c r="C1047" t="s">
        <v>725</v>
      </c>
      <c r="D1047" t="s">
        <v>1588</v>
      </c>
      <c r="E1047" t="str">
        <f>IFERROR(AVERAGEIFS(Upload_Indiv[Score6],Upload_Indiv[[Player]:[Player]],$A24,Upload_Indiv[[Side]:[Side]],"Raintree Back")-IF(TRUNC(ROUND($B24,0)/9,0)=2,2+IF((ROUND($B24,0)-18)*2&gt;=R$2,1,0),IF(TRUNC(ROUND($B24,0)/9,0)=1,1+IF((ROUND($B24,0)-9)*2&gt;=R$2,1,0),IF(TRUNC(ROUND($B24,0)/9,0)=0,IF(TRUNC(ROUND($B24,0)/9,0)=0,0+IF((ROUND($B24,0))*2&gt;=R$2,1,0),"Not"))))-R$3,"")</f>
        <v/>
      </c>
    </row>
    <row r="1048" spans="1:5" x14ac:dyDescent="0.25">
      <c r="A1048" t="s">
        <v>724</v>
      </c>
      <c r="B1048" t="s">
        <v>360</v>
      </c>
      <c r="C1048" t="s">
        <v>725</v>
      </c>
      <c r="D1048" t="s">
        <v>1589</v>
      </c>
      <c r="E1048" t="str">
        <f>IFERROR(AVERAGEIFS(Upload_Indiv[Score6],Upload_Indiv[[Player]:[Player]],$A25,Upload_Indiv[[Side]:[Side]],"Raintree Front")-IF(TRUNC(ROUND($B25,0)/9,0)=2,2+IF((ROUND($B25,0)-18)*2&gt;=H$2,1,0),IF(TRUNC(ROUND($B25,0)/9,0)=1,1+IF((ROUND($B25,0)-9)*2&gt;=H$2,1,0),IF(TRUNC(ROUND($B25,0)/9,0)=0,IF(TRUNC(ROUND($B25,0)/9,0)=0,0+IF((ROUND($B25,0))*2&gt;=H$2,1,0),"Not"))))-H$3,"")</f>
        <v/>
      </c>
    </row>
    <row r="1049" spans="1:5" x14ac:dyDescent="0.25">
      <c r="A1049" t="s">
        <v>724</v>
      </c>
      <c r="B1049" t="s">
        <v>360</v>
      </c>
      <c r="C1049" t="s">
        <v>725</v>
      </c>
      <c r="D1049" t="s">
        <v>1590</v>
      </c>
      <c r="E1049" t="str">
        <f>IFERROR(AVERAGEIFS(Upload_Indiv[Score6],Upload_Indiv[[Player]:[Player]],$A25,Upload_Indiv[[Side]:[Side]],"Raintree Back")-IF(TRUNC(ROUND($B25,0)/9,0)=2,2+IF((ROUND($B25,0)-18)*2&gt;=R$2,1,0),IF(TRUNC(ROUND($B25,0)/9,0)=1,1+IF((ROUND($B25,0)-9)*2&gt;=R$2,1,0),IF(TRUNC(ROUND($B25,0)/9,0)=0,IF(TRUNC(ROUND($B25,0)/9,0)=0,0+IF((ROUND($B25,0))*2&gt;=R$2,1,0),"Not"))))-R$3,"")</f>
        <v/>
      </c>
    </row>
    <row r="1050" spans="1:5" x14ac:dyDescent="0.25">
      <c r="A1050" t="s">
        <v>724</v>
      </c>
      <c r="B1050" t="s">
        <v>360</v>
      </c>
      <c r="C1050" t="s">
        <v>725</v>
      </c>
      <c r="D1050" t="s">
        <v>1591</v>
      </c>
      <c r="E1050" t="str">
        <f>IFERROR(AVERAGEIFS(Upload_Indiv[Score6],Upload_Indiv[[Player]:[Player]],$A26,Upload_Indiv[[Side]:[Side]],"Raintree Front")-IF(TRUNC(ROUND($B26,0)/9,0)=2,2+IF((ROUND($B26,0)-18)*2&gt;=H$2,1,0),IF(TRUNC(ROUND($B26,0)/9,0)=1,1+IF((ROUND($B26,0)-9)*2&gt;=H$2,1,0),IF(TRUNC(ROUND($B26,0)/9,0)=0,IF(TRUNC(ROUND($B26,0)/9,0)=0,0+IF((ROUND($B26,0))*2&gt;=H$2,1,0),"Not"))))-H$3,"")</f>
        <v/>
      </c>
    </row>
    <row r="1051" spans="1:5" x14ac:dyDescent="0.25">
      <c r="A1051" t="s">
        <v>724</v>
      </c>
      <c r="B1051" t="s">
        <v>360</v>
      </c>
      <c r="C1051" t="s">
        <v>725</v>
      </c>
      <c r="D1051" t="s">
        <v>1592</v>
      </c>
      <c r="E1051" t="str">
        <f>IFERROR(AVERAGEIFS(Upload_Indiv[Score6],Upload_Indiv[[Player]:[Player]],$A26,Upload_Indiv[[Side]:[Side]],"Raintree Back")-IF(TRUNC(ROUND($B26,0)/9,0)=2,2+IF((ROUND($B26,0)-18)*2&gt;=R$2,1,0),IF(TRUNC(ROUND($B26,0)/9,0)=1,1+IF((ROUND($B26,0)-9)*2&gt;=R$2,1,0),IF(TRUNC(ROUND($B26,0)/9,0)=0,IF(TRUNC(ROUND($B26,0)/9,0)=0,0+IF((ROUND($B26,0))*2&gt;=R$2,1,0),"Not"))))-R$3,"")</f>
        <v/>
      </c>
    </row>
    <row r="1052" spans="1:5" x14ac:dyDescent="0.25">
      <c r="A1052" t="s">
        <v>724</v>
      </c>
      <c r="B1052" t="s">
        <v>360</v>
      </c>
      <c r="C1052" t="s">
        <v>725</v>
      </c>
      <c r="D1052" t="s">
        <v>1593</v>
      </c>
      <c r="E1052" t="str">
        <f>IFERROR(AVERAGEIFS(Upload_Indiv[Score6],Upload_Indiv[[Player]:[Player]],$A27,Upload_Indiv[[Side]:[Side]],"Raintree Front")-IF(TRUNC(ROUND($B27,0)/9,0)=2,2+IF((ROUND($B27,0)-18)*2&gt;=H$2,1,0),IF(TRUNC(ROUND($B27,0)/9,0)=1,1+IF((ROUND($B27,0)-9)*2&gt;=H$2,1,0),IF(TRUNC(ROUND($B27,0)/9,0)=0,IF(TRUNC(ROUND($B27,0)/9,0)=0,0+IF((ROUND($B27,0))*2&gt;=H$2,1,0),"Not"))))-H$3,"")</f>
        <v/>
      </c>
    </row>
    <row r="1053" spans="1:5" x14ac:dyDescent="0.25">
      <c r="A1053" t="s">
        <v>724</v>
      </c>
      <c r="B1053" t="s">
        <v>360</v>
      </c>
      <c r="C1053" t="s">
        <v>725</v>
      </c>
      <c r="D1053" t="s">
        <v>1594</v>
      </c>
      <c r="E1053" t="str">
        <f>IFERROR(AVERAGEIFS(Upload_Indiv[Score6],Upload_Indiv[[Player]:[Player]],$A27,Upload_Indiv[[Side]:[Side]],"Raintree Back")-IF(TRUNC(ROUND($B27,0)/9,0)=2,2+IF((ROUND($B27,0)-18)*2&gt;=R$2,1,0),IF(TRUNC(ROUND($B27,0)/9,0)=1,1+IF((ROUND($B27,0)-9)*2&gt;=R$2,1,0),IF(TRUNC(ROUND($B27,0)/9,0)=0,IF(TRUNC(ROUND($B27,0)/9,0)=0,0+IF((ROUND($B27,0))*2&gt;=R$2,1,0),"Not"))))-R$3,"")</f>
        <v/>
      </c>
    </row>
    <row r="1054" spans="1:5" x14ac:dyDescent="0.25">
      <c r="A1054" t="s">
        <v>724</v>
      </c>
      <c r="B1054" t="s">
        <v>360</v>
      </c>
      <c r="C1054" t="s">
        <v>725</v>
      </c>
      <c r="D1054" t="s">
        <v>1595</v>
      </c>
      <c r="E1054" t="str">
        <f>IFERROR(AVERAGEIFS(Upload_Indiv[Score6],Upload_Indiv[[Player]:[Player]],$A28,Upload_Indiv[[Side]:[Side]],"Raintree Front")-IF(TRUNC(ROUND($B28,0)/9,0)=2,2+IF((ROUND($B28,0)-18)*2&gt;=H$2,1,0),IF(TRUNC(ROUND($B28,0)/9,0)=1,1+IF((ROUND($B28,0)-9)*2&gt;=H$2,1,0),IF(TRUNC(ROUND($B28,0)/9,0)=0,IF(TRUNC(ROUND($B28,0)/9,0)=0,0+IF((ROUND($B28,0))*2&gt;=H$2,1,0),"Not"))))-H$3,"")</f>
        <v/>
      </c>
    </row>
    <row r="1055" spans="1:5" x14ac:dyDescent="0.25">
      <c r="A1055" t="s">
        <v>724</v>
      </c>
      <c r="B1055" t="s">
        <v>360</v>
      </c>
      <c r="C1055" t="s">
        <v>725</v>
      </c>
      <c r="D1055" t="s">
        <v>1596</v>
      </c>
      <c r="E1055" t="str">
        <f>IFERROR(AVERAGEIFS(Upload_Indiv[Score6],Upload_Indiv[[Player]:[Player]],$A28,Upload_Indiv[[Side]:[Side]],"Raintree Back")-IF(TRUNC(ROUND($B28,0)/9,0)=2,2+IF((ROUND($B28,0)-18)*2&gt;=R$2,1,0),IF(TRUNC(ROUND($B28,0)/9,0)=1,1+IF((ROUND($B28,0)-9)*2&gt;=R$2,1,0),IF(TRUNC(ROUND($B28,0)/9,0)=0,IF(TRUNC(ROUND($B28,0)/9,0)=0,0+IF((ROUND($B28,0))*2&gt;=R$2,1,0),"Not"))))-R$3,"")</f>
        <v/>
      </c>
    </row>
    <row r="1056" spans="1:5" x14ac:dyDescent="0.25">
      <c r="A1056" t="s">
        <v>724</v>
      </c>
      <c r="B1056" t="s">
        <v>360</v>
      </c>
      <c r="C1056" t="s">
        <v>725</v>
      </c>
      <c r="D1056" t="s">
        <v>1597</v>
      </c>
      <c r="E1056" t="str">
        <f>IFERROR(AVERAGEIFS(Upload_Indiv[Score6],Upload_Indiv[[Player]:[Player]],$A29,Upload_Indiv[[Side]:[Side]],"Raintree Front")-IF(TRUNC(ROUND($B29,0)/9,0)=2,2+IF((ROUND($B29,0)-18)*2&gt;=H$2,1,0),IF(TRUNC(ROUND($B29,0)/9,0)=1,1+IF((ROUND($B29,0)-9)*2&gt;=H$2,1,0),IF(TRUNC(ROUND($B29,0)/9,0)=0,IF(TRUNC(ROUND($B29,0)/9,0)=0,0+IF((ROUND($B29,0))*2&gt;=H$2,1,0),"Not"))))-H$3,"")</f>
        <v/>
      </c>
    </row>
    <row r="1057" spans="1:5" x14ac:dyDescent="0.25">
      <c r="A1057" t="s">
        <v>724</v>
      </c>
      <c r="B1057" t="s">
        <v>360</v>
      </c>
      <c r="C1057" t="s">
        <v>725</v>
      </c>
      <c r="D1057" t="s">
        <v>1598</v>
      </c>
      <c r="E1057" t="str">
        <f>IFERROR(AVERAGEIFS(Upload_Indiv[Score6],Upload_Indiv[[Player]:[Player]],$A29,Upload_Indiv[[Side]:[Side]],"Raintree Back")-IF(TRUNC(ROUND($B29,0)/9,0)=2,2+IF((ROUND($B29,0)-18)*2&gt;=R$2,1,0),IF(TRUNC(ROUND($B29,0)/9,0)=1,1+IF((ROUND($B29,0)-9)*2&gt;=R$2,1,0),IF(TRUNC(ROUND($B29,0)/9,0)=0,IF(TRUNC(ROUND($B29,0)/9,0)=0,0+IF((ROUND($B29,0))*2&gt;=R$2,1,0),"Not"))))-R$3,"")</f>
        <v/>
      </c>
    </row>
    <row r="1058" spans="1:5" x14ac:dyDescent="0.25">
      <c r="A1058" t="s">
        <v>724</v>
      </c>
      <c r="B1058" t="s">
        <v>360</v>
      </c>
      <c r="C1058" t="s">
        <v>725</v>
      </c>
      <c r="D1058" t="s">
        <v>1599</v>
      </c>
      <c r="E1058" t="str">
        <f>IFERROR(AVERAGEIFS(Upload_Indiv[Score6],Upload_Indiv[[Player]:[Player]],$A30,Upload_Indiv[[Side]:[Side]],"Raintree Front")-IF(TRUNC(ROUND($B30,0)/9,0)=2,2+IF((ROUND($B30,0)-18)*2&gt;=H$2,1,0),IF(TRUNC(ROUND($B30,0)/9,0)=1,1+IF((ROUND($B30,0)-9)*2&gt;=H$2,1,0),IF(TRUNC(ROUND($B30,0)/9,0)=0,IF(TRUNC(ROUND($B30,0)/9,0)=0,0+IF((ROUND($B30,0))*2&gt;=H$2,1,0),"Not"))))-H$3,"")</f>
        <v/>
      </c>
    </row>
    <row r="1059" spans="1:5" x14ac:dyDescent="0.25">
      <c r="A1059" t="s">
        <v>724</v>
      </c>
      <c r="B1059" t="s">
        <v>360</v>
      </c>
      <c r="C1059" t="s">
        <v>725</v>
      </c>
      <c r="D1059" t="s">
        <v>1600</v>
      </c>
      <c r="E1059" t="str">
        <f>IFERROR(AVERAGEIFS(Upload_Indiv[Score6],Upload_Indiv[[Player]:[Player]],$A30,Upload_Indiv[[Side]:[Side]],"Raintree Back")-IF(TRUNC(ROUND($B30,0)/9,0)=2,2+IF((ROUND($B30,0)-18)*2&gt;=R$2,1,0),IF(TRUNC(ROUND($B30,0)/9,0)=1,1+IF((ROUND($B30,0)-9)*2&gt;=R$2,1,0),IF(TRUNC(ROUND($B30,0)/9,0)=0,IF(TRUNC(ROUND($B30,0)/9,0)=0,0+IF((ROUND($B30,0))*2&gt;=R$2,1,0),"Not"))))-R$3,"")</f>
        <v/>
      </c>
    </row>
    <row r="1060" spans="1:5" x14ac:dyDescent="0.25">
      <c r="A1060" t="s">
        <v>724</v>
      </c>
      <c r="B1060" t="s">
        <v>360</v>
      </c>
      <c r="C1060" t="s">
        <v>725</v>
      </c>
      <c r="D1060" t="s">
        <v>1601</v>
      </c>
      <c r="E1060" t="str">
        <f>IFERROR(AVERAGEIFS(Upload_Indiv[Score6],Upload_Indiv[[Player]:[Player]],$A31,Upload_Indiv[[Side]:[Side]],"Raintree Front")-IF(TRUNC(ROUND($B31,0)/9,0)=2,2+IF((ROUND($B31,0)-18)*2&gt;=H$2,1,0),IF(TRUNC(ROUND($B31,0)/9,0)=1,1+IF((ROUND($B31,0)-9)*2&gt;=H$2,1,0),IF(TRUNC(ROUND($B31,0)/9,0)=0,IF(TRUNC(ROUND($B31,0)/9,0)=0,0+IF((ROUND($B31,0))*2&gt;=H$2,1,0),"Not"))))-H$3,"")</f>
        <v/>
      </c>
    </row>
    <row r="1061" spans="1:5" x14ac:dyDescent="0.25">
      <c r="A1061" t="s">
        <v>724</v>
      </c>
      <c r="B1061" t="s">
        <v>360</v>
      </c>
      <c r="C1061" t="s">
        <v>725</v>
      </c>
      <c r="D1061" t="s">
        <v>1602</v>
      </c>
      <c r="E1061" t="str">
        <f>IFERROR(AVERAGEIFS(Upload_Indiv[Score6],Upload_Indiv[[Player]:[Player]],$A31,Upload_Indiv[[Side]:[Side]],"Raintree Back")-IF(TRUNC(ROUND($B31,0)/9,0)=2,2+IF((ROUND($B31,0)-18)*2&gt;=R$2,1,0),IF(TRUNC(ROUND($B31,0)/9,0)=1,1+IF((ROUND($B31,0)-9)*2&gt;=R$2,1,0),IF(TRUNC(ROUND($B31,0)/9,0)=0,IF(TRUNC(ROUND($B31,0)/9,0)=0,0+IF((ROUND($B31,0))*2&gt;=R$2,1,0),"Not"))))-R$3,"")</f>
        <v/>
      </c>
    </row>
    <row r="1062" spans="1:5" x14ac:dyDescent="0.25">
      <c r="A1062" t="s">
        <v>724</v>
      </c>
      <c r="B1062" t="s">
        <v>360</v>
      </c>
      <c r="C1062" t="s">
        <v>725</v>
      </c>
      <c r="D1062" t="s">
        <v>1603</v>
      </c>
      <c r="E1062" t="str">
        <f>IFERROR(AVERAGEIFS(Upload_Indiv[Score6],Upload_Indiv[[Player]:[Player]],$A32,Upload_Indiv[[Side]:[Side]],"Raintree Front")-IF(TRUNC(ROUND($B32,0)/9,0)=2,2+IF((ROUND($B32,0)-18)*2&gt;=H$2,1,0),IF(TRUNC(ROUND($B32,0)/9,0)=1,1+IF((ROUND($B32,0)-9)*2&gt;=H$2,1,0),IF(TRUNC(ROUND($B32,0)/9,0)=0,IF(TRUNC(ROUND($B32,0)/9,0)=0,0+IF((ROUND($B32,0))*2&gt;=H$2,1,0),"Not"))))-H$3,"")</f>
        <v/>
      </c>
    </row>
    <row r="1063" spans="1:5" x14ac:dyDescent="0.25">
      <c r="A1063" t="s">
        <v>724</v>
      </c>
      <c r="B1063" t="s">
        <v>360</v>
      </c>
      <c r="C1063" t="s">
        <v>725</v>
      </c>
      <c r="D1063" t="s">
        <v>1604</v>
      </c>
      <c r="E1063" t="str">
        <f>IFERROR(AVERAGEIFS(Upload_Indiv[Score6],Upload_Indiv[[Player]:[Player]],$A32,Upload_Indiv[[Side]:[Side]],"Raintree Back")-IF(TRUNC(ROUND($B32,0)/9,0)=2,2+IF((ROUND($B32,0)-18)*2&gt;=R$2,1,0),IF(TRUNC(ROUND($B32,0)/9,0)=1,1+IF((ROUND($B32,0)-9)*2&gt;=R$2,1,0),IF(TRUNC(ROUND($B32,0)/9,0)=0,IF(TRUNC(ROUND($B32,0)/9,0)=0,0+IF((ROUND($B32,0))*2&gt;=R$2,1,0),"Not"))))-R$3,"")</f>
        <v/>
      </c>
    </row>
    <row r="1064" spans="1:5" x14ac:dyDescent="0.25">
      <c r="A1064" t="s">
        <v>724</v>
      </c>
      <c r="B1064" t="s">
        <v>360</v>
      </c>
      <c r="C1064" t="s">
        <v>725</v>
      </c>
      <c r="D1064" t="s">
        <v>1605</v>
      </c>
      <c r="E1064" t="str">
        <f>IFERROR(AVERAGEIFS(Upload_Indiv[Score6],Upload_Indiv[[Player]:[Player]],$A33,Upload_Indiv[[Side]:[Side]],"Raintree Front")-IF(TRUNC(ROUND($B33,0)/9,0)=2,2+IF((ROUND($B33,0)-18)*2&gt;=H$2,1,0),IF(TRUNC(ROUND($B33,0)/9,0)=1,1+IF((ROUND($B33,0)-9)*2&gt;=H$2,1,0),IF(TRUNC(ROUND($B33,0)/9,0)=0,IF(TRUNC(ROUND($B33,0)/9,0)=0,0+IF((ROUND($B33,0))*2&gt;=H$2,1,0),"Not"))))-H$3,"")</f>
        <v/>
      </c>
    </row>
    <row r="1065" spans="1:5" x14ac:dyDescent="0.25">
      <c r="A1065" t="s">
        <v>724</v>
      </c>
      <c r="B1065" t="s">
        <v>360</v>
      </c>
      <c r="C1065" t="s">
        <v>725</v>
      </c>
      <c r="D1065" t="s">
        <v>1606</v>
      </c>
      <c r="E1065" t="str">
        <f>IFERROR(AVERAGEIFS(Upload_Indiv[Score6],Upload_Indiv[[Player]:[Player]],$A33,Upload_Indiv[[Side]:[Side]],"Raintree Back")-IF(TRUNC(ROUND($B33,0)/9,0)=2,2+IF((ROUND($B33,0)-18)*2&gt;=R$2,1,0),IF(TRUNC(ROUND($B33,0)/9,0)=1,1+IF((ROUND($B33,0)-9)*2&gt;=R$2,1,0),IF(TRUNC(ROUND($B33,0)/9,0)=0,IF(TRUNC(ROUND($B33,0)/9,0)=0,0+IF((ROUND($B33,0))*2&gt;=R$2,1,0),"Not"))))-R$3,"")</f>
        <v/>
      </c>
    </row>
    <row r="1066" spans="1:5" x14ac:dyDescent="0.25">
      <c r="A1066" t="s">
        <v>724</v>
      </c>
      <c r="B1066" t="s">
        <v>360</v>
      </c>
      <c r="C1066" t="s">
        <v>725</v>
      </c>
      <c r="D1066" t="s">
        <v>1607</v>
      </c>
      <c r="E1066" t="str">
        <f>IFERROR(AVERAGEIFS(Upload_Indiv[Score6],Upload_Indiv[[Player]:[Player]],$A34,Upload_Indiv[[Side]:[Side]],"Raintree Front")-IF(TRUNC(ROUND($B34,0)/9,0)=2,2+IF((ROUND($B34,0)-18)*2&gt;=H$2,1,0),IF(TRUNC(ROUND($B34,0)/9,0)=1,1+IF((ROUND($B34,0)-9)*2&gt;=H$2,1,0),IF(TRUNC(ROUND($B34,0)/9,0)=0,IF(TRUNC(ROUND($B34,0)/9,0)=0,0+IF((ROUND($B34,0))*2&gt;=H$2,1,0),"Not"))))-H$3,"")</f>
        <v/>
      </c>
    </row>
    <row r="1067" spans="1:5" x14ac:dyDescent="0.25">
      <c r="A1067" t="s">
        <v>724</v>
      </c>
      <c r="B1067" t="s">
        <v>360</v>
      </c>
      <c r="C1067" t="s">
        <v>725</v>
      </c>
      <c r="D1067" t="s">
        <v>1608</v>
      </c>
      <c r="E1067" t="str">
        <f>IFERROR(AVERAGEIFS(Upload_Indiv[Score6],Upload_Indiv[[Player]:[Player]],$A34,Upload_Indiv[[Side]:[Side]],"Raintree Back")-IF(TRUNC(ROUND($B34,0)/9,0)=2,2+IF((ROUND($B34,0)-18)*2&gt;=R$2,1,0),IF(TRUNC(ROUND($B34,0)/9,0)=1,1+IF((ROUND($B34,0)-9)*2&gt;=R$2,1,0),IF(TRUNC(ROUND($B34,0)/9,0)=0,IF(TRUNC(ROUND($B34,0)/9,0)=0,0+IF((ROUND($B34,0))*2&gt;=R$2,1,0),"Not"))))-R$3,"")</f>
        <v/>
      </c>
    </row>
    <row r="1068" spans="1:5" x14ac:dyDescent="0.25">
      <c r="A1068" t="s">
        <v>724</v>
      </c>
      <c r="B1068" t="s">
        <v>360</v>
      </c>
      <c r="C1068" t="s">
        <v>725</v>
      </c>
      <c r="D1068" t="s">
        <v>1609</v>
      </c>
      <c r="E1068" t="str">
        <f>IFERROR(AVERAGEIFS(Upload_Indiv[Score6],Upload_Indiv[[Player]:[Player]],$A35,Upload_Indiv[[Side]:[Side]],"Raintree Front")-IF(TRUNC(ROUND($B35,0)/9,0)=2,2+IF((ROUND($B35,0)-18)*2&gt;=H$2,1,0),IF(TRUNC(ROUND($B35,0)/9,0)=1,1+IF((ROUND($B35,0)-9)*2&gt;=H$2,1,0),IF(TRUNC(ROUND($B35,0)/9,0)=0,IF(TRUNC(ROUND($B35,0)/9,0)=0,0+IF((ROUND($B35,0))*2&gt;=H$2,1,0),"Not"))))-H$3,"")</f>
        <v/>
      </c>
    </row>
    <row r="1069" spans="1:5" x14ac:dyDescent="0.25">
      <c r="A1069" t="s">
        <v>724</v>
      </c>
      <c r="B1069" t="s">
        <v>360</v>
      </c>
      <c r="C1069" t="s">
        <v>725</v>
      </c>
      <c r="D1069" t="s">
        <v>1610</v>
      </c>
      <c r="E1069" t="str">
        <f>IFERROR(AVERAGEIFS(Upload_Indiv[Score6],Upload_Indiv[[Player]:[Player]],$A35,Upload_Indiv[[Side]:[Side]],"Raintree Back")-IF(TRUNC(ROUND($B35,0)/9,0)=2,2+IF((ROUND($B35,0)-18)*2&gt;=R$2,1,0),IF(TRUNC(ROUND($B35,0)/9,0)=1,1+IF((ROUND($B35,0)-9)*2&gt;=R$2,1,0),IF(TRUNC(ROUND($B35,0)/9,0)=0,IF(TRUNC(ROUND($B35,0)/9,0)=0,0+IF((ROUND($B35,0))*2&gt;=R$2,1,0),"Not"))))-R$3,"")</f>
        <v/>
      </c>
    </row>
    <row r="1070" spans="1:5" x14ac:dyDescent="0.25">
      <c r="A1070" t="s">
        <v>724</v>
      </c>
      <c r="B1070" t="s">
        <v>360</v>
      </c>
      <c r="C1070" t="s">
        <v>725</v>
      </c>
      <c r="D1070" t="s">
        <v>1611</v>
      </c>
      <c r="E1070" t="str">
        <f>IFERROR(AVERAGEIFS(Upload_Indiv[Score6],Upload_Indiv[[Player]:[Player]],$A36,Upload_Indiv[[Side]:[Side]],"Raintree Front")-IF(TRUNC(ROUND($B36,0)/9,0)=2,2+IF((ROUND($B36,0)-18)*2&gt;=H$2,1,0),IF(TRUNC(ROUND($B36,0)/9,0)=1,1+IF((ROUND($B36,0)-9)*2&gt;=H$2,1,0),IF(TRUNC(ROUND($B36,0)/9,0)=0,IF(TRUNC(ROUND($B36,0)/9,0)=0,0+IF((ROUND($B36,0))*2&gt;=H$2,1,0),"Not"))))-H$3,"")</f>
        <v/>
      </c>
    </row>
    <row r="1071" spans="1:5" x14ac:dyDescent="0.25">
      <c r="A1071" t="s">
        <v>724</v>
      </c>
      <c r="B1071" t="s">
        <v>360</v>
      </c>
      <c r="C1071" t="s">
        <v>725</v>
      </c>
      <c r="D1071" t="s">
        <v>1612</v>
      </c>
      <c r="E1071" t="str">
        <f>IFERROR(AVERAGEIFS(Upload_Indiv[Score6],Upload_Indiv[[Player]:[Player]],$A36,Upload_Indiv[[Side]:[Side]],"Raintree Back")-IF(TRUNC(ROUND($B36,0)/9,0)=2,2+IF((ROUND($B36,0)-18)*2&gt;=R$2,1,0),IF(TRUNC(ROUND($B36,0)/9,0)=1,1+IF((ROUND($B36,0)-9)*2&gt;=R$2,1,0),IF(TRUNC(ROUND($B36,0)/9,0)=0,IF(TRUNC(ROUND($B36,0)/9,0)=0,0+IF((ROUND($B36,0))*2&gt;=R$2,1,0),"Not"))))-R$3,"")</f>
        <v/>
      </c>
    </row>
    <row r="1072" spans="1:5" x14ac:dyDescent="0.25">
      <c r="A1072" t="s">
        <v>724</v>
      </c>
      <c r="B1072" t="s">
        <v>360</v>
      </c>
      <c r="C1072" t="s">
        <v>725</v>
      </c>
      <c r="D1072" t="s">
        <v>1613</v>
      </c>
      <c r="E1072" t="str">
        <f>IFERROR(AVERAGEIFS(Upload_Indiv[Score6],Upload_Indiv[[Player]:[Player]],$A37,Upload_Indiv[[Side]:[Side]],"Raintree Front")-IF(TRUNC(ROUND($B37,0)/9,0)=2,2+IF((ROUND($B37,0)-18)*2&gt;=H$2,1,0),IF(TRUNC(ROUND($B37,0)/9,0)=1,1+IF((ROUND($B37,0)-9)*2&gt;=H$2,1,0),IF(TRUNC(ROUND($B37,0)/9,0)=0,IF(TRUNC(ROUND($B37,0)/9,0)=0,0+IF((ROUND($B37,0))*2&gt;=H$2,1,0),"Not"))))-H$3,"")</f>
        <v/>
      </c>
    </row>
    <row r="1073" spans="1:5" x14ac:dyDescent="0.25">
      <c r="A1073" t="s">
        <v>724</v>
      </c>
      <c r="B1073" t="s">
        <v>360</v>
      </c>
      <c r="C1073" t="s">
        <v>725</v>
      </c>
      <c r="D1073" t="s">
        <v>1614</v>
      </c>
      <c r="E1073" t="str">
        <f>IFERROR(AVERAGEIFS(Upload_Indiv[Score6],Upload_Indiv[[Player]:[Player]],$A37,Upload_Indiv[[Side]:[Side]],"Raintree Back")-IF(TRUNC(ROUND($B37,0)/9,0)=2,2+IF((ROUND($B37,0)-18)*2&gt;=R$2,1,0),IF(TRUNC(ROUND($B37,0)/9,0)=1,1+IF((ROUND($B37,0)-9)*2&gt;=R$2,1,0),IF(TRUNC(ROUND($B37,0)/9,0)=0,IF(TRUNC(ROUND($B37,0)/9,0)=0,0+IF((ROUND($B37,0))*2&gt;=R$2,1,0),"Not"))))-R$3,"")</f>
        <v/>
      </c>
    </row>
    <row r="1074" spans="1:5" x14ac:dyDescent="0.25">
      <c r="A1074" t="s">
        <v>724</v>
      </c>
      <c r="B1074" t="s">
        <v>360</v>
      </c>
      <c r="C1074" t="s">
        <v>725</v>
      </c>
      <c r="D1074" t="s">
        <v>1615</v>
      </c>
      <c r="E1074" t="str">
        <f>IFERROR(AVERAGEIFS(Upload_Indiv[Score6],Upload_Indiv[[Player]:[Player]],$A38,Upload_Indiv[[Side]:[Side]],"Raintree Front")-IF(TRUNC(ROUND($B38,0)/9,0)=2,2+IF((ROUND($B38,0)-18)*2&gt;=H$2,1,0),IF(TRUNC(ROUND($B38,0)/9,0)=1,1+IF((ROUND($B38,0)-9)*2&gt;=H$2,1,0),IF(TRUNC(ROUND($B38,0)/9,0)=0,IF(TRUNC(ROUND($B38,0)/9,0)=0,0+IF((ROUND($B38,0))*2&gt;=H$2,1,0),"Not"))))-H$3,"")</f>
        <v/>
      </c>
    </row>
    <row r="1075" spans="1:5" x14ac:dyDescent="0.25">
      <c r="A1075" t="s">
        <v>724</v>
      </c>
      <c r="B1075" t="s">
        <v>360</v>
      </c>
      <c r="C1075" t="s">
        <v>725</v>
      </c>
      <c r="D1075" t="s">
        <v>1616</v>
      </c>
      <c r="E1075" t="str">
        <f>IFERROR(AVERAGEIFS(Upload_Indiv[Score6],Upload_Indiv[[Player]:[Player]],$A38,Upload_Indiv[[Side]:[Side]],"Raintree Back")-IF(TRUNC(ROUND($B38,0)/9,0)=2,2+IF((ROUND($B38,0)-18)*2&gt;=R$2,1,0),IF(TRUNC(ROUND($B38,0)/9,0)=1,1+IF((ROUND($B38,0)-9)*2&gt;=R$2,1,0),IF(TRUNC(ROUND($B38,0)/9,0)=0,IF(TRUNC(ROUND($B38,0)/9,0)=0,0+IF((ROUND($B38,0))*2&gt;=R$2,1,0),"Not"))))-R$3,"")</f>
        <v/>
      </c>
    </row>
    <row r="1076" spans="1:5" x14ac:dyDescent="0.25">
      <c r="A1076" t="s">
        <v>724</v>
      </c>
      <c r="B1076" t="s">
        <v>360</v>
      </c>
      <c r="C1076" t="s">
        <v>725</v>
      </c>
      <c r="D1076" t="s">
        <v>1617</v>
      </c>
      <c r="E1076" t="str">
        <f>IFERROR(AVERAGEIFS(Upload_Indiv[Score6],Upload_Indiv[[Player]:[Player]],$A39,Upload_Indiv[[Side]:[Side]],"Raintree Front")-IF(TRUNC(ROUND($B39,0)/9,0)=2,2+IF((ROUND($B39,0)-18)*2&gt;=H$2,1,0),IF(TRUNC(ROUND($B39,0)/9,0)=1,1+IF((ROUND($B39,0)-9)*2&gt;=H$2,1,0),IF(TRUNC(ROUND($B39,0)/9,0)=0,IF(TRUNC(ROUND($B39,0)/9,0)=0,0+IF((ROUND($B39,0))*2&gt;=H$2,1,0),"Not"))))-H$3,"")</f>
        <v/>
      </c>
    </row>
    <row r="1077" spans="1:5" x14ac:dyDescent="0.25">
      <c r="A1077" t="s">
        <v>724</v>
      </c>
      <c r="B1077" t="s">
        <v>360</v>
      </c>
      <c r="C1077" t="s">
        <v>725</v>
      </c>
      <c r="D1077" t="s">
        <v>1618</v>
      </c>
      <c r="E1077" t="str">
        <f>IFERROR(AVERAGEIFS(Upload_Indiv[Score6],Upload_Indiv[[Player]:[Player]],$A39,Upload_Indiv[[Side]:[Side]],"Raintree Back")-IF(TRUNC(ROUND($B39,0)/9,0)=2,2+IF((ROUND($B39,0)-18)*2&gt;=R$2,1,0),IF(TRUNC(ROUND($B39,0)/9,0)=1,1+IF((ROUND($B39,0)-9)*2&gt;=R$2,1,0),IF(TRUNC(ROUND($B39,0)/9,0)=0,IF(TRUNC(ROUND($B39,0)/9,0)=0,0+IF((ROUND($B39,0))*2&gt;=R$2,1,0),"Not"))))-R$3,"")</f>
        <v/>
      </c>
    </row>
    <row r="1078" spans="1:5" x14ac:dyDescent="0.25">
      <c r="A1078" t="s">
        <v>724</v>
      </c>
      <c r="B1078" t="s">
        <v>360</v>
      </c>
      <c r="C1078" t="s">
        <v>725</v>
      </c>
      <c r="D1078" t="s">
        <v>1619</v>
      </c>
      <c r="E1078" t="str">
        <f>IFERROR(AVERAGEIFS(Upload_Indiv[Score6],Upload_Indiv[[Player]:[Player]],$A40,Upload_Indiv[[Side]:[Side]],"Raintree Front")-IF(TRUNC(ROUND($B40,0)/9,0)=2,2+IF((ROUND($B40,0)-18)*2&gt;=H$2,1,0),IF(TRUNC(ROUND($B40,0)/9,0)=1,1+IF((ROUND($B40,0)-9)*2&gt;=H$2,1,0),IF(TRUNC(ROUND($B40,0)/9,0)=0,IF(TRUNC(ROUND($B40,0)/9,0)=0,0+IF((ROUND($B40,0))*2&gt;=H$2,1,0),"Not"))))-H$3,"")</f>
        <v/>
      </c>
    </row>
    <row r="1079" spans="1:5" x14ac:dyDescent="0.25">
      <c r="A1079" t="s">
        <v>724</v>
      </c>
      <c r="B1079" t="s">
        <v>360</v>
      </c>
      <c r="C1079" t="s">
        <v>725</v>
      </c>
      <c r="D1079" t="s">
        <v>1620</v>
      </c>
      <c r="E1079" t="str">
        <f>IFERROR(AVERAGEIFS(Upload_Indiv[Score6],Upload_Indiv[[Player]:[Player]],$A40,Upload_Indiv[[Side]:[Side]],"Raintree Back")-IF(TRUNC(ROUND($B40,0)/9,0)=2,2+IF((ROUND($B40,0)-18)*2&gt;=R$2,1,0),IF(TRUNC(ROUND($B40,0)/9,0)=1,1+IF((ROUND($B40,0)-9)*2&gt;=R$2,1,0),IF(TRUNC(ROUND($B40,0)/9,0)=0,IF(TRUNC(ROUND($B40,0)/9,0)=0,0+IF((ROUND($B40,0))*2&gt;=R$2,1,0),"Not"))))-R$3,"")</f>
        <v/>
      </c>
    </row>
    <row r="1080" spans="1:5" x14ac:dyDescent="0.25">
      <c r="A1080" t="s">
        <v>724</v>
      </c>
      <c r="B1080" t="s">
        <v>360</v>
      </c>
      <c r="C1080" t="s">
        <v>725</v>
      </c>
      <c r="D1080" t="s">
        <v>1621</v>
      </c>
      <c r="E1080" t="str">
        <f>IFERROR(AVERAGEIFS(Upload_Indiv[Score6],Upload_Indiv[[Player]:[Player]],$A41,Upload_Indiv[[Side]:[Side]],"Raintree Front")-IF(TRUNC(ROUND($B41,0)/9,0)=2,2+IF((ROUND($B41,0)-18)*2&gt;=H$2,1,0),IF(TRUNC(ROUND($B41,0)/9,0)=1,1+IF((ROUND($B41,0)-9)*2&gt;=H$2,1,0),IF(TRUNC(ROUND($B41,0)/9,0)=0,IF(TRUNC(ROUND($B41,0)/9,0)=0,0+IF((ROUND($B41,0))*2&gt;=H$2,1,0),"Not"))))-H$3,"")</f>
        <v/>
      </c>
    </row>
    <row r="1081" spans="1:5" x14ac:dyDescent="0.25">
      <c r="A1081" t="s">
        <v>724</v>
      </c>
      <c r="B1081" t="s">
        <v>360</v>
      </c>
      <c r="C1081" t="s">
        <v>725</v>
      </c>
      <c r="D1081" t="s">
        <v>1622</v>
      </c>
      <c r="E1081" t="str">
        <f>IFERROR(AVERAGEIFS(Upload_Indiv[Score6],Upload_Indiv[[Player]:[Player]],$A41,Upload_Indiv[[Side]:[Side]],"Raintree Back")-IF(TRUNC(ROUND($B41,0)/9,0)=2,2+IF((ROUND($B41,0)-18)*2&gt;=R$2,1,0),IF(TRUNC(ROUND($B41,0)/9,0)=1,1+IF((ROUND($B41,0)-9)*2&gt;=R$2,1,0),IF(TRUNC(ROUND($B41,0)/9,0)=0,IF(TRUNC(ROUND($B41,0)/9,0)=0,0+IF((ROUND($B41,0))*2&gt;=R$2,1,0),"Not"))))-R$3,"")</f>
        <v/>
      </c>
    </row>
    <row r="1082" spans="1:5" x14ac:dyDescent="0.25">
      <c r="A1082" t="s">
        <v>724</v>
      </c>
      <c r="B1082" t="s">
        <v>360</v>
      </c>
      <c r="C1082" t="s">
        <v>725</v>
      </c>
      <c r="D1082" t="s">
        <v>1623</v>
      </c>
      <c r="E1082" t="str">
        <f>IFERROR(AVERAGEIFS(Upload_Indiv[Score6],Upload_Indiv[[Player]:[Player]],$A42,Upload_Indiv[[Side]:[Side]],"Raintree Front")-IF(TRUNC(ROUND($B42,0)/9,0)=2,2+IF((ROUND($B42,0)-18)*2&gt;=H$2,1,0),IF(TRUNC(ROUND($B42,0)/9,0)=1,1+IF((ROUND($B42,0)-9)*2&gt;=H$2,1,0),IF(TRUNC(ROUND($B42,0)/9,0)=0,IF(TRUNC(ROUND($B42,0)/9,0)=0,0+IF((ROUND($B42,0))*2&gt;=H$2,1,0),"Not"))))-H$3,"")</f>
        <v/>
      </c>
    </row>
    <row r="1083" spans="1:5" x14ac:dyDescent="0.25">
      <c r="A1083" t="s">
        <v>724</v>
      </c>
      <c r="B1083" t="s">
        <v>360</v>
      </c>
      <c r="C1083" t="s">
        <v>725</v>
      </c>
      <c r="D1083" t="s">
        <v>1624</v>
      </c>
      <c r="E1083" t="str">
        <f>IFERROR(AVERAGEIFS(Upload_Indiv[Score6],Upload_Indiv[[Player]:[Player]],$A42,Upload_Indiv[[Side]:[Side]],"Raintree Back")-IF(TRUNC(ROUND($B42,0)/9,0)=2,2+IF((ROUND($B42,0)-18)*2&gt;=R$2,1,0),IF(TRUNC(ROUND($B42,0)/9,0)=1,1+IF((ROUND($B42,0)-9)*2&gt;=R$2,1,0),IF(TRUNC(ROUND($B42,0)/9,0)=0,IF(TRUNC(ROUND($B42,0)/9,0)=0,0+IF((ROUND($B42,0))*2&gt;=R$2,1,0),"Not"))))-R$3,"")</f>
        <v/>
      </c>
    </row>
    <row r="1084" spans="1:5" x14ac:dyDescent="0.25">
      <c r="A1084" t="s">
        <v>724</v>
      </c>
      <c r="B1084" t="s">
        <v>360</v>
      </c>
      <c r="C1084" t="s">
        <v>725</v>
      </c>
      <c r="D1084" t="s">
        <v>1625</v>
      </c>
      <c r="E1084" t="str">
        <f>IFERROR(AVERAGEIFS(Upload_Indiv[Score6],Upload_Indiv[[Player]:[Player]],$A43,Upload_Indiv[[Side]:[Side]],"Raintree Front")-IF(TRUNC(ROUND($B43,0)/9,0)=2,2+IF((ROUND($B43,0)-18)*2&gt;=H$2,1,0),IF(TRUNC(ROUND($B43,0)/9,0)=1,1+IF((ROUND($B43,0)-9)*2&gt;=H$2,1,0),IF(TRUNC(ROUND($B43,0)/9,0)=0,IF(TRUNC(ROUND($B43,0)/9,0)=0,0+IF((ROUND($B43,0))*2&gt;=H$2,1,0),"Not"))))-H$3,"")</f>
        <v/>
      </c>
    </row>
    <row r="1085" spans="1:5" x14ac:dyDescent="0.25">
      <c r="A1085" t="s">
        <v>724</v>
      </c>
      <c r="B1085" t="s">
        <v>360</v>
      </c>
      <c r="C1085" t="s">
        <v>725</v>
      </c>
      <c r="D1085" t="s">
        <v>1626</v>
      </c>
      <c r="E1085" t="str">
        <f>IFERROR(AVERAGEIFS(Upload_Indiv[Score6],Upload_Indiv[[Player]:[Player]],$A43,Upload_Indiv[[Side]:[Side]],"Raintree Back")-IF(TRUNC(ROUND($B43,0)/9,0)=2,2+IF((ROUND($B43,0)-18)*2&gt;=R$2,1,0),IF(TRUNC(ROUND($B43,0)/9,0)=1,1+IF((ROUND($B43,0)-9)*2&gt;=R$2,1,0),IF(TRUNC(ROUND($B43,0)/9,0)=0,IF(TRUNC(ROUND($B43,0)/9,0)=0,0+IF((ROUND($B43,0))*2&gt;=R$2,1,0),"Not"))))-R$3,"")</f>
        <v/>
      </c>
    </row>
    <row r="1086" spans="1:5" x14ac:dyDescent="0.25">
      <c r="A1086" t="s">
        <v>724</v>
      </c>
      <c r="B1086" t="s">
        <v>360</v>
      </c>
      <c r="C1086" t="s">
        <v>725</v>
      </c>
      <c r="D1086" t="s">
        <v>1627</v>
      </c>
      <c r="E1086" t="str">
        <f>IFERROR(AVERAGEIFS(Upload_Indiv[Score6],Upload_Indiv[[Player]:[Player]],$A44,Upload_Indiv[[Side]:[Side]],"Raintree Front")-IF(TRUNC(ROUND($B44,0)/9,0)=2,2+IF((ROUND($B44,0)-18)*2&gt;=H$2,1,0),IF(TRUNC(ROUND($B44,0)/9,0)=1,1+IF((ROUND($B44,0)-9)*2&gt;=H$2,1,0),IF(TRUNC(ROUND($B44,0)/9,0)=0,IF(TRUNC(ROUND($B44,0)/9,0)=0,0+IF((ROUND($B44,0))*2&gt;=H$2,1,0),"Not"))))-H$3,"")</f>
        <v/>
      </c>
    </row>
    <row r="1087" spans="1:5" x14ac:dyDescent="0.25">
      <c r="A1087" t="s">
        <v>724</v>
      </c>
      <c r="B1087" t="s">
        <v>360</v>
      </c>
      <c r="C1087" t="s">
        <v>725</v>
      </c>
      <c r="D1087" t="s">
        <v>1628</v>
      </c>
      <c r="E1087" t="str">
        <f>IFERROR(AVERAGEIFS(Upload_Indiv[Score6],Upload_Indiv[[Player]:[Player]],$A44,Upload_Indiv[[Side]:[Side]],"Raintree Back")-IF(TRUNC(ROUND($B44,0)/9,0)=2,2+IF((ROUND($B44,0)-18)*2&gt;=R$2,1,0),IF(TRUNC(ROUND($B44,0)/9,0)=1,1+IF((ROUND($B44,0)-9)*2&gt;=R$2,1,0),IF(TRUNC(ROUND($B44,0)/9,0)=0,IF(TRUNC(ROUND($B44,0)/9,0)=0,0+IF((ROUND($B44,0))*2&gt;=R$2,1,0),"Not"))))-R$3,"")</f>
        <v/>
      </c>
    </row>
    <row r="1088" spans="1:5" x14ac:dyDescent="0.25">
      <c r="A1088" t="s">
        <v>724</v>
      </c>
      <c r="B1088" t="s">
        <v>360</v>
      </c>
      <c r="C1088" t="s">
        <v>725</v>
      </c>
      <c r="D1088" t="s">
        <v>1629</v>
      </c>
      <c r="E1088" t="str">
        <f>IFERROR(AVERAGEIFS(Upload_Indiv[Score6],Upload_Indiv[[Player]:[Player]],$A45,Upload_Indiv[[Side]:[Side]],"Raintree Front")-IF(TRUNC(ROUND($B45,0)/9,0)=2,2+IF((ROUND($B45,0)-18)*2&gt;=H$2,1,0),IF(TRUNC(ROUND($B45,0)/9,0)=1,1+IF((ROUND($B45,0)-9)*2&gt;=H$2,1,0),IF(TRUNC(ROUND($B45,0)/9,0)=0,IF(TRUNC(ROUND($B45,0)/9,0)=0,0+IF((ROUND($B45,0))*2&gt;=H$2,1,0),"Not"))))-H$3,"")</f>
        <v/>
      </c>
    </row>
    <row r="1089" spans="1:5" x14ac:dyDescent="0.25">
      <c r="A1089" t="s">
        <v>724</v>
      </c>
      <c r="B1089" t="s">
        <v>360</v>
      </c>
      <c r="C1089" t="s">
        <v>725</v>
      </c>
      <c r="D1089" t="s">
        <v>1630</v>
      </c>
      <c r="E1089" t="str">
        <f>IFERROR(AVERAGEIFS(Upload_Indiv[Score6],Upload_Indiv[[Player]:[Player]],$A45,Upload_Indiv[[Side]:[Side]],"Raintree Back")-IF(TRUNC(ROUND($B45,0)/9,0)=2,2+IF((ROUND($B45,0)-18)*2&gt;=R$2,1,0),IF(TRUNC(ROUND($B45,0)/9,0)=1,1+IF((ROUND($B45,0)-9)*2&gt;=R$2,1,0),IF(TRUNC(ROUND($B45,0)/9,0)=0,IF(TRUNC(ROUND($B45,0)/9,0)=0,0+IF((ROUND($B45,0))*2&gt;=R$2,1,0),"Not"))))-R$3,"")</f>
        <v/>
      </c>
    </row>
    <row r="1090" spans="1:5" x14ac:dyDescent="0.25">
      <c r="A1090" t="s">
        <v>724</v>
      </c>
      <c r="B1090" t="s">
        <v>360</v>
      </c>
      <c r="C1090" t="s">
        <v>725</v>
      </c>
      <c r="D1090" t="s">
        <v>1631</v>
      </c>
      <c r="E1090" t="str">
        <f>IFERROR(AVERAGEIFS(Upload_Indiv[Score6],Upload_Indiv[[Player]:[Player]],$A46,Upload_Indiv[[Side]:[Side]],"Raintree Front")-IF(TRUNC(ROUND($B46,0)/9,0)=2,2+IF((ROUND($B46,0)-18)*2&gt;=H$2,1,0),IF(TRUNC(ROUND($B46,0)/9,0)=1,1+IF((ROUND($B46,0)-9)*2&gt;=H$2,1,0),IF(TRUNC(ROUND($B46,0)/9,0)=0,IF(TRUNC(ROUND($B46,0)/9,0)=0,0+IF((ROUND($B46,0))*2&gt;=H$2,1,0),"Not"))))-H$3,"")</f>
        <v/>
      </c>
    </row>
    <row r="1091" spans="1:5" x14ac:dyDescent="0.25">
      <c r="A1091" t="s">
        <v>724</v>
      </c>
      <c r="B1091" t="s">
        <v>360</v>
      </c>
      <c r="C1091" t="s">
        <v>725</v>
      </c>
      <c r="D1091" t="s">
        <v>1632</v>
      </c>
      <c r="E1091" t="str">
        <f>IFERROR(AVERAGEIFS(Upload_Indiv[Score6],Upload_Indiv[[Player]:[Player]],$A46,Upload_Indiv[[Side]:[Side]],"Raintree Back")-IF(TRUNC(ROUND($B46,0)/9,0)=2,2+IF((ROUND($B46,0)-18)*2&gt;=R$2,1,0),IF(TRUNC(ROUND($B46,0)/9,0)=1,1+IF((ROUND($B46,0)-9)*2&gt;=R$2,1,0),IF(TRUNC(ROUND($B46,0)/9,0)=0,IF(TRUNC(ROUND($B46,0)/9,0)=0,0+IF((ROUND($B46,0))*2&gt;=R$2,1,0),"Not"))))-R$3,"")</f>
        <v/>
      </c>
    </row>
    <row r="1092" spans="1:5" x14ac:dyDescent="0.25">
      <c r="A1092" t="s">
        <v>724</v>
      </c>
      <c r="B1092" t="s">
        <v>360</v>
      </c>
      <c r="C1092" t="s">
        <v>725</v>
      </c>
      <c r="D1092" t="s">
        <v>1633</v>
      </c>
      <c r="E1092" t="str">
        <f>IFERROR(AVERAGEIFS(Upload_Indiv[Score6],Upload_Indiv[[Player]:[Player]],$A47,Upload_Indiv[[Side]:[Side]],"Raintree Front")-IF(TRUNC(ROUND($B47,0)/9,0)=2,2+IF((ROUND($B47,0)-18)*2&gt;=H$2,1,0),IF(TRUNC(ROUND($B47,0)/9,0)=1,1+IF((ROUND($B47,0)-9)*2&gt;=H$2,1,0),IF(TRUNC(ROUND($B47,0)/9,0)=0,IF(TRUNC(ROUND($B47,0)/9,0)=0,0+IF((ROUND($B47,0))*2&gt;=H$2,1,0),"Not"))))-H$3,"")</f>
        <v/>
      </c>
    </row>
    <row r="1093" spans="1:5" x14ac:dyDescent="0.25">
      <c r="A1093" t="s">
        <v>724</v>
      </c>
      <c r="B1093" t="s">
        <v>360</v>
      </c>
      <c r="C1093" t="s">
        <v>725</v>
      </c>
      <c r="D1093" t="s">
        <v>1634</v>
      </c>
      <c r="E1093" t="str">
        <f>IFERROR(AVERAGEIFS(Upload_Indiv[Score6],Upload_Indiv[[Player]:[Player]],$A47,Upload_Indiv[[Side]:[Side]],"Raintree Back")-IF(TRUNC(ROUND($B47,0)/9,0)=2,2+IF((ROUND($B47,0)-18)*2&gt;=R$2,1,0),IF(TRUNC(ROUND($B47,0)/9,0)=1,1+IF((ROUND($B47,0)-9)*2&gt;=R$2,1,0),IF(TRUNC(ROUND($B47,0)/9,0)=0,IF(TRUNC(ROUND($B47,0)/9,0)=0,0+IF((ROUND($B47,0))*2&gt;=R$2,1,0),"Not"))))-R$3,"")</f>
        <v/>
      </c>
    </row>
    <row r="1094" spans="1:5" x14ac:dyDescent="0.25">
      <c r="A1094" t="s">
        <v>724</v>
      </c>
      <c r="B1094" t="s">
        <v>360</v>
      </c>
      <c r="C1094" t="s">
        <v>725</v>
      </c>
      <c r="D1094" t="s">
        <v>1635</v>
      </c>
      <c r="E1094" t="str">
        <f>IFERROR(AVERAGEIFS(Upload_Indiv[Score6],Upload_Indiv[[Player]:[Player]],$A48,Upload_Indiv[[Side]:[Side]],"Raintree Front")-IF(TRUNC(ROUND($B48,0)/9,0)=2,2+IF((ROUND($B48,0)-18)*2&gt;=H$2,1,0),IF(TRUNC(ROUND($B48,0)/9,0)=1,1+IF((ROUND($B48,0)-9)*2&gt;=H$2,1,0),IF(TRUNC(ROUND($B48,0)/9,0)=0,IF(TRUNC(ROUND($B48,0)/9,0)=0,0+IF((ROUND($B48,0))*2&gt;=H$2,1,0),"Not"))))-H$3,"")</f>
        <v/>
      </c>
    </row>
    <row r="1095" spans="1:5" x14ac:dyDescent="0.25">
      <c r="A1095" t="s">
        <v>724</v>
      </c>
      <c r="B1095" t="s">
        <v>360</v>
      </c>
      <c r="C1095" t="s">
        <v>725</v>
      </c>
      <c r="D1095" t="s">
        <v>1636</v>
      </c>
      <c r="E1095" t="str">
        <f>IFERROR(AVERAGEIFS(Upload_Indiv[Score6],Upload_Indiv[[Player]:[Player]],$A48,Upload_Indiv[[Side]:[Side]],"Raintree Back")-IF(TRUNC(ROUND($B48,0)/9,0)=2,2+IF((ROUND($B48,0)-18)*2&gt;=R$2,1,0),IF(TRUNC(ROUND($B48,0)/9,0)=1,1+IF((ROUND($B48,0)-9)*2&gt;=R$2,1,0),IF(TRUNC(ROUND($B48,0)/9,0)=0,IF(TRUNC(ROUND($B48,0)/9,0)=0,0+IF((ROUND($B48,0))*2&gt;=R$2,1,0),"Not"))))-R$3,"")</f>
        <v/>
      </c>
    </row>
    <row r="1096" spans="1:5" x14ac:dyDescent="0.25">
      <c r="A1096" t="s">
        <v>724</v>
      </c>
      <c r="B1096" t="s">
        <v>360</v>
      </c>
      <c r="C1096" t="s">
        <v>725</v>
      </c>
      <c r="D1096" t="s">
        <v>1637</v>
      </c>
      <c r="E1096" t="str">
        <f>IFERROR(AVERAGEIFS(Upload_Indiv[Score6],Upload_Indiv[[Player]:[Player]],$A49,Upload_Indiv[[Side]:[Side]],"Raintree Front")-IF(TRUNC(ROUND($B49,0)/9,0)=2,2+IF((ROUND($B49,0)-18)*2&gt;=H$2,1,0),IF(TRUNC(ROUND($B49,0)/9,0)=1,1+IF((ROUND($B49,0)-9)*2&gt;=H$2,1,0),IF(TRUNC(ROUND($B49,0)/9,0)=0,IF(TRUNC(ROUND($B49,0)/9,0)=0,0+IF((ROUND($B49,0))*2&gt;=H$2,1,0),"Not"))))-H$3,"")</f>
        <v/>
      </c>
    </row>
    <row r="1097" spans="1:5" x14ac:dyDescent="0.25">
      <c r="A1097" t="s">
        <v>724</v>
      </c>
      <c r="B1097" t="s">
        <v>360</v>
      </c>
      <c r="C1097" t="s">
        <v>725</v>
      </c>
      <c r="D1097" t="s">
        <v>1638</v>
      </c>
      <c r="E1097" t="str">
        <f>IFERROR(AVERAGEIFS(Upload_Indiv[Score6],Upload_Indiv[[Player]:[Player]],$A49,Upload_Indiv[[Side]:[Side]],"Raintree Back")-IF(TRUNC(ROUND($B49,0)/9,0)=2,2+IF((ROUND($B49,0)-18)*2&gt;=R$2,1,0),IF(TRUNC(ROUND($B49,0)/9,0)=1,1+IF((ROUND($B49,0)-9)*2&gt;=R$2,1,0),IF(TRUNC(ROUND($B49,0)/9,0)=0,IF(TRUNC(ROUND($B49,0)/9,0)=0,0+IF((ROUND($B49,0))*2&gt;=R$2,1,0),"Not"))))-R$3,"")</f>
        <v/>
      </c>
    </row>
    <row r="1098" spans="1:5" x14ac:dyDescent="0.25">
      <c r="A1098" t="s">
        <v>724</v>
      </c>
      <c r="B1098" t="s">
        <v>360</v>
      </c>
      <c r="C1098" t="s">
        <v>725</v>
      </c>
      <c r="D1098" t="s">
        <v>1639</v>
      </c>
      <c r="E1098" t="str">
        <f>IFERROR(AVERAGEIFS(Upload_Indiv[Score6],Upload_Indiv[[Player]:[Player]],$A50,Upload_Indiv[[Side]:[Side]],"Raintree Front")-IF(TRUNC(ROUND($B50,0)/9,0)=2,2+IF((ROUND($B50,0)-18)*2&gt;=H$2,1,0),IF(TRUNC(ROUND($B50,0)/9,0)=1,1+IF((ROUND($B50,0)-9)*2&gt;=H$2,1,0),IF(TRUNC(ROUND($B50,0)/9,0)=0,IF(TRUNC(ROUND($B50,0)/9,0)=0,0+IF((ROUND($B50,0))*2&gt;=H$2,1,0),"Not"))))-H$3,"")</f>
        <v/>
      </c>
    </row>
    <row r="1099" spans="1:5" x14ac:dyDescent="0.25">
      <c r="A1099" t="s">
        <v>724</v>
      </c>
      <c r="B1099" t="s">
        <v>360</v>
      </c>
      <c r="C1099" t="s">
        <v>725</v>
      </c>
      <c r="D1099" t="s">
        <v>1640</v>
      </c>
      <c r="E1099" t="str">
        <f>IFERROR(AVERAGEIFS(Upload_Indiv[Score6],Upload_Indiv[[Player]:[Player]],$A50,Upload_Indiv[[Side]:[Side]],"Raintree Back")-IF(TRUNC(ROUND($B50,0)/9,0)=2,2+IF((ROUND($B50,0)-18)*2&gt;=R$2,1,0),IF(TRUNC(ROUND($B50,0)/9,0)=1,1+IF((ROUND($B50,0)-9)*2&gt;=R$2,1,0),IF(TRUNC(ROUND($B50,0)/9,0)=0,IF(TRUNC(ROUND($B50,0)/9,0)=0,0+IF((ROUND($B50,0))*2&gt;=R$2,1,0),"Not"))))-R$3,"")</f>
        <v/>
      </c>
    </row>
    <row r="1100" spans="1:5" x14ac:dyDescent="0.25">
      <c r="A1100" t="s">
        <v>724</v>
      </c>
      <c r="B1100" t="s">
        <v>360</v>
      </c>
      <c r="C1100" t="s">
        <v>725</v>
      </c>
      <c r="D1100" t="s">
        <v>1641</v>
      </c>
      <c r="E1100" t="str">
        <f>IFERROR(AVERAGEIFS(Upload_Indiv[Score6],Upload_Indiv[[Player]:[Player]],$A51,Upload_Indiv[[Side]:[Side]],"Raintree Front")-IF(TRUNC(ROUND($B51,0)/9,0)=2,2+IF((ROUND($B51,0)-18)*2&gt;=H$2,1,0),IF(TRUNC(ROUND($B51,0)/9,0)=1,1+IF((ROUND($B51,0)-9)*2&gt;=H$2,1,0),IF(TRUNC(ROUND($B51,0)/9,0)=0,IF(TRUNC(ROUND($B51,0)/9,0)=0,0+IF((ROUND($B51,0))*2&gt;=H$2,1,0),"Not"))))-H$3,"")</f>
        <v/>
      </c>
    </row>
    <row r="1101" spans="1:5" x14ac:dyDescent="0.25">
      <c r="A1101" t="s">
        <v>724</v>
      </c>
      <c r="B1101" t="s">
        <v>360</v>
      </c>
      <c r="C1101" t="s">
        <v>725</v>
      </c>
      <c r="D1101" t="s">
        <v>1642</v>
      </c>
      <c r="E1101" t="str">
        <f>IFERROR(AVERAGEIFS(Upload_Indiv[Score6],Upload_Indiv[[Player]:[Player]],$A51,Upload_Indiv[[Side]:[Side]],"Raintree Back")-IF(TRUNC(ROUND($B51,0)/9,0)=2,2+IF((ROUND($B51,0)-18)*2&gt;=R$2,1,0),IF(TRUNC(ROUND($B51,0)/9,0)=1,1+IF((ROUND($B51,0)-9)*2&gt;=R$2,1,0),IF(TRUNC(ROUND($B51,0)/9,0)=0,IF(TRUNC(ROUND($B51,0)/9,0)=0,0+IF((ROUND($B51,0))*2&gt;=R$2,1,0),"Not"))))-R$3,"")</f>
        <v/>
      </c>
    </row>
    <row r="1102" spans="1:5" x14ac:dyDescent="0.25">
      <c r="A1102" t="s">
        <v>724</v>
      </c>
      <c r="B1102" t="s">
        <v>360</v>
      </c>
      <c r="C1102" t="s">
        <v>725</v>
      </c>
      <c r="D1102" t="s">
        <v>1643</v>
      </c>
      <c r="E1102" t="str">
        <f>IFERROR(AVERAGEIFS(Upload_Indiv[Score6],Upload_Indiv[[Player]:[Player]],$A52,Upload_Indiv[[Side]:[Side]],"Raintree Front")-IF(TRUNC(ROUND($B52,0)/9,0)=2,2+IF((ROUND($B52,0)-18)*2&gt;=H$2,1,0),IF(TRUNC(ROUND($B52,0)/9,0)=1,1+IF((ROUND($B52,0)-9)*2&gt;=H$2,1,0),IF(TRUNC(ROUND($B52,0)/9,0)=0,IF(TRUNC(ROUND($B52,0)/9,0)=0,0+IF((ROUND($B52,0))*2&gt;=H$2,1,0),"Not"))))-H$3,"")</f>
        <v/>
      </c>
    </row>
    <row r="1103" spans="1:5" x14ac:dyDescent="0.25">
      <c r="A1103" t="s">
        <v>724</v>
      </c>
      <c r="B1103" t="s">
        <v>360</v>
      </c>
      <c r="C1103" t="s">
        <v>725</v>
      </c>
      <c r="D1103" t="s">
        <v>1644</v>
      </c>
      <c r="E1103" t="str">
        <f>IFERROR(AVERAGEIFS(Upload_Indiv[Score6],Upload_Indiv[[Player]:[Player]],$A52,Upload_Indiv[[Side]:[Side]],"Raintree Back")-IF(TRUNC(ROUND($B52,0)/9,0)=2,2+IF((ROUND($B52,0)-18)*2&gt;=R$2,1,0),IF(TRUNC(ROUND($B52,0)/9,0)=1,1+IF((ROUND($B52,0)-9)*2&gt;=R$2,1,0),IF(TRUNC(ROUND($B52,0)/9,0)=0,IF(TRUNC(ROUND($B52,0)/9,0)=0,0+IF((ROUND($B52,0))*2&gt;=R$2,1,0),"Not"))))-R$3,"")</f>
        <v/>
      </c>
    </row>
    <row r="1104" spans="1:5" x14ac:dyDescent="0.25">
      <c r="A1104" t="s">
        <v>724</v>
      </c>
      <c r="B1104" t="s">
        <v>360</v>
      </c>
      <c r="C1104" t="s">
        <v>725</v>
      </c>
      <c r="D1104" t="s">
        <v>1645</v>
      </c>
      <c r="E1104" t="str">
        <f>IFERROR(AVERAGEIFS(Upload_Indiv[Score6],Upload_Indiv[[Player]:[Player]],$A53,Upload_Indiv[[Side]:[Side]],"Raintree Front")-IF(TRUNC(ROUND($B53,0)/9,0)=2,2+IF((ROUND($B53,0)-18)*2&gt;=H$2,1,0),IF(TRUNC(ROUND($B53,0)/9,0)=1,1+IF((ROUND($B53,0)-9)*2&gt;=H$2,1,0),IF(TRUNC(ROUND($B53,0)/9,0)=0,IF(TRUNC(ROUND($B53,0)/9,0)=0,0+IF((ROUND($B53,0))*2&gt;=H$2,1,0),"Not"))))-H$3,"")</f>
        <v/>
      </c>
    </row>
    <row r="1105" spans="1:5" x14ac:dyDescent="0.25">
      <c r="A1105" t="s">
        <v>724</v>
      </c>
      <c r="B1105" t="s">
        <v>360</v>
      </c>
      <c r="C1105" t="s">
        <v>725</v>
      </c>
      <c r="D1105" t="s">
        <v>1646</v>
      </c>
      <c r="E1105" t="str">
        <f>IFERROR(AVERAGEIFS(Upload_Indiv[Score6],Upload_Indiv[[Player]:[Player]],$A53,Upload_Indiv[[Side]:[Side]],"Raintree Back")-IF(TRUNC(ROUND($B53,0)/9,0)=2,2+IF((ROUND($B53,0)-18)*2&gt;=R$2,1,0),IF(TRUNC(ROUND($B53,0)/9,0)=1,1+IF((ROUND($B53,0)-9)*2&gt;=R$2,1,0),IF(TRUNC(ROUND($B53,0)/9,0)=0,IF(TRUNC(ROUND($B53,0)/9,0)=0,0+IF((ROUND($B53,0))*2&gt;=R$2,1,0),"Not"))))-R$3,"")</f>
        <v/>
      </c>
    </row>
    <row r="1106" spans="1:5" x14ac:dyDescent="0.25">
      <c r="A1106" t="s">
        <v>724</v>
      </c>
      <c r="B1106" t="s">
        <v>360</v>
      </c>
      <c r="C1106" t="s">
        <v>725</v>
      </c>
      <c r="D1106" t="s">
        <v>1647</v>
      </c>
      <c r="E1106" t="str">
        <f>IFERROR(AVERAGEIFS(Upload_Indiv[Score6],Upload_Indiv[[Player]:[Player]],$A54,Upload_Indiv[[Side]:[Side]],"Raintree Front")-IF(TRUNC(ROUND($B54,0)/9,0)=2,2+IF((ROUND($B54,0)-18)*2&gt;=H$2,1,0),IF(TRUNC(ROUND($B54,0)/9,0)=1,1+IF((ROUND($B54,0)-9)*2&gt;=H$2,1,0),IF(TRUNC(ROUND($B54,0)/9,0)=0,IF(TRUNC(ROUND($B54,0)/9,0)=0,0+IF((ROUND($B54,0))*2&gt;=H$2,1,0),"Not"))))-H$3,"")</f>
        <v/>
      </c>
    </row>
    <row r="1107" spans="1:5" x14ac:dyDescent="0.25">
      <c r="A1107" t="s">
        <v>724</v>
      </c>
      <c r="B1107" t="s">
        <v>360</v>
      </c>
      <c r="C1107" t="s">
        <v>725</v>
      </c>
      <c r="D1107" t="s">
        <v>1648</v>
      </c>
      <c r="E1107" t="str">
        <f>IFERROR(AVERAGEIFS(Upload_Indiv[Score6],Upload_Indiv[[Player]:[Player]],$A54,Upload_Indiv[[Side]:[Side]],"Raintree Back")-IF(TRUNC(ROUND($B54,0)/9,0)=2,2+IF((ROUND($B54,0)-18)*2&gt;=R$2,1,0),IF(TRUNC(ROUND($B54,0)/9,0)=1,1+IF((ROUND($B54,0)-9)*2&gt;=R$2,1,0),IF(TRUNC(ROUND($B54,0)/9,0)=0,IF(TRUNC(ROUND($B54,0)/9,0)=0,0+IF((ROUND($B54,0))*2&gt;=R$2,1,0),"Not"))))-R$3,"")</f>
        <v/>
      </c>
    </row>
    <row r="1108" spans="1:5" x14ac:dyDescent="0.25">
      <c r="A1108" t="s">
        <v>724</v>
      </c>
      <c r="B1108" t="s">
        <v>360</v>
      </c>
      <c r="C1108" t="s">
        <v>725</v>
      </c>
      <c r="D1108" t="s">
        <v>1649</v>
      </c>
      <c r="E1108" t="str">
        <f>IFERROR(AVERAGEIFS(Upload_Indiv[Score6],Upload_Indiv[[Player]:[Player]],$A55,Upload_Indiv[[Side]:[Side]],"Raintree Front")-IF(TRUNC(ROUND($B55,0)/9,0)=2,2+IF((ROUND($B55,0)-18)*2&gt;=H$2,1,0),IF(TRUNC(ROUND($B55,0)/9,0)=1,1+IF((ROUND($B55,0)-9)*2&gt;=H$2,1,0),IF(TRUNC(ROUND($B55,0)/9,0)=0,IF(TRUNC(ROUND($B55,0)/9,0)=0,0+IF((ROUND($B55,0))*2&gt;=H$2,1,0),"Not"))))-H$3,"")</f>
        <v/>
      </c>
    </row>
    <row r="1109" spans="1:5" x14ac:dyDescent="0.25">
      <c r="A1109" t="s">
        <v>724</v>
      </c>
      <c r="B1109" t="s">
        <v>360</v>
      </c>
      <c r="C1109" t="s">
        <v>725</v>
      </c>
      <c r="D1109" t="s">
        <v>1650</v>
      </c>
      <c r="E1109" t="str">
        <f>IFERROR(AVERAGEIFS(Upload_Indiv[Score6],Upload_Indiv[[Player]:[Player]],$A55,Upload_Indiv[[Side]:[Side]],"Raintree Back")-IF(TRUNC(ROUND($B55,0)/9,0)=2,2+IF((ROUND($B55,0)-18)*2&gt;=R$2,1,0),IF(TRUNC(ROUND($B55,0)/9,0)=1,1+IF((ROUND($B55,0)-9)*2&gt;=R$2,1,0),IF(TRUNC(ROUND($B55,0)/9,0)=0,IF(TRUNC(ROUND($B55,0)/9,0)=0,0+IF((ROUND($B55,0))*2&gt;=R$2,1,0),"Not"))))-R$3,"")</f>
        <v/>
      </c>
    </row>
    <row r="1110" spans="1:5" x14ac:dyDescent="0.25">
      <c r="A1110" t="s">
        <v>724</v>
      </c>
      <c r="B1110" t="s">
        <v>360</v>
      </c>
      <c r="C1110" t="s">
        <v>725</v>
      </c>
      <c r="D1110" t="s">
        <v>1651</v>
      </c>
      <c r="E1110" t="str">
        <f>IFERROR(AVERAGEIFS(Upload_Indiv[Score6],Upload_Indiv[[Player]:[Player]],$A56,Upload_Indiv[[Side]:[Side]],"Raintree Front")-IF(TRUNC(ROUND($B56,0)/9,0)=2,2+IF((ROUND($B56,0)-18)*2&gt;=H$2,1,0),IF(TRUNC(ROUND($B56,0)/9,0)=1,1+IF((ROUND($B56,0)-9)*2&gt;=H$2,1,0),IF(TRUNC(ROUND($B56,0)/9,0)=0,IF(TRUNC(ROUND($B56,0)/9,0)=0,0+IF((ROUND($B56,0))*2&gt;=H$2,1,0),"Not"))))-H$3,"")</f>
        <v/>
      </c>
    </row>
    <row r="1111" spans="1:5" x14ac:dyDescent="0.25">
      <c r="A1111" t="s">
        <v>724</v>
      </c>
      <c r="B1111" t="s">
        <v>360</v>
      </c>
      <c r="C1111" t="s">
        <v>725</v>
      </c>
      <c r="D1111" t="s">
        <v>1652</v>
      </c>
      <c r="E1111" t="str">
        <f>IFERROR(AVERAGEIFS(Upload_Indiv[Score6],Upload_Indiv[[Player]:[Player]],$A56,Upload_Indiv[[Side]:[Side]],"Raintree Back")-IF(TRUNC(ROUND($B56,0)/9,0)=2,2+IF((ROUND($B56,0)-18)*2&gt;=R$2,1,0),IF(TRUNC(ROUND($B56,0)/9,0)=1,1+IF((ROUND($B56,0)-9)*2&gt;=R$2,1,0),IF(TRUNC(ROUND($B56,0)/9,0)=0,IF(TRUNC(ROUND($B56,0)/9,0)=0,0+IF((ROUND($B56,0))*2&gt;=R$2,1,0),"Not"))))-R$3,"")</f>
        <v/>
      </c>
    </row>
    <row r="1112" spans="1:5" x14ac:dyDescent="0.25">
      <c r="A1112" t="s">
        <v>724</v>
      </c>
      <c r="B1112" t="s">
        <v>360</v>
      </c>
      <c r="C1112" t="s">
        <v>725</v>
      </c>
      <c r="D1112" t="s">
        <v>1653</v>
      </c>
      <c r="E1112" t="str">
        <f>IFERROR(AVERAGEIFS(Upload_Indiv[Score6],Upload_Indiv[[Player]:[Player]],$A57,Upload_Indiv[[Side]:[Side]],"Raintree Front")-IF(TRUNC(ROUND($B57,0)/9,0)=2,2+IF((ROUND($B57,0)-18)*2&gt;=H$2,1,0),IF(TRUNC(ROUND($B57,0)/9,0)=1,1+IF((ROUND($B57,0)-9)*2&gt;=H$2,1,0),IF(TRUNC(ROUND($B57,0)/9,0)=0,IF(TRUNC(ROUND($B57,0)/9,0)=0,0+IF((ROUND($B57,0))*2&gt;=H$2,1,0),"Not"))))-H$3,"")</f>
        <v/>
      </c>
    </row>
    <row r="1113" spans="1:5" x14ac:dyDescent="0.25">
      <c r="A1113" t="s">
        <v>724</v>
      </c>
      <c r="B1113" t="s">
        <v>360</v>
      </c>
      <c r="C1113" t="s">
        <v>725</v>
      </c>
      <c r="D1113" t="s">
        <v>1654</v>
      </c>
      <c r="E1113" t="str">
        <f>IFERROR(AVERAGEIFS(Upload_Indiv[Score6],Upload_Indiv[[Player]:[Player]],$A57,Upload_Indiv[[Side]:[Side]],"Raintree Back")-IF(TRUNC(ROUND($B57,0)/9,0)=2,2+IF((ROUND($B57,0)-18)*2&gt;=R$2,1,0),IF(TRUNC(ROUND($B57,0)/9,0)=1,1+IF((ROUND($B57,0)-9)*2&gt;=R$2,1,0),IF(TRUNC(ROUND($B57,0)/9,0)=0,IF(TRUNC(ROUND($B57,0)/9,0)=0,0+IF((ROUND($B57,0))*2&gt;=R$2,1,0),"Not"))))-R$3,"")</f>
        <v/>
      </c>
    </row>
    <row r="1114" spans="1:5" x14ac:dyDescent="0.25">
      <c r="A1114" t="s">
        <v>724</v>
      </c>
      <c r="B1114" t="s">
        <v>360</v>
      </c>
      <c r="C1114" t="s">
        <v>725</v>
      </c>
      <c r="D1114" t="s">
        <v>1655</v>
      </c>
      <c r="E1114" t="str">
        <f>IFERROR(AVERAGEIFS(Upload_Indiv[Score6],Upload_Indiv[[Player]:[Player]],$A58,Upload_Indiv[[Side]:[Side]],"Raintree Front")-IF(TRUNC(ROUND($B58,0)/9,0)=2,2+IF((ROUND($B58,0)-18)*2&gt;=H$2,1,0),IF(TRUNC(ROUND($B58,0)/9,0)=1,1+IF((ROUND($B58,0)-9)*2&gt;=H$2,1,0),IF(TRUNC(ROUND($B58,0)/9,0)=0,IF(TRUNC(ROUND($B58,0)/9,0)=0,0+IF((ROUND($B58,0))*2&gt;=H$2,1,0),"Not"))))-H$3,"")</f>
        <v/>
      </c>
    </row>
    <row r="1115" spans="1:5" x14ac:dyDescent="0.25">
      <c r="A1115" t="s">
        <v>724</v>
      </c>
      <c r="B1115" t="s">
        <v>360</v>
      </c>
      <c r="C1115" t="s">
        <v>725</v>
      </c>
      <c r="D1115" t="s">
        <v>1656</v>
      </c>
      <c r="E1115" t="str">
        <f>IFERROR(AVERAGEIFS(Upload_Indiv[Score6],Upload_Indiv[[Player]:[Player]],$A58,Upload_Indiv[[Side]:[Side]],"Raintree Back")-IF(TRUNC(ROUND($B58,0)/9,0)=2,2+IF((ROUND($B58,0)-18)*2&gt;=R$2,1,0),IF(TRUNC(ROUND($B58,0)/9,0)=1,1+IF((ROUND($B58,0)-9)*2&gt;=R$2,1,0),IF(TRUNC(ROUND($B58,0)/9,0)=0,IF(TRUNC(ROUND($B58,0)/9,0)=0,0+IF((ROUND($B58,0))*2&gt;=R$2,1,0),"Not"))))-R$3,"")</f>
        <v/>
      </c>
    </row>
    <row r="1116" spans="1:5" x14ac:dyDescent="0.25">
      <c r="A1116" t="s">
        <v>724</v>
      </c>
      <c r="B1116" t="s">
        <v>360</v>
      </c>
      <c r="C1116" t="s">
        <v>725</v>
      </c>
      <c r="D1116" t="s">
        <v>1657</v>
      </c>
      <c r="E1116" t="str">
        <f>IFERROR(AVERAGEIFS(Upload_Indiv[Score6],Upload_Indiv[[Player]:[Player]],$A59,Upload_Indiv[[Side]:[Side]],"Raintree Front")-IF(TRUNC(ROUND($B59,0)/9,0)=2,2+IF((ROUND($B59,0)-18)*2&gt;=H$2,1,0),IF(TRUNC(ROUND($B59,0)/9,0)=1,1+IF((ROUND($B59,0)-9)*2&gt;=H$2,1,0),IF(TRUNC(ROUND($B59,0)/9,0)=0,IF(TRUNC(ROUND($B59,0)/9,0)=0,0+IF((ROUND($B59,0))*2&gt;=H$2,1,0),"Not"))))-H$3,"")</f>
        <v/>
      </c>
    </row>
    <row r="1117" spans="1:5" x14ac:dyDescent="0.25">
      <c r="A1117" t="s">
        <v>724</v>
      </c>
      <c r="B1117" t="s">
        <v>360</v>
      </c>
      <c r="C1117" t="s">
        <v>725</v>
      </c>
      <c r="D1117" t="s">
        <v>1658</v>
      </c>
      <c r="E1117" t="str">
        <f>IFERROR(AVERAGEIFS(Upload_Indiv[Score6],Upload_Indiv[[Player]:[Player]],$A59,Upload_Indiv[[Side]:[Side]],"Raintree Back")-IF(TRUNC(ROUND($B59,0)/9,0)=2,2+IF((ROUND($B59,0)-18)*2&gt;=R$2,1,0),IF(TRUNC(ROUND($B59,0)/9,0)=1,1+IF((ROUND($B59,0)-9)*2&gt;=R$2,1,0),IF(TRUNC(ROUND($B59,0)/9,0)=0,IF(TRUNC(ROUND($B59,0)/9,0)=0,0+IF((ROUND($B59,0))*2&gt;=R$2,1,0),"Not"))))-R$3,"")</f>
        <v/>
      </c>
    </row>
    <row r="1118" spans="1:5" x14ac:dyDescent="0.25">
      <c r="A1118" t="s">
        <v>724</v>
      </c>
      <c r="B1118" t="s">
        <v>360</v>
      </c>
      <c r="C1118" t="s">
        <v>725</v>
      </c>
      <c r="D1118" t="s">
        <v>1659</v>
      </c>
      <c r="E1118" t="str">
        <f>IFERROR(AVERAGEIFS(Upload_Indiv[Score6],Upload_Indiv[[Player]:[Player]],$A60,Upload_Indiv[[Side]:[Side]],"Raintree Front")-IF(TRUNC(ROUND($B60,0)/9,0)=2,2+IF((ROUND($B60,0)-18)*2&gt;=H$2,1,0),IF(TRUNC(ROUND($B60,0)/9,0)=1,1+IF((ROUND($B60,0)-9)*2&gt;=H$2,1,0),IF(TRUNC(ROUND($B60,0)/9,0)=0,IF(TRUNC(ROUND($B60,0)/9,0)=0,0+IF((ROUND($B60,0))*2&gt;=H$2,1,0),"Not"))))-H$3,"")</f>
        <v/>
      </c>
    </row>
    <row r="1119" spans="1:5" x14ac:dyDescent="0.25">
      <c r="A1119" t="s">
        <v>724</v>
      </c>
      <c r="B1119" t="s">
        <v>360</v>
      </c>
      <c r="C1119" t="s">
        <v>725</v>
      </c>
      <c r="D1119" t="s">
        <v>1660</v>
      </c>
      <c r="E1119" t="str">
        <f>IFERROR(AVERAGEIFS(Upload_Indiv[Score6],Upload_Indiv[[Player]:[Player]],$A60,Upload_Indiv[[Side]:[Side]],"Raintree Back")-IF(TRUNC(ROUND($B60,0)/9,0)=2,2+IF((ROUND($B60,0)-18)*2&gt;=R$2,1,0),IF(TRUNC(ROUND($B60,0)/9,0)=1,1+IF((ROUND($B60,0)-9)*2&gt;=R$2,1,0),IF(TRUNC(ROUND($B60,0)/9,0)=0,IF(TRUNC(ROUND($B60,0)/9,0)=0,0+IF((ROUND($B60,0))*2&gt;=R$2,1,0),"Not"))))-R$3,"")</f>
        <v/>
      </c>
    </row>
    <row r="1120" spans="1:5" x14ac:dyDescent="0.25">
      <c r="A1120" t="s">
        <v>724</v>
      </c>
      <c r="B1120" t="s">
        <v>360</v>
      </c>
      <c r="C1120" t="s">
        <v>834</v>
      </c>
      <c r="D1120" t="s">
        <v>1661</v>
      </c>
      <c r="E1120">
        <f>IFERROR(AVERAGEIFS(Upload_Indiv[Score6],Upload_Indiv[[Side]:[Side]],"Raintree Front",Upload_Indiv[[Excl Score]:[Excl Score]],0),"")</f>
        <v>5.7061403508771926</v>
      </c>
    </row>
    <row r="1121" spans="1:5" x14ac:dyDescent="0.25">
      <c r="A1121" t="s">
        <v>724</v>
      </c>
      <c r="B1121" t="s">
        <v>360</v>
      </c>
      <c r="C1121" t="s">
        <v>834</v>
      </c>
      <c r="D1121" t="s">
        <v>1662</v>
      </c>
      <c r="E1121">
        <f>IFERROR(AVERAGEIFS(Upload_Indiv[Score6],Upload_Indiv[[Side]:[Side]],"Raintree Back",Upload_Indiv[[Excl Score]:[Excl Score]],0),"")</f>
        <v>6.331858407079646</v>
      </c>
    </row>
    <row r="1122" spans="1:5" x14ac:dyDescent="0.25">
      <c r="A1122" t="s">
        <v>724</v>
      </c>
      <c r="B1122" t="s">
        <v>360</v>
      </c>
      <c r="C1122" t="s">
        <v>834</v>
      </c>
      <c r="D1122" t="s">
        <v>1663</v>
      </c>
      <c r="E1122" t="str">
        <f>IFERROR(AVERAGEIFS(Upload_Indiv[Score6],Upload_Indiv[[Player]:[Player]],$A9,Upload_Indiv[[Side]:[Side]],"Raintree Front",Upload_Indiv[[Excl Score]:[Excl Score]],0),"")</f>
        <v/>
      </c>
    </row>
    <row r="1123" spans="1:5" x14ac:dyDescent="0.25">
      <c r="A1123" t="s">
        <v>724</v>
      </c>
      <c r="B1123" t="s">
        <v>360</v>
      </c>
      <c r="C1123" t="s">
        <v>834</v>
      </c>
      <c r="D1123" t="s">
        <v>1664</v>
      </c>
      <c r="E1123" t="str">
        <f>IFERROR(AVERAGEIFS(Upload_Indiv[Score6],Upload_Indiv[[Player]:[Player]],$A9,Upload_Indiv[[Side]:[Side]],"Raintree Back",Upload_Indiv[[Excl Score]:[Excl Score]],0),"")</f>
        <v/>
      </c>
    </row>
    <row r="1124" spans="1:5" x14ac:dyDescent="0.25">
      <c r="A1124" t="s">
        <v>724</v>
      </c>
      <c r="B1124" t="s">
        <v>360</v>
      </c>
      <c r="C1124" t="s">
        <v>834</v>
      </c>
      <c r="D1124" t="s">
        <v>1665</v>
      </c>
      <c r="E1124" t="str">
        <f>IFERROR(AVERAGEIFS(Upload_Indiv[Score6],Upload_Indiv[[Player]:[Player]],$A10,Upload_Indiv[[Side]:[Side]],"Raintree Front",Upload_Indiv[[Excl Score]:[Excl Score]],0),"")</f>
        <v/>
      </c>
    </row>
    <row r="1125" spans="1:5" x14ac:dyDescent="0.25">
      <c r="A1125" t="s">
        <v>724</v>
      </c>
      <c r="B1125" t="s">
        <v>360</v>
      </c>
      <c r="C1125" t="s">
        <v>834</v>
      </c>
      <c r="D1125" t="s">
        <v>1666</v>
      </c>
      <c r="E1125" t="str">
        <f>IFERROR(AVERAGEIFS(Upload_Indiv[Score6],Upload_Indiv[[Player]:[Player]],$A10,Upload_Indiv[[Side]:[Side]],"Raintree Back",Upload_Indiv[[Excl Score]:[Excl Score]],0),"")</f>
        <v/>
      </c>
    </row>
    <row r="1126" spans="1:5" x14ac:dyDescent="0.25">
      <c r="A1126" t="s">
        <v>724</v>
      </c>
      <c r="B1126" t="s">
        <v>360</v>
      </c>
      <c r="C1126" t="s">
        <v>834</v>
      </c>
      <c r="D1126" t="s">
        <v>1667</v>
      </c>
      <c r="E1126" t="str">
        <f>IFERROR(AVERAGEIFS(Upload_Indiv[Score6],Upload_Indiv[[Player]:[Player]],$A11,Upload_Indiv[[Side]:[Side]],"Raintree Front",Upload_Indiv[[Excl Score]:[Excl Score]],0),"")</f>
        <v/>
      </c>
    </row>
    <row r="1127" spans="1:5" x14ac:dyDescent="0.25">
      <c r="A1127" t="s">
        <v>724</v>
      </c>
      <c r="B1127" t="s">
        <v>360</v>
      </c>
      <c r="C1127" t="s">
        <v>834</v>
      </c>
      <c r="D1127" t="s">
        <v>1668</v>
      </c>
      <c r="E1127" t="str">
        <f>IFERROR(AVERAGEIFS(Upload_Indiv[Score6],Upload_Indiv[[Player]:[Player]],$A11,Upload_Indiv[[Side]:[Side]],"Raintree Back",Upload_Indiv[[Excl Score]:[Excl Score]],0),"")</f>
        <v/>
      </c>
    </row>
    <row r="1128" spans="1:5" x14ac:dyDescent="0.25">
      <c r="A1128" t="s">
        <v>724</v>
      </c>
      <c r="B1128" t="s">
        <v>360</v>
      </c>
      <c r="C1128" t="s">
        <v>834</v>
      </c>
      <c r="D1128" t="s">
        <v>1669</v>
      </c>
      <c r="E1128" t="str">
        <f>IFERROR(AVERAGEIFS(Upload_Indiv[Score6],Upload_Indiv[[Player]:[Player]],$A12,Upload_Indiv[[Side]:[Side]],"Raintree Front",Upload_Indiv[[Excl Score]:[Excl Score]],0),"")</f>
        <v/>
      </c>
    </row>
    <row r="1129" spans="1:5" x14ac:dyDescent="0.25">
      <c r="A1129" t="s">
        <v>724</v>
      </c>
      <c r="B1129" t="s">
        <v>360</v>
      </c>
      <c r="C1129" t="s">
        <v>834</v>
      </c>
      <c r="D1129" t="s">
        <v>1670</v>
      </c>
      <c r="E1129" t="str">
        <f>IFERROR(AVERAGEIFS(Upload_Indiv[Score6],Upload_Indiv[[Player]:[Player]],$A12,Upload_Indiv[[Side]:[Side]],"Raintree Back",Upload_Indiv[[Excl Score]:[Excl Score]],0),"")</f>
        <v/>
      </c>
    </row>
    <row r="1130" spans="1:5" x14ac:dyDescent="0.25">
      <c r="A1130" t="s">
        <v>724</v>
      </c>
      <c r="B1130" t="s">
        <v>360</v>
      </c>
      <c r="C1130" t="s">
        <v>834</v>
      </c>
      <c r="D1130" t="s">
        <v>1671</v>
      </c>
      <c r="E1130" t="str">
        <f>IFERROR(AVERAGEIFS(Upload_Indiv[Score6],Upload_Indiv[[Player]:[Player]],$A13,Upload_Indiv[[Side]:[Side]],"Raintree Front",Upload_Indiv[[Excl Score]:[Excl Score]],0),"")</f>
        <v/>
      </c>
    </row>
    <row r="1131" spans="1:5" x14ac:dyDescent="0.25">
      <c r="A1131" t="s">
        <v>724</v>
      </c>
      <c r="B1131" t="s">
        <v>360</v>
      </c>
      <c r="C1131" t="s">
        <v>834</v>
      </c>
      <c r="D1131" t="s">
        <v>1672</v>
      </c>
      <c r="E1131" t="str">
        <f>IFERROR(AVERAGEIFS(Upload_Indiv[Score6],Upload_Indiv[[Player]:[Player]],$A13,Upload_Indiv[[Side]:[Side]],"Raintree Back",Upload_Indiv[[Excl Score]:[Excl Score]],0),"")</f>
        <v/>
      </c>
    </row>
    <row r="1132" spans="1:5" x14ac:dyDescent="0.25">
      <c r="A1132" t="s">
        <v>724</v>
      </c>
      <c r="B1132" t="s">
        <v>360</v>
      </c>
      <c r="C1132" t="s">
        <v>834</v>
      </c>
      <c r="D1132" t="s">
        <v>1673</v>
      </c>
      <c r="E1132" t="str">
        <f>IFERROR(AVERAGEIFS(Upload_Indiv[Score6],Upload_Indiv[[Player]:[Player]],$A14,Upload_Indiv[[Side]:[Side]],"Raintree Front",Upload_Indiv[[Excl Score]:[Excl Score]],0),"")</f>
        <v/>
      </c>
    </row>
    <row r="1133" spans="1:5" x14ac:dyDescent="0.25">
      <c r="A1133" t="s">
        <v>724</v>
      </c>
      <c r="B1133" t="s">
        <v>360</v>
      </c>
      <c r="C1133" t="s">
        <v>834</v>
      </c>
      <c r="D1133" t="s">
        <v>1674</v>
      </c>
      <c r="E1133" t="str">
        <f>IFERROR(AVERAGEIFS(Upload_Indiv[Score6],Upload_Indiv[[Player]:[Player]],$A14,Upload_Indiv[[Side]:[Side]],"Raintree Back",Upload_Indiv[[Excl Score]:[Excl Score]],0),"")</f>
        <v/>
      </c>
    </row>
    <row r="1134" spans="1:5" x14ac:dyDescent="0.25">
      <c r="A1134" t="s">
        <v>724</v>
      </c>
      <c r="B1134" t="s">
        <v>360</v>
      </c>
      <c r="C1134" t="s">
        <v>834</v>
      </c>
      <c r="D1134" t="s">
        <v>1675</v>
      </c>
      <c r="E1134" t="str">
        <f>IFERROR(AVERAGEIFS(Upload_Indiv[Score6],Upload_Indiv[[Player]:[Player]],$A15,Upload_Indiv[[Side]:[Side]],"Raintree Front",Upload_Indiv[[Excl Score]:[Excl Score]],0),"")</f>
        <v/>
      </c>
    </row>
    <row r="1135" spans="1:5" x14ac:dyDescent="0.25">
      <c r="A1135" t="s">
        <v>724</v>
      </c>
      <c r="B1135" t="s">
        <v>360</v>
      </c>
      <c r="C1135" t="s">
        <v>834</v>
      </c>
      <c r="D1135" t="s">
        <v>1676</v>
      </c>
      <c r="E1135" t="str">
        <f>IFERROR(AVERAGEIFS(Upload_Indiv[Score6],Upload_Indiv[[Player]:[Player]],$A15,Upload_Indiv[[Side]:[Side]],"Raintree Back",Upload_Indiv[[Excl Score]:[Excl Score]],0),"")</f>
        <v/>
      </c>
    </row>
    <row r="1136" spans="1:5" x14ac:dyDescent="0.25">
      <c r="A1136" t="s">
        <v>724</v>
      </c>
      <c r="B1136" t="s">
        <v>360</v>
      </c>
      <c r="C1136" t="s">
        <v>834</v>
      </c>
      <c r="D1136" t="s">
        <v>1677</v>
      </c>
      <c r="E1136" t="str">
        <f>IFERROR(AVERAGEIFS(Upload_Indiv[Score6],Upload_Indiv[[Player]:[Player]],$A16,Upload_Indiv[[Side]:[Side]],"Raintree Front",Upload_Indiv[[Excl Score]:[Excl Score]],0),"")</f>
        <v/>
      </c>
    </row>
    <row r="1137" spans="1:5" x14ac:dyDescent="0.25">
      <c r="A1137" t="s">
        <v>724</v>
      </c>
      <c r="B1137" t="s">
        <v>360</v>
      </c>
      <c r="C1137" t="s">
        <v>834</v>
      </c>
      <c r="D1137" t="s">
        <v>1678</v>
      </c>
      <c r="E1137" t="str">
        <f>IFERROR(AVERAGEIFS(Upload_Indiv[Score6],Upload_Indiv[[Player]:[Player]],$A16,Upload_Indiv[[Side]:[Side]],"Raintree Back",Upload_Indiv[[Excl Score]:[Excl Score]],0),"")</f>
        <v/>
      </c>
    </row>
    <row r="1138" spans="1:5" x14ac:dyDescent="0.25">
      <c r="A1138" t="s">
        <v>724</v>
      </c>
      <c r="B1138" t="s">
        <v>360</v>
      </c>
      <c r="C1138" t="s">
        <v>834</v>
      </c>
      <c r="D1138" t="s">
        <v>1679</v>
      </c>
      <c r="E1138" t="str">
        <f>IFERROR(AVERAGEIFS(Upload_Indiv[Score6],Upload_Indiv[[Player]:[Player]],$A17,Upload_Indiv[[Side]:[Side]],"Raintree Front",Upload_Indiv[[Excl Score]:[Excl Score]],0),"")</f>
        <v/>
      </c>
    </row>
    <row r="1139" spans="1:5" x14ac:dyDescent="0.25">
      <c r="A1139" t="s">
        <v>724</v>
      </c>
      <c r="B1139" t="s">
        <v>360</v>
      </c>
      <c r="C1139" t="s">
        <v>834</v>
      </c>
      <c r="D1139" t="s">
        <v>1680</v>
      </c>
      <c r="E1139" t="str">
        <f>IFERROR(AVERAGEIFS(Upload_Indiv[Score6],Upload_Indiv[[Player]:[Player]],$A17,Upload_Indiv[[Side]:[Side]],"Raintree Back",Upload_Indiv[[Excl Score]:[Excl Score]],0),"")</f>
        <v/>
      </c>
    </row>
    <row r="1140" spans="1:5" x14ac:dyDescent="0.25">
      <c r="A1140" t="s">
        <v>724</v>
      </c>
      <c r="B1140" t="s">
        <v>360</v>
      </c>
      <c r="C1140" t="s">
        <v>834</v>
      </c>
      <c r="D1140" t="s">
        <v>1681</v>
      </c>
      <c r="E1140" t="str">
        <f>IFERROR(AVERAGEIFS(Upload_Indiv[Score6],Upload_Indiv[[Player]:[Player]],$A18,Upload_Indiv[[Side]:[Side]],"Raintree Front",Upload_Indiv[[Excl Score]:[Excl Score]],0),"")</f>
        <v/>
      </c>
    </row>
    <row r="1141" spans="1:5" x14ac:dyDescent="0.25">
      <c r="A1141" t="s">
        <v>724</v>
      </c>
      <c r="B1141" t="s">
        <v>360</v>
      </c>
      <c r="C1141" t="s">
        <v>834</v>
      </c>
      <c r="D1141" t="s">
        <v>1682</v>
      </c>
      <c r="E1141" t="str">
        <f>IFERROR(AVERAGEIFS(Upload_Indiv[Score6],Upload_Indiv[[Player]:[Player]],$A18,Upload_Indiv[[Side]:[Side]],"Raintree Back",Upload_Indiv[[Excl Score]:[Excl Score]],0),"")</f>
        <v/>
      </c>
    </row>
    <row r="1142" spans="1:5" x14ac:dyDescent="0.25">
      <c r="A1142" t="s">
        <v>724</v>
      </c>
      <c r="B1142" t="s">
        <v>360</v>
      </c>
      <c r="C1142" t="s">
        <v>834</v>
      </c>
      <c r="D1142" t="s">
        <v>1683</v>
      </c>
      <c r="E1142" t="str">
        <f>IFERROR(AVERAGEIFS(Upload_Indiv[Score6],Upload_Indiv[[Player]:[Player]],$A19,Upload_Indiv[[Side]:[Side]],"Raintree Front",Upload_Indiv[[Excl Score]:[Excl Score]],0),"")</f>
        <v/>
      </c>
    </row>
    <row r="1143" spans="1:5" x14ac:dyDescent="0.25">
      <c r="A1143" t="s">
        <v>724</v>
      </c>
      <c r="B1143" t="s">
        <v>360</v>
      </c>
      <c r="C1143" t="s">
        <v>834</v>
      </c>
      <c r="D1143" t="s">
        <v>1684</v>
      </c>
      <c r="E1143" t="str">
        <f>IFERROR(AVERAGEIFS(Upload_Indiv[Score6],Upload_Indiv[[Player]:[Player]],$A19,Upload_Indiv[[Side]:[Side]],"Raintree Back",Upload_Indiv[[Excl Score]:[Excl Score]],0),"")</f>
        <v/>
      </c>
    </row>
    <row r="1144" spans="1:5" x14ac:dyDescent="0.25">
      <c r="A1144" t="s">
        <v>724</v>
      </c>
      <c r="B1144" t="s">
        <v>360</v>
      </c>
      <c r="C1144" t="s">
        <v>834</v>
      </c>
      <c r="D1144" t="s">
        <v>1685</v>
      </c>
      <c r="E1144" t="str">
        <f>IFERROR(AVERAGEIFS(Upload_Indiv[Score6],Upload_Indiv[[Player]:[Player]],$A20,Upload_Indiv[[Side]:[Side]],"Raintree Front",Upload_Indiv[[Excl Score]:[Excl Score]],0),"")</f>
        <v/>
      </c>
    </row>
    <row r="1145" spans="1:5" x14ac:dyDescent="0.25">
      <c r="A1145" t="s">
        <v>724</v>
      </c>
      <c r="B1145" t="s">
        <v>360</v>
      </c>
      <c r="C1145" t="s">
        <v>834</v>
      </c>
      <c r="D1145" t="s">
        <v>1686</v>
      </c>
      <c r="E1145" t="str">
        <f>IFERROR(AVERAGEIFS(Upload_Indiv[Score6],Upload_Indiv[[Player]:[Player]],$A20,Upload_Indiv[[Side]:[Side]],"Raintree Back",Upload_Indiv[[Excl Score]:[Excl Score]],0),"")</f>
        <v/>
      </c>
    </row>
    <row r="1146" spans="1:5" x14ac:dyDescent="0.25">
      <c r="A1146" t="s">
        <v>724</v>
      </c>
      <c r="B1146" t="s">
        <v>360</v>
      </c>
      <c r="C1146" t="s">
        <v>834</v>
      </c>
      <c r="D1146" t="s">
        <v>1687</v>
      </c>
      <c r="E1146" t="str">
        <f>IFERROR(AVERAGEIFS(Upload_Indiv[Score6],Upload_Indiv[[Player]:[Player]],$A21,Upload_Indiv[[Side]:[Side]],"Raintree Front",Upload_Indiv[[Excl Score]:[Excl Score]],0),"")</f>
        <v/>
      </c>
    </row>
    <row r="1147" spans="1:5" x14ac:dyDescent="0.25">
      <c r="A1147" t="s">
        <v>724</v>
      </c>
      <c r="B1147" t="s">
        <v>360</v>
      </c>
      <c r="C1147" t="s">
        <v>834</v>
      </c>
      <c r="D1147" t="s">
        <v>1688</v>
      </c>
      <c r="E1147" t="str">
        <f>IFERROR(AVERAGEIFS(Upload_Indiv[Score6],Upload_Indiv[[Player]:[Player]],$A21,Upload_Indiv[[Side]:[Side]],"Raintree Back",Upload_Indiv[[Excl Score]:[Excl Score]],0),"")</f>
        <v/>
      </c>
    </row>
    <row r="1148" spans="1:5" x14ac:dyDescent="0.25">
      <c r="A1148" t="s">
        <v>724</v>
      </c>
      <c r="B1148" t="s">
        <v>360</v>
      </c>
      <c r="C1148" t="s">
        <v>834</v>
      </c>
      <c r="D1148" t="s">
        <v>1689</v>
      </c>
      <c r="E1148" t="str">
        <f>IFERROR(AVERAGEIFS(Upload_Indiv[Score6],Upload_Indiv[[Player]:[Player]],$A22,Upload_Indiv[[Side]:[Side]],"Raintree Front",Upload_Indiv[[Excl Score]:[Excl Score]],0),"")</f>
        <v/>
      </c>
    </row>
    <row r="1149" spans="1:5" x14ac:dyDescent="0.25">
      <c r="A1149" t="s">
        <v>724</v>
      </c>
      <c r="B1149" t="s">
        <v>360</v>
      </c>
      <c r="C1149" t="s">
        <v>834</v>
      </c>
      <c r="D1149" t="s">
        <v>1690</v>
      </c>
      <c r="E1149" t="str">
        <f>IFERROR(AVERAGEIFS(Upload_Indiv[Score6],Upload_Indiv[[Player]:[Player]],$A22,Upload_Indiv[[Side]:[Side]],"Raintree Back",Upload_Indiv[[Excl Score]:[Excl Score]],0),"")</f>
        <v/>
      </c>
    </row>
    <row r="1150" spans="1:5" x14ac:dyDescent="0.25">
      <c r="A1150" t="s">
        <v>724</v>
      </c>
      <c r="B1150" t="s">
        <v>360</v>
      </c>
      <c r="C1150" t="s">
        <v>834</v>
      </c>
      <c r="D1150" t="s">
        <v>1691</v>
      </c>
      <c r="E1150" t="str">
        <f>IFERROR(AVERAGEIFS(Upload_Indiv[Score6],Upload_Indiv[[Player]:[Player]],$A23,Upload_Indiv[[Side]:[Side]],"Raintree Front",Upload_Indiv[[Excl Score]:[Excl Score]],0),"")</f>
        <v/>
      </c>
    </row>
    <row r="1151" spans="1:5" x14ac:dyDescent="0.25">
      <c r="A1151" t="s">
        <v>724</v>
      </c>
      <c r="B1151" t="s">
        <v>360</v>
      </c>
      <c r="C1151" t="s">
        <v>834</v>
      </c>
      <c r="D1151" t="s">
        <v>1692</v>
      </c>
      <c r="E1151" t="str">
        <f>IFERROR(AVERAGEIFS(Upload_Indiv[Score6],Upload_Indiv[[Player]:[Player]],$A23,Upload_Indiv[[Side]:[Side]],"Raintree Back",Upload_Indiv[[Excl Score]:[Excl Score]],0),"")</f>
        <v/>
      </c>
    </row>
    <row r="1152" spans="1:5" x14ac:dyDescent="0.25">
      <c r="A1152" t="s">
        <v>724</v>
      </c>
      <c r="B1152" t="s">
        <v>360</v>
      </c>
      <c r="C1152" t="s">
        <v>834</v>
      </c>
      <c r="D1152" t="s">
        <v>1693</v>
      </c>
      <c r="E1152" t="str">
        <f>IFERROR(AVERAGEIFS(Upload_Indiv[Score6],Upload_Indiv[[Player]:[Player]],$A24,Upload_Indiv[[Side]:[Side]],"Raintree Front",Upload_Indiv[[Excl Score]:[Excl Score]],0),"")</f>
        <v/>
      </c>
    </row>
    <row r="1153" spans="1:5" x14ac:dyDescent="0.25">
      <c r="A1153" t="s">
        <v>724</v>
      </c>
      <c r="B1153" t="s">
        <v>360</v>
      </c>
      <c r="C1153" t="s">
        <v>834</v>
      </c>
      <c r="D1153" t="s">
        <v>1694</v>
      </c>
      <c r="E1153" t="str">
        <f>IFERROR(AVERAGEIFS(Upload_Indiv[Score6],Upload_Indiv[[Player]:[Player]],$A24,Upload_Indiv[[Side]:[Side]],"Raintree Back",Upload_Indiv[[Excl Score]:[Excl Score]],0),"")</f>
        <v/>
      </c>
    </row>
    <row r="1154" spans="1:5" x14ac:dyDescent="0.25">
      <c r="A1154" t="s">
        <v>724</v>
      </c>
      <c r="B1154" t="s">
        <v>360</v>
      </c>
      <c r="C1154" t="s">
        <v>834</v>
      </c>
      <c r="D1154" t="s">
        <v>1695</v>
      </c>
      <c r="E1154" t="str">
        <f>IFERROR(AVERAGEIFS(Upload_Indiv[Score6],Upload_Indiv[[Player]:[Player]],$A25,Upload_Indiv[[Side]:[Side]],"Raintree Front",Upload_Indiv[[Excl Score]:[Excl Score]],0),"")</f>
        <v/>
      </c>
    </row>
    <row r="1155" spans="1:5" x14ac:dyDescent="0.25">
      <c r="A1155" t="s">
        <v>724</v>
      </c>
      <c r="B1155" t="s">
        <v>360</v>
      </c>
      <c r="C1155" t="s">
        <v>834</v>
      </c>
      <c r="D1155" t="s">
        <v>1696</v>
      </c>
      <c r="E1155" t="str">
        <f>IFERROR(AVERAGEIFS(Upload_Indiv[Score6],Upload_Indiv[[Player]:[Player]],$A25,Upload_Indiv[[Side]:[Side]],"Raintree Back",Upload_Indiv[[Excl Score]:[Excl Score]],0),"")</f>
        <v/>
      </c>
    </row>
    <row r="1156" spans="1:5" x14ac:dyDescent="0.25">
      <c r="A1156" t="s">
        <v>724</v>
      </c>
      <c r="B1156" t="s">
        <v>360</v>
      </c>
      <c r="C1156" t="s">
        <v>834</v>
      </c>
      <c r="D1156" t="s">
        <v>1697</v>
      </c>
      <c r="E1156" t="str">
        <f>IFERROR(AVERAGEIFS(Upload_Indiv[Score6],Upload_Indiv[[Player]:[Player]],$A26,Upload_Indiv[[Side]:[Side]],"Raintree Front",Upload_Indiv[[Excl Score]:[Excl Score]],0),"")</f>
        <v/>
      </c>
    </row>
    <row r="1157" spans="1:5" x14ac:dyDescent="0.25">
      <c r="A1157" t="s">
        <v>724</v>
      </c>
      <c r="B1157" t="s">
        <v>360</v>
      </c>
      <c r="C1157" t="s">
        <v>834</v>
      </c>
      <c r="D1157" t="s">
        <v>1698</v>
      </c>
      <c r="E1157" t="str">
        <f>IFERROR(AVERAGEIFS(Upload_Indiv[Score6],Upload_Indiv[[Player]:[Player]],$A26,Upload_Indiv[[Side]:[Side]],"Raintree Back",Upload_Indiv[[Excl Score]:[Excl Score]],0),"")</f>
        <v/>
      </c>
    </row>
    <row r="1158" spans="1:5" x14ac:dyDescent="0.25">
      <c r="A1158" t="s">
        <v>724</v>
      </c>
      <c r="B1158" t="s">
        <v>360</v>
      </c>
      <c r="C1158" t="s">
        <v>834</v>
      </c>
      <c r="D1158" t="s">
        <v>1699</v>
      </c>
      <c r="E1158" t="str">
        <f>IFERROR(AVERAGEIFS(Upload_Indiv[Score6],Upload_Indiv[[Player]:[Player]],$A27,Upload_Indiv[[Side]:[Side]],"Raintree Front",Upload_Indiv[[Excl Score]:[Excl Score]],0),"")</f>
        <v/>
      </c>
    </row>
    <row r="1159" spans="1:5" x14ac:dyDescent="0.25">
      <c r="A1159" t="s">
        <v>724</v>
      </c>
      <c r="B1159" t="s">
        <v>360</v>
      </c>
      <c r="C1159" t="s">
        <v>834</v>
      </c>
      <c r="D1159" t="s">
        <v>1700</v>
      </c>
      <c r="E1159" t="str">
        <f>IFERROR(AVERAGEIFS(Upload_Indiv[Score6],Upload_Indiv[[Player]:[Player]],$A27,Upload_Indiv[[Side]:[Side]],"Raintree Back",Upload_Indiv[[Excl Score]:[Excl Score]],0),"")</f>
        <v/>
      </c>
    </row>
    <row r="1160" spans="1:5" x14ac:dyDescent="0.25">
      <c r="A1160" t="s">
        <v>724</v>
      </c>
      <c r="B1160" t="s">
        <v>360</v>
      </c>
      <c r="C1160" t="s">
        <v>834</v>
      </c>
      <c r="D1160" t="s">
        <v>1701</v>
      </c>
      <c r="E1160" t="str">
        <f>IFERROR(AVERAGEIFS(Upload_Indiv[Score6],Upload_Indiv[[Player]:[Player]],$A28,Upload_Indiv[[Side]:[Side]],"Raintree Front",Upload_Indiv[[Excl Score]:[Excl Score]],0),"")</f>
        <v/>
      </c>
    </row>
    <row r="1161" spans="1:5" x14ac:dyDescent="0.25">
      <c r="A1161" t="s">
        <v>724</v>
      </c>
      <c r="B1161" t="s">
        <v>360</v>
      </c>
      <c r="C1161" t="s">
        <v>834</v>
      </c>
      <c r="D1161" t="s">
        <v>1702</v>
      </c>
      <c r="E1161" t="str">
        <f>IFERROR(AVERAGEIFS(Upload_Indiv[Score6],Upload_Indiv[[Player]:[Player]],$A28,Upload_Indiv[[Side]:[Side]],"Raintree Back",Upload_Indiv[[Excl Score]:[Excl Score]],0),"")</f>
        <v/>
      </c>
    </row>
    <row r="1162" spans="1:5" x14ac:dyDescent="0.25">
      <c r="A1162" t="s">
        <v>724</v>
      </c>
      <c r="B1162" t="s">
        <v>360</v>
      </c>
      <c r="C1162" t="s">
        <v>834</v>
      </c>
      <c r="D1162" t="s">
        <v>1703</v>
      </c>
      <c r="E1162" t="str">
        <f>IFERROR(AVERAGEIFS(Upload_Indiv[Score6],Upload_Indiv[[Player]:[Player]],$A29,Upload_Indiv[[Side]:[Side]],"Raintree Front",Upload_Indiv[[Excl Score]:[Excl Score]],0),"")</f>
        <v/>
      </c>
    </row>
    <row r="1163" spans="1:5" x14ac:dyDescent="0.25">
      <c r="A1163" t="s">
        <v>724</v>
      </c>
      <c r="B1163" t="s">
        <v>360</v>
      </c>
      <c r="C1163" t="s">
        <v>834</v>
      </c>
      <c r="D1163" t="s">
        <v>1704</v>
      </c>
      <c r="E1163" t="str">
        <f>IFERROR(AVERAGEIFS(Upload_Indiv[Score6],Upload_Indiv[[Player]:[Player]],$A29,Upload_Indiv[[Side]:[Side]],"Raintree Back",Upload_Indiv[[Excl Score]:[Excl Score]],0),"")</f>
        <v/>
      </c>
    </row>
    <row r="1164" spans="1:5" x14ac:dyDescent="0.25">
      <c r="A1164" t="s">
        <v>724</v>
      </c>
      <c r="B1164" t="s">
        <v>360</v>
      </c>
      <c r="C1164" t="s">
        <v>834</v>
      </c>
      <c r="D1164" t="s">
        <v>1705</v>
      </c>
      <c r="E1164" t="str">
        <f>IFERROR(AVERAGEIFS(Upload_Indiv[Score6],Upload_Indiv[[Player]:[Player]],$A30,Upload_Indiv[[Side]:[Side]],"Raintree Front",Upload_Indiv[[Excl Score]:[Excl Score]],0),"")</f>
        <v/>
      </c>
    </row>
    <row r="1165" spans="1:5" x14ac:dyDescent="0.25">
      <c r="A1165" t="s">
        <v>724</v>
      </c>
      <c r="B1165" t="s">
        <v>360</v>
      </c>
      <c r="C1165" t="s">
        <v>834</v>
      </c>
      <c r="D1165" t="s">
        <v>1706</v>
      </c>
      <c r="E1165" t="str">
        <f>IFERROR(AVERAGEIFS(Upload_Indiv[Score6],Upload_Indiv[[Player]:[Player]],$A30,Upload_Indiv[[Side]:[Side]],"Raintree Back",Upload_Indiv[[Excl Score]:[Excl Score]],0),"")</f>
        <v/>
      </c>
    </row>
    <row r="1166" spans="1:5" x14ac:dyDescent="0.25">
      <c r="A1166" t="s">
        <v>724</v>
      </c>
      <c r="B1166" t="s">
        <v>360</v>
      </c>
      <c r="C1166" t="s">
        <v>834</v>
      </c>
      <c r="D1166" t="s">
        <v>1707</v>
      </c>
      <c r="E1166" t="str">
        <f>IFERROR(AVERAGEIFS(Upload_Indiv[Score6],Upload_Indiv[[Player]:[Player]],$A31,Upload_Indiv[[Side]:[Side]],"Raintree Front",Upload_Indiv[[Excl Score]:[Excl Score]],0),"")</f>
        <v/>
      </c>
    </row>
    <row r="1167" spans="1:5" x14ac:dyDescent="0.25">
      <c r="A1167" t="s">
        <v>724</v>
      </c>
      <c r="B1167" t="s">
        <v>360</v>
      </c>
      <c r="C1167" t="s">
        <v>834</v>
      </c>
      <c r="D1167" t="s">
        <v>1708</v>
      </c>
      <c r="E1167" t="str">
        <f>IFERROR(AVERAGEIFS(Upload_Indiv[Score6],Upload_Indiv[[Player]:[Player]],$A31,Upload_Indiv[[Side]:[Side]],"Raintree Back",Upload_Indiv[[Excl Score]:[Excl Score]],0),"")</f>
        <v/>
      </c>
    </row>
    <row r="1168" spans="1:5" x14ac:dyDescent="0.25">
      <c r="A1168" t="s">
        <v>724</v>
      </c>
      <c r="B1168" t="s">
        <v>360</v>
      </c>
      <c r="C1168" t="s">
        <v>834</v>
      </c>
      <c r="D1168" t="s">
        <v>1709</v>
      </c>
      <c r="E1168" t="str">
        <f>IFERROR(AVERAGEIFS(Upload_Indiv[Score6],Upload_Indiv[[Player]:[Player]],$A32,Upload_Indiv[[Side]:[Side]],"Raintree Front",Upload_Indiv[[Excl Score]:[Excl Score]],0),"")</f>
        <v/>
      </c>
    </row>
    <row r="1169" spans="1:5" x14ac:dyDescent="0.25">
      <c r="A1169" t="s">
        <v>724</v>
      </c>
      <c r="B1169" t="s">
        <v>360</v>
      </c>
      <c r="C1169" t="s">
        <v>834</v>
      </c>
      <c r="D1169" t="s">
        <v>1710</v>
      </c>
      <c r="E1169" t="str">
        <f>IFERROR(AVERAGEIFS(Upload_Indiv[Score6],Upload_Indiv[[Player]:[Player]],$A32,Upload_Indiv[[Side]:[Side]],"Raintree Back",Upload_Indiv[[Excl Score]:[Excl Score]],0),"")</f>
        <v/>
      </c>
    </row>
    <row r="1170" spans="1:5" x14ac:dyDescent="0.25">
      <c r="A1170" t="s">
        <v>724</v>
      </c>
      <c r="B1170" t="s">
        <v>360</v>
      </c>
      <c r="C1170" t="s">
        <v>834</v>
      </c>
      <c r="D1170" t="s">
        <v>1711</v>
      </c>
      <c r="E1170" t="str">
        <f>IFERROR(AVERAGEIFS(Upload_Indiv[Score6],Upload_Indiv[[Player]:[Player]],$A33,Upload_Indiv[[Side]:[Side]],"Raintree Front",Upload_Indiv[[Excl Score]:[Excl Score]],0),"")</f>
        <v/>
      </c>
    </row>
    <row r="1171" spans="1:5" x14ac:dyDescent="0.25">
      <c r="A1171" t="s">
        <v>724</v>
      </c>
      <c r="B1171" t="s">
        <v>360</v>
      </c>
      <c r="C1171" t="s">
        <v>834</v>
      </c>
      <c r="D1171" t="s">
        <v>1712</v>
      </c>
      <c r="E1171" t="str">
        <f>IFERROR(AVERAGEIFS(Upload_Indiv[Score6],Upload_Indiv[[Player]:[Player]],$A33,Upload_Indiv[[Side]:[Side]],"Raintree Back",Upload_Indiv[[Excl Score]:[Excl Score]],0),"")</f>
        <v/>
      </c>
    </row>
    <row r="1172" spans="1:5" x14ac:dyDescent="0.25">
      <c r="A1172" t="s">
        <v>724</v>
      </c>
      <c r="B1172" t="s">
        <v>360</v>
      </c>
      <c r="C1172" t="s">
        <v>834</v>
      </c>
      <c r="D1172" t="s">
        <v>1713</v>
      </c>
      <c r="E1172" t="str">
        <f>IFERROR(AVERAGEIFS(Upload_Indiv[Score6],Upload_Indiv[[Player]:[Player]],$A34,Upload_Indiv[[Side]:[Side]],"Raintree Front",Upload_Indiv[[Excl Score]:[Excl Score]],0),"")</f>
        <v/>
      </c>
    </row>
    <row r="1173" spans="1:5" x14ac:dyDescent="0.25">
      <c r="A1173" t="s">
        <v>724</v>
      </c>
      <c r="B1173" t="s">
        <v>360</v>
      </c>
      <c r="C1173" t="s">
        <v>834</v>
      </c>
      <c r="D1173" t="s">
        <v>1714</v>
      </c>
      <c r="E1173" t="str">
        <f>IFERROR(AVERAGEIFS(Upload_Indiv[Score6],Upload_Indiv[[Player]:[Player]],$A34,Upload_Indiv[[Side]:[Side]],"Raintree Back",Upload_Indiv[[Excl Score]:[Excl Score]],0),"")</f>
        <v/>
      </c>
    </row>
    <row r="1174" spans="1:5" x14ac:dyDescent="0.25">
      <c r="A1174" t="s">
        <v>724</v>
      </c>
      <c r="B1174" t="s">
        <v>360</v>
      </c>
      <c r="C1174" t="s">
        <v>834</v>
      </c>
      <c r="D1174" t="s">
        <v>1715</v>
      </c>
      <c r="E1174" t="str">
        <f>IFERROR(AVERAGEIFS(Upload_Indiv[Score6],Upload_Indiv[[Player]:[Player]],$A35,Upload_Indiv[[Side]:[Side]],"Raintree Front",Upload_Indiv[[Excl Score]:[Excl Score]],0),"")</f>
        <v/>
      </c>
    </row>
    <row r="1175" spans="1:5" x14ac:dyDescent="0.25">
      <c r="A1175" t="s">
        <v>724</v>
      </c>
      <c r="B1175" t="s">
        <v>360</v>
      </c>
      <c r="C1175" t="s">
        <v>834</v>
      </c>
      <c r="D1175" t="s">
        <v>1716</v>
      </c>
      <c r="E1175" t="str">
        <f>IFERROR(AVERAGEIFS(Upload_Indiv[Score6],Upload_Indiv[[Player]:[Player]],$A35,Upload_Indiv[[Side]:[Side]],"Raintree Back",Upload_Indiv[[Excl Score]:[Excl Score]],0),"")</f>
        <v/>
      </c>
    </row>
    <row r="1176" spans="1:5" x14ac:dyDescent="0.25">
      <c r="A1176" t="s">
        <v>724</v>
      </c>
      <c r="B1176" t="s">
        <v>360</v>
      </c>
      <c r="C1176" t="s">
        <v>834</v>
      </c>
      <c r="D1176" t="s">
        <v>1717</v>
      </c>
      <c r="E1176" t="str">
        <f>IFERROR(AVERAGEIFS(Upload_Indiv[Score6],Upload_Indiv[[Player]:[Player]],$A36,Upload_Indiv[[Side]:[Side]],"Raintree Front",Upload_Indiv[[Excl Score]:[Excl Score]],0),"")</f>
        <v/>
      </c>
    </row>
    <row r="1177" spans="1:5" x14ac:dyDescent="0.25">
      <c r="A1177" t="s">
        <v>724</v>
      </c>
      <c r="B1177" t="s">
        <v>360</v>
      </c>
      <c r="C1177" t="s">
        <v>834</v>
      </c>
      <c r="D1177" t="s">
        <v>1718</v>
      </c>
      <c r="E1177" t="str">
        <f>IFERROR(AVERAGEIFS(Upload_Indiv[Score6],Upload_Indiv[[Player]:[Player]],$A36,Upload_Indiv[[Side]:[Side]],"Raintree Back",Upload_Indiv[[Excl Score]:[Excl Score]],0),"")</f>
        <v/>
      </c>
    </row>
    <row r="1178" spans="1:5" x14ac:dyDescent="0.25">
      <c r="A1178" t="s">
        <v>724</v>
      </c>
      <c r="B1178" t="s">
        <v>360</v>
      </c>
      <c r="C1178" t="s">
        <v>834</v>
      </c>
      <c r="D1178" t="s">
        <v>1719</v>
      </c>
      <c r="E1178" t="str">
        <f>IFERROR(AVERAGEIFS(Upload_Indiv[Score6],Upload_Indiv[[Player]:[Player]],$A37,Upload_Indiv[[Side]:[Side]],"Raintree Front",Upload_Indiv[[Excl Score]:[Excl Score]],0),"")</f>
        <v/>
      </c>
    </row>
    <row r="1179" spans="1:5" x14ac:dyDescent="0.25">
      <c r="A1179" t="s">
        <v>724</v>
      </c>
      <c r="B1179" t="s">
        <v>360</v>
      </c>
      <c r="C1179" t="s">
        <v>834</v>
      </c>
      <c r="D1179" t="s">
        <v>1720</v>
      </c>
      <c r="E1179" t="str">
        <f>IFERROR(AVERAGEIFS(Upload_Indiv[Score6],Upload_Indiv[[Player]:[Player]],$A37,Upload_Indiv[[Side]:[Side]],"Raintree Back",Upload_Indiv[[Excl Score]:[Excl Score]],0),"")</f>
        <v/>
      </c>
    </row>
    <row r="1180" spans="1:5" x14ac:dyDescent="0.25">
      <c r="A1180" t="s">
        <v>724</v>
      </c>
      <c r="B1180" t="s">
        <v>360</v>
      </c>
      <c r="C1180" t="s">
        <v>834</v>
      </c>
      <c r="D1180" t="s">
        <v>1721</v>
      </c>
      <c r="E1180" t="str">
        <f>IFERROR(AVERAGEIFS(Upload_Indiv[Score6],Upload_Indiv[[Player]:[Player]],$A38,Upload_Indiv[[Side]:[Side]],"Raintree Front",Upload_Indiv[[Excl Score]:[Excl Score]],0),"")</f>
        <v/>
      </c>
    </row>
    <row r="1181" spans="1:5" x14ac:dyDescent="0.25">
      <c r="A1181" t="s">
        <v>724</v>
      </c>
      <c r="B1181" t="s">
        <v>360</v>
      </c>
      <c r="C1181" t="s">
        <v>834</v>
      </c>
      <c r="D1181" t="s">
        <v>1722</v>
      </c>
      <c r="E1181" t="str">
        <f>IFERROR(AVERAGEIFS(Upload_Indiv[Score6],Upload_Indiv[[Player]:[Player]],$A38,Upload_Indiv[[Side]:[Side]],"Raintree Back",Upload_Indiv[[Excl Score]:[Excl Score]],0),"")</f>
        <v/>
      </c>
    </row>
    <row r="1182" spans="1:5" x14ac:dyDescent="0.25">
      <c r="A1182" t="s">
        <v>724</v>
      </c>
      <c r="B1182" t="s">
        <v>360</v>
      </c>
      <c r="C1182" t="s">
        <v>834</v>
      </c>
      <c r="D1182" t="s">
        <v>1723</v>
      </c>
      <c r="E1182" t="str">
        <f>IFERROR(AVERAGEIFS(Upload_Indiv[Score6],Upload_Indiv[[Player]:[Player]],$A39,Upload_Indiv[[Side]:[Side]],"Raintree Front",Upload_Indiv[[Excl Score]:[Excl Score]],0),"")</f>
        <v/>
      </c>
    </row>
    <row r="1183" spans="1:5" x14ac:dyDescent="0.25">
      <c r="A1183" t="s">
        <v>724</v>
      </c>
      <c r="B1183" t="s">
        <v>360</v>
      </c>
      <c r="C1183" t="s">
        <v>834</v>
      </c>
      <c r="D1183" t="s">
        <v>1724</v>
      </c>
      <c r="E1183" t="str">
        <f>IFERROR(AVERAGEIFS(Upload_Indiv[Score6],Upload_Indiv[[Player]:[Player]],$A39,Upload_Indiv[[Side]:[Side]],"Raintree Back",Upload_Indiv[[Excl Score]:[Excl Score]],0),"")</f>
        <v/>
      </c>
    </row>
    <row r="1184" spans="1:5" x14ac:dyDescent="0.25">
      <c r="A1184" t="s">
        <v>724</v>
      </c>
      <c r="B1184" t="s">
        <v>360</v>
      </c>
      <c r="C1184" t="s">
        <v>834</v>
      </c>
      <c r="D1184" t="s">
        <v>1725</v>
      </c>
      <c r="E1184" t="str">
        <f>IFERROR(AVERAGEIFS(Upload_Indiv[Score6],Upload_Indiv[[Player]:[Player]],$A40,Upload_Indiv[[Side]:[Side]],"Raintree Front",Upload_Indiv[[Excl Score]:[Excl Score]],0),"")</f>
        <v/>
      </c>
    </row>
    <row r="1185" spans="1:5" x14ac:dyDescent="0.25">
      <c r="A1185" t="s">
        <v>724</v>
      </c>
      <c r="B1185" t="s">
        <v>360</v>
      </c>
      <c r="C1185" t="s">
        <v>834</v>
      </c>
      <c r="D1185" t="s">
        <v>1726</v>
      </c>
      <c r="E1185" t="str">
        <f>IFERROR(AVERAGEIFS(Upload_Indiv[Score6],Upload_Indiv[[Player]:[Player]],$A40,Upload_Indiv[[Side]:[Side]],"Raintree Back",Upload_Indiv[[Excl Score]:[Excl Score]],0),"")</f>
        <v/>
      </c>
    </row>
    <row r="1186" spans="1:5" x14ac:dyDescent="0.25">
      <c r="A1186" t="s">
        <v>724</v>
      </c>
      <c r="B1186" t="s">
        <v>360</v>
      </c>
      <c r="C1186" t="s">
        <v>834</v>
      </c>
      <c r="D1186" t="s">
        <v>1727</v>
      </c>
      <c r="E1186" t="str">
        <f>IFERROR(AVERAGEIFS(Upload_Indiv[Score6],Upload_Indiv[[Player]:[Player]],$A41,Upload_Indiv[[Side]:[Side]],"Raintree Front",Upload_Indiv[[Excl Score]:[Excl Score]],0),"")</f>
        <v/>
      </c>
    </row>
    <row r="1187" spans="1:5" x14ac:dyDescent="0.25">
      <c r="A1187" t="s">
        <v>724</v>
      </c>
      <c r="B1187" t="s">
        <v>360</v>
      </c>
      <c r="C1187" t="s">
        <v>834</v>
      </c>
      <c r="D1187" t="s">
        <v>1728</v>
      </c>
      <c r="E1187" t="str">
        <f>IFERROR(AVERAGEIFS(Upload_Indiv[Score6],Upload_Indiv[[Player]:[Player]],$A41,Upload_Indiv[[Side]:[Side]],"Raintree Back",Upload_Indiv[[Excl Score]:[Excl Score]],0),"")</f>
        <v/>
      </c>
    </row>
    <row r="1188" spans="1:5" x14ac:dyDescent="0.25">
      <c r="A1188" t="s">
        <v>724</v>
      </c>
      <c r="B1188" t="s">
        <v>360</v>
      </c>
      <c r="C1188" t="s">
        <v>834</v>
      </c>
      <c r="D1188" t="s">
        <v>1729</v>
      </c>
      <c r="E1188" t="str">
        <f>IFERROR(AVERAGEIFS(Upload_Indiv[Score6],Upload_Indiv[[Player]:[Player]],$A42,Upload_Indiv[[Side]:[Side]],"Raintree Front",Upload_Indiv[[Excl Score]:[Excl Score]],0),"")</f>
        <v/>
      </c>
    </row>
    <row r="1189" spans="1:5" x14ac:dyDescent="0.25">
      <c r="A1189" t="s">
        <v>724</v>
      </c>
      <c r="B1189" t="s">
        <v>360</v>
      </c>
      <c r="C1189" t="s">
        <v>834</v>
      </c>
      <c r="D1189" t="s">
        <v>1730</v>
      </c>
      <c r="E1189" t="str">
        <f>IFERROR(AVERAGEIFS(Upload_Indiv[Score6],Upload_Indiv[[Player]:[Player]],$A42,Upload_Indiv[[Side]:[Side]],"Raintree Back",Upload_Indiv[[Excl Score]:[Excl Score]],0),"")</f>
        <v/>
      </c>
    </row>
    <row r="1190" spans="1:5" x14ac:dyDescent="0.25">
      <c r="A1190" t="s">
        <v>724</v>
      </c>
      <c r="B1190" t="s">
        <v>360</v>
      </c>
      <c r="C1190" t="s">
        <v>834</v>
      </c>
      <c r="D1190" t="s">
        <v>1731</v>
      </c>
      <c r="E1190" t="str">
        <f>IFERROR(AVERAGEIFS(Upload_Indiv[Score6],Upload_Indiv[[Player]:[Player]],$A43,Upload_Indiv[[Side]:[Side]],"Raintree Front",Upload_Indiv[[Excl Score]:[Excl Score]],0),"")</f>
        <v/>
      </c>
    </row>
    <row r="1191" spans="1:5" x14ac:dyDescent="0.25">
      <c r="A1191" t="s">
        <v>724</v>
      </c>
      <c r="B1191" t="s">
        <v>360</v>
      </c>
      <c r="C1191" t="s">
        <v>834</v>
      </c>
      <c r="D1191" t="s">
        <v>1732</v>
      </c>
      <c r="E1191" t="str">
        <f>IFERROR(AVERAGEIFS(Upload_Indiv[Score6],Upload_Indiv[[Player]:[Player]],$A43,Upload_Indiv[[Side]:[Side]],"Raintree Back",Upload_Indiv[[Excl Score]:[Excl Score]],0),"")</f>
        <v/>
      </c>
    </row>
    <row r="1192" spans="1:5" x14ac:dyDescent="0.25">
      <c r="A1192" t="s">
        <v>724</v>
      </c>
      <c r="B1192" t="s">
        <v>360</v>
      </c>
      <c r="C1192" t="s">
        <v>834</v>
      </c>
      <c r="D1192" t="s">
        <v>1733</v>
      </c>
      <c r="E1192" t="str">
        <f>IFERROR(AVERAGEIFS(Upload_Indiv[Score6],Upload_Indiv[[Player]:[Player]],$A44,Upload_Indiv[[Side]:[Side]],"Raintree Front",Upload_Indiv[[Excl Score]:[Excl Score]],0),"")</f>
        <v/>
      </c>
    </row>
    <row r="1193" spans="1:5" x14ac:dyDescent="0.25">
      <c r="A1193" t="s">
        <v>724</v>
      </c>
      <c r="B1193" t="s">
        <v>360</v>
      </c>
      <c r="C1193" t="s">
        <v>834</v>
      </c>
      <c r="D1193" t="s">
        <v>1734</v>
      </c>
      <c r="E1193" t="str">
        <f>IFERROR(AVERAGEIFS(Upload_Indiv[Score6],Upload_Indiv[[Player]:[Player]],$A44,Upload_Indiv[[Side]:[Side]],"Raintree Back",Upload_Indiv[[Excl Score]:[Excl Score]],0),"")</f>
        <v/>
      </c>
    </row>
    <row r="1194" spans="1:5" x14ac:dyDescent="0.25">
      <c r="A1194" t="s">
        <v>724</v>
      </c>
      <c r="B1194" t="s">
        <v>360</v>
      </c>
      <c r="C1194" t="s">
        <v>834</v>
      </c>
      <c r="D1194" t="s">
        <v>1735</v>
      </c>
      <c r="E1194" t="str">
        <f>IFERROR(AVERAGEIFS(Upload_Indiv[Score6],Upload_Indiv[[Player]:[Player]],$A45,Upload_Indiv[[Side]:[Side]],"Raintree Front",Upload_Indiv[[Excl Score]:[Excl Score]],0),"")</f>
        <v/>
      </c>
    </row>
    <row r="1195" spans="1:5" x14ac:dyDescent="0.25">
      <c r="A1195" t="s">
        <v>724</v>
      </c>
      <c r="B1195" t="s">
        <v>360</v>
      </c>
      <c r="C1195" t="s">
        <v>834</v>
      </c>
      <c r="D1195" t="s">
        <v>1736</v>
      </c>
      <c r="E1195" t="str">
        <f>IFERROR(AVERAGEIFS(Upload_Indiv[Score6],Upload_Indiv[[Player]:[Player]],$A45,Upload_Indiv[[Side]:[Side]],"Raintree Back",Upload_Indiv[[Excl Score]:[Excl Score]],0),"")</f>
        <v/>
      </c>
    </row>
    <row r="1196" spans="1:5" x14ac:dyDescent="0.25">
      <c r="A1196" t="s">
        <v>724</v>
      </c>
      <c r="B1196" t="s">
        <v>360</v>
      </c>
      <c r="C1196" t="s">
        <v>834</v>
      </c>
      <c r="D1196" t="s">
        <v>1737</v>
      </c>
      <c r="E1196" t="str">
        <f>IFERROR(AVERAGEIFS(Upload_Indiv[Score6],Upload_Indiv[[Player]:[Player]],$A46,Upload_Indiv[[Side]:[Side]],"Raintree Front",Upload_Indiv[[Excl Score]:[Excl Score]],0),"")</f>
        <v/>
      </c>
    </row>
    <row r="1197" spans="1:5" x14ac:dyDescent="0.25">
      <c r="A1197" t="s">
        <v>724</v>
      </c>
      <c r="B1197" t="s">
        <v>360</v>
      </c>
      <c r="C1197" t="s">
        <v>834</v>
      </c>
      <c r="D1197" t="s">
        <v>1738</v>
      </c>
      <c r="E1197" t="str">
        <f>IFERROR(AVERAGEIFS(Upload_Indiv[Score6],Upload_Indiv[[Player]:[Player]],$A46,Upload_Indiv[[Side]:[Side]],"Raintree Back",Upload_Indiv[[Excl Score]:[Excl Score]],0),"")</f>
        <v/>
      </c>
    </row>
    <row r="1198" spans="1:5" x14ac:dyDescent="0.25">
      <c r="A1198" t="s">
        <v>724</v>
      </c>
      <c r="B1198" t="s">
        <v>360</v>
      </c>
      <c r="C1198" t="s">
        <v>834</v>
      </c>
      <c r="D1198" t="s">
        <v>1739</v>
      </c>
      <c r="E1198" t="str">
        <f>IFERROR(AVERAGEIFS(Upload_Indiv[Score6],Upload_Indiv[[Player]:[Player]],$A47,Upload_Indiv[[Side]:[Side]],"Raintree Front",Upload_Indiv[[Excl Score]:[Excl Score]],0),"")</f>
        <v/>
      </c>
    </row>
    <row r="1199" spans="1:5" x14ac:dyDescent="0.25">
      <c r="A1199" t="s">
        <v>724</v>
      </c>
      <c r="B1199" t="s">
        <v>360</v>
      </c>
      <c r="C1199" t="s">
        <v>834</v>
      </c>
      <c r="D1199" t="s">
        <v>1740</v>
      </c>
      <c r="E1199" t="str">
        <f>IFERROR(AVERAGEIFS(Upload_Indiv[Score6],Upload_Indiv[[Player]:[Player]],$A47,Upload_Indiv[[Side]:[Side]],"Raintree Back",Upload_Indiv[[Excl Score]:[Excl Score]],0),"")</f>
        <v/>
      </c>
    </row>
    <row r="1200" spans="1:5" x14ac:dyDescent="0.25">
      <c r="A1200" t="s">
        <v>724</v>
      </c>
      <c r="B1200" t="s">
        <v>360</v>
      </c>
      <c r="C1200" t="s">
        <v>834</v>
      </c>
      <c r="D1200" t="s">
        <v>1741</v>
      </c>
      <c r="E1200" t="str">
        <f>IFERROR(AVERAGEIFS(Upload_Indiv[Score6],Upload_Indiv[[Player]:[Player]],$A48,Upload_Indiv[[Side]:[Side]],"Raintree Front",Upload_Indiv[[Excl Score]:[Excl Score]],0),"")</f>
        <v/>
      </c>
    </row>
    <row r="1201" spans="1:5" x14ac:dyDescent="0.25">
      <c r="A1201" t="s">
        <v>724</v>
      </c>
      <c r="B1201" t="s">
        <v>360</v>
      </c>
      <c r="C1201" t="s">
        <v>834</v>
      </c>
      <c r="D1201" t="s">
        <v>1742</v>
      </c>
      <c r="E1201" t="str">
        <f>IFERROR(AVERAGEIFS(Upload_Indiv[Score6],Upload_Indiv[[Player]:[Player]],$A48,Upload_Indiv[[Side]:[Side]],"Raintree Back",Upload_Indiv[[Excl Score]:[Excl Score]],0),"")</f>
        <v/>
      </c>
    </row>
    <row r="1202" spans="1:5" x14ac:dyDescent="0.25">
      <c r="A1202" t="s">
        <v>724</v>
      </c>
      <c r="B1202" t="s">
        <v>360</v>
      </c>
      <c r="C1202" t="s">
        <v>834</v>
      </c>
      <c r="D1202" t="s">
        <v>1743</v>
      </c>
      <c r="E1202" t="str">
        <f>IFERROR(AVERAGEIFS(Upload_Indiv[Score6],Upload_Indiv[[Player]:[Player]],$A49,Upload_Indiv[[Side]:[Side]],"Raintree Front",Upload_Indiv[[Excl Score]:[Excl Score]],0),"")</f>
        <v/>
      </c>
    </row>
    <row r="1203" spans="1:5" x14ac:dyDescent="0.25">
      <c r="A1203" t="s">
        <v>724</v>
      </c>
      <c r="B1203" t="s">
        <v>360</v>
      </c>
      <c r="C1203" t="s">
        <v>834</v>
      </c>
      <c r="D1203" t="s">
        <v>1744</v>
      </c>
      <c r="E1203" t="str">
        <f>IFERROR(AVERAGEIFS(Upload_Indiv[Score6],Upload_Indiv[[Player]:[Player]],$A49,Upload_Indiv[[Side]:[Side]],"Raintree Back",Upload_Indiv[[Excl Score]:[Excl Score]],0),"")</f>
        <v/>
      </c>
    </row>
    <row r="1204" spans="1:5" x14ac:dyDescent="0.25">
      <c r="A1204" t="s">
        <v>724</v>
      </c>
      <c r="B1204" t="s">
        <v>360</v>
      </c>
      <c r="C1204" t="s">
        <v>834</v>
      </c>
      <c r="D1204" t="s">
        <v>1745</v>
      </c>
      <c r="E1204" t="str">
        <f>IFERROR(AVERAGEIFS(Upload_Indiv[Score6],Upload_Indiv[[Player]:[Player]],$A50,Upload_Indiv[[Side]:[Side]],"Raintree Front",Upload_Indiv[[Excl Score]:[Excl Score]],0),"")</f>
        <v/>
      </c>
    </row>
    <row r="1205" spans="1:5" x14ac:dyDescent="0.25">
      <c r="A1205" t="s">
        <v>724</v>
      </c>
      <c r="B1205" t="s">
        <v>360</v>
      </c>
      <c r="C1205" t="s">
        <v>834</v>
      </c>
      <c r="D1205" t="s">
        <v>1746</v>
      </c>
      <c r="E1205" t="str">
        <f>IFERROR(AVERAGEIFS(Upload_Indiv[Score6],Upload_Indiv[[Player]:[Player]],$A50,Upload_Indiv[[Side]:[Side]],"Raintree Back",Upload_Indiv[[Excl Score]:[Excl Score]],0),"")</f>
        <v/>
      </c>
    </row>
    <row r="1206" spans="1:5" x14ac:dyDescent="0.25">
      <c r="A1206" t="s">
        <v>724</v>
      </c>
      <c r="B1206" t="s">
        <v>360</v>
      </c>
      <c r="C1206" t="s">
        <v>834</v>
      </c>
      <c r="D1206" t="s">
        <v>1747</v>
      </c>
      <c r="E1206" t="str">
        <f>IFERROR(AVERAGEIFS(Upload_Indiv[Score6],Upload_Indiv[[Player]:[Player]],$A51,Upload_Indiv[[Side]:[Side]],"Raintree Front",Upload_Indiv[[Excl Score]:[Excl Score]],0),"")</f>
        <v/>
      </c>
    </row>
    <row r="1207" spans="1:5" x14ac:dyDescent="0.25">
      <c r="A1207" t="s">
        <v>724</v>
      </c>
      <c r="B1207" t="s">
        <v>360</v>
      </c>
      <c r="C1207" t="s">
        <v>834</v>
      </c>
      <c r="D1207" t="s">
        <v>1748</v>
      </c>
      <c r="E1207" t="str">
        <f>IFERROR(AVERAGEIFS(Upload_Indiv[Score6],Upload_Indiv[[Player]:[Player]],$A51,Upload_Indiv[[Side]:[Side]],"Raintree Back",Upload_Indiv[[Excl Score]:[Excl Score]],0),"")</f>
        <v/>
      </c>
    </row>
    <row r="1208" spans="1:5" x14ac:dyDescent="0.25">
      <c r="A1208" t="s">
        <v>724</v>
      </c>
      <c r="B1208" t="s">
        <v>360</v>
      </c>
      <c r="C1208" t="s">
        <v>834</v>
      </c>
      <c r="D1208" t="s">
        <v>1749</v>
      </c>
      <c r="E1208" t="str">
        <f>IFERROR(AVERAGEIFS(Upload_Indiv[Score6],Upload_Indiv[[Player]:[Player]],$A52,Upload_Indiv[[Side]:[Side]],"Raintree Front",Upload_Indiv[[Excl Score]:[Excl Score]],0),"")</f>
        <v/>
      </c>
    </row>
    <row r="1209" spans="1:5" x14ac:dyDescent="0.25">
      <c r="A1209" t="s">
        <v>724</v>
      </c>
      <c r="B1209" t="s">
        <v>360</v>
      </c>
      <c r="C1209" t="s">
        <v>834</v>
      </c>
      <c r="D1209" t="s">
        <v>1750</v>
      </c>
      <c r="E1209" t="str">
        <f>IFERROR(AVERAGEIFS(Upload_Indiv[Score6],Upload_Indiv[[Player]:[Player]],$A52,Upload_Indiv[[Side]:[Side]],"Raintree Back",Upload_Indiv[[Excl Score]:[Excl Score]],0),"")</f>
        <v/>
      </c>
    </row>
    <row r="1210" spans="1:5" x14ac:dyDescent="0.25">
      <c r="A1210" t="s">
        <v>724</v>
      </c>
      <c r="B1210" t="s">
        <v>360</v>
      </c>
      <c r="C1210" t="s">
        <v>834</v>
      </c>
      <c r="D1210" t="s">
        <v>1751</v>
      </c>
      <c r="E1210" t="str">
        <f>IFERROR(AVERAGEIFS(Upload_Indiv[Score6],Upload_Indiv[[Player]:[Player]],$A53,Upload_Indiv[[Side]:[Side]],"Raintree Front",Upload_Indiv[[Excl Score]:[Excl Score]],0),"")</f>
        <v/>
      </c>
    </row>
    <row r="1211" spans="1:5" x14ac:dyDescent="0.25">
      <c r="A1211" t="s">
        <v>724</v>
      </c>
      <c r="B1211" t="s">
        <v>360</v>
      </c>
      <c r="C1211" t="s">
        <v>834</v>
      </c>
      <c r="D1211" t="s">
        <v>1752</v>
      </c>
      <c r="E1211" t="str">
        <f>IFERROR(AVERAGEIFS(Upload_Indiv[Score6],Upload_Indiv[[Player]:[Player]],$A53,Upload_Indiv[[Side]:[Side]],"Raintree Back",Upload_Indiv[[Excl Score]:[Excl Score]],0),"")</f>
        <v/>
      </c>
    </row>
    <row r="1212" spans="1:5" x14ac:dyDescent="0.25">
      <c r="A1212" t="s">
        <v>724</v>
      </c>
      <c r="B1212" t="s">
        <v>360</v>
      </c>
      <c r="C1212" t="s">
        <v>834</v>
      </c>
      <c r="D1212" t="s">
        <v>1753</v>
      </c>
      <c r="E1212" t="str">
        <f>IFERROR(AVERAGEIFS(Upload_Indiv[Score6],Upload_Indiv[[Player]:[Player]],$A54,Upload_Indiv[[Side]:[Side]],"Raintree Front",Upload_Indiv[[Excl Score]:[Excl Score]],0),"")</f>
        <v/>
      </c>
    </row>
    <row r="1213" spans="1:5" x14ac:dyDescent="0.25">
      <c r="A1213" t="s">
        <v>724</v>
      </c>
      <c r="B1213" t="s">
        <v>360</v>
      </c>
      <c r="C1213" t="s">
        <v>834</v>
      </c>
      <c r="D1213" t="s">
        <v>1754</v>
      </c>
      <c r="E1213" t="str">
        <f>IFERROR(AVERAGEIFS(Upload_Indiv[Score6],Upload_Indiv[[Player]:[Player]],$A54,Upload_Indiv[[Side]:[Side]],"Raintree Back",Upload_Indiv[[Excl Score]:[Excl Score]],0),"")</f>
        <v/>
      </c>
    </row>
    <row r="1214" spans="1:5" x14ac:dyDescent="0.25">
      <c r="A1214" t="s">
        <v>724</v>
      </c>
      <c r="B1214" t="s">
        <v>361</v>
      </c>
      <c r="C1214" t="s">
        <v>725</v>
      </c>
      <c r="D1214" t="s">
        <v>1755</v>
      </c>
      <c r="E1214" t="str">
        <f>IFERROR(AVERAGEIFS(Upload_Indiv[Score7],Upload_Indiv[[Side]:[Side]],"Raintree Front")-IF(TRUNC(ROUND($B6,0)/9,0)=2,2+IF((ROUND($B6,0)-18)*2&gt;=I$2,1,0),IF(TRUNC(ROUND($B6,0)/9,0)=1,1+IF((ROUND($B6,0)-9)*2&gt;=I$2,1,0),IF(TRUNC(ROUND($B6,0)/9,0)=0,IF(TRUNC(ROUND($B6,0)/9,0)=0,0+IF((ROUND($B6,0))*2&gt;=I$2,1,0),"Not"))))-I$3,"")</f>
        <v/>
      </c>
    </row>
    <row r="1215" spans="1:5" x14ac:dyDescent="0.25">
      <c r="A1215" t="s">
        <v>724</v>
      </c>
      <c r="B1215" t="s">
        <v>361</v>
      </c>
      <c r="C1215" t="s">
        <v>725</v>
      </c>
      <c r="D1215" t="s">
        <v>1756</v>
      </c>
      <c r="E1215" t="str">
        <f>IFERROR(AVERAGEIFS(Upload_Indiv[Score7],Upload_Indiv[[Side]:[Side]],"Raintree Back")-IF(TRUNC(ROUND($B6,0)/9,0)=2,2+IF((ROUND($B6,0)-18)*2&gt;=S$2,1,0),IF(TRUNC(ROUND($B6,0)/9,0)=1,1+IF((ROUND($B6,0)-9)*2&gt;=S$2,1,0),IF(TRUNC(ROUND($B6,0)/9,0)=0,IF(TRUNC(ROUND($B6,0)/9,0)=0,0+IF((ROUND($B6,0))*2&gt;=S$2,1,0),"Not"))))-S$3,"")</f>
        <v/>
      </c>
    </row>
    <row r="1216" spans="1:5" x14ac:dyDescent="0.25">
      <c r="A1216" t="s">
        <v>724</v>
      </c>
      <c r="B1216" t="s">
        <v>361</v>
      </c>
      <c r="C1216" t="s">
        <v>725</v>
      </c>
      <c r="D1216" t="s">
        <v>1757</v>
      </c>
      <c r="E1216" t="str">
        <f>IFERROR(AVERAGEIFS(Upload_Indiv[Score7],Upload_Indiv[[Player]:[Player]],$A8,Upload_Indiv[[Side]:[Side]],"Raintree Front")-IF(TRUNC(ROUND($B8,0)/9,0)=2,2+IF((ROUND($B8,0)-18)*2&gt;=I$2,1,0),IF(TRUNC(ROUND($B8,0)/9,0)=1,1+IF((ROUND($B8,0)-9)*2&gt;=I$2,1,0),IF(TRUNC(ROUND($B8,0)/9,0)=0,IF(TRUNC(ROUND($B8,0)/9,0)=0,0+IF((ROUND($B8,0))*2&gt;=I$2,1,0),"Not"))))-I$3,"")</f>
        <v/>
      </c>
    </row>
    <row r="1217" spans="1:5" x14ac:dyDescent="0.25">
      <c r="A1217" t="s">
        <v>724</v>
      </c>
      <c r="B1217" t="s">
        <v>361</v>
      </c>
      <c r="C1217" t="s">
        <v>725</v>
      </c>
      <c r="D1217" t="s">
        <v>1758</v>
      </c>
      <c r="E1217" t="str">
        <f>IFERROR(AVERAGEIFS(Upload_Indiv[Score7],Upload_Indiv[[Player]:[Player]],$A8,Upload_Indiv[[Side]:[Side]],"Raintree Back")-IF(TRUNC(ROUND($B8,0)/9,0)=2,2+IF((ROUND($B8,0)-18)*2&gt;=S$2,1,0),IF(TRUNC(ROUND($B8,0)/9,0)=1,1+IF((ROUND($B8,0)-9)*2&gt;=S$2,1,0),IF(TRUNC(ROUND($B8,0)/9,0)=0,IF(TRUNC(ROUND($B8,0)/9,0)=0,0+IF((ROUND($B8,0))*2&gt;=S$2,1,0),"Not"))))-S$3,"")</f>
        <v/>
      </c>
    </row>
    <row r="1218" spans="1:5" x14ac:dyDescent="0.25">
      <c r="A1218" t="s">
        <v>724</v>
      </c>
      <c r="B1218" t="s">
        <v>361</v>
      </c>
      <c r="C1218" t="s">
        <v>725</v>
      </c>
      <c r="D1218" t="s">
        <v>1759</v>
      </c>
      <c r="E1218" t="str">
        <f>IFERROR(AVERAGEIFS(Upload_Indiv[Score7],Upload_Indiv[[Player]:[Player]],$A9,Upload_Indiv[[Side]:[Side]],"Raintree Front")-IF(TRUNC(ROUND($B9,0)/9,0)=2,2+IF((ROUND($B9,0)-18)*2&gt;=I$2,1,0),IF(TRUNC(ROUND($B9,0)/9,0)=1,1+IF((ROUND($B9,0)-9)*2&gt;=I$2,1,0),IF(TRUNC(ROUND($B9,0)/9,0)=0,IF(TRUNC(ROUND($B9,0)/9,0)=0,0+IF((ROUND($B9,0))*2&gt;=I$2,1,0),"Not"))))-I$3,"")</f>
        <v/>
      </c>
    </row>
    <row r="1219" spans="1:5" x14ac:dyDescent="0.25">
      <c r="A1219" t="s">
        <v>724</v>
      </c>
      <c r="B1219" t="s">
        <v>361</v>
      </c>
      <c r="C1219" t="s">
        <v>725</v>
      </c>
      <c r="D1219" t="s">
        <v>1663</v>
      </c>
      <c r="E1219" t="str">
        <f>IFERROR(AVERAGEIFS(Upload_Indiv[Score7],Upload_Indiv[[Player]:[Player]],$A9,Upload_Indiv[[Side]:[Side]],"Raintree Back")-IF(TRUNC(ROUND($B9,0)/9,0)=2,2+IF((ROUND($B9,0)-18)*2&gt;=S$2,1,0),IF(TRUNC(ROUND($B9,0)/9,0)=1,1+IF((ROUND($B9,0)-9)*2&gt;=S$2,1,0),IF(TRUNC(ROUND($B9,0)/9,0)=0,IF(TRUNC(ROUND($B9,0)/9,0)=0,0+IF((ROUND($B9,0))*2&gt;=S$2,1,0),"Not"))))-S$3,"")</f>
        <v/>
      </c>
    </row>
    <row r="1220" spans="1:5" x14ac:dyDescent="0.25">
      <c r="A1220" t="s">
        <v>724</v>
      </c>
      <c r="B1220" t="s">
        <v>361</v>
      </c>
      <c r="C1220" t="s">
        <v>725</v>
      </c>
      <c r="D1220" t="s">
        <v>1760</v>
      </c>
      <c r="E1220" t="str">
        <f>IFERROR(AVERAGEIFS(Upload_Indiv[Score7],Upload_Indiv[[Player]:[Player]],$A10,Upload_Indiv[[Side]:[Side]],"Raintree Front")-IF(TRUNC(ROUND($B10,0)/9,0)=2,2+IF((ROUND($B10,0)-18)*2&gt;=I$2,1,0),IF(TRUNC(ROUND($B10,0)/9,0)=1,1+IF((ROUND($B10,0)-9)*2&gt;=I$2,1,0),IF(TRUNC(ROUND($B10,0)/9,0)=0,IF(TRUNC(ROUND($B10,0)/9,0)=0,0+IF((ROUND($B10,0))*2&gt;=I$2,1,0),"Not"))))-I$3,"")</f>
        <v/>
      </c>
    </row>
    <row r="1221" spans="1:5" x14ac:dyDescent="0.25">
      <c r="A1221" t="s">
        <v>724</v>
      </c>
      <c r="B1221" t="s">
        <v>361</v>
      </c>
      <c r="C1221" t="s">
        <v>725</v>
      </c>
      <c r="D1221" t="s">
        <v>1665</v>
      </c>
      <c r="E1221" t="str">
        <f>IFERROR(AVERAGEIFS(Upload_Indiv[Score7],Upload_Indiv[[Player]:[Player]],$A10,Upload_Indiv[[Side]:[Side]],"Raintree Back")-IF(TRUNC(ROUND($B10,0)/9,0)=2,2+IF((ROUND($B10,0)-18)*2&gt;=S$2,1,0),IF(TRUNC(ROUND($B10,0)/9,0)=1,1+IF((ROUND($B10,0)-9)*2&gt;=S$2,1,0),IF(TRUNC(ROUND($B10,0)/9,0)=0,IF(TRUNC(ROUND($B10,0)/9,0)=0,0+IF((ROUND($B10,0))*2&gt;=S$2,1,0),"Not"))))-S$3,"")</f>
        <v/>
      </c>
    </row>
    <row r="1222" spans="1:5" x14ac:dyDescent="0.25">
      <c r="A1222" t="s">
        <v>724</v>
      </c>
      <c r="B1222" t="s">
        <v>361</v>
      </c>
      <c r="C1222" t="s">
        <v>725</v>
      </c>
      <c r="D1222" t="s">
        <v>1761</v>
      </c>
      <c r="E1222" t="str">
        <f>IFERROR(AVERAGEIFS(Upload_Indiv[Score7],Upload_Indiv[[Player]:[Player]],$A11,Upload_Indiv[[Side]:[Side]],"Raintree Front")-IF(TRUNC(ROUND($B11,0)/9,0)=2,2+IF((ROUND($B11,0)-18)*2&gt;=I$2,1,0),IF(TRUNC(ROUND($B11,0)/9,0)=1,1+IF((ROUND($B11,0)-9)*2&gt;=I$2,1,0),IF(TRUNC(ROUND($B11,0)/9,0)=0,IF(TRUNC(ROUND($B11,0)/9,0)=0,0+IF((ROUND($B11,0))*2&gt;=I$2,1,0),"Not"))))-I$3,"")</f>
        <v/>
      </c>
    </row>
    <row r="1223" spans="1:5" x14ac:dyDescent="0.25">
      <c r="A1223" t="s">
        <v>724</v>
      </c>
      <c r="B1223" t="s">
        <v>361</v>
      </c>
      <c r="C1223" t="s">
        <v>725</v>
      </c>
      <c r="D1223" t="s">
        <v>1667</v>
      </c>
      <c r="E1223" t="str">
        <f>IFERROR(AVERAGEIFS(Upload_Indiv[Score7],Upload_Indiv[[Player]:[Player]],$A11,Upload_Indiv[[Side]:[Side]],"Raintree Back")-IF(TRUNC(ROUND($B11,0)/9,0)=2,2+IF((ROUND($B11,0)-18)*2&gt;=S$2,1,0),IF(TRUNC(ROUND($B11,0)/9,0)=1,1+IF((ROUND($B11,0)-9)*2&gt;=S$2,1,0),IF(TRUNC(ROUND($B11,0)/9,0)=0,IF(TRUNC(ROUND($B11,0)/9,0)=0,0+IF((ROUND($B11,0))*2&gt;=S$2,1,0),"Not"))))-S$3,"")</f>
        <v/>
      </c>
    </row>
    <row r="1224" spans="1:5" x14ac:dyDescent="0.25">
      <c r="A1224" t="s">
        <v>724</v>
      </c>
      <c r="B1224" t="s">
        <v>361</v>
      </c>
      <c r="C1224" t="s">
        <v>725</v>
      </c>
      <c r="D1224" t="s">
        <v>1762</v>
      </c>
      <c r="E1224" t="str">
        <f>IFERROR(AVERAGEIFS(Upload_Indiv[Score7],Upload_Indiv[[Player]:[Player]],$A12,Upload_Indiv[[Side]:[Side]],"Raintree Front")-IF(TRUNC(ROUND($B12,0)/9,0)=2,2+IF((ROUND($B12,0)-18)*2&gt;=I$2,1,0),IF(TRUNC(ROUND($B12,0)/9,0)=1,1+IF((ROUND($B12,0)-9)*2&gt;=I$2,1,0),IF(TRUNC(ROUND($B12,0)/9,0)=0,IF(TRUNC(ROUND($B12,0)/9,0)=0,0+IF((ROUND($B12,0))*2&gt;=I$2,1,0),"Not"))))-I$3,"")</f>
        <v/>
      </c>
    </row>
    <row r="1225" spans="1:5" x14ac:dyDescent="0.25">
      <c r="A1225" t="s">
        <v>724</v>
      </c>
      <c r="B1225" t="s">
        <v>361</v>
      </c>
      <c r="C1225" t="s">
        <v>725</v>
      </c>
      <c r="D1225" t="s">
        <v>1669</v>
      </c>
      <c r="E1225" t="str">
        <f>IFERROR(AVERAGEIFS(Upload_Indiv[Score7],Upload_Indiv[[Player]:[Player]],$A12,Upload_Indiv[[Side]:[Side]],"Raintree Back")-IF(TRUNC(ROUND($B12,0)/9,0)=2,2+IF((ROUND($B12,0)-18)*2&gt;=S$2,1,0),IF(TRUNC(ROUND($B12,0)/9,0)=1,1+IF((ROUND($B12,0)-9)*2&gt;=S$2,1,0),IF(TRUNC(ROUND($B12,0)/9,0)=0,IF(TRUNC(ROUND($B12,0)/9,0)=0,0+IF((ROUND($B12,0))*2&gt;=S$2,1,0),"Not"))))-S$3,"")</f>
        <v/>
      </c>
    </row>
    <row r="1226" spans="1:5" x14ac:dyDescent="0.25">
      <c r="A1226" t="s">
        <v>724</v>
      </c>
      <c r="B1226" t="s">
        <v>361</v>
      </c>
      <c r="C1226" t="s">
        <v>725</v>
      </c>
      <c r="D1226" t="s">
        <v>1763</v>
      </c>
      <c r="E1226" t="str">
        <f>IFERROR(AVERAGEIFS(Upload_Indiv[Score7],Upload_Indiv[[Player]:[Player]],$A13,Upload_Indiv[[Side]:[Side]],"Raintree Front")-IF(TRUNC(ROUND($B13,0)/9,0)=2,2+IF((ROUND($B13,0)-18)*2&gt;=I$2,1,0),IF(TRUNC(ROUND($B13,0)/9,0)=1,1+IF((ROUND($B13,0)-9)*2&gt;=I$2,1,0),IF(TRUNC(ROUND($B13,0)/9,0)=0,IF(TRUNC(ROUND($B13,0)/9,0)=0,0+IF((ROUND($B13,0))*2&gt;=I$2,1,0),"Not"))))-I$3,"")</f>
        <v/>
      </c>
    </row>
    <row r="1227" spans="1:5" x14ac:dyDescent="0.25">
      <c r="A1227" t="s">
        <v>724</v>
      </c>
      <c r="B1227" t="s">
        <v>361</v>
      </c>
      <c r="C1227" t="s">
        <v>725</v>
      </c>
      <c r="D1227" t="s">
        <v>1671</v>
      </c>
      <c r="E1227" t="str">
        <f>IFERROR(AVERAGEIFS(Upload_Indiv[Score7],Upload_Indiv[[Player]:[Player]],$A13,Upload_Indiv[[Side]:[Side]],"Raintree Back")-IF(TRUNC(ROUND($B13,0)/9,0)=2,2+IF((ROUND($B13,0)-18)*2&gt;=S$2,1,0),IF(TRUNC(ROUND($B13,0)/9,0)=1,1+IF((ROUND($B13,0)-9)*2&gt;=S$2,1,0),IF(TRUNC(ROUND($B13,0)/9,0)=0,IF(TRUNC(ROUND($B13,0)/9,0)=0,0+IF((ROUND($B13,0))*2&gt;=S$2,1,0),"Not"))))-S$3,"")</f>
        <v/>
      </c>
    </row>
    <row r="1228" spans="1:5" x14ac:dyDescent="0.25">
      <c r="A1228" t="s">
        <v>724</v>
      </c>
      <c r="B1228" t="s">
        <v>361</v>
      </c>
      <c r="C1228" t="s">
        <v>725</v>
      </c>
      <c r="D1228" t="s">
        <v>1764</v>
      </c>
      <c r="E1228" t="str">
        <f>IFERROR(AVERAGEIFS(Upload_Indiv[Score7],Upload_Indiv[[Player]:[Player]],$A14,Upload_Indiv[[Side]:[Side]],"Raintree Front")-IF(TRUNC(ROUND($B14,0)/9,0)=2,2+IF((ROUND($B14,0)-18)*2&gt;=I$2,1,0),IF(TRUNC(ROUND($B14,0)/9,0)=1,1+IF((ROUND($B14,0)-9)*2&gt;=I$2,1,0),IF(TRUNC(ROUND($B14,0)/9,0)=0,IF(TRUNC(ROUND($B14,0)/9,0)=0,0+IF((ROUND($B14,0))*2&gt;=I$2,1,0),"Not"))))-I$3,"")</f>
        <v/>
      </c>
    </row>
    <row r="1229" spans="1:5" x14ac:dyDescent="0.25">
      <c r="A1229" t="s">
        <v>724</v>
      </c>
      <c r="B1229" t="s">
        <v>361</v>
      </c>
      <c r="C1229" t="s">
        <v>725</v>
      </c>
      <c r="D1229" t="s">
        <v>1673</v>
      </c>
      <c r="E1229" t="str">
        <f>IFERROR(AVERAGEIFS(Upload_Indiv[Score7],Upload_Indiv[[Player]:[Player]],$A14,Upload_Indiv[[Side]:[Side]],"Raintree Back")-IF(TRUNC(ROUND($B14,0)/9,0)=2,2+IF((ROUND($B14,0)-18)*2&gt;=S$2,1,0),IF(TRUNC(ROUND($B14,0)/9,0)=1,1+IF((ROUND($B14,0)-9)*2&gt;=S$2,1,0),IF(TRUNC(ROUND($B14,0)/9,0)=0,IF(TRUNC(ROUND($B14,0)/9,0)=0,0+IF((ROUND($B14,0))*2&gt;=S$2,1,0),"Not"))))-S$3,"")</f>
        <v/>
      </c>
    </row>
    <row r="1230" spans="1:5" x14ac:dyDescent="0.25">
      <c r="A1230" t="s">
        <v>724</v>
      </c>
      <c r="B1230" t="s">
        <v>361</v>
      </c>
      <c r="C1230" t="s">
        <v>725</v>
      </c>
      <c r="D1230" t="s">
        <v>1765</v>
      </c>
      <c r="E1230" t="str">
        <f>IFERROR(AVERAGEIFS(Upload_Indiv[Score7],Upload_Indiv[[Player]:[Player]],$A15,Upload_Indiv[[Side]:[Side]],"Raintree Front")-IF(TRUNC(ROUND($B15,0)/9,0)=2,2+IF((ROUND($B15,0)-18)*2&gt;=I$2,1,0),IF(TRUNC(ROUND($B15,0)/9,0)=1,1+IF((ROUND($B15,0)-9)*2&gt;=I$2,1,0),IF(TRUNC(ROUND($B15,0)/9,0)=0,IF(TRUNC(ROUND($B15,0)/9,0)=0,0+IF((ROUND($B15,0))*2&gt;=I$2,1,0),"Not"))))-I$3,"")</f>
        <v/>
      </c>
    </row>
    <row r="1231" spans="1:5" x14ac:dyDescent="0.25">
      <c r="A1231" t="s">
        <v>724</v>
      </c>
      <c r="B1231" t="s">
        <v>361</v>
      </c>
      <c r="C1231" t="s">
        <v>725</v>
      </c>
      <c r="D1231" t="s">
        <v>1675</v>
      </c>
      <c r="E1231" t="str">
        <f>IFERROR(AVERAGEIFS(Upload_Indiv[Score7],Upload_Indiv[[Player]:[Player]],$A15,Upload_Indiv[[Side]:[Side]],"Raintree Back")-IF(TRUNC(ROUND($B15,0)/9,0)=2,2+IF((ROUND($B15,0)-18)*2&gt;=S$2,1,0),IF(TRUNC(ROUND($B15,0)/9,0)=1,1+IF((ROUND($B15,0)-9)*2&gt;=S$2,1,0),IF(TRUNC(ROUND($B15,0)/9,0)=0,IF(TRUNC(ROUND($B15,0)/9,0)=0,0+IF((ROUND($B15,0))*2&gt;=S$2,1,0),"Not"))))-S$3,"")</f>
        <v/>
      </c>
    </row>
    <row r="1232" spans="1:5" x14ac:dyDescent="0.25">
      <c r="A1232" t="s">
        <v>724</v>
      </c>
      <c r="B1232" t="s">
        <v>361</v>
      </c>
      <c r="C1232" t="s">
        <v>725</v>
      </c>
      <c r="D1232" t="s">
        <v>1766</v>
      </c>
      <c r="E1232" t="str">
        <f>IFERROR(AVERAGEIFS(Upload_Indiv[Score7],Upload_Indiv[[Player]:[Player]],$A16,Upload_Indiv[[Side]:[Side]],"Raintree Front")-IF(TRUNC(ROUND($B16,0)/9,0)=2,2+IF((ROUND($B16,0)-18)*2&gt;=I$2,1,0),IF(TRUNC(ROUND($B16,0)/9,0)=1,1+IF((ROUND($B16,0)-9)*2&gt;=I$2,1,0),IF(TRUNC(ROUND($B16,0)/9,0)=0,IF(TRUNC(ROUND($B16,0)/9,0)=0,0+IF((ROUND($B16,0))*2&gt;=I$2,1,0),"Not"))))-I$3,"")</f>
        <v/>
      </c>
    </row>
    <row r="1233" spans="1:5" x14ac:dyDescent="0.25">
      <c r="A1233" t="s">
        <v>724</v>
      </c>
      <c r="B1233" t="s">
        <v>361</v>
      </c>
      <c r="C1233" t="s">
        <v>725</v>
      </c>
      <c r="D1233" t="s">
        <v>1677</v>
      </c>
      <c r="E1233" t="str">
        <f>IFERROR(AVERAGEIFS(Upload_Indiv[Score7],Upload_Indiv[[Player]:[Player]],$A16,Upload_Indiv[[Side]:[Side]],"Raintree Back")-IF(TRUNC(ROUND($B16,0)/9,0)=2,2+IF((ROUND($B16,0)-18)*2&gt;=S$2,1,0),IF(TRUNC(ROUND($B16,0)/9,0)=1,1+IF((ROUND($B16,0)-9)*2&gt;=S$2,1,0),IF(TRUNC(ROUND($B16,0)/9,0)=0,IF(TRUNC(ROUND($B16,0)/9,0)=0,0+IF((ROUND($B16,0))*2&gt;=S$2,1,0),"Not"))))-S$3,"")</f>
        <v/>
      </c>
    </row>
    <row r="1234" spans="1:5" x14ac:dyDescent="0.25">
      <c r="A1234" t="s">
        <v>724</v>
      </c>
      <c r="B1234" t="s">
        <v>361</v>
      </c>
      <c r="C1234" t="s">
        <v>725</v>
      </c>
      <c r="D1234" t="s">
        <v>1767</v>
      </c>
      <c r="E1234" t="str">
        <f>IFERROR(AVERAGEIFS(Upload_Indiv[Score7],Upload_Indiv[[Player]:[Player]],$A17,Upload_Indiv[[Side]:[Side]],"Raintree Front")-IF(TRUNC(ROUND($B17,0)/9,0)=2,2+IF((ROUND($B17,0)-18)*2&gt;=I$2,1,0),IF(TRUNC(ROUND($B17,0)/9,0)=1,1+IF((ROUND($B17,0)-9)*2&gt;=I$2,1,0),IF(TRUNC(ROUND($B17,0)/9,0)=0,IF(TRUNC(ROUND($B17,0)/9,0)=0,0+IF((ROUND($B17,0))*2&gt;=I$2,1,0),"Not"))))-I$3,"")</f>
        <v/>
      </c>
    </row>
    <row r="1235" spans="1:5" x14ac:dyDescent="0.25">
      <c r="A1235" t="s">
        <v>724</v>
      </c>
      <c r="B1235" t="s">
        <v>361</v>
      </c>
      <c r="C1235" t="s">
        <v>725</v>
      </c>
      <c r="D1235" t="s">
        <v>1679</v>
      </c>
      <c r="E1235" t="str">
        <f>IFERROR(AVERAGEIFS(Upload_Indiv[Score7],Upload_Indiv[[Player]:[Player]],$A17,Upload_Indiv[[Side]:[Side]],"Raintree Back")-IF(TRUNC(ROUND($B17,0)/9,0)=2,2+IF((ROUND($B17,0)-18)*2&gt;=S$2,1,0),IF(TRUNC(ROUND($B17,0)/9,0)=1,1+IF((ROUND($B17,0)-9)*2&gt;=S$2,1,0),IF(TRUNC(ROUND($B17,0)/9,0)=0,IF(TRUNC(ROUND($B17,0)/9,0)=0,0+IF((ROUND($B17,0))*2&gt;=S$2,1,0),"Not"))))-S$3,"")</f>
        <v/>
      </c>
    </row>
    <row r="1236" spans="1:5" x14ac:dyDescent="0.25">
      <c r="A1236" t="s">
        <v>724</v>
      </c>
      <c r="B1236" t="s">
        <v>361</v>
      </c>
      <c r="C1236" t="s">
        <v>725</v>
      </c>
      <c r="D1236" t="s">
        <v>1768</v>
      </c>
      <c r="E1236" t="str">
        <f>IFERROR(AVERAGEIFS(Upload_Indiv[Score7],Upload_Indiv[[Player]:[Player]],$A18,Upload_Indiv[[Side]:[Side]],"Raintree Front")-IF(TRUNC(ROUND($B18,0)/9,0)=2,2+IF((ROUND($B18,0)-18)*2&gt;=I$2,1,0),IF(TRUNC(ROUND($B18,0)/9,0)=1,1+IF((ROUND($B18,0)-9)*2&gt;=I$2,1,0),IF(TRUNC(ROUND($B18,0)/9,0)=0,IF(TRUNC(ROUND($B18,0)/9,0)=0,0+IF((ROUND($B18,0))*2&gt;=I$2,1,0),"Not"))))-I$3,"")</f>
        <v/>
      </c>
    </row>
    <row r="1237" spans="1:5" x14ac:dyDescent="0.25">
      <c r="A1237" t="s">
        <v>724</v>
      </c>
      <c r="B1237" t="s">
        <v>361</v>
      </c>
      <c r="C1237" t="s">
        <v>725</v>
      </c>
      <c r="D1237" t="s">
        <v>1681</v>
      </c>
      <c r="E1237" t="str">
        <f>IFERROR(AVERAGEIFS(Upload_Indiv[Score7],Upload_Indiv[[Player]:[Player]],$A18,Upload_Indiv[[Side]:[Side]],"Raintree Back")-IF(TRUNC(ROUND($B18,0)/9,0)=2,2+IF((ROUND($B18,0)-18)*2&gt;=S$2,1,0),IF(TRUNC(ROUND($B18,0)/9,0)=1,1+IF((ROUND($B18,0)-9)*2&gt;=S$2,1,0),IF(TRUNC(ROUND($B18,0)/9,0)=0,IF(TRUNC(ROUND($B18,0)/9,0)=0,0+IF((ROUND($B18,0))*2&gt;=S$2,1,0),"Not"))))-S$3,"")</f>
        <v/>
      </c>
    </row>
    <row r="1238" spans="1:5" x14ac:dyDescent="0.25">
      <c r="A1238" t="s">
        <v>724</v>
      </c>
      <c r="B1238" t="s">
        <v>361</v>
      </c>
      <c r="C1238" t="s">
        <v>725</v>
      </c>
      <c r="D1238" t="s">
        <v>1769</v>
      </c>
      <c r="E1238" t="str">
        <f>IFERROR(AVERAGEIFS(Upload_Indiv[Score7],Upload_Indiv[[Player]:[Player]],$A19,Upload_Indiv[[Side]:[Side]],"Raintree Front")-IF(TRUNC(ROUND($B19,0)/9,0)=2,2+IF((ROUND($B19,0)-18)*2&gt;=I$2,1,0),IF(TRUNC(ROUND($B19,0)/9,0)=1,1+IF((ROUND($B19,0)-9)*2&gt;=I$2,1,0),IF(TRUNC(ROUND($B19,0)/9,0)=0,IF(TRUNC(ROUND($B19,0)/9,0)=0,0+IF((ROUND($B19,0))*2&gt;=I$2,1,0),"Not"))))-I$3,"")</f>
        <v/>
      </c>
    </row>
    <row r="1239" spans="1:5" x14ac:dyDescent="0.25">
      <c r="A1239" t="s">
        <v>724</v>
      </c>
      <c r="B1239" t="s">
        <v>361</v>
      </c>
      <c r="C1239" t="s">
        <v>725</v>
      </c>
      <c r="D1239" t="s">
        <v>1683</v>
      </c>
      <c r="E1239" t="str">
        <f>IFERROR(AVERAGEIFS(Upload_Indiv[Score7],Upload_Indiv[[Player]:[Player]],$A19,Upload_Indiv[[Side]:[Side]],"Raintree Back")-IF(TRUNC(ROUND($B19,0)/9,0)=2,2+IF((ROUND($B19,0)-18)*2&gt;=S$2,1,0),IF(TRUNC(ROUND($B19,0)/9,0)=1,1+IF((ROUND($B19,0)-9)*2&gt;=S$2,1,0),IF(TRUNC(ROUND($B19,0)/9,0)=0,IF(TRUNC(ROUND($B19,0)/9,0)=0,0+IF((ROUND($B19,0))*2&gt;=S$2,1,0),"Not"))))-S$3,"")</f>
        <v/>
      </c>
    </row>
    <row r="1240" spans="1:5" x14ac:dyDescent="0.25">
      <c r="A1240" t="s">
        <v>724</v>
      </c>
      <c r="B1240" t="s">
        <v>361</v>
      </c>
      <c r="C1240" t="s">
        <v>725</v>
      </c>
      <c r="D1240" t="s">
        <v>1770</v>
      </c>
      <c r="E1240" t="str">
        <f>IFERROR(AVERAGEIFS(Upload_Indiv[Score7],Upload_Indiv[[Player]:[Player]],$A20,Upload_Indiv[[Side]:[Side]],"Raintree Front")-IF(TRUNC(ROUND($B20,0)/9,0)=2,2+IF((ROUND($B20,0)-18)*2&gt;=I$2,1,0),IF(TRUNC(ROUND($B20,0)/9,0)=1,1+IF((ROUND($B20,0)-9)*2&gt;=I$2,1,0),IF(TRUNC(ROUND($B20,0)/9,0)=0,IF(TRUNC(ROUND($B20,0)/9,0)=0,0+IF((ROUND($B20,0))*2&gt;=I$2,1,0),"Not"))))-I$3,"")</f>
        <v/>
      </c>
    </row>
    <row r="1241" spans="1:5" x14ac:dyDescent="0.25">
      <c r="A1241" t="s">
        <v>724</v>
      </c>
      <c r="B1241" t="s">
        <v>361</v>
      </c>
      <c r="C1241" t="s">
        <v>725</v>
      </c>
      <c r="D1241" t="s">
        <v>1685</v>
      </c>
      <c r="E1241" t="str">
        <f>IFERROR(AVERAGEIFS(Upload_Indiv[Score7],Upload_Indiv[[Player]:[Player]],$A20,Upload_Indiv[[Side]:[Side]],"Raintree Back")-IF(TRUNC(ROUND($B20,0)/9,0)=2,2+IF((ROUND($B20,0)-18)*2&gt;=S$2,1,0),IF(TRUNC(ROUND($B20,0)/9,0)=1,1+IF((ROUND($B20,0)-9)*2&gt;=S$2,1,0),IF(TRUNC(ROUND($B20,0)/9,0)=0,IF(TRUNC(ROUND($B20,0)/9,0)=0,0+IF((ROUND($B20,0))*2&gt;=S$2,1,0),"Not"))))-S$3,"")</f>
        <v/>
      </c>
    </row>
    <row r="1242" spans="1:5" x14ac:dyDescent="0.25">
      <c r="A1242" t="s">
        <v>724</v>
      </c>
      <c r="B1242" t="s">
        <v>361</v>
      </c>
      <c r="C1242" t="s">
        <v>725</v>
      </c>
      <c r="D1242" t="s">
        <v>1771</v>
      </c>
      <c r="E1242" t="str">
        <f>IFERROR(AVERAGEIFS(Upload_Indiv[Score7],Upload_Indiv[[Player]:[Player]],$A21,Upload_Indiv[[Side]:[Side]],"Raintree Front")-IF(TRUNC(ROUND($B21,0)/9,0)=2,2+IF((ROUND($B21,0)-18)*2&gt;=I$2,1,0),IF(TRUNC(ROUND($B21,0)/9,0)=1,1+IF((ROUND($B21,0)-9)*2&gt;=I$2,1,0),IF(TRUNC(ROUND($B21,0)/9,0)=0,IF(TRUNC(ROUND($B21,0)/9,0)=0,0+IF((ROUND($B21,0))*2&gt;=I$2,1,0),"Not"))))-I$3,"")</f>
        <v/>
      </c>
    </row>
    <row r="1243" spans="1:5" x14ac:dyDescent="0.25">
      <c r="A1243" t="s">
        <v>724</v>
      </c>
      <c r="B1243" t="s">
        <v>361</v>
      </c>
      <c r="C1243" t="s">
        <v>725</v>
      </c>
      <c r="D1243" t="s">
        <v>1687</v>
      </c>
      <c r="E1243" t="str">
        <f>IFERROR(AVERAGEIFS(Upload_Indiv[Score7],Upload_Indiv[[Player]:[Player]],$A21,Upload_Indiv[[Side]:[Side]],"Raintree Back")-IF(TRUNC(ROUND($B21,0)/9,0)=2,2+IF((ROUND($B21,0)-18)*2&gt;=S$2,1,0),IF(TRUNC(ROUND($B21,0)/9,0)=1,1+IF((ROUND($B21,0)-9)*2&gt;=S$2,1,0),IF(TRUNC(ROUND($B21,0)/9,0)=0,IF(TRUNC(ROUND($B21,0)/9,0)=0,0+IF((ROUND($B21,0))*2&gt;=S$2,1,0),"Not"))))-S$3,"")</f>
        <v/>
      </c>
    </row>
    <row r="1244" spans="1:5" x14ac:dyDescent="0.25">
      <c r="A1244" t="s">
        <v>724</v>
      </c>
      <c r="B1244" t="s">
        <v>361</v>
      </c>
      <c r="C1244" t="s">
        <v>725</v>
      </c>
      <c r="D1244" t="s">
        <v>1772</v>
      </c>
      <c r="E1244" t="str">
        <f>IFERROR(AVERAGEIFS(Upload_Indiv[Score7],Upload_Indiv[[Player]:[Player]],$A22,Upload_Indiv[[Side]:[Side]],"Raintree Front")-IF(TRUNC(ROUND($B22,0)/9,0)=2,2+IF((ROUND($B22,0)-18)*2&gt;=I$2,1,0),IF(TRUNC(ROUND($B22,0)/9,0)=1,1+IF((ROUND($B22,0)-9)*2&gt;=I$2,1,0),IF(TRUNC(ROUND($B22,0)/9,0)=0,IF(TRUNC(ROUND($B22,0)/9,0)=0,0+IF((ROUND($B22,0))*2&gt;=I$2,1,0),"Not"))))-I$3,"")</f>
        <v/>
      </c>
    </row>
    <row r="1245" spans="1:5" x14ac:dyDescent="0.25">
      <c r="A1245" t="s">
        <v>724</v>
      </c>
      <c r="B1245" t="s">
        <v>361</v>
      </c>
      <c r="C1245" t="s">
        <v>725</v>
      </c>
      <c r="D1245" t="s">
        <v>1689</v>
      </c>
      <c r="E1245" t="str">
        <f>IFERROR(AVERAGEIFS(Upload_Indiv[Score7],Upload_Indiv[[Player]:[Player]],$A22,Upload_Indiv[[Side]:[Side]],"Raintree Back")-IF(TRUNC(ROUND($B22,0)/9,0)=2,2+IF((ROUND($B22,0)-18)*2&gt;=S$2,1,0),IF(TRUNC(ROUND($B22,0)/9,0)=1,1+IF((ROUND($B22,0)-9)*2&gt;=S$2,1,0),IF(TRUNC(ROUND($B22,0)/9,0)=0,IF(TRUNC(ROUND($B22,0)/9,0)=0,0+IF((ROUND($B22,0))*2&gt;=S$2,1,0),"Not"))))-S$3,"")</f>
        <v/>
      </c>
    </row>
    <row r="1246" spans="1:5" x14ac:dyDescent="0.25">
      <c r="A1246" t="s">
        <v>724</v>
      </c>
      <c r="B1246" t="s">
        <v>361</v>
      </c>
      <c r="C1246" t="s">
        <v>725</v>
      </c>
      <c r="D1246" t="s">
        <v>1773</v>
      </c>
      <c r="E1246" t="str">
        <f>IFERROR(AVERAGEIFS(Upload_Indiv[Score7],Upload_Indiv[[Player]:[Player]],$A23,Upload_Indiv[[Side]:[Side]],"Raintree Front")-IF(TRUNC(ROUND($B23,0)/9,0)=2,2+IF((ROUND($B23,0)-18)*2&gt;=I$2,1,0),IF(TRUNC(ROUND($B23,0)/9,0)=1,1+IF((ROUND($B23,0)-9)*2&gt;=I$2,1,0),IF(TRUNC(ROUND($B23,0)/9,0)=0,IF(TRUNC(ROUND($B23,0)/9,0)=0,0+IF((ROUND($B23,0))*2&gt;=I$2,1,0),"Not"))))-I$3,"")</f>
        <v/>
      </c>
    </row>
    <row r="1247" spans="1:5" x14ac:dyDescent="0.25">
      <c r="A1247" t="s">
        <v>724</v>
      </c>
      <c r="B1247" t="s">
        <v>361</v>
      </c>
      <c r="C1247" t="s">
        <v>725</v>
      </c>
      <c r="D1247" t="s">
        <v>1691</v>
      </c>
      <c r="E1247" t="str">
        <f>IFERROR(AVERAGEIFS(Upload_Indiv[Score7],Upload_Indiv[[Player]:[Player]],$A23,Upload_Indiv[[Side]:[Side]],"Raintree Back")-IF(TRUNC(ROUND($B23,0)/9,0)=2,2+IF((ROUND($B23,0)-18)*2&gt;=S$2,1,0),IF(TRUNC(ROUND($B23,0)/9,0)=1,1+IF((ROUND($B23,0)-9)*2&gt;=S$2,1,0),IF(TRUNC(ROUND($B23,0)/9,0)=0,IF(TRUNC(ROUND($B23,0)/9,0)=0,0+IF((ROUND($B23,0))*2&gt;=S$2,1,0),"Not"))))-S$3,"")</f>
        <v/>
      </c>
    </row>
    <row r="1248" spans="1:5" x14ac:dyDescent="0.25">
      <c r="A1248" t="s">
        <v>724</v>
      </c>
      <c r="B1248" t="s">
        <v>361</v>
      </c>
      <c r="C1248" t="s">
        <v>725</v>
      </c>
      <c r="D1248" t="s">
        <v>1774</v>
      </c>
      <c r="E1248" t="str">
        <f>IFERROR(AVERAGEIFS(Upload_Indiv[Score7],Upload_Indiv[[Player]:[Player]],$A24,Upload_Indiv[[Side]:[Side]],"Raintree Front")-IF(TRUNC(ROUND($B24,0)/9,0)=2,2+IF((ROUND($B24,0)-18)*2&gt;=I$2,1,0),IF(TRUNC(ROUND($B24,0)/9,0)=1,1+IF((ROUND($B24,0)-9)*2&gt;=I$2,1,0),IF(TRUNC(ROUND($B24,0)/9,0)=0,IF(TRUNC(ROUND($B24,0)/9,0)=0,0+IF((ROUND($B24,0))*2&gt;=I$2,1,0),"Not"))))-I$3,"")</f>
        <v/>
      </c>
    </row>
    <row r="1249" spans="1:5" x14ac:dyDescent="0.25">
      <c r="A1249" t="s">
        <v>724</v>
      </c>
      <c r="B1249" t="s">
        <v>361</v>
      </c>
      <c r="C1249" t="s">
        <v>725</v>
      </c>
      <c r="D1249" t="s">
        <v>1693</v>
      </c>
      <c r="E1249" t="str">
        <f>IFERROR(AVERAGEIFS(Upload_Indiv[Score7],Upload_Indiv[[Player]:[Player]],$A24,Upload_Indiv[[Side]:[Side]],"Raintree Back")-IF(TRUNC(ROUND($B24,0)/9,0)=2,2+IF((ROUND($B24,0)-18)*2&gt;=S$2,1,0),IF(TRUNC(ROUND($B24,0)/9,0)=1,1+IF((ROUND($B24,0)-9)*2&gt;=S$2,1,0),IF(TRUNC(ROUND($B24,0)/9,0)=0,IF(TRUNC(ROUND($B24,0)/9,0)=0,0+IF((ROUND($B24,0))*2&gt;=S$2,1,0),"Not"))))-S$3,"")</f>
        <v/>
      </c>
    </row>
    <row r="1250" spans="1:5" x14ac:dyDescent="0.25">
      <c r="A1250" t="s">
        <v>724</v>
      </c>
      <c r="B1250" t="s">
        <v>361</v>
      </c>
      <c r="C1250" t="s">
        <v>725</v>
      </c>
      <c r="D1250" t="s">
        <v>1775</v>
      </c>
      <c r="E1250" t="str">
        <f>IFERROR(AVERAGEIFS(Upload_Indiv[Score7],Upload_Indiv[[Player]:[Player]],$A25,Upload_Indiv[[Side]:[Side]],"Raintree Front")-IF(TRUNC(ROUND($B25,0)/9,0)=2,2+IF((ROUND($B25,0)-18)*2&gt;=I$2,1,0),IF(TRUNC(ROUND($B25,0)/9,0)=1,1+IF((ROUND($B25,0)-9)*2&gt;=I$2,1,0),IF(TRUNC(ROUND($B25,0)/9,0)=0,IF(TRUNC(ROUND($B25,0)/9,0)=0,0+IF((ROUND($B25,0))*2&gt;=I$2,1,0),"Not"))))-I$3,"")</f>
        <v/>
      </c>
    </row>
    <row r="1251" spans="1:5" x14ac:dyDescent="0.25">
      <c r="A1251" t="s">
        <v>724</v>
      </c>
      <c r="B1251" t="s">
        <v>361</v>
      </c>
      <c r="C1251" t="s">
        <v>725</v>
      </c>
      <c r="D1251" t="s">
        <v>1695</v>
      </c>
      <c r="E1251" t="str">
        <f>IFERROR(AVERAGEIFS(Upload_Indiv[Score7],Upload_Indiv[[Player]:[Player]],$A25,Upload_Indiv[[Side]:[Side]],"Raintree Back")-IF(TRUNC(ROUND($B25,0)/9,0)=2,2+IF((ROUND($B25,0)-18)*2&gt;=S$2,1,0),IF(TRUNC(ROUND($B25,0)/9,0)=1,1+IF((ROUND($B25,0)-9)*2&gt;=S$2,1,0),IF(TRUNC(ROUND($B25,0)/9,0)=0,IF(TRUNC(ROUND($B25,0)/9,0)=0,0+IF((ROUND($B25,0))*2&gt;=S$2,1,0),"Not"))))-S$3,"")</f>
        <v/>
      </c>
    </row>
    <row r="1252" spans="1:5" x14ac:dyDescent="0.25">
      <c r="A1252" t="s">
        <v>724</v>
      </c>
      <c r="B1252" t="s">
        <v>361</v>
      </c>
      <c r="C1252" t="s">
        <v>725</v>
      </c>
      <c r="D1252" t="s">
        <v>1776</v>
      </c>
      <c r="E1252" t="str">
        <f>IFERROR(AVERAGEIFS(Upload_Indiv[Score7],Upload_Indiv[[Player]:[Player]],$A26,Upload_Indiv[[Side]:[Side]],"Raintree Front")-IF(TRUNC(ROUND($B26,0)/9,0)=2,2+IF((ROUND($B26,0)-18)*2&gt;=I$2,1,0),IF(TRUNC(ROUND($B26,0)/9,0)=1,1+IF((ROUND($B26,0)-9)*2&gt;=I$2,1,0),IF(TRUNC(ROUND($B26,0)/9,0)=0,IF(TRUNC(ROUND($B26,0)/9,0)=0,0+IF((ROUND($B26,0))*2&gt;=I$2,1,0),"Not"))))-I$3,"")</f>
        <v/>
      </c>
    </row>
    <row r="1253" spans="1:5" x14ac:dyDescent="0.25">
      <c r="A1253" t="s">
        <v>724</v>
      </c>
      <c r="B1253" t="s">
        <v>361</v>
      </c>
      <c r="C1253" t="s">
        <v>725</v>
      </c>
      <c r="D1253" t="s">
        <v>1697</v>
      </c>
      <c r="E1253" t="str">
        <f>IFERROR(AVERAGEIFS(Upload_Indiv[Score7],Upload_Indiv[[Player]:[Player]],$A26,Upload_Indiv[[Side]:[Side]],"Raintree Back")-IF(TRUNC(ROUND($B26,0)/9,0)=2,2+IF((ROUND($B26,0)-18)*2&gt;=S$2,1,0),IF(TRUNC(ROUND($B26,0)/9,0)=1,1+IF((ROUND($B26,0)-9)*2&gt;=S$2,1,0),IF(TRUNC(ROUND($B26,0)/9,0)=0,IF(TRUNC(ROUND($B26,0)/9,0)=0,0+IF((ROUND($B26,0))*2&gt;=S$2,1,0),"Not"))))-S$3,"")</f>
        <v/>
      </c>
    </row>
    <row r="1254" spans="1:5" x14ac:dyDescent="0.25">
      <c r="A1254" t="s">
        <v>724</v>
      </c>
      <c r="B1254" t="s">
        <v>361</v>
      </c>
      <c r="C1254" t="s">
        <v>725</v>
      </c>
      <c r="D1254" t="s">
        <v>1777</v>
      </c>
      <c r="E1254" t="str">
        <f>IFERROR(AVERAGEIFS(Upload_Indiv[Score7],Upload_Indiv[[Player]:[Player]],$A27,Upload_Indiv[[Side]:[Side]],"Raintree Front")-IF(TRUNC(ROUND($B27,0)/9,0)=2,2+IF((ROUND($B27,0)-18)*2&gt;=I$2,1,0),IF(TRUNC(ROUND($B27,0)/9,0)=1,1+IF((ROUND($B27,0)-9)*2&gt;=I$2,1,0),IF(TRUNC(ROUND($B27,0)/9,0)=0,IF(TRUNC(ROUND($B27,0)/9,0)=0,0+IF((ROUND($B27,0))*2&gt;=I$2,1,0),"Not"))))-I$3,"")</f>
        <v/>
      </c>
    </row>
    <row r="1255" spans="1:5" x14ac:dyDescent="0.25">
      <c r="A1255" t="s">
        <v>724</v>
      </c>
      <c r="B1255" t="s">
        <v>361</v>
      </c>
      <c r="C1255" t="s">
        <v>725</v>
      </c>
      <c r="D1255" t="s">
        <v>1699</v>
      </c>
      <c r="E1255" t="str">
        <f>IFERROR(AVERAGEIFS(Upload_Indiv[Score7],Upload_Indiv[[Player]:[Player]],$A27,Upload_Indiv[[Side]:[Side]],"Raintree Back")-IF(TRUNC(ROUND($B27,0)/9,0)=2,2+IF((ROUND($B27,0)-18)*2&gt;=S$2,1,0),IF(TRUNC(ROUND($B27,0)/9,0)=1,1+IF((ROUND($B27,0)-9)*2&gt;=S$2,1,0),IF(TRUNC(ROUND($B27,0)/9,0)=0,IF(TRUNC(ROUND($B27,0)/9,0)=0,0+IF((ROUND($B27,0))*2&gt;=S$2,1,0),"Not"))))-S$3,"")</f>
        <v/>
      </c>
    </row>
    <row r="1256" spans="1:5" x14ac:dyDescent="0.25">
      <c r="A1256" t="s">
        <v>724</v>
      </c>
      <c r="B1256" t="s">
        <v>361</v>
      </c>
      <c r="C1256" t="s">
        <v>725</v>
      </c>
      <c r="D1256" t="s">
        <v>1778</v>
      </c>
      <c r="E1256" t="str">
        <f>IFERROR(AVERAGEIFS(Upload_Indiv[Score7],Upload_Indiv[[Player]:[Player]],$A28,Upload_Indiv[[Side]:[Side]],"Raintree Front")-IF(TRUNC(ROUND($B28,0)/9,0)=2,2+IF((ROUND($B28,0)-18)*2&gt;=I$2,1,0),IF(TRUNC(ROUND($B28,0)/9,0)=1,1+IF((ROUND($B28,0)-9)*2&gt;=I$2,1,0),IF(TRUNC(ROUND($B28,0)/9,0)=0,IF(TRUNC(ROUND($B28,0)/9,0)=0,0+IF((ROUND($B28,0))*2&gt;=I$2,1,0),"Not"))))-I$3,"")</f>
        <v/>
      </c>
    </row>
    <row r="1257" spans="1:5" x14ac:dyDescent="0.25">
      <c r="A1257" t="s">
        <v>724</v>
      </c>
      <c r="B1257" t="s">
        <v>361</v>
      </c>
      <c r="C1257" t="s">
        <v>725</v>
      </c>
      <c r="D1257" t="s">
        <v>1701</v>
      </c>
      <c r="E1257" t="str">
        <f>IFERROR(AVERAGEIFS(Upload_Indiv[Score7],Upload_Indiv[[Player]:[Player]],$A28,Upload_Indiv[[Side]:[Side]],"Raintree Back")-IF(TRUNC(ROUND($B28,0)/9,0)=2,2+IF((ROUND($B28,0)-18)*2&gt;=S$2,1,0),IF(TRUNC(ROUND($B28,0)/9,0)=1,1+IF((ROUND($B28,0)-9)*2&gt;=S$2,1,0),IF(TRUNC(ROUND($B28,0)/9,0)=0,IF(TRUNC(ROUND($B28,0)/9,0)=0,0+IF((ROUND($B28,0))*2&gt;=S$2,1,0),"Not"))))-S$3,"")</f>
        <v/>
      </c>
    </row>
    <row r="1258" spans="1:5" x14ac:dyDescent="0.25">
      <c r="A1258" t="s">
        <v>724</v>
      </c>
      <c r="B1258" t="s">
        <v>361</v>
      </c>
      <c r="C1258" t="s">
        <v>725</v>
      </c>
      <c r="D1258" t="s">
        <v>1779</v>
      </c>
      <c r="E1258" t="str">
        <f>IFERROR(AVERAGEIFS(Upload_Indiv[Score7],Upload_Indiv[[Player]:[Player]],$A29,Upload_Indiv[[Side]:[Side]],"Raintree Front")-IF(TRUNC(ROUND($B29,0)/9,0)=2,2+IF((ROUND($B29,0)-18)*2&gt;=I$2,1,0),IF(TRUNC(ROUND($B29,0)/9,0)=1,1+IF((ROUND($B29,0)-9)*2&gt;=I$2,1,0),IF(TRUNC(ROUND($B29,0)/9,0)=0,IF(TRUNC(ROUND($B29,0)/9,0)=0,0+IF((ROUND($B29,0))*2&gt;=I$2,1,0),"Not"))))-I$3,"")</f>
        <v/>
      </c>
    </row>
    <row r="1259" spans="1:5" x14ac:dyDescent="0.25">
      <c r="A1259" t="s">
        <v>724</v>
      </c>
      <c r="B1259" t="s">
        <v>361</v>
      </c>
      <c r="C1259" t="s">
        <v>725</v>
      </c>
      <c r="D1259" t="s">
        <v>1703</v>
      </c>
      <c r="E1259" t="str">
        <f>IFERROR(AVERAGEIFS(Upload_Indiv[Score7],Upload_Indiv[[Player]:[Player]],$A29,Upload_Indiv[[Side]:[Side]],"Raintree Back")-IF(TRUNC(ROUND($B29,0)/9,0)=2,2+IF((ROUND($B29,0)-18)*2&gt;=S$2,1,0),IF(TRUNC(ROUND($B29,0)/9,0)=1,1+IF((ROUND($B29,0)-9)*2&gt;=S$2,1,0),IF(TRUNC(ROUND($B29,0)/9,0)=0,IF(TRUNC(ROUND($B29,0)/9,0)=0,0+IF((ROUND($B29,0))*2&gt;=S$2,1,0),"Not"))))-S$3,"")</f>
        <v/>
      </c>
    </row>
    <row r="1260" spans="1:5" x14ac:dyDescent="0.25">
      <c r="A1260" t="s">
        <v>724</v>
      </c>
      <c r="B1260" t="s">
        <v>361</v>
      </c>
      <c r="C1260" t="s">
        <v>725</v>
      </c>
      <c r="D1260" t="s">
        <v>1780</v>
      </c>
      <c r="E1260" t="str">
        <f>IFERROR(AVERAGEIFS(Upload_Indiv[Score7],Upload_Indiv[[Player]:[Player]],$A30,Upload_Indiv[[Side]:[Side]],"Raintree Front")-IF(TRUNC(ROUND($B30,0)/9,0)=2,2+IF((ROUND($B30,0)-18)*2&gt;=I$2,1,0),IF(TRUNC(ROUND($B30,0)/9,0)=1,1+IF((ROUND($B30,0)-9)*2&gt;=I$2,1,0),IF(TRUNC(ROUND($B30,0)/9,0)=0,IF(TRUNC(ROUND($B30,0)/9,0)=0,0+IF((ROUND($B30,0))*2&gt;=I$2,1,0),"Not"))))-I$3,"")</f>
        <v/>
      </c>
    </row>
    <row r="1261" spans="1:5" x14ac:dyDescent="0.25">
      <c r="A1261" t="s">
        <v>724</v>
      </c>
      <c r="B1261" t="s">
        <v>361</v>
      </c>
      <c r="C1261" t="s">
        <v>725</v>
      </c>
      <c r="D1261" t="s">
        <v>1705</v>
      </c>
      <c r="E1261" t="str">
        <f>IFERROR(AVERAGEIFS(Upload_Indiv[Score7],Upload_Indiv[[Player]:[Player]],$A30,Upload_Indiv[[Side]:[Side]],"Raintree Back")-IF(TRUNC(ROUND($B30,0)/9,0)=2,2+IF((ROUND($B30,0)-18)*2&gt;=S$2,1,0),IF(TRUNC(ROUND($B30,0)/9,0)=1,1+IF((ROUND($B30,0)-9)*2&gt;=S$2,1,0),IF(TRUNC(ROUND($B30,0)/9,0)=0,IF(TRUNC(ROUND($B30,0)/9,0)=0,0+IF((ROUND($B30,0))*2&gt;=S$2,1,0),"Not"))))-S$3,"")</f>
        <v/>
      </c>
    </row>
    <row r="1262" spans="1:5" x14ac:dyDescent="0.25">
      <c r="A1262" t="s">
        <v>724</v>
      </c>
      <c r="B1262" t="s">
        <v>361</v>
      </c>
      <c r="C1262" t="s">
        <v>725</v>
      </c>
      <c r="D1262" t="s">
        <v>1781</v>
      </c>
      <c r="E1262" t="str">
        <f>IFERROR(AVERAGEIFS(Upload_Indiv[Score7],Upload_Indiv[[Player]:[Player]],$A31,Upload_Indiv[[Side]:[Side]],"Raintree Front")-IF(TRUNC(ROUND($B31,0)/9,0)=2,2+IF((ROUND($B31,0)-18)*2&gt;=I$2,1,0),IF(TRUNC(ROUND($B31,0)/9,0)=1,1+IF((ROUND($B31,0)-9)*2&gt;=I$2,1,0),IF(TRUNC(ROUND($B31,0)/9,0)=0,IF(TRUNC(ROUND($B31,0)/9,0)=0,0+IF((ROUND($B31,0))*2&gt;=I$2,1,0),"Not"))))-I$3,"")</f>
        <v/>
      </c>
    </row>
    <row r="1263" spans="1:5" x14ac:dyDescent="0.25">
      <c r="A1263" t="s">
        <v>724</v>
      </c>
      <c r="B1263" t="s">
        <v>361</v>
      </c>
      <c r="C1263" t="s">
        <v>725</v>
      </c>
      <c r="D1263" t="s">
        <v>1707</v>
      </c>
      <c r="E1263" t="str">
        <f>IFERROR(AVERAGEIFS(Upload_Indiv[Score7],Upload_Indiv[[Player]:[Player]],$A31,Upload_Indiv[[Side]:[Side]],"Raintree Back")-IF(TRUNC(ROUND($B31,0)/9,0)=2,2+IF((ROUND($B31,0)-18)*2&gt;=S$2,1,0),IF(TRUNC(ROUND($B31,0)/9,0)=1,1+IF((ROUND($B31,0)-9)*2&gt;=S$2,1,0),IF(TRUNC(ROUND($B31,0)/9,0)=0,IF(TRUNC(ROUND($B31,0)/9,0)=0,0+IF((ROUND($B31,0))*2&gt;=S$2,1,0),"Not"))))-S$3,"")</f>
        <v/>
      </c>
    </row>
    <row r="1264" spans="1:5" x14ac:dyDescent="0.25">
      <c r="A1264" t="s">
        <v>724</v>
      </c>
      <c r="B1264" t="s">
        <v>361</v>
      </c>
      <c r="C1264" t="s">
        <v>725</v>
      </c>
      <c r="D1264" t="s">
        <v>1782</v>
      </c>
      <c r="E1264" t="str">
        <f>IFERROR(AVERAGEIFS(Upload_Indiv[Score7],Upload_Indiv[[Player]:[Player]],$A32,Upload_Indiv[[Side]:[Side]],"Raintree Front")-IF(TRUNC(ROUND($B32,0)/9,0)=2,2+IF((ROUND($B32,0)-18)*2&gt;=I$2,1,0),IF(TRUNC(ROUND($B32,0)/9,0)=1,1+IF((ROUND($B32,0)-9)*2&gt;=I$2,1,0),IF(TRUNC(ROUND($B32,0)/9,0)=0,IF(TRUNC(ROUND($B32,0)/9,0)=0,0+IF((ROUND($B32,0))*2&gt;=I$2,1,0),"Not"))))-I$3,"")</f>
        <v/>
      </c>
    </row>
    <row r="1265" spans="1:5" x14ac:dyDescent="0.25">
      <c r="A1265" t="s">
        <v>724</v>
      </c>
      <c r="B1265" t="s">
        <v>361</v>
      </c>
      <c r="C1265" t="s">
        <v>725</v>
      </c>
      <c r="D1265" t="s">
        <v>1709</v>
      </c>
      <c r="E1265" t="str">
        <f>IFERROR(AVERAGEIFS(Upload_Indiv[Score7],Upload_Indiv[[Player]:[Player]],$A32,Upload_Indiv[[Side]:[Side]],"Raintree Back")-IF(TRUNC(ROUND($B32,0)/9,0)=2,2+IF((ROUND($B32,0)-18)*2&gt;=S$2,1,0),IF(TRUNC(ROUND($B32,0)/9,0)=1,1+IF((ROUND($B32,0)-9)*2&gt;=S$2,1,0),IF(TRUNC(ROUND($B32,0)/9,0)=0,IF(TRUNC(ROUND($B32,0)/9,0)=0,0+IF((ROUND($B32,0))*2&gt;=S$2,1,0),"Not"))))-S$3,"")</f>
        <v/>
      </c>
    </row>
    <row r="1266" spans="1:5" x14ac:dyDescent="0.25">
      <c r="A1266" t="s">
        <v>724</v>
      </c>
      <c r="B1266" t="s">
        <v>361</v>
      </c>
      <c r="C1266" t="s">
        <v>725</v>
      </c>
      <c r="D1266" t="s">
        <v>1783</v>
      </c>
      <c r="E1266" t="str">
        <f>IFERROR(AVERAGEIFS(Upload_Indiv[Score7],Upload_Indiv[[Player]:[Player]],$A33,Upload_Indiv[[Side]:[Side]],"Raintree Front")-IF(TRUNC(ROUND($B33,0)/9,0)=2,2+IF((ROUND($B33,0)-18)*2&gt;=I$2,1,0),IF(TRUNC(ROUND($B33,0)/9,0)=1,1+IF((ROUND($B33,0)-9)*2&gt;=I$2,1,0),IF(TRUNC(ROUND($B33,0)/9,0)=0,IF(TRUNC(ROUND($B33,0)/9,0)=0,0+IF((ROUND($B33,0))*2&gt;=I$2,1,0),"Not"))))-I$3,"")</f>
        <v/>
      </c>
    </row>
    <row r="1267" spans="1:5" x14ac:dyDescent="0.25">
      <c r="A1267" t="s">
        <v>724</v>
      </c>
      <c r="B1267" t="s">
        <v>361</v>
      </c>
      <c r="C1267" t="s">
        <v>725</v>
      </c>
      <c r="D1267" t="s">
        <v>1711</v>
      </c>
      <c r="E1267" t="str">
        <f>IFERROR(AVERAGEIFS(Upload_Indiv[Score7],Upload_Indiv[[Player]:[Player]],$A33,Upload_Indiv[[Side]:[Side]],"Raintree Back")-IF(TRUNC(ROUND($B33,0)/9,0)=2,2+IF((ROUND($B33,0)-18)*2&gt;=S$2,1,0),IF(TRUNC(ROUND($B33,0)/9,0)=1,1+IF((ROUND($B33,0)-9)*2&gt;=S$2,1,0),IF(TRUNC(ROUND($B33,0)/9,0)=0,IF(TRUNC(ROUND($B33,0)/9,0)=0,0+IF((ROUND($B33,0))*2&gt;=S$2,1,0),"Not"))))-S$3,"")</f>
        <v/>
      </c>
    </row>
    <row r="1268" spans="1:5" x14ac:dyDescent="0.25">
      <c r="A1268" t="s">
        <v>724</v>
      </c>
      <c r="B1268" t="s">
        <v>361</v>
      </c>
      <c r="C1268" t="s">
        <v>725</v>
      </c>
      <c r="D1268" t="s">
        <v>1784</v>
      </c>
      <c r="E1268" t="str">
        <f>IFERROR(AVERAGEIFS(Upload_Indiv[Score7],Upload_Indiv[[Player]:[Player]],$A34,Upload_Indiv[[Side]:[Side]],"Raintree Front")-IF(TRUNC(ROUND($B34,0)/9,0)=2,2+IF((ROUND($B34,0)-18)*2&gt;=I$2,1,0),IF(TRUNC(ROUND($B34,0)/9,0)=1,1+IF((ROUND($B34,0)-9)*2&gt;=I$2,1,0),IF(TRUNC(ROUND($B34,0)/9,0)=0,IF(TRUNC(ROUND($B34,0)/9,0)=0,0+IF((ROUND($B34,0))*2&gt;=I$2,1,0),"Not"))))-I$3,"")</f>
        <v/>
      </c>
    </row>
    <row r="1269" spans="1:5" x14ac:dyDescent="0.25">
      <c r="A1269" t="s">
        <v>724</v>
      </c>
      <c r="B1269" t="s">
        <v>361</v>
      </c>
      <c r="C1269" t="s">
        <v>725</v>
      </c>
      <c r="D1269" t="s">
        <v>1713</v>
      </c>
      <c r="E1269" t="str">
        <f>IFERROR(AVERAGEIFS(Upload_Indiv[Score7],Upload_Indiv[[Player]:[Player]],$A34,Upload_Indiv[[Side]:[Side]],"Raintree Back")-IF(TRUNC(ROUND($B34,0)/9,0)=2,2+IF((ROUND($B34,0)-18)*2&gt;=S$2,1,0),IF(TRUNC(ROUND($B34,0)/9,0)=1,1+IF((ROUND($B34,0)-9)*2&gt;=S$2,1,0),IF(TRUNC(ROUND($B34,0)/9,0)=0,IF(TRUNC(ROUND($B34,0)/9,0)=0,0+IF((ROUND($B34,0))*2&gt;=S$2,1,0),"Not"))))-S$3,"")</f>
        <v/>
      </c>
    </row>
    <row r="1270" spans="1:5" x14ac:dyDescent="0.25">
      <c r="A1270" t="s">
        <v>724</v>
      </c>
      <c r="B1270" t="s">
        <v>361</v>
      </c>
      <c r="C1270" t="s">
        <v>725</v>
      </c>
      <c r="D1270" t="s">
        <v>1785</v>
      </c>
      <c r="E1270" t="str">
        <f>IFERROR(AVERAGEIFS(Upload_Indiv[Score7],Upload_Indiv[[Player]:[Player]],$A35,Upload_Indiv[[Side]:[Side]],"Raintree Front")-IF(TRUNC(ROUND($B35,0)/9,0)=2,2+IF((ROUND($B35,0)-18)*2&gt;=I$2,1,0),IF(TRUNC(ROUND($B35,0)/9,0)=1,1+IF((ROUND($B35,0)-9)*2&gt;=I$2,1,0),IF(TRUNC(ROUND($B35,0)/9,0)=0,IF(TRUNC(ROUND($B35,0)/9,0)=0,0+IF((ROUND($B35,0))*2&gt;=I$2,1,0),"Not"))))-I$3,"")</f>
        <v/>
      </c>
    </row>
    <row r="1271" spans="1:5" x14ac:dyDescent="0.25">
      <c r="A1271" t="s">
        <v>724</v>
      </c>
      <c r="B1271" t="s">
        <v>361</v>
      </c>
      <c r="C1271" t="s">
        <v>725</v>
      </c>
      <c r="D1271" t="s">
        <v>1715</v>
      </c>
      <c r="E1271" t="str">
        <f>IFERROR(AVERAGEIFS(Upload_Indiv[Score7],Upload_Indiv[[Player]:[Player]],$A35,Upload_Indiv[[Side]:[Side]],"Raintree Back")-IF(TRUNC(ROUND($B35,0)/9,0)=2,2+IF((ROUND($B35,0)-18)*2&gt;=S$2,1,0),IF(TRUNC(ROUND($B35,0)/9,0)=1,1+IF((ROUND($B35,0)-9)*2&gt;=S$2,1,0),IF(TRUNC(ROUND($B35,0)/9,0)=0,IF(TRUNC(ROUND($B35,0)/9,0)=0,0+IF((ROUND($B35,0))*2&gt;=S$2,1,0),"Not"))))-S$3,"")</f>
        <v/>
      </c>
    </row>
    <row r="1272" spans="1:5" x14ac:dyDescent="0.25">
      <c r="A1272" t="s">
        <v>724</v>
      </c>
      <c r="B1272" t="s">
        <v>361</v>
      </c>
      <c r="C1272" t="s">
        <v>725</v>
      </c>
      <c r="D1272" t="s">
        <v>1786</v>
      </c>
      <c r="E1272" t="str">
        <f>IFERROR(AVERAGEIFS(Upload_Indiv[Score7],Upload_Indiv[[Player]:[Player]],$A36,Upload_Indiv[[Side]:[Side]],"Raintree Front")-IF(TRUNC(ROUND($B36,0)/9,0)=2,2+IF((ROUND($B36,0)-18)*2&gt;=I$2,1,0),IF(TRUNC(ROUND($B36,0)/9,0)=1,1+IF((ROUND($B36,0)-9)*2&gt;=I$2,1,0),IF(TRUNC(ROUND($B36,0)/9,0)=0,IF(TRUNC(ROUND($B36,0)/9,0)=0,0+IF((ROUND($B36,0))*2&gt;=I$2,1,0),"Not"))))-I$3,"")</f>
        <v/>
      </c>
    </row>
    <row r="1273" spans="1:5" x14ac:dyDescent="0.25">
      <c r="A1273" t="s">
        <v>724</v>
      </c>
      <c r="B1273" t="s">
        <v>361</v>
      </c>
      <c r="C1273" t="s">
        <v>725</v>
      </c>
      <c r="D1273" t="s">
        <v>1717</v>
      </c>
      <c r="E1273" t="str">
        <f>IFERROR(AVERAGEIFS(Upload_Indiv[Score7],Upload_Indiv[[Player]:[Player]],$A36,Upload_Indiv[[Side]:[Side]],"Raintree Back")-IF(TRUNC(ROUND($B36,0)/9,0)=2,2+IF((ROUND($B36,0)-18)*2&gt;=S$2,1,0),IF(TRUNC(ROUND($B36,0)/9,0)=1,1+IF((ROUND($B36,0)-9)*2&gt;=S$2,1,0),IF(TRUNC(ROUND($B36,0)/9,0)=0,IF(TRUNC(ROUND($B36,0)/9,0)=0,0+IF((ROUND($B36,0))*2&gt;=S$2,1,0),"Not"))))-S$3,"")</f>
        <v/>
      </c>
    </row>
    <row r="1274" spans="1:5" x14ac:dyDescent="0.25">
      <c r="A1274" t="s">
        <v>724</v>
      </c>
      <c r="B1274" t="s">
        <v>361</v>
      </c>
      <c r="C1274" t="s">
        <v>725</v>
      </c>
      <c r="D1274" t="s">
        <v>1787</v>
      </c>
      <c r="E1274" t="str">
        <f>IFERROR(AVERAGEIFS(Upload_Indiv[Score7],Upload_Indiv[[Player]:[Player]],$A37,Upload_Indiv[[Side]:[Side]],"Raintree Front")-IF(TRUNC(ROUND($B37,0)/9,0)=2,2+IF((ROUND($B37,0)-18)*2&gt;=I$2,1,0),IF(TRUNC(ROUND($B37,0)/9,0)=1,1+IF((ROUND($B37,0)-9)*2&gt;=I$2,1,0),IF(TRUNC(ROUND($B37,0)/9,0)=0,IF(TRUNC(ROUND($B37,0)/9,0)=0,0+IF((ROUND($B37,0))*2&gt;=I$2,1,0),"Not"))))-I$3,"")</f>
        <v/>
      </c>
    </row>
    <row r="1275" spans="1:5" x14ac:dyDescent="0.25">
      <c r="A1275" t="s">
        <v>724</v>
      </c>
      <c r="B1275" t="s">
        <v>361</v>
      </c>
      <c r="C1275" t="s">
        <v>725</v>
      </c>
      <c r="D1275" t="s">
        <v>1719</v>
      </c>
      <c r="E1275" t="str">
        <f>IFERROR(AVERAGEIFS(Upload_Indiv[Score7],Upload_Indiv[[Player]:[Player]],$A37,Upload_Indiv[[Side]:[Side]],"Raintree Back")-IF(TRUNC(ROUND($B37,0)/9,0)=2,2+IF((ROUND($B37,0)-18)*2&gt;=S$2,1,0),IF(TRUNC(ROUND($B37,0)/9,0)=1,1+IF((ROUND($B37,0)-9)*2&gt;=S$2,1,0),IF(TRUNC(ROUND($B37,0)/9,0)=0,IF(TRUNC(ROUND($B37,0)/9,0)=0,0+IF((ROUND($B37,0))*2&gt;=S$2,1,0),"Not"))))-S$3,"")</f>
        <v/>
      </c>
    </row>
    <row r="1276" spans="1:5" x14ac:dyDescent="0.25">
      <c r="A1276" t="s">
        <v>724</v>
      </c>
      <c r="B1276" t="s">
        <v>361</v>
      </c>
      <c r="C1276" t="s">
        <v>725</v>
      </c>
      <c r="D1276" t="s">
        <v>1788</v>
      </c>
      <c r="E1276" t="str">
        <f>IFERROR(AVERAGEIFS(Upload_Indiv[Score7],Upload_Indiv[[Player]:[Player]],$A38,Upload_Indiv[[Side]:[Side]],"Raintree Front")-IF(TRUNC(ROUND($B38,0)/9,0)=2,2+IF((ROUND($B38,0)-18)*2&gt;=I$2,1,0),IF(TRUNC(ROUND($B38,0)/9,0)=1,1+IF((ROUND($B38,0)-9)*2&gt;=I$2,1,0),IF(TRUNC(ROUND($B38,0)/9,0)=0,IF(TRUNC(ROUND($B38,0)/9,0)=0,0+IF((ROUND($B38,0))*2&gt;=I$2,1,0),"Not"))))-I$3,"")</f>
        <v/>
      </c>
    </row>
    <row r="1277" spans="1:5" x14ac:dyDescent="0.25">
      <c r="A1277" t="s">
        <v>724</v>
      </c>
      <c r="B1277" t="s">
        <v>361</v>
      </c>
      <c r="C1277" t="s">
        <v>725</v>
      </c>
      <c r="D1277" t="s">
        <v>1721</v>
      </c>
      <c r="E1277" t="str">
        <f>IFERROR(AVERAGEIFS(Upload_Indiv[Score7],Upload_Indiv[[Player]:[Player]],$A38,Upload_Indiv[[Side]:[Side]],"Raintree Back")-IF(TRUNC(ROUND($B38,0)/9,0)=2,2+IF((ROUND($B38,0)-18)*2&gt;=S$2,1,0),IF(TRUNC(ROUND($B38,0)/9,0)=1,1+IF((ROUND($B38,0)-9)*2&gt;=S$2,1,0),IF(TRUNC(ROUND($B38,0)/9,0)=0,IF(TRUNC(ROUND($B38,0)/9,0)=0,0+IF((ROUND($B38,0))*2&gt;=S$2,1,0),"Not"))))-S$3,"")</f>
        <v/>
      </c>
    </row>
    <row r="1278" spans="1:5" x14ac:dyDescent="0.25">
      <c r="A1278" t="s">
        <v>724</v>
      </c>
      <c r="B1278" t="s">
        <v>361</v>
      </c>
      <c r="C1278" t="s">
        <v>725</v>
      </c>
      <c r="D1278" t="s">
        <v>1789</v>
      </c>
      <c r="E1278" t="str">
        <f>IFERROR(AVERAGEIFS(Upload_Indiv[Score7],Upload_Indiv[[Player]:[Player]],$A39,Upload_Indiv[[Side]:[Side]],"Raintree Front")-IF(TRUNC(ROUND($B39,0)/9,0)=2,2+IF((ROUND($B39,0)-18)*2&gt;=I$2,1,0),IF(TRUNC(ROUND($B39,0)/9,0)=1,1+IF((ROUND($B39,0)-9)*2&gt;=I$2,1,0),IF(TRUNC(ROUND($B39,0)/9,0)=0,IF(TRUNC(ROUND($B39,0)/9,0)=0,0+IF((ROUND($B39,0))*2&gt;=I$2,1,0),"Not"))))-I$3,"")</f>
        <v/>
      </c>
    </row>
    <row r="1279" spans="1:5" x14ac:dyDescent="0.25">
      <c r="A1279" t="s">
        <v>724</v>
      </c>
      <c r="B1279" t="s">
        <v>361</v>
      </c>
      <c r="C1279" t="s">
        <v>725</v>
      </c>
      <c r="D1279" t="s">
        <v>1723</v>
      </c>
      <c r="E1279" t="str">
        <f>IFERROR(AVERAGEIFS(Upload_Indiv[Score7],Upload_Indiv[[Player]:[Player]],$A39,Upload_Indiv[[Side]:[Side]],"Raintree Back")-IF(TRUNC(ROUND($B39,0)/9,0)=2,2+IF((ROUND($B39,0)-18)*2&gt;=S$2,1,0),IF(TRUNC(ROUND($B39,0)/9,0)=1,1+IF((ROUND($B39,0)-9)*2&gt;=S$2,1,0),IF(TRUNC(ROUND($B39,0)/9,0)=0,IF(TRUNC(ROUND($B39,0)/9,0)=0,0+IF((ROUND($B39,0))*2&gt;=S$2,1,0),"Not"))))-S$3,"")</f>
        <v/>
      </c>
    </row>
    <row r="1280" spans="1:5" x14ac:dyDescent="0.25">
      <c r="A1280" t="s">
        <v>724</v>
      </c>
      <c r="B1280" t="s">
        <v>361</v>
      </c>
      <c r="C1280" t="s">
        <v>725</v>
      </c>
      <c r="D1280" t="s">
        <v>1790</v>
      </c>
      <c r="E1280" t="str">
        <f>IFERROR(AVERAGEIFS(Upload_Indiv[Score7],Upload_Indiv[[Player]:[Player]],$A40,Upload_Indiv[[Side]:[Side]],"Raintree Front")-IF(TRUNC(ROUND($B40,0)/9,0)=2,2+IF((ROUND($B40,0)-18)*2&gt;=I$2,1,0),IF(TRUNC(ROUND($B40,0)/9,0)=1,1+IF((ROUND($B40,0)-9)*2&gt;=I$2,1,0),IF(TRUNC(ROUND($B40,0)/9,0)=0,IF(TRUNC(ROUND($B40,0)/9,0)=0,0+IF((ROUND($B40,0))*2&gt;=I$2,1,0),"Not"))))-I$3,"")</f>
        <v/>
      </c>
    </row>
    <row r="1281" spans="1:5" x14ac:dyDescent="0.25">
      <c r="A1281" t="s">
        <v>724</v>
      </c>
      <c r="B1281" t="s">
        <v>361</v>
      </c>
      <c r="C1281" t="s">
        <v>725</v>
      </c>
      <c r="D1281" t="s">
        <v>1725</v>
      </c>
      <c r="E1281" t="str">
        <f>IFERROR(AVERAGEIFS(Upload_Indiv[Score7],Upload_Indiv[[Player]:[Player]],$A40,Upload_Indiv[[Side]:[Side]],"Raintree Back")-IF(TRUNC(ROUND($B40,0)/9,0)=2,2+IF((ROUND($B40,0)-18)*2&gt;=S$2,1,0),IF(TRUNC(ROUND($B40,0)/9,0)=1,1+IF((ROUND($B40,0)-9)*2&gt;=S$2,1,0),IF(TRUNC(ROUND($B40,0)/9,0)=0,IF(TRUNC(ROUND($B40,0)/9,0)=0,0+IF((ROUND($B40,0))*2&gt;=S$2,1,0),"Not"))))-S$3,"")</f>
        <v/>
      </c>
    </row>
    <row r="1282" spans="1:5" x14ac:dyDescent="0.25">
      <c r="A1282" t="s">
        <v>724</v>
      </c>
      <c r="B1282" t="s">
        <v>361</v>
      </c>
      <c r="C1282" t="s">
        <v>725</v>
      </c>
      <c r="D1282" t="s">
        <v>1791</v>
      </c>
      <c r="E1282" t="str">
        <f>IFERROR(AVERAGEIFS(Upload_Indiv[Score7],Upload_Indiv[[Player]:[Player]],$A41,Upload_Indiv[[Side]:[Side]],"Raintree Front")-IF(TRUNC(ROUND($B41,0)/9,0)=2,2+IF((ROUND($B41,0)-18)*2&gt;=I$2,1,0),IF(TRUNC(ROUND($B41,0)/9,0)=1,1+IF((ROUND($B41,0)-9)*2&gt;=I$2,1,0),IF(TRUNC(ROUND($B41,0)/9,0)=0,IF(TRUNC(ROUND($B41,0)/9,0)=0,0+IF((ROUND($B41,0))*2&gt;=I$2,1,0),"Not"))))-I$3,"")</f>
        <v/>
      </c>
    </row>
    <row r="1283" spans="1:5" x14ac:dyDescent="0.25">
      <c r="A1283" t="s">
        <v>724</v>
      </c>
      <c r="B1283" t="s">
        <v>361</v>
      </c>
      <c r="C1283" t="s">
        <v>725</v>
      </c>
      <c r="D1283" t="s">
        <v>1727</v>
      </c>
      <c r="E1283" t="str">
        <f>IFERROR(AVERAGEIFS(Upload_Indiv[Score7],Upload_Indiv[[Player]:[Player]],$A41,Upload_Indiv[[Side]:[Side]],"Raintree Back")-IF(TRUNC(ROUND($B41,0)/9,0)=2,2+IF((ROUND($B41,0)-18)*2&gt;=S$2,1,0),IF(TRUNC(ROUND($B41,0)/9,0)=1,1+IF((ROUND($B41,0)-9)*2&gt;=S$2,1,0),IF(TRUNC(ROUND($B41,0)/9,0)=0,IF(TRUNC(ROUND($B41,0)/9,0)=0,0+IF((ROUND($B41,0))*2&gt;=S$2,1,0),"Not"))))-S$3,"")</f>
        <v/>
      </c>
    </row>
    <row r="1284" spans="1:5" x14ac:dyDescent="0.25">
      <c r="A1284" t="s">
        <v>724</v>
      </c>
      <c r="B1284" t="s">
        <v>361</v>
      </c>
      <c r="C1284" t="s">
        <v>725</v>
      </c>
      <c r="D1284" t="s">
        <v>1792</v>
      </c>
      <c r="E1284" t="str">
        <f>IFERROR(AVERAGEIFS(Upload_Indiv[Score7],Upload_Indiv[[Player]:[Player]],$A42,Upload_Indiv[[Side]:[Side]],"Raintree Front")-IF(TRUNC(ROUND($B42,0)/9,0)=2,2+IF((ROUND($B42,0)-18)*2&gt;=I$2,1,0),IF(TRUNC(ROUND($B42,0)/9,0)=1,1+IF((ROUND($B42,0)-9)*2&gt;=I$2,1,0),IF(TRUNC(ROUND($B42,0)/9,0)=0,IF(TRUNC(ROUND($B42,0)/9,0)=0,0+IF((ROUND($B42,0))*2&gt;=I$2,1,0),"Not"))))-I$3,"")</f>
        <v/>
      </c>
    </row>
    <row r="1285" spans="1:5" x14ac:dyDescent="0.25">
      <c r="A1285" t="s">
        <v>724</v>
      </c>
      <c r="B1285" t="s">
        <v>361</v>
      </c>
      <c r="C1285" t="s">
        <v>725</v>
      </c>
      <c r="D1285" t="s">
        <v>1729</v>
      </c>
      <c r="E1285" t="str">
        <f>IFERROR(AVERAGEIFS(Upload_Indiv[Score7],Upload_Indiv[[Player]:[Player]],$A42,Upload_Indiv[[Side]:[Side]],"Raintree Back")-IF(TRUNC(ROUND($B42,0)/9,0)=2,2+IF((ROUND($B42,0)-18)*2&gt;=S$2,1,0),IF(TRUNC(ROUND($B42,0)/9,0)=1,1+IF((ROUND($B42,0)-9)*2&gt;=S$2,1,0),IF(TRUNC(ROUND($B42,0)/9,0)=0,IF(TRUNC(ROUND($B42,0)/9,0)=0,0+IF((ROUND($B42,0))*2&gt;=S$2,1,0),"Not"))))-S$3,"")</f>
        <v/>
      </c>
    </row>
    <row r="1286" spans="1:5" x14ac:dyDescent="0.25">
      <c r="A1286" t="s">
        <v>724</v>
      </c>
      <c r="B1286" t="s">
        <v>361</v>
      </c>
      <c r="C1286" t="s">
        <v>725</v>
      </c>
      <c r="D1286" t="s">
        <v>1793</v>
      </c>
      <c r="E1286" t="str">
        <f>IFERROR(AVERAGEIFS(Upload_Indiv[Score7],Upload_Indiv[[Player]:[Player]],$A43,Upload_Indiv[[Side]:[Side]],"Raintree Front")-IF(TRUNC(ROUND($B43,0)/9,0)=2,2+IF((ROUND($B43,0)-18)*2&gt;=I$2,1,0),IF(TRUNC(ROUND($B43,0)/9,0)=1,1+IF((ROUND($B43,0)-9)*2&gt;=I$2,1,0),IF(TRUNC(ROUND($B43,0)/9,0)=0,IF(TRUNC(ROUND($B43,0)/9,0)=0,0+IF((ROUND($B43,0))*2&gt;=I$2,1,0),"Not"))))-I$3,"")</f>
        <v/>
      </c>
    </row>
    <row r="1287" spans="1:5" x14ac:dyDescent="0.25">
      <c r="A1287" t="s">
        <v>724</v>
      </c>
      <c r="B1287" t="s">
        <v>361</v>
      </c>
      <c r="C1287" t="s">
        <v>725</v>
      </c>
      <c r="D1287" t="s">
        <v>1731</v>
      </c>
      <c r="E1287" t="str">
        <f>IFERROR(AVERAGEIFS(Upload_Indiv[Score7],Upload_Indiv[[Player]:[Player]],$A43,Upload_Indiv[[Side]:[Side]],"Raintree Back")-IF(TRUNC(ROUND($B43,0)/9,0)=2,2+IF((ROUND($B43,0)-18)*2&gt;=S$2,1,0),IF(TRUNC(ROUND($B43,0)/9,0)=1,1+IF((ROUND($B43,0)-9)*2&gt;=S$2,1,0),IF(TRUNC(ROUND($B43,0)/9,0)=0,IF(TRUNC(ROUND($B43,0)/9,0)=0,0+IF((ROUND($B43,0))*2&gt;=S$2,1,0),"Not"))))-S$3,"")</f>
        <v/>
      </c>
    </row>
    <row r="1288" spans="1:5" x14ac:dyDescent="0.25">
      <c r="A1288" t="s">
        <v>724</v>
      </c>
      <c r="B1288" t="s">
        <v>361</v>
      </c>
      <c r="C1288" t="s">
        <v>725</v>
      </c>
      <c r="D1288" t="s">
        <v>1794</v>
      </c>
      <c r="E1288" t="str">
        <f>IFERROR(AVERAGEIFS(Upload_Indiv[Score7],Upload_Indiv[[Player]:[Player]],$A44,Upload_Indiv[[Side]:[Side]],"Raintree Front")-IF(TRUNC(ROUND($B44,0)/9,0)=2,2+IF((ROUND($B44,0)-18)*2&gt;=I$2,1,0),IF(TRUNC(ROUND($B44,0)/9,0)=1,1+IF((ROUND($B44,0)-9)*2&gt;=I$2,1,0),IF(TRUNC(ROUND($B44,0)/9,0)=0,IF(TRUNC(ROUND($B44,0)/9,0)=0,0+IF((ROUND($B44,0))*2&gt;=I$2,1,0),"Not"))))-I$3,"")</f>
        <v/>
      </c>
    </row>
    <row r="1289" spans="1:5" x14ac:dyDescent="0.25">
      <c r="A1289" t="s">
        <v>724</v>
      </c>
      <c r="B1289" t="s">
        <v>361</v>
      </c>
      <c r="C1289" t="s">
        <v>725</v>
      </c>
      <c r="D1289" t="s">
        <v>1733</v>
      </c>
      <c r="E1289" t="str">
        <f>IFERROR(AVERAGEIFS(Upload_Indiv[Score7],Upload_Indiv[[Player]:[Player]],$A44,Upload_Indiv[[Side]:[Side]],"Raintree Back")-IF(TRUNC(ROUND($B44,0)/9,0)=2,2+IF((ROUND($B44,0)-18)*2&gt;=S$2,1,0),IF(TRUNC(ROUND($B44,0)/9,0)=1,1+IF((ROUND($B44,0)-9)*2&gt;=S$2,1,0),IF(TRUNC(ROUND($B44,0)/9,0)=0,IF(TRUNC(ROUND($B44,0)/9,0)=0,0+IF((ROUND($B44,0))*2&gt;=S$2,1,0),"Not"))))-S$3,"")</f>
        <v/>
      </c>
    </row>
    <row r="1290" spans="1:5" x14ac:dyDescent="0.25">
      <c r="A1290" t="s">
        <v>724</v>
      </c>
      <c r="B1290" t="s">
        <v>361</v>
      </c>
      <c r="C1290" t="s">
        <v>725</v>
      </c>
      <c r="D1290" t="s">
        <v>1795</v>
      </c>
      <c r="E1290" t="str">
        <f>IFERROR(AVERAGEIFS(Upload_Indiv[Score7],Upload_Indiv[[Player]:[Player]],$A45,Upload_Indiv[[Side]:[Side]],"Raintree Front")-IF(TRUNC(ROUND($B45,0)/9,0)=2,2+IF((ROUND($B45,0)-18)*2&gt;=I$2,1,0),IF(TRUNC(ROUND($B45,0)/9,0)=1,1+IF((ROUND($B45,0)-9)*2&gt;=I$2,1,0),IF(TRUNC(ROUND($B45,0)/9,0)=0,IF(TRUNC(ROUND($B45,0)/9,0)=0,0+IF((ROUND($B45,0))*2&gt;=I$2,1,0),"Not"))))-I$3,"")</f>
        <v/>
      </c>
    </row>
    <row r="1291" spans="1:5" x14ac:dyDescent="0.25">
      <c r="A1291" t="s">
        <v>724</v>
      </c>
      <c r="B1291" t="s">
        <v>361</v>
      </c>
      <c r="C1291" t="s">
        <v>725</v>
      </c>
      <c r="D1291" t="s">
        <v>1735</v>
      </c>
      <c r="E1291" t="str">
        <f>IFERROR(AVERAGEIFS(Upload_Indiv[Score7],Upload_Indiv[[Player]:[Player]],$A45,Upload_Indiv[[Side]:[Side]],"Raintree Back")-IF(TRUNC(ROUND($B45,0)/9,0)=2,2+IF((ROUND($B45,0)-18)*2&gt;=S$2,1,0),IF(TRUNC(ROUND($B45,0)/9,0)=1,1+IF((ROUND($B45,0)-9)*2&gt;=S$2,1,0),IF(TRUNC(ROUND($B45,0)/9,0)=0,IF(TRUNC(ROUND($B45,0)/9,0)=0,0+IF((ROUND($B45,0))*2&gt;=S$2,1,0),"Not"))))-S$3,"")</f>
        <v/>
      </c>
    </row>
    <row r="1292" spans="1:5" x14ac:dyDescent="0.25">
      <c r="A1292" t="s">
        <v>724</v>
      </c>
      <c r="B1292" t="s">
        <v>361</v>
      </c>
      <c r="C1292" t="s">
        <v>725</v>
      </c>
      <c r="D1292" t="s">
        <v>1796</v>
      </c>
      <c r="E1292" t="str">
        <f>IFERROR(AVERAGEIFS(Upload_Indiv[Score7],Upload_Indiv[[Player]:[Player]],$A46,Upload_Indiv[[Side]:[Side]],"Raintree Front")-IF(TRUNC(ROUND($B46,0)/9,0)=2,2+IF((ROUND($B46,0)-18)*2&gt;=I$2,1,0),IF(TRUNC(ROUND($B46,0)/9,0)=1,1+IF((ROUND($B46,0)-9)*2&gt;=I$2,1,0),IF(TRUNC(ROUND($B46,0)/9,0)=0,IF(TRUNC(ROUND($B46,0)/9,0)=0,0+IF((ROUND($B46,0))*2&gt;=I$2,1,0),"Not"))))-I$3,"")</f>
        <v/>
      </c>
    </row>
    <row r="1293" spans="1:5" x14ac:dyDescent="0.25">
      <c r="A1293" t="s">
        <v>724</v>
      </c>
      <c r="B1293" t="s">
        <v>361</v>
      </c>
      <c r="C1293" t="s">
        <v>725</v>
      </c>
      <c r="D1293" t="s">
        <v>1737</v>
      </c>
      <c r="E1293" t="str">
        <f>IFERROR(AVERAGEIFS(Upload_Indiv[Score7],Upload_Indiv[[Player]:[Player]],$A46,Upload_Indiv[[Side]:[Side]],"Raintree Back")-IF(TRUNC(ROUND($B46,0)/9,0)=2,2+IF((ROUND($B46,0)-18)*2&gt;=S$2,1,0),IF(TRUNC(ROUND($B46,0)/9,0)=1,1+IF((ROUND($B46,0)-9)*2&gt;=S$2,1,0),IF(TRUNC(ROUND($B46,0)/9,0)=0,IF(TRUNC(ROUND($B46,0)/9,0)=0,0+IF((ROUND($B46,0))*2&gt;=S$2,1,0),"Not"))))-S$3,"")</f>
        <v/>
      </c>
    </row>
    <row r="1294" spans="1:5" x14ac:dyDescent="0.25">
      <c r="A1294" t="s">
        <v>724</v>
      </c>
      <c r="B1294" t="s">
        <v>361</v>
      </c>
      <c r="C1294" t="s">
        <v>725</v>
      </c>
      <c r="D1294" t="s">
        <v>1797</v>
      </c>
      <c r="E1294" t="str">
        <f>IFERROR(AVERAGEIFS(Upload_Indiv[Score7],Upload_Indiv[[Player]:[Player]],$A47,Upload_Indiv[[Side]:[Side]],"Raintree Front")-IF(TRUNC(ROUND($B47,0)/9,0)=2,2+IF((ROUND($B47,0)-18)*2&gt;=I$2,1,0),IF(TRUNC(ROUND($B47,0)/9,0)=1,1+IF((ROUND($B47,0)-9)*2&gt;=I$2,1,0),IF(TRUNC(ROUND($B47,0)/9,0)=0,IF(TRUNC(ROUND($B47,0)/9,0)=0,0+IF((ROUND($B47,0))*2&gt;=I$2,1,0),"Not"))))-I$3,"")</f>
        <v/>
      </c>
    </row>
    <row r="1295" spans="1:5" x14ac:dyDescent="0.25">
      <c r="A1295" t="s">
        <v>724</v>
      </c>
      <c r="B1295" t="s">
        <v>361</v>
      </c>
      <c r="C1295" t="s">
        <v>725</v>
      </c>
      <c r="D1295" t="s">
        <v>1739</v>
      </c>
      <c r="E1295" t="str">
        <f>IFERROR(AVERAGEIFS(Upload_Indiv[Score7],Upload_Indiv[[Player]:[Player]],$A47,Upload_Indiv[[Side]:[Side]],"Raintree Back")-IF(TRUNC(ROUND($B47,0)/9,0)=2,2+IF((ROUND($B47,0)-18)*2&gt;=S$2,1,0),IF(TRUNC(ROUND($B47,0)/9,0)=1,1+IF((ROUND($B47,0)-9)*2&gt;=S$2,1,0),IF(TRUNC(ROUND($B47,0)/9,0)=0,IF(TRUNC(ROUND($B47,0)/9,0)=0,0+IF((ROUND($B47,0))*2&gt;=S$2,1,0),"Not"))))-S$3,"")</f>
        <v/>
      </c>
    </row>
    <row r="1296" spans="1:5" x14ac:dyDescent="0.25">
      <c r="A1296" t="s">
        <v>724</v>
      </c>
      <c r="B1296" t="s">
        <v>361</v>
      </c>
      <c r="C1296" t="s">
        <v>725</v>
      </c>
      <c r="D1296" t="s">
        <v>1798</v>
      </c>
      <c r="E1296" t="str">
        <f>IFERROR(AVERAGEIFS(Upload_Indiv[Score7],Upload_Indiv[[Player]:[Player]],$A48,Upload_Indiv[[Side]:[Side]],"Raintree Front")-IF(TRUNC(ROUND($B48,0)/9,0)=2,2+IF((ROUND($B48,0)-18)*2&gt;=I$2,1,0),IF(TRUNC(ROUND($B48,0)/9,0)=1,1+IF((ROUND($B48,0)-9)*2&gt;=I$2,1,0),IF(TRUNC(ROUND($B48,0)/9,0)=0,IF(TRUNC(ROUND($B48,0)/9,0)=0,0+IF((ROUND($B48,0))*2&gt;=I$2,1,0),"Not"))))-I$3,"")</f>
        <v/>
      </c>
    </row>
    <row r="1297" spans="1:5" x14ac:dyDescent="0.25">
      <c r="A1297" t="s">
        <v>724</v>
      </c>
      <c r="B1297" t="s">
        <v>361</v>
      </c>
      <c r="C1297" t="s">
        <v>725</v>
      </c>
      <c r="D1297" t="s">
        <v>1741</v>
      </c>
      <c r="E1297" t="str">
        <f>IFERROR(AVERAGEIFS(Upload_Indiv[Score7],Upload_Indiv[[Player]:[Player]],$A48,Upload_Indiv[[Side]:[Side]],"Raintree Back")-IF(TRUNC(ROUND($B48,0)/9,0)=2,2+IF((ROUND($B48,0)-18)*2&gt;=S$2,1,0),IF(TRUNC(ROUND($B48,0)/9,0)=1,1+IF((ROUND($B48,0)-9)*2&gt;=S$2,1,0),IF(TRUNC(ROUND($B48,0)/9,0)=0,IF(TRUNC(ROUND($B48,0)/9,0)=0,0+IF((ROUND($B48,0))*2&gt;=S$2,1,0),"Not"))))-S$3,"")</f>
        <v/>
      </c>
    </row>
    <row r="1298" spans="1:5" x14ac:dyDescent="0.25">
      <c r="A1298" t="s">
        <v>724</v>
      </c>
      <c r="B1298" t="s">
        <v>361</v>
      </c>
      <c r="C1298" t="s">
        <v>725</v>
      </c>
      <c r="D1298" t="s">
        <v>1799</v>
      </c>
      <c r="E1298" t="str">
        <f>IFERROR(AVERAGEIFS(Upload_Indiv[Score7],Upload_Indiv[[Player]:[Player]],$A49,Upload_Indiv[[Side]:[Side]],"Raintree Front")-IF(TRUNC(ROUND($B49,0)/9,0)=2,2+IF((ROUND($B49,0)-18)*2&gt;=I$2,1,0),IF(TRUNC(ROUND($B49,0)/9,0)=1,1+IF((ROUND($B49,0)-9)*2&gt;=I$2,1,0),IF(TRUNC(ROUND($B49,0)/9,0)=0,IF(TRUNC(ROUND($B49,0)/9,0)=0,0+IF((ROUND($B49,0))*2&gt;=I$2,1,0),"Not"))))-I$3,"")</f>
        <v/>
      </c>
    </row>
    <row r="1299" spans="1:5" x14ac:dyDescent="0.25">
      <c r="A1299" t="s">
        <v>724</v>
      </c>
      <c r="B1299" t="s">
        <v>361</v>
      </c>
      <c r="C1299" t="s">
        <v>725</v>
      </c>
      <c r="D1299" t="s">
        <v>1743</v>
      </c>
      <c r="E1299" t="str">
        <f>IFERROR(AVERAGEIFS(Upload_Indiv[Score7],Upload_Indiv[[Player]:[Player]],$A49,Upload_Indiv[[Side]:[Side]],"Raintree Back")-IF(TRUNC(ROUND($B49,0)/9,0)=2,2+IF((ROUND($B49,0)-18)*2&gt;=S$2,1,0),IF(TRUNC(ROUND($B49,0)/9,0)=1,1+IF((ROUND($B49,0)-9)*2&gt;=S$2,1,0),IF(TRUNC(ROUND($B49,0)/9,0)=0,IF(TRUNC(ROUND($B49,0)/9,0)=0,0+IF((ROUND($B49,0))*2&gt;=S$2,1,0),"Not"))))-S$3,"")</f>
        <v/>
      </c>
    </row>
    <row r="1300" spans="1:5" x14ac:dyDescent="0.25">
      <c r="A1300" t="s">
        <v>724</v>
      </c>
      <c r="B1300" t="s">
        <v>361</v>
      </c>
      <c r="C1300" t="s">
        <v>725</v>
      </c>
      <c r="D1300" t="s">
        <v>1800</v>
      </c>
      <c r="E1300" t="str">
        <f>IFERROR(AVERAGEIFS(Upload_Indiv[Score7],Upload_Indiv[[Player]:[Player]],$A50,Upload_Indiv[[Side]:[Side]],"Raintree Front")-IF(TRUNC(ROUND($B50,0)/9,0)=2,2+IF((ROUND($B50,0)-18)*2&gt;=I$2,1,0),IF(TRUNC(ROUND($B50,0)/9,0)=1,1+IF((ROUND($B50,0)-9)*2&gt;=I$2,1,0),IF(TRUNC(ROUND($B50,0)/9,0)=0,IF(TRUNC(ROUND($B50,0)/9,0)=0,0+IF((ROUND($B50,0))*2&gt;=I$2,1,0),"Not"))))-I$3,"")</f>
        <v/>
      </c>
    </row>
    <row r="1301" spans="1:5" x14ac:dyDescent="0.25">
      <c r="A1301" t="s">
        <v>724</v>
      </c>
      <c r="B1301" t="s">
        <v>361</v>
      </c>
      <c r="C1301" t="s">
        <v>725</v>
      </c>
      <c r="D1301" t="s">
        <v>1745</v>
      </c>
      <c r="E1301" t="str">
        <f>IFERROR(AVERAGEIFS(Upload_Indiv[Score7],Upload_Indiv[[Player]:[Player]],$A50,Upload_Indiv[[Side]:[Side]],"Raintree Back")-IF(TRUNC(ROUND($B50,0)/9,0)=2,2+IF((ROUND($B50,0)-18)*2&gt;=S$2,1,0),IF(TRUNC(ROUND($B50,0)/9,0)=1,1+IF((ROUND($B50,0)-9)*2&gt;=S$2,1,0),IF(TRUNC(ROUND($B50,0)/9,0)=0,IF(TRUNC(ROUND($B50,0)/9,0)=0,0+IF((ROUND($B50,0))*2&gt;=S$2,1,0),"Not"))))-S$3,"")</f>
        <v/>
      </c>
    </row>
    <row r="1302" spans="1:5" x14ac:dyDescent="0.25">
      <c r="A1302" t="s">
        <v>724</v>
      </c>
      <c r="B1302" t="s">
        <v>361</v>
      </c>
      <c r="C1302" t="s">
        <v>725</v>
      </c>
      <c r="D1302" t="s">
        <v>1801</v>
      </c>
      <c r="E1302" t="str">
        <f>IFERROR(AVERAGEIFS(Upload_Indiv[Score7],Upload_Indiv[[Player]:[Player]],$A51,Upload_Indiv[[Side]:[Side]],"Raintree Front")-IF(TRUNC(ROUND($B51,0)/9,0)=2,2+IF((ROUND($B51,0)-18)*2&gt;=I$2,1,0),IF(TRUNC(ROUND($B51,0)/9,0)=1,1+IF((ROUND($B51,0)-9)*2&gt;=I$2,1,0),IF(TRUNC(ROUND($B51,0)/9,0)=0,IF(TRUNC(ROUND($B51,0)/9,0)=0,0+IF((ROUND($B51,0))*2&gt;=I$2,1,0),"Not"))))-I$3,"")</f>
        <v/>
      </c>
    </row>
    <row r="1303" spans="1:5" x14ac:dyDescent="0.25">
      <c r="A1303" t="s">
        <v>724</v>
      </c>
      <c r="B1303" t="s">
        <v>361</v>
      </c>
      <c r="C1303" t="s">
        <v>725</v>
      </c>
      <c r="D1303" t="s">
        <v>1747</v>
      </c>
      <c r="E1303" t="str">
        <f>IFERROR(AVERAGEIFS(Upload_Indiv[Score7],Upload_Indiv[[Player]:[Player]],$A51,Upload_Indiv[[Side]:[Side]],"Raintree Back")-IF(TRUNC(ROUND($B51,0)/9,0)=2,2+IF((ROUND($B51,0)-18)*2&gt;=S$2,1,0),IF(TRUNC(ROUND($B51,0)/9,0)=1,1+IF((ROUND($B51,0)-9)*2&gt;=S$2,1,0),IF(TRUNC(ROUND($B51,0)/9,0)=0,IF(TRUNC(ROUND($B51,0)/9,0)=0,0+IF((ROUND($B51,0))*2&gt;=S$2,1,0),"Not"))))-S$3,"")</f>
        <v/>
      </c>
    </row>
    <row r="1304" spans="1:5" x14ac:dyDescent="0.25">
      <c r="A1304" t="s">
        <v>724</v>
      </c>
      <c r="B1304" t="s">
        <v>361</v>
      </c>
      <c r="C1304" t="s">
        <v>725</v>
      </c>
      <c r="D1304" t="s">
        <v>1802</v>
      </c>
      <c r="E1304" t="str">
        <f>IFERROR(AVERAGEIFS(Upload_Indiv[Score7],Upload_Indiv[[Player]:[Player]],$A52,Upload_Indiv[[Side]:[Side]],"Raintree Front")-IF(TRUNC(ROUND($B52,0)/9,0)=2,2+IF((ROUND($B52,0)-18)*2&gt;=I$2,1,0),IF(TRUNC(ROUND($B52,0)/9,0)=1,1+IF((ROUND($B52,0)-9)*2&gt;=I$2,1,0),IF(TRUNC(ROUND($B52,0)/9,0)=0,IF(TRUNC(ROUND($B52,0)/9,0)=0,0+IF((ROUND($B52,0))*2&gt;=I$2,1,0),"Not"))))-I$3,"")</f>
        <v/>
      </c>
    </row>
    <row r="1305" spans="1:5" x14ac:dyDescent="0.25">
      <c r="A1305" t="s">
        <v>724</v>
      </c>
      <c r="B1305" t="s">
        <v>361</v>
      </c>
      <c r="C1305" t="s">
        <v>725</v>
      </c>
      <c r="D1305" t="s">
        <v>1749</v>
      </c>
      <c r="E1305" t="str">
        <f>IFERROR(AVERAGEIFS(Upload_Indiv[Score7],Upload_Indiv[[Player]:[Player]],$A52,Upload_Indiv[[Side]:[Side]],"Raintree Back")-IF(TRUNC(ROUND($B52,0)/9,0)=2,2+IF((ROUND($B52,0)-18)*2&gt;=S$2,1,0),IF(TRUNC(ROUND($B52,0)/9,0)=1,1+IF((ROUND($B52,0)-9)*2&gt;=S$2,1,0),IF(TRUNC(ROUND($B52,0)/9,0)=0,IF(TRUNC(ROUND($B52,0)/9,0)=0,0+IF((ROUND($B52,0))*2&gt;=S$2,1,0),"Not"))))-S$3,"")</f>
        <v/>
      </c>
    </row>
    <row r="1306" spans="1:5" x14ac:dyDescent="0.25">
      <c r="A1306" t="s">
        <v>724</v>
      </c>
      <c r="B1306" t="s">
        <v>361</v>
      </c>
      <c r="C1306" t="s">
        <v>725</v>
      </c>
      <c r="D1306" t="s">
        <v>1803</v>
      </c>
      <c r="E1306" t="str">
        <f>IFERROR(AVERAGEIFS(Upload_Indiv[Score7],Upload_Indiv[[Player]:[Player]],$A53,Upload_Indiv[[Side]:[Side]],"Raintree Front")-IF(TRUNC(ROUND($B53,0)/9,0)=2,2+IF((ROUND($B53,0)-18)*2&gt;=I$2,1,0),IF(TRUNC(ROUND($B53,0)/9,0)=1,1+IF((ROUND($B53,0)-9)*2&gt;=I$2,1,0),IF(TRUNC(ROUND($B53,0)/9,0)=0,IF(TRUNC(ROUND($B53,0)/9,0)=0,0+IF((ROUND($B53,0))*2&gt;=I$2,1,0),"Not"))))-I$3,"")</f>
        <v/>
      </c>
    </row>
    <row r="1307" spans="1:5" x14ac:dyDescent="0.25">
      <c r="A1307" t="s">
        <v>724</v>
      </c>
      <c r="B1307" t="s">
        <v>361</v>
      </c>
      <c r="C1307" t="s">
        <v>725</v>
      </c>
      <c r="D1307" t="s">
        <v>1751</v>
      </c>
      <c r="E1307" t="str">
        <f>IFERROR(AVERAGEIFS(Upload_Indiv[Score7],Upload_Indiv[[Player]:[Player]],$A53,Upload_Indiv[[Side]:[Side]],"Raintree Back")-IF(TRUNC(ROUND($B53,0)/9,0)=2,2+IF((ROUND($B53,0)-18)*2&gt;=S$2,1,0),IF(TRUNC(ROUND($B53,0)/9,0)=1,1+IF((ROUND($B53,0)-9)*2&gt;=S$2,1,0),IF(TRUNC(ROUND($B53,0)/9,0)=0,IF(TRUNC(ROUND($B53,0)/9,0)=0,0+IF((ROUND($B53,0))*2&gt;=S$2,1,0),"Not"))))-S$3,"")</f>
        <v/>
      </c>
    </row>
    <row r="1308" spans="1:5" x14ac:dyDescent="0.25">
      <c r="A1308" t="s">
        <v>724</v>
      </c>
      <c r="B1308" t="s">
        <v>361</v>
      </c>
      <c r="C1308" t="s">
        <v>725</v>
      </c>
      <c r="D1308" t="s">
        <v>1804</v>
      </c>
      <c r="E1308" t="str">
        <f>IFERROR(AVERAGEIFS(Upload_Indiv[Score7],Upload_Indiv[[Player]:[Player]],$A54,Upload_Indiv[[Side]:[Side]],"Raintree Front")-IF(TRUNC(ROUND($B54,0)/9,0)=2,2+IF((ROUND($B54,0)-18)*2&gt;=I$2,1,0),IF(TRUNC(ROUND($B54,0)/9,0)=1,1+IF((ROUND($B54,0)-9)*2&gt;=I$2,1,0),IF(TRUNC(ROUND($B54,0)/9,0)=0,IF(TRUNC(ROUND($B54,0)/9,0)=0,0+IF((ROUND($B54,0))*2&gt;=I$2,1,0),"Not"))))-I$3,"")</f>
        <v/>
      </c>
    </row>
    <row r="1309" spans="1:5" x14ac:dyDescent="0.25">
      <c r="A1309" t="s">
        <v>724</v>
      </c>
      <c r="B1309" t="s">
        <v>361</v>
      </c>
      <c r="C1309" t="s">
        <v>725</v>
      </c>
      <c r="D1309" t="s">
        <v>1753</v>
      </c>
      <c r="E1309" t="str">
        <f>IFERROR(AVERAGEIFS(Upload_Indiv[Score7],Upload_Indiv[[Player]:[Player]],$A54,Upload_Indiv[[Side]:[Side]],"Raintree Back")-IF(TRUNC(ROUND($B54,0)/9,0)=2,2+IF((ROUND($B54,0)-18)*2&gt;=S$2,1,0),IF(TRUNC(ROUND($B54,0)/9,0)=1,1+IF((ROUND($B54,0)-9)*2&gt;=S$2,1,0),IF(TRUNC(ROUND($B54,0)/9,0)=0,IF(TRUNC(ROUND($B54,0)/9,0)=0,0+IF((ROUND($B54,0))*2&gt;=S$2,1,0),"Not"))))-S$3,"")</f>
        <v/>
      </c>
    </row>
    <row r="1310" spans="1:5" x14ac:dyDescent="0.25">
      <c r="A1310" t="s">
        <v>724</v>
      </c>
      <c r="B1310" t="s">
        <v>361</v>
      </c>
      <c r="C1310" t="s">
        <v>725</v>
      </c>
      <c r="D1310" t="s">
        <v>1805</v>
      </c>
      <c r="E1310" t="str">
        <f>IFERROR(AVERAGEIFS(Upload_Indiv[Score7],Upload_Indiv[[Player]:[Player]],$A55,Upload_Indiv[[Side]:[Side]],"Raintree Front")-IF(TRUNC(ROUND($B55,0)/9,0)=2,2+IF((ROUND($B55,0)-18)*2&gt;=I$2,1,0),IF(TRUNC(ROUND($B55,0)/9,0)=1,1+IF((ROUND($B55,0)-9)*2&gt;=I$2,1,0),IF(TRUNC(ROUND($B55,0)/9,0)=0,IF(TRUNC(ROUND($B55,0)/9,0)=0,0+IF((ROUND($B55,0))*2&gt;=I$2,1,0),"Not"))))-I$3,"")</f>
        <v/>
      </c>
    </row>
    <row r="1311" spans="1:5" x14ac:dyDescent="0.25">
      <c r="A1311" t="s">
        <v>724</v>
      </c>
      <c r="B1311" t="s">
        <v>361</v>
      </c>
      <c r="C1311" t="s">
        <v>725</v>
      </c>
      <c r="D1311" t="s">
        <v>1806</v>
      </c>
      <c r="E1311" t="str">
        <f>IFERROR(AVERAGEIFS(Upload_Indiv[Score7],Upload_Indiv[[Player]:[Player]],$A55,Upload_Indiv[[Side]:[Side]],"Raintree Back")-IF(TRUNC(ROUND($B55,0)/9,0)=2,2+IF((ROUND($B55,0)-18)*2&gt;=S$2,1,0),IF(TRUNC(ROUND($B55,0)/9,0)=1,1+IF((ROUND($B55,0)-9)*2&gt;=S$2,1,0),IF(TRUNC(ROUND($B55,0)/9,0)=0,IF(TRUNC(ROUND($B55,0)/9,0)=0,0+IF((ROUND($B55,0))*2&gt;=S$2,1,0),"Not"))))-S$3,"")</f>
        <v/>
      </c>
    </row>
    <row r="1312" spans="1:5" x14ac:dyDescent="0.25">
      <c r="A1312" t="s">
        <v>724</v>
      </c>
      <c r="B1312" t="s">
        <v>361</v>
      </c>
      <c r="C1312" t="s">
        <v>725</v>
      </c>
      <c r="D1312" t="s">
        <v>1807</v>
      </c>
      <c r="E1312" t="str">
        <f>IFERROR(AVERAGEIFS(Upload_Indiv[Score7],Upload_Indiv[[Player]:[Player]],$A56,Upload_Indiv[[Side]:[Side]],"Raintree Front")-IF(TRUNC(ROUND($B56,0)/9,0)=2,2+IF((ROUND($B56,0)-18)*2&gt;=I$2,1,0),IF(TRUNC(ROUND($B56,0)/9,0)=1,1+IF((ROUND($B56,0)-9)*2&gt;=I$2,1,0),IF(TRUNC(ROUND($B56,0)/9,0)=0,IF(TRUNC(ROUND($B56,0)/9,0)=0,0+IF((ROUND($B56,0))*2&gt;=I$2,1,0),"Not"))))-I$3,"")</f>
        <v/>
      </c>
    </row>
    <row r="1313" spans="1:5" x14ac:dyDescent="0.25">
      <c r="A1313" t="s">
        <v>724</v>
      </c>
      <c r="B1313" t="s">
        <v>361</v>
      </c>
      <c r="C1313" t="s">
        <v>725</v>
      </c>
      <c r="D1313" t="s">
        <v>1808</v>
      </c>
      <c r="E1313" t="str">
        <f>IFERROR(AVERAGEIFS(Upload_Indiv[Score7],Upload_Indiv[[Player]:[Player]],$A56,Upload_Indiv[[Side]:[Side]],"Raintree Back")-IF(TRUNC(ROUND($B56,0)/9,0)=2,2+IF((ROUND($B56,0)-18)*2&gt;=S$2,1,0),IF(TRUNC(ROUND($B56,0)/9,0)=1,1+IF((ROUND($B56,0)-9)*2&gt;=S$2,1,0),IF(TRUNC(ROUND($B56,0)/9,0)=0,IF(TRUNC(ROUND($B56,0)/9,0)=0,0+IF((ROUND($B56,0))*2&gt;=S$2,1,0),"Not"))))-S$3,"")</f>
        <v/>
      </c>
    </row>
    <row r="1314" spans="1:5" x14ac:dyDescent="0.25">
      <c r="A1314" t="s">
        <v>724</v>
      </c>
      <c r="B1314" t="s">
        <v>361</v>
      </c>
      <c r="C1314" t="s">
        <v>725</v>
      </c>
      <c r="D1314" t="s">
        <v>1809</v>
      </c>
      <c r="E1314" t="str">
        <f>IFERROR(AVERAGEIFS(Upload_Indiv[Score7],Upload_Indiv[[Player]:[Player]],$A57,Upload_Indiv[[Side]:[Side]],"Raintree Front")-IF(TRUNC(ROUND($B57,0)/9,0)=2,2+IF((ROUND($B57,0)-18)*2&gt;=I$2,1,0),IF(TRUNC(ROUND($B57,0)/9,0)=1,1+IF((ROUND($B57,0)-9)*2&gt;=I$2,1,0),IF(TRUNC(ROUND($B57,0)/9,0)=0,IF(TRUNC(ROUND($B57,0)/9,0)=0,0+IF((ROUND($B57,0))*2&gt;=I$2,1,0),"Not"))))-I$3,"")</f>
        <v/>
      </c>
    </row>
    <row r="1315" spans="1:5" x14ac:dyDescent="0.25">
      <c r="A1315" t="s">
        <v>724</v>
      </c>
      <c r="B1315" t="s">
        <v>361</v>
      </c>
      <c r="C1315" t="s">
        <v>725</v>
      </c>
      <c r="D1315" t="s">
        <v>1810</v>
      </c>
      <c r="E1315" t="str">
        <f>IFERROR(AVERAGEIFS(Upload_Indiv[Score7],Upload_Indiv[[Player]:[Player]],$A57,Upload_Indiv[[Side]:[Side]],"Raintree Back")-IF(TRUNC(ROUND($B57,0)/9,0)=2,2+IF((ROUND($B57,0)-18)*2&gt;=S$2,1,0),IF(TRUNC(ROUND($B57,0)/9,0)=1,1+IF((ROUND($B57,0)-9)*2&gt;=S$2,1,0),IF(TRUNC(ROUND($B57,0)/9,0)=0,IF(TRUNC(ROUND($B57,0)/9,0)=0,0+IF((ROUND($B57,0))*2&gt;=S$2,1,0),"Not"))))-S$3,"")</f>
        <v/>
      </c>
    </row>
    <row r="1316" spans="1:5" x14ac:dyDescent="0.25">
      <c r="A1316" t="s">
        <v>724</v>
      </c>
      <c r="B1316" t="s">
        <v>361</v>
      </c>
      <c r="C1316" t="s">
        <v>725</v>
      </c>
      <c r="D1316" t="s">
        <v>1811</v>
      </c>
      <c r="E1316" t="str">
        <f>IFERROR(AVERAGEIFS(Upload_Indiv[Score7],Upload_Indiv[[Player]:[Player]],$A58,Upload_Indiv[[Side]:[Side]],"Raintree Front")-IF(TRUNC(ROUND($B58,0)/9,0)=2,2+IF((ROUND($B58,0)-18)*2&gt;=I$2,1,0),IF(TRUNC(ROUND($B58,0)/9,0)=1,1+IF((ROUND($B58,0)-9)*2&gt;=I$2,1,0),IF(TRUNC(ROUND($B58,0)/9,0)=0,IF(TRUNC(ROUND($B58,0)/9,0)=0,0+IF((ROUND($B58,0))*2&gt;=I$2,1,0),"Not"))))-I$3,"")</f>
        <v/>
      </c>
    </row>
    <row r="1317" spans="1:5" x14ac:dyDescent="0.25">
      <c r="A1317" t="s">
        <v>724</v>
      </c>
      <c r="B1317" t="s">
        <v>361</v>
      </c>
      <c r="C1317" t="s">
        <v>725</v>
      </c>
      <c r="D1317" t="s">
        <v>1812</v>
      </c>
      <c r="E1317" t="str">
        <f>IFERROR(AVERAGEIFS(Upload_Indiv[Score7],Upload_Indiv[[Player]:[Player]],$A58,Upload_Indiv[[Side]:[Side]],"Raintree Back")-IF(TRUNC(ROUND($B58,0)/9,0)=2,2+IF((ROUND($B58,0)-18)*2&gt;=S$2,1,0),IF(TRUNC(ROUND($B58,0)/9,0)=1,1+IF((ROUND($B58,0)-9)*2&gt;=S$2,1,0),IF(TRUNC(ROUND($B58,0)/9,0)=0,IF(TRUNC(ROUND($B58,0)/9,0)=0,0+IF((ROUND($B58,0))*2&gt;=S$2,1,0),"Not"))))-S$3,"")</f>
        <v/>
      </c>
    </row>
    <row r="1318" spans="1:5" x14ac:dyDescent="0.25">
      <c r="A1318" t="s">
        <v>724</v>
      </c>
      <c r="B1318" t="s">
        <v>361</v>
      </c>
      <c r="C1318" t="s">
        <v>725</v>
      </c>
      <c r="D1318" t="s">
        <v>1813</v>
      </c>
      <c r="E1318" t="str">
        <f>IFERROR(AVERAGEIFS(Upload_Indiv[Score7],Upload_Indiv[[Player]:[Player]],$A59,Upload_Indiv[[Side]:[Side]],"Raintree Front")-IF(TRUNC(ROUND($B59,0)/9,0)=2,2+IF((ROUND($B59,0)-18)*2&gt;=I$2,1,0),IF(TRUNC(ROUND($B59,0)/9,0)=1,1+IF((ROUND($B59,0)-9)*2&gt;=I$2,1,0),IF(TRUNC(ROUND($B59,0)/9,0)=0,IF(TRUNC(ROUND($B59,0)/9,0)=0,0+IF((ROUND($B59,0))*2&gt;=I$2,1,0),"Not"))))-I$3,"")</f>
        <v/>
      </c>
    </row>
    <row r="1319" spans="1:5" x14ac:dyDescent="0.25">
      <c r="A1319" t="s">
        <v>724</v>
      </c>
      <c r="B1319" t="s">
        <v>361</v>
      </c>
      <c r="C1319" t="s">
        <v>725</v>
      </c>
      <c r="D1319" t="s">
        <v>1814</v>
      </c>
      <c r="E1319" t="str">
        <f>IFERROR(AVERAGEIFS(Upload_Indiv[Score7],Upload_Indiv[[Player]:[Player]],$A59,Upload_Indiv[[Side]:[Side]],"Raintree Back")-IF(TRUNC(ROUND($B59,0)/9,0)=2,2+IF((ROUND($B59,0)-18)*2&gt;=S$2,1,0),IF(TRUNC(ROUND($B59,0)/9,0)=1,1+IF((ROUND($B59,0)-9)*2&gt;=S$2,1,0),IF(TRUNC(ROUND($B59,0)/9,0)=0,IF(TRUNC(ROUND($B59,0)/9,0)=0,0+IF((ROUND($B59,0))*2&gt;=S$2,1,0),"Not"))))-S$3,"")</f>
        <v/>
      </c>
    </row>
    <row r="1320" spans="1:5" x14ac:dyDescent="0.25">
      <c r="A1320" t="s">
        <v>724</v>
      </c>
      <c r="B1320" t="s">
        <v>361</v>
      </c>
      <c r="C1320" t="s">
        <v>725</v>
      </c>
      <c r="D1320" t="s">
        <v>1815</v>
      </c>
      <c r="E1320" t="str">
        <f>IFERROR(AVERAGEIFS(Upload_Indiv[Score7],Upload_Indiv[[Player]:[Player]],$A60,Upload_Indiv[[Side]:[Side]],"Raintree Front")-IF(TRUNC(ROUND($B60,0)/9,0)=2,2+IF((ROUND($B60,0)-18)*2&gt;=I$2,1,0),IF(TRUNC(ROUND($B60,0)/9,0)=1,1+IF((ROUND($B60,0)-9)*2&gt;=I$2,1,0),IF(TRUNC(ROUND($B60,0)/9,0)=0,IF(TRUNC(ROUND($B60,0)/9,0)=0,0+IF((ROUND($B60,0))*2&gt;=I$2,1,0),"Not"))))-I$3,"")</f>
        <v/>
      </c>
    </row>
    <row r="1321" spans="1:5" x14ac:dyDescent="0.25">
      <c r="A1321" t="s">
        <v>724</v>
      </c>
      <c r="B1321" t="s">
        <v>361</v>
      </c>
      <c r="C1321" t="s">
        <v>725</v>
      </c>
      <c r="D1321" t="s">
        <v>1816</v>
      </c>
      <c r="E1321" t="str">
        <f>IFERROR(AVERAGEIFS(Upload_Indiv[Score7],Upload_Indiv[[Player]:[Player]],$A60,Upload_Indiv[[Side]:[Side]],"Raintree Back")-IF(TRUNC(ROUND($B60,0)/9,0)=2,2+IF((ROUND($B60,0)-18)*2&gt;=S$2,1,0),IF(TRUNC(ROUND($B60,0)/9,0)=1,1+IF((ROUND($B60,0)-9)*2&gt;=S$2,1,0),IF(TRUNC(ROUND($B60,0)/9,0)=0,IF(TRUNC(ROUND($B60,0)/9,0)=0,0+IF((ROUND($B60,0))*2&gt;=S$2,1,0),"Not"))))-S$3,"")</f>
        <v/>
      </c>
    </row>
    <row r="1322" spans="1:5" x14ac:dyDescent="0.25">
      <c r="A1322" t="s">
        <v>724</v>
      </c>
      <c r="B1322" t="s">
        <v>361</v>
      </c>
      <c r="C1322" t="s">
        <v>834</v>
      </c>
      <c r="D1322" t="s">
        <v>1817</v>
      </c>
      <c r="E1322">
        <f>IFERROR(AVERAGEIFS(Upload_Indiv[Score7],Upload_Indiv[[Side]:[Side]],"Raintree Front",Upload_Indiv[[Excl Score]:[Excl Score]],0),"")</f>
        <v>6.8289473684210522</v>
      </c>
    </row>
    <row r="1323" spans="1:5" x14ac:dyDescent="0.25">
      <c r="A1323" t="s">
        <v>724</v>
      </c>
      <c r="B1323" t="s">
        <v>361</v>
      </c>
      <c r="C1323" t="s">
        <v>834</v>
      </c>
      <c r="D1323" t="s">
        <v>1818</v>
      </c>
      <c r="E1323">
        <f>IFERROR(AVERAGEIFS(Upload_Indiv[Score7],Upload_Indiv[[Side]:[Side]],"Raintree Back",Upload_Indiv[[Excl Score]:[Excl Score]],0),"")</f>
        <v>4</v>
      </c>
    </row>
    <row r="1324" spans="1:5" x14ac:dyDescent="0.25">
      <c r="A1324" t="s">
        <v>724</v>
      </c>
      <c r="B1324" t="s">
        <v>361</v>
      </c>
      <c r="C1324" t="s">
        <v>834</v>
      </c>
      <c r="D1324" t="s">
        <v>1819</v>
      </c>
      <c r="E1324" t="str">
        <f>IFERROR(AVERAGEIFS(Upload_Indiv[Score7],Upload_Indiv[[Player]:[Player]],$A9,Upload_Indiv[[Side]:[Side]],"Raintree Front",Upload_Indiv[[Excl Score]:[Excl Score]],0),"")</f>
        <v/>
      </c>
    </row>
    <row r="1325" spans="1:5" x14ac:dyDescent="0.25">
      <c r="A1325" t="s">
        <v>724</v>
      </c>
      <c r="B1325" t="s">
        <v>361</v>
      </c>
      <c r="C1325" t="s">
        <v>834</v>
      </c>
      <c r="D1325" t="s">
        <v>1820</v>
      </c>
      <c r="E1325" t="str">
        <f>IFERROR(AVERAGEIFS(Upload_Indiv[Score7],Upload_Indiv[[Player]:[Player]],$A9,Upload_Indiv[[Side]:[Side]],"Raintree Back",Upload_Indiv[[Excl Score]:[Excl Score]],0),"")</f>
        <v/>
      </c>
    </row>
    <row r="1326" spans="1:5" x14ac:dyDescent="0.25">
      <c r="A1326" t="s">
        <v>724</v>
      </c>
      <c r="B1326" t="s">
        <v>361</v>
      </c>
      <c r="C1326" t="s">
        <v>834</v>
      </c>
      <c r="D1326" t="s">
        <v>1821</v>
      </c>
      <c r="E1326" t="str">
        <f>IFERROR(AVERAGEIFS(Upload_Indiv[Score7],Upload_Indiv[[Player]:[Player]],$A10,Upload_Indiv[[Side]:[Side]],"Raintree Front",Upload_Indiv[[Excl Score]:[Excl Score]],0),"")</f>
        <v/>
      </c>
    </row>
    <row r="1327" spans="1:5" x14ac:dyDescent="0.25">
      <c r="A1327" t="s">
        <v>724</v>
      </c>
      <c r="B1327" t="s">
        <v>361</v>
      </c>
      <c r="C1327" t="s">
        <v>834</v>
      </c>
      <c r="D1327" t="s">
        <v>1822</v>
      </c>
      <c r="E1327" t="str">
        <f>IFERROR(AVERAGEIFS(Upload_Indiv[Score7],Upload_Indiv[[Player]:[Player]],$A10,Upload_Indiv[[Side]:[Side]],"Raintree Back",Upload_Indiv[[Excl Score]:[Excl Score]],0),"")</f>
        <v/>
      </c>
    </row>
    <row r="1328" spans="1:5" x14ac:dyDescent="0.25">
      <c r="A1328" t="s">
        <v>724</v>
      </c>
      <c r="B1328" t="s">
        <v>361</v>
      </c>
      <c r="C1328" t="s">
        <v>834</v>
      </c>
      <c r="D1328" t="s">
        <v>1823</v>
      </c>
      <c r="E1328" t="str">
        <f>IFERROR(AVERAGEIFS(Upload_Indiv[Score7],Upload_Indiv[[Player]:[Player]],$A11,Upload_Indiv[[Side]:[Side]],"Raintree Front",Upload_Indiv[[Excl Score]:[Excl Score]],0),"")</f>
        <v/>
      </c>
    </row>
    <row r="1329" spans="1:5" x14ac:dyDescent="0.25">
      <c r="A1329" t="s">
        <v>724</v>
      </c>
      <c r="B1329" t="s">
        <v>361</v>
      </c>
      <c r="C1329" t="s">
        <v>834</v>
      </c>
      <c r="D1329" t="s">
        <v>1824</v>
      </c>
      <c r="E1329" t="str">
        <f>IFERROR(AVERAGEIFS(Upload_Indiv[Score7],Upload_Indiv[[Player]:[Player]],$A11,Upload_Indiv[[Side]:[Side]],"Raintree Back",Upload_Indiv[[Excl Score]:[Excl Score]],0),"")</f>
        <v/>
      </c>
    </row>
    <row r="1330" spans="1:5" x14ac:dyDescent="0.25">
      <c r="A1330" t="s">
        <v>724</v>
      </c>
      <c r="B1330" t="s">
        <v>361</v>
      </c>
      <c r="C1330" t="s">
        <v>834</v>
      </c>
      <c r="D1330" t="s">
        <v>1825</v>
      </c>
      <c r="E1330" t="str">
        <f>IFERROR(AVERAGEIFS(Upload_Indiv[Score7],Upload_Indiv[[Player]:[Player]],$A12,Upload_Indiv[[Side]:[Side]],"Raintree Front",Upload_Indiv[[Excl Score]:[Excl Score]],0),"")</f>
        <v/>
      </c>
    </row>
    <row r="1331" spans="1:5" x14ac:dyDescent="0.25">
      <c r="A1331" t="s">
        <v>724</v>
      </c>
      <c r="B1331" t="s">
        <v>361</v>
      </c>
      <c r="C1331" t="s">
        <v>834</v>
      </c>
      <c r="D1331" t="s">
        <v>1826</v>
      </c>
      <c r="E1331" t="str">
        <f>IFERROR(AVERAGEIFS(Upload_Indiv[Score7],Upload_Indiv[[Player]:[Player]],$A12,Upload_Indiv[[Side]:[Side]],"Raintree Back",Upload_Indiv[[Excl Score]:[Excl Score]],0),"")</f>
        <v/>
      </c>
    </row>
    <row r="1332" spans="1:5" x14ac:dyDescent="0.25">
      <c r="A1332" t="s">
        <v>724</v>
      </c>
      <c r="B1332" t="s">
        <v>361</v>
      </c>
      <c r="C1332" t="s">
        <v>834</v>
      </c>
      <c r="D1332" t="s">
        <v>1827</v>
      </c>
      <c r="E1332" t="str">
        <f>IFERROR(AVERAGEIFS(Upload_Indiv[Score7],Upload_Indiv[[Player]:[Player]],$A13,Upload_Indiv[[Side]:[Side]],"Raintree Front",Upload_Indiv[[Excl Score]:[Excl Score]],0),"")</f>
        <v/>
      </c>
    </row>
    <row r="1333" spans="1:5" x14ac:dyDescent="0.25">
      <c r="A1333" t="s">
        <v>724</v>
      </c>
      <c r="B1333" t="s">
        <v>361</v>
      </c>
      <c r="C1333" t="s">
        <v>834</v>
      </c>
      <c r="D1333" t="s">
        <v>1828</v>
      </c>
      <c r="E1333" t="str">
        <f>IFERROR(AVERAGEIFS(Upload_Indiv[Score7],Upload_Indiv[[Player]:[Player]],$A13,Upload_Indiv[[Side]:[Side]],"Raintree Back",Upload_Indiv[[Excl Score]:[Excl Score]],0),"")</f>
        <v/>
      </c>
    </row>
    <row r="1334" spans="1:5" x14ac:dyDescent="0.25">
      <c r="A1334" t="s">
        <v>724</v>
      </c>
      <c r="B1334" t="s">
        <v>361</v>
      </c>
      <c r="C1334" t="s">
        <v>834</v>
      </c>
      <c r="D1334" t="s">
        <v>1829</v>
      </c>
      <c r="E1334" t="str">
        <f>IFERROR(AVERAGEIFS(Upload_Indiv[Score7],Upload_Indiv[[Player]:[Player]],$A14,Upload_Indiv[[Side]:[Side]],"Raintree Front",Upload_Indiv[[Excl Score]:[Excl Score]],0),"")</f>
        <v/>
      </c>
    </row>
    <row r="1335" spans="1:5" x14ac:dyDescent="0.25">
      <c r="A1335" t="s">
        <v>724</v>
      </c>
      <c r="B1335" t="s">
        <v>361</v>
      </c>
      <c r="C1335" t="s">
        <v>834</v>
      </c>
      <c r="D1335" t="s">
        <v>1830</v>
      </c>
      <c r="E1335" t="str">
        <f>IFERROR(AVERAGEIFS(Upload_Indiv[Score7],Upload_Indiv[[Player]:[Player]],$A14,Upload_Indiv[[Side]:[Side]],"Raintree Back",Upload_Indiv[[Excl Score]:[Excl Score]],0),"")</f>
        <v/>
      </c>
    </row>
    <row r="1336" spans="1:5" x14ac:dyDescent="0.25">
      <c r="A1336" t="s">
        <v>724</v>
      </c>
      <c r="B1336" t="s">
        <v>361</v>
      </c>
      <c r="C1336" t="s">
        <v>834</v>
      </c>
      <c r="D1336" t="s">
        <v>1831</v>
      </c>
      <c r="E1336" t="str">
        <f>IFERROR(AVERAGEIFS(Upload_Indiv[Score7],Upload_Indiv[[Player]:[Player]],$A15,Upload_Indiv[[Side]:[Side]],"Raintree Front",Upload_Indiv[[Excl Score]:[Excl Score]],0),"")</f>
        <v/>
      </c>
    </row>
    <row r="1337" spans="1:5" x14ac:dyDescent="0.25">
      <c r="A1337" t="s">
        <v>724</v>
      </c>
      <c r="B1337" t="s">
        <v>361</v>
      </c>
      <c r="C1337" t="s">
        <v>834</v>
      </c>
      <c r="D1337" t="s">
        <v>1832</v>
      </c>
      <c r="E1337" t="str">
        <f>IFERROR(AVERAGEIFS(Upload_Indiv[Score7],Upload_Indiv[[Player]:[Player]],$A15,Upload_Indiv[[Side]:[Side]],"Raintree Back",Upload_Indiv[[Excl Score]:[Excl Score]],0),"")</f>
        <v/>
      </c>
    </row>
    <row r="1338" spans="1:5" x14ac:dyDescent="0.25">
      <c r="A1338" t="s">
        <v>724</v>
      </c>
      <c r="B1338" t="s">
        <v>361</v>
      </c>
      <c r="C1338" t="s">
        <v>834</v>
      </c>
      <c r="D1338" t="s">
        <v>1833</v>
      </c>
      <c r="E1338" t="str">
        <f>IFERROR(AVERAGEIFS(Upload_Indiv[Score7],Upload_Indiv[[Player]:[Player]],$A16,Upload_Indiv[[Side]:[Side]],"Raintree Front",Upload_Indiv[[Excl Score]:[Excl Score]],0),"")</f>
        <v/>
      </c>
    </row>
    <row r="1339" spans="1:5" x14ac:dyDescent="0.25">
      <c r="A1339" t="s">
        <v>724</v>
      </c>
      <c r="B1339" t="s">
        <v>361</v>
      </c>
      <c r="C1339" t="s">
        <v>834</v>
      </c>
      <c r="D1339" t="s">
        <v>1834</v>
      </c>
      <c r="E1339" t="str">
        <f>IFERROR(AVERAGEIFS(Upload_Indiv[Score7],Upload_Indiv[[Player]:[Player]],$A16,Upload_Indiv[[Side]:[Side]],"Raintree Back",Upload_Indiv[[Excl Score]:[Excl Score]],0),"")</f>
        <v/>
      </c>
    </row>
    <row r="1340" spans="1:5" x14ac:dyDescent="0.25">
      <c r="A1340" t="s">
        <v>724</v>
      </c>
      <c r="B1340" t="s">
        <v>361</v>
      </c>
      <c r="C1340" t="s">
        <v>834</v>
      </c>
      <c r="D1340" t="s">
        <v>1835</v>
      </c>
      <c r="E1340" t="str">
        <f>IFERROR(AVERAGEIFS(Upload_Indiv[Score7],Upload_Indiv[[Player]:[Player]],$A17,Upload_Indiv[[Side]:[Side]],"Raintree Front",Upload_Indiv[[Excl Score]:[Excl Score]],0),"")</f>
        <v/>
      </c>
    </row>
    <row r="1341" spans="1:5" x14ac:dyDescent="0.25">
      <c r="A1341" t="s">
        <v>724</v>
      </c>
      <c r="B1341" t="s">
        <v>361</v>
      </c>
      <c r="C1341" t="s">
        <v>834</v>
      </c>
      <c r="D1341" t="s">
        <v>1836</v>
      </c>
      <c r="E1341" t="str">
        <f>IFERROR(AVERAGEIFS(Upload_Indiv[Score7],Upload_Indiv[[Player]:[Player]],$A17,Upload_Indiv[[Side]:[Side]],"Raintree Back",Upload_Indiv[[Excl Score]:[Excl Score]],0),"")</f>
        <v/>
      </c>
    </row>
    <row r="1342" spans="1:5" x14ac:dyDescent="0.25">
      <c r="A1342" t="s">
        <v>724</v>
      </c>
      <c r="B1342" t="s">
        <v>361</v>
      </c>
      <c r="C1342" t="s">
        <v>834</v>
      </c>
      <c r="D1342" t="s">
        <v>1837</v>
      </c>
      <c r="E1342" t="str">
        <f>IFERROR(AVERAGEIFS(Upload_Indiv[Score7],Upload_Indiv[[Player]:[Player]],$A18,Upload_Indiv[[Side]:[Side]],"Raintree Front",Upload_Indiv[[Excl Score]:[Excl Score]],0),"")</f>
        <v/>
      </c>
    </row>
    <row r="1343" spans="1:5" x14ac:dyDescent="0.25">
      <c r="A1343" t="s">
        <v>724</v>
      </c>
      <c r="B1343" t="s">
        <v>361</v>
      </c>
      <c r="C1343" t="s">
        <v>834</v>
      </c>
      <c r="D1343" t="s">
        <v>1838</v>
      </c>
      <c r="E1343" t="str">
        <f>IFERROR(AVERAGEIFS(Upload_Indiv[Score7],Upload_Indiv[[Player]:[Player]],$A18,Upload_Indiv[[Side]:[Side]],"Raintree Back",Upload_Indiv[[Excl Score]:[Excl Score]],0),"")</f>
        <v/>
      </c>
    </row>
    <row r="1344" spans="1:5" x14ac:dyDescent="0.25">
      <c r="A1344" t="s">
        <v>724</v>
      </c>
      <c r="B1344" t="s">
        <v>361</v>
      </c>
      <c r="C1344" t="s">
        <v>834</v>
      </c>
      <c r="D1344" t="s">
        <v>1839</v>
      </c>
      <c r="E1344" t="str">
        <f>IFERROR(AVERAGEIFS(Upload_Indiv[Score7],Upload_Indiv[[Player]:[Player]],$A19,Upload_Indiv[[Side]:[Side]],"Raintree Front",Upload_Indiv[[Excl Score]:[Excl Score]],0),"")</f>
        <v/>
      </c>
    </row>
    <row r="1345" spans="1:5" x14ac:dyDescent="0.25">
      <c r="A1345" t="s">
        <v>724</v>
      </c>
      <c r="B1345" t="s">
        <v>361</v>
      </c>
      <c r="C1345" t="s">
        <v>834</v>
      </c>
      <c r="D1345" t="s">
        <v>1840</v>
      </c>
      <c r="E1345" t="str">
        <f>IFERROR(AVERAGEIFS(Upload_Indiv[Score7],Upload_Indiv[[Player]:[Player]],$A19,Upload_Indiv[[Side]:[Side]],"Raintree Back",Upload_Indiv[[Excl Score]:[Excl Score]],0),"")</f>
        <v/>
      </c>
    </row>
    <row r="1346" spans="1:5" x14ac:dyDescent="0.25">
      <c r="A1346" t="s">
        <v>724</v>
      </c>
      <c r="B1346" t="s">
        <v>361</v>
      </c>
      <c r="C1346" t="s">
        <v>834</v>
      </c>
      <c r="D1346" t="s">
        <v>1841</v>
      </c>
      <c r="E1346" t="str">
        <f>IFERROR(AVERAGEIFS(Upload_Indiv[Score7],Upload_Indiv[[Player]:[Player]],$A20,Upload_Indiv[[Side]:[Side]],"Raintree Front",Upload_Indiv[[Excl Score]:[Excl Score]],0),"")</f>
        <v/>
      </c>
    </row>
    <row r="1347" spans="1:5" x14ac:dyDescent="0.25">
      <c r="A1347" t="s">
        <v>724</v>
      </c>
      <c r="B1347" t="s">
        <v>361</v>
      </c>
      <c r="C1347" t="s">
        <v>834</v>
      </c>
      <c r="D1347" t="s">
        <v>1842</v>
      </c>
      <c r="E1347" t="str">
        <f>IFERROR(AVERAGEIFS(Upload_Indiv[Score7],Upload_Indiv[[Player]:[Player]],$A20,Upload_Indiv[[Side]:[Side]],"Raintree Back",Upload_Indiv[[Excl Score]:[Excl Score]],0),"")</f>
        <v/>
      </c>
    </row>
    <row r="1348" spans="1:5" x14ac:dyDescent="0.25">
      <c r="A1348" t="s">
        <v>724</v>
      </c>
      <c r="B1348" t="s">
        <v>361</v>
      </c>
      <c r="C1348" t="s">
        <v>834</v>
      </c>
      <c r="D1348" t="s">
        <v>1843</v>
      </c>
      <c r="E1348" t="str">
        <f>IFERROR(AVERAGEIFS(Upload_Indiv[Score7],Upload_Indiv[[Player]:[Player]],$A21,Upload_Indiv[[Side]:[Side]],"Raintree Front",Upload_Indiv[[Excl Score]:[Excl Score]],0),"")</f>
        <v/>
      </c>
    </row>
    <row r="1349" spans="1:5" x14ac:dyDescent="0.25">
      <c r="A1349" t="s">
        <v>724</v>
      </c>
      <c r="B1349" t="s">
        <v>361</v>
      </c>
      <c r="C1349" t="s">
        <v>834</v>
      </c>
      <c r="D1349" t="s">
        <v>1844</v>
      </c>
      <c r="E1349" t="str">
        <f>IFERROR(AVERAGEIFS(Upload_Indiv[Score7],Upload_Indiv[[Player]:[Player]],$A21,Upload_Indiv[[Side]:[Side]],"Raintree Back",Upload_Indiv[[Excl Score]:[Excl Score]],0),"")</f>
        <v/>
      </c>
    </row>
    <row r="1350" spans="1:5" x14ac:dyDescent="0.25">
      <c r="A1350" t="s">
        <v>724</v>
      </c>
      <c r="B1350" t="s">
        <v>361</v>
      </c>
      <c r="C1350" t="s">
        <v>834</v>
      </c>
      <c r="D1350" t="s">
        <v>1845</v>
      </c>
      <c r="E1350" t="str">
        <f>IFERROR(AVERAGEIFS(Upload_Indiv[Score7],Upload_Indiv[[Player]:[Player]],$A22,Upload_Indiv[[Side]:[Side]],"Raintree Front",Upload_Indiv[[Excl Score]:[Excl Score]],0),"")</f>
        <v/>
      </c>
    </row>
    <row r="1351" spans="1:5" x14ac:dyDescent="0.25">
      <c r="A1351" t="s">
        <v>724</v>
      </c>
      <c r="B1351" t="s">
        <v>361</v>
      </c>
      <c r="C1351" t="s">
        <v>834</v>
      </c>
      <c r="D1351" t="s">
        <v>1846</v>
      </c>
      <c r="E1351" t="str">
        <f>IFERROR(AVERAGEIFS(Upload_Indiv[Score7],Upload_Indiv[[Player]:[Player]],$A22,Upload_Indiv[[Side]:[Side]],"Raintree Back",Upload_Indiv[[Excl Score]:[Excl Score]],0),"")</f>
        <v/>
      </c>
    </row>
    <row r="1352" spans="1:5" x14ac:dyDescent="0.25">
      <c r="A1352" t="s">
        <v>724</v>
      </c>
      <c r="B1352" t="s">
        <v>361</v>
      </c>
      <c r="C1352" t="s">
        <v>834</v>
      </c>
      <c r="D1352" t="s">
        <v>1847</v>
      </c>
      <c r="E1352" t="str">
        <f>IFERROR(AVERAGEIFS(Upload_Indiv[Score7],Upload_Indiv[[Player]:[Player]],$A23,Upload_Indiv[[Side]:[Side]],"Raintree Front",Upload_Indiv[[Excl Score]:[Excl Score]],0),"")</f>
        <v/>
      </c>
    </row>
    <row r="1353" spans="1:5" x14ac:dyDescent="0.25">
      <c r="A1353" t="s">
        <v>724</v>
      </c>
      <c r="B1353" t="s">
        <v>361</v>
      </c>
      <c r="C1353" t="s">
        <v>834</v>
      </c>
      <c r="D1353" t="s">
        <v>1848</v>
      </c>
      <c r="E1353" t="str">
        <f>IFERROR(AVERAGEIFS(Upload_Indiv[Score7],Upload_Indiv[[Player]:[Player]],$A23,Upload_Indiv[[Side]:[Side]],"Raintree Back",Upload_Indiv[[Excl Score]:[Excl Score]],0),"")</f>
        <v/>
      </c>
    </row>
    <row r="1354" spans="1:5" x14ac:dyDescent="0.25">
      <c r="A1354" t="s">
        <v>724</v>
      </c>
      <c r="B1354" t="s">
        <v>361</v>
      </c>
      <c r="C1354" t="s">
        <v>834</v>
      </c>
      <c r="D1354" t="s">
        <v>1849</v>
      </c>
      <c r="E1354" t="str">
        <f>IFERROR(AVERAGEIFS(Upload_Indiv[Score7],Upload_Indiv[[Player]:[Player]],$A24,Upload_Indiv[[Side]:[Side]],"Raintree Front",Upload_Indiv[[Excl Score]:[Excl Score]],0),"")</f>
        <v/>
      </c>
    </row>
    <row r="1355" spans="1:5" x14ac:dyDescent="0.25">
      <c r="A1355" t="s">
        <v>724</v>
      </c>
      <c r="B1355" t="s">
        <v>361</v>
      </c>
      <c r="C1355" t="s">
        <v>834</v>
      </c>
      <c r="D1355" t="s">
        <v>1850</v>
      </c>
      <c r="E1355" t="str">
        <f>IFERROR(AVERAGEIFS(Upload_Indiv[Score7],Upload_Indiv[[Player]:[Player]],$A24,Upload_Indiv[[Side]:[Side]],"Raintree Back",Upload_Indiv[[Excl Score]:[Excl Score]],0),"")</f>
        <v/>
      </c>
    </row>
    <row r="1356" spans="1:5" x14ac:dyDescent="0.25">
      <c r="A1356" t="s">
        <v>724</v>
      </c>
      <c r="B1356" t="s">
        <v>361</v>
      </c>
      <c r="C1356" t="s">
        <v>834</v>
      </c>
      <c r="D1356" t="s">
        <v>1851</v>
      </c>
      <c r="E1356" t="str">
        <f>IFERROR(AVERAGEIFS(Upload_Indiv[Score7],Upload_Indiv[[Player]:[Player]],$A25,Upload_Indiv[[Side]:[Side]],"Raintree Front",Upload_Indiv[[Excl Score]:[Excl Score]],0),"")</f>
        <v/>
      </c>
    </row>
    <row r="1357" spans="1:5" x14ac:dyDescent="0.25">
      <c r="A1357" t="s">
        <v>724</v>
      </c>
      <c r="B1357" t="s">
        <v>361</v>
      </c>
      <c r="C1357" t="s">
        <v>834</v>
      </c>
      <c r="D1357" t="s">
        <v>1852</v>
      </c>
      <c r="E1357" t="str">
        <f>IFERROR(AVERAGEIFS(Upload_Indiv[Score7],Upload_Indiv[[Player]:[Player]],$A25,Upload_Indiv[[Side]:[Side]],"Raintree Back",Upload_Indiv[[Excl Score]:[Excl Score]],0),"")</f>
        <v/>
      </c>
    </row>
    <row r="1358" spans="1:5" x14ac:dyDescent="0.25">
      <c r="A1358" t="s">
        <v>724</v>
      </c>
      <c r="B1358" t="s">
        <v>361</v>
      </c>
      <c r="C1358" t="s">
        <v>834</v>
      </c>
      <c r="D1358" t="s">
        <v>1853</v>
      </c>
      <c r="E1358" t="str">
        <f>IFERROR(AVERAGEIFS(Upload_Indiv[Score7],Upload_Indiv[[Player]:[Player]],$A26,Upload_Indiv[[Side]:[Side]],"Raintree Front",Upload_Indiv[[Excl Score]:[Excl Score]],0),"")</f>
        <v/>
      </c>
    </row>
    <row r="1359" spans="1:5" x14ac:dyDescent="0.25">
      <c r="A1359" t="s">
        <v>724</v>
      </c>
      <c r="B1359" t="s">
        <v>361</v>
      </c>
      <c r="C1359" t="s">
        <v>834</v>
      </c>
      <c r="D1359" t="s">
        <v>1854</v>
      </c>
      <c r="E1359" t="str">
        <f>IFERROR(AVERAGEIFS(Upload_Indiv[Score7],Upload_Indiv[[Player]:[Player]],$A26,Upload_Indiv[[Side]:[Side]],"Raintree Back",Upload_Indiv[[Excl Score]:[Excl Score]],0),"")</f>
        <v/>
      </c>
    </row>
    <row r="1360" spans="1:5" x14ac:dyDescent="0.25">
      <c r="A1360" t="s">
        <v>724</v>
      </c>
      <c r="B1360" t="s">
        <v>361</v>
      </c>
      <c r="C1360" t="s">
        <v>834</v>
      </c>
      <c r="D1360" t="s">
        <v>1855</v>
      </c>
      <c r="E1360" t="str">
        <f>IFERROR(AVERAGEIFS(Upload_Indiv[Score7],Upload_Indiv[[Player]:[Player]],$A27,Upload_Indiv[[Side]:[Side]],"Raintree Front",Upload_Indiv[[Excl Score]:[Excl Score]],0),"")</f>
        <v/>
      </c>
    </row>
    <row r="1361" spans="1:5" x14ac:dyDescent="0.25">
      <c r="A1361" t="s">
        <v>724</v>
      </c>
      <c r="B1361" t="s">
        <v>361</v>
      </c>
      <c r="C1361" t="s">
        <v>834</v>
      </c>
      <c r="D1361" t="s">
        <v>1856</v>
      </c>
      <c r="E1361" t="str">
        <f>IFERROR(AVERAGEIFS(Upload_Indiv[Score7],Upload_Indiv[[Player]:[Player]],$A27,Upload_Indiv[[Side]:[Side]],"Raintree Back",Upload_Indiv[[Excl Score]:[Excl Score]],0),"")</f>
        <v/>
      </c>
    </row>
    <row r="1362" spans="1:5" x14ac:dyDescent="0.25">
      <c r="A1362" t="s">
        <v>724</v>
      </c>
      <c r="B1362" t="s">
        <v>361</v>
      </c>
      <c r="C1362" t="s">
        <v>834</v>
      </c>
      <c r="D1362" t="s">
        <v>1857</v>
      </c>
      <c r="E1362" t="str">
        <f>IFERROR(AVERAGEIFS(Upload_Indiv[Score7],Upload_Indiv[[Player]:[Player]],$A28,Upload_Indiv[[Side]:[Side]],"Raintree Front",Upload_Indiv[[Excl Score]:[Excl Score]],0),"")</f>
        <v/>
      </c>
    </row>
    <row r="1363" spans="1:5" x14ac:dyDescent="0.25">
      <c r="A1363" t="s">
        <v>724</v>
      </c>
      <c r="B1363" t="s">
        <v>361</v>
      </c>
      <c r="C1363" t="s">
        <v>834</v>
      </c>
      <c r="D1363" t="s">
        <v>1858</v>
      </c>
      <c r="E1363" t="str">
        <f>IFERROR(AVERAGEIFS(Upload_Indiv[Score7],Upload_Indiv[[Player]:[Player]],$A28,Upload_Indiv[[Side]:[Side]],"Raintree Back",Upload_Indiv[[Excl Score]:[Excl Score]],0),"")</f>
        <v/>
      </c>
    </row>
    <row r="1364" spans="1:5" x14ac:dyDescent="0.25">
      <c r="A1364" t="s">
        <v>724</v>
      </c>
      <c r="B1364" t="s">
        <v>361</v>
      </c>
      <c r="C1364" t="s">
        <v>834</v>
      </c>
      <c r="D1364" t="s">
        <v>1859</v>
      </c>
      <c r="E1364" t="str">
        <f>IFERROR(AVERAGEIFS(Upload_Indiv[Score7],Upload_Indiv[[Player]:[Player]],$A29,Upload_Indiv[[Side]:[Side]],"Raintree Front",Upload_Indiv[[Excl Score]:[Excl Score]],0),"")</f>
        <v/>
      </c>
    </row>
    <row r="1365" spans="1:5" x14ac:dyDescent="0.25">
      <c r="A1365" t="s">
        <v>724</v>
      </c>
      <c r="B1365" t="s">
        <v>361</v>
      </c>
      <c r="C1365" t="s">
        <v>834</v>
      </c>
      <c r="D1365" t="s">
        <v>1860</v>
      </c>
      <c r="E1365" t="str">
        <f>IFERROR(AVERAGEIFS(Upload_Indiv[Score7],Upload_Indiv[[Player]:[Player]],$A29,Upload_Indiv[[Side]:[Side]],"Raintree Back",Upload_Indiv[[Excl Score]:[Excl Score]],0),"")</f>
        <v/>
      </c>
    </row>
    <row r="1366" spans="1:5" x14ac:dyDescent="0.25">
      <c r="A1366" t="s">
        <v>724</v>
      </c>
      <c r="B1366" t="s">
        <v>361</v>
      </c>
      <c r="C1366" t="s">
        <v>834</v>
      </c>
      <c r="D1366" t="s">
        <v>1861</v>
      </c>
      <c r="E1366" t="str">
        <f>IFERROR(AVERAGEIFS(Upload_Indiv[Score7],Upload_Indiv[[Player]:[Player]],$A30,Upload_Indiv[[Side]:[Side]],"Raintree Front",Upload_Indiv[[Excl Score]:[Excl Score]],0),"")</f>
        <v/>
      </c>
    </row>
    <row r="1367" spans="1:5" x14ac:dyDescent="0.25">
      <c r="A1367" t="s">
        <v>724</v>
      </c>
      <c r="B1367" t="s">
        <v>361</v>
      </c>
      <c r="C1367" t="s">
        <v>834</v>
      </c>
      <c r="D1367" t="s">
        <v>1862</v>
      </c>
      <c r="E1367" t="str">
        <f>IFERROR(AVERAGEIFS(Upload_Indiv[Score7],Upload_Indiv[[Player]:[Player]],$A30,Upload_Indiv[[Side]:[Side]],"Raintree Back",Upload_Indiv[[Excl Score]:[Excl Score]],0),"")</f>
        <v/>
      </c>
    </row>
    <row r="1368" spans="1:5" x14ac:dyDescent="0.25">
      <c r="A1368" t="s">
        <v>724</v>
      </c>
      <c r="B1368" t="s">
        <v>361</v>
      </c>
      <c r="C1368" t="s">
        <v>834</v>
      </c>
      <c r="D1368" t="s">
        <v>1863</v>
      </c>
      <c r="E1368" t="str">
        <f>IFERROR(AVERAGEIFS(Upload_Indiv[Score7],Upload_Indiv[[Player]:[Player]],$A31,Upload_Indiv[[Side]:[Side]],"Raintree Front",Upload_Indiv[[Excl Score]:[Excl Score]],0),"")</f>
        <v/>
      </c>
    </row>
    <row r="1369" spans="1:5" x14ac:dyDescent="0.25">
      <c r="A1369" t="s">
        <v>724</v>
      </c>
      <c r="B1369" t="s">
        <v>361</v>
      </c>
      <c r="C1369" t="s">
        <v>834</v>
      </c>
      <c r="D1369" t="s">
        <v>1864</v>
      </c>
      <c r="E1369" t="str">
        <f>IFERROR(AVERAGEIFS(Upload_Indiv[Score7],Upload_Indiv[[Player]:[Player]],$A31,Upload_Indiv[[Side]:[Side]],"Raintree Back",Upload_Indiv[[Excl Score]:[Excl Score]],0),"")</f>
        <v/>
      </c>
    </row>
    <row r="1370" spans="1:5" x14ac:dyDescent="0.25">
      <c r="A1370" t="s">
        <v>724</v>
      </c>
      <c r="B1370" t="s">
        <v>361</v>
      </c>
      <c r="C1370" t="s">
        <v>834</v>
      </c>
      <c r="D1370" t="s">
        <v>1865</v>
      </c>
      <c r="E1370" t="str">
        <f>IFERROR(AVERAGEIFS(Upload_Indiv[Score7],Upload_Indiv[[Player]:[Player]],$A32,Upload_Indiv[[Side]:[Side]],"Raintree Front",Upload_Indiv[[Excl Score]:[Excl Score]],0),"")</f>
        <v/>
      </c>
    </row>
    <row r="1371" spans="1:5" x14ac:dyDescent="0.25">
      <c r="A1371" t="s">
        <v>724</v>
      </c>
      <c r="B1371" t="s">
        <v>361</v>
      </c>
      <c r="C1371" t="s">
        <v>834</v>
      </c>
      <c r="D1371" t="s">
        <v>1866</v>
      </c>
      <c r="E1371" t="str">
        <f>IFERROR(AVERAGEIFS(Upload_Indiv[Score7],Upload_Indiv[[Player]:[Player]],$A32,Upload_Indiv[[Side]:[Side]],"Raintree Back",Upload_Indiv[[Excl Score]:[Excl Score]],0),"")</f>
        <v/>
      </c>
    </row>
    <row r="1372" spans="1:5" x14ac:dyDescent="0.25">
      <c r="A1372" t="s">
        <v>724</v>
      </c>
      <c r="B1372" t="s">
        <v>361</v>
      </c>
      <c r="C1372" t="s">
        <v>834</v>
      </c>
      <c r="D1372" t="s">
        <v>1867</v>
      </c>
      <c r="E1372" t="str">
        <f>IFERROR(AVERAGEIFS(Upload_Indiv[Score7],Upload_Indiv[[Player]:[Player]],$A33,Upload_Indiv[[Side]:[Side]],"Raintree Front",Upload_Indiv[[Excl Score]:[Excl Score]],0),"")</f>
        <v/>
      </c>
    </row>
    <row r="1373" spans="1:5" x14ac:dyDescent="0.25">
      <c r="A1373" t="s">
        <v>724</v>
      </c>
      <c r="B1373" t="s">
        <v>361</v>
      </c>
      <c r="C1373" t="s">
        <v>834</v>
      </c>
      <c r="D1373" t="s">
        <v>1868</v>
      </c>
      <c r="E1373" t="str">
        <f>IFERROR(AVERAGEIFS(Upload_Indiv[Score7],Upload_Indiv[[Player]:[Player]],$A33,Upload_Indiv[[Side]:[Side]],"Raintree Back",Upload_Indiv[[Excl Score]:[Excl Score]],0),"")</f>
        <v/>
      </c>
    </row>
    <row r="1374" spans="1:5" x14ac:dyDescent="0.25">
      <c r="A1374" t="s">
        <v>724</v>
      </c>
      <c r="B1374" t="s">
        <v>361</v>
      </c>
      <c r="C1374" t="s">
        <v>834</v>
      </c>
      <c r="D1374" t="s">
        <v>1869</v>
      </c>
      <c r="E1374" t="str">
        <f>IFERROR(AVERAGEIFS(Upload_Indiv[Score7],Upload_Indiv[[Player]:[Player]],$A34,Upload_Indiv[[Side]:[Side]],"Raintree Front",Upload_Indiv[[Excl Score]:[Excl Score]],0),"")</f>
        <v/>
      </c>
    </row>
    <row r="1375" spans="1:5" x14ac:dyDescent="0.25">
      <c r="A1375" t="s">
        <v>724</v>
      </c>
      <c r="B1375" t="s">
        <v>361</v>
      </c>
      <c r="C1375" t="s">
        <v>834</v>
      </c>
      <c r="D1375" t="s">
        <v>1870</v>
      </c>
      <c r="E1375" t="str">
        <f>IFERROR(AVERAGEIFS(Upload_Indiv[Score7],Upload_Indiv[[Player]:[Player]],$A34,Upload_Indiv[[Side]:[Side]],"Raintree Back",Upload_Indiv[[Excl Score]:[Excl Score]],0),"")</f>
        <v/>
      </c>
    </row>
    <row r="1376" spans="1:5" x14ac:dyDescent="0.25">
      <c r="A1376" t="s">
        <v>724</v>
      </c>
      <c r="B1376" t="s">
        <v>361</v>
      </c>
      <c r="C1376" t="s">
        <v>834</v>
      </c>
      <c r="D1376" t="s">
        <v>1871</v>
      </c>
      <c r="E1376" t="str">
        <f>IFERROR(AVERAGEIFS(Upload_Indiv[Score7],Upload_Indiv[[Player]:[Player]],$A35,Upload_Indiv[[Side]:[Side]],"Raintree Front",Upload_Indiv[[Excl Score]:[Excl Score]],0),"")</f>
        <v/>
      </c>
    </row>
    <row r="1377" spans="1:5" x14ac:dyDescent="0.25">
      <c r="A1377" t="s">
        <v>724</v>
      </c>
      <c r="B1377" t="s">
        <v>361</v>
      </c>
      <c r="C1377" t="s">
        <v>834</v>
      </c>
      <c r="D1377" t="s">
        <v>1872</v>
      </c>
      <c r="E1377" t="str">
        <f>IFERROR(AVERAGEIFS(Upload_Indiv[Score7],Upload_Indiv[[Player]:[Player]],$A35,Upload_Indiv[[Side]:[Side]],"Raintree Back",Upload_Indiv[[Excl Score]:[Excl Score]],0),"")</f>
        <v/>
      </c>
    </row>
    <row r="1378" spans="1:5" x14ac:dyDescent="0.25">
      <c r="A1378" t="s">
        <v>724</v>
      </c>
      <c r="B1378" t="s">
        <v>361</v>
      </c>
      <c r="C1378" t="s">
        <v>834</v>
      </c>
      <c r="D1378" t="s">
        <v>1873</v>
      </c>
      <c r="E1378" t="str">
        <f>IFERROR(AVERAGEIFS(Upload_Indiv[Score7],Upload_Indiv[[Player]:[Player]],$A36,Upload_Indiv[[Side]:[Side]],"Raintree Front",Upload_Indiv[[Excl Score]:[Excl Score]],0),"")</f>
        <v/>
      </c>
    </row>
    <row r="1379" spans="1:5" x14ac:dyDescent="0.25">
      <c r="A1379" t="s">
        <v>724</v>
      </c>
      <c r="B1379" t="s">
        <v>361</v>
      </c>
      <c r="C1379" t="s">
        <v>834</v>
      </c>
      <c r="D1379" t="s">
        <v>1874</v>
      </c>
      <c r="E1379" t="str">
        <f>IFERROR(AVERAGEIFS(Upload_Indiv[Score7],Upload_Indiv[[Player]:[Player]],$A36,Upload_Indiv[[Side]:[Side]],"Raintree Back",Upload_Indiv[[Excl Score]:[Excl Score]],0),"")</f>
        <v/>
      </c>
    </row>
    <row r="1380" spans="1:5" x14ac:dyDescent="0.25">
      <c r="A1380" t="s">
        <v>724</v>
      </c>
      <c r="B1380" t="s">
        <v>361</v>
      </c>
      <c r="C1380" t="s">
        <v>834</v>
      </c>
      <c r="D1380" t="s">
        <v>1875</v>
      </c>
      <c r="E1380" t="str">
        <f>IFERROR(AVERAGEIFS(Upload_Indiv[Score7],Upload_Indiv[[Player]:[Player]],$A37,Upload_Indiv[[Side]:[Side]],"Raintree Front",Upload_Indiv[[Excl Score]:[Excl Score]],0),"")</f>
        <v/>
      </c>
    </row>
    <row r="1381" spans="1:5" x14ac:dyDescent="0.25">
      <c r="A1381" t="s">
        <v>724</v>
      </c>
      <c r="B1381" t="s">
        <v>361</v>
      </c>
      <c r="C1381" t="s">
        <v>834</v>
      </c>
      <c r="D1381" t="s">
        <v>1876</v>
      </c>
      <c r="E1381" t="str">
        <f>IFERROR(AVERAGEIFS(Upload_Indiv[Score7],Upload_Indiv[[Player]:[Player]],$A37,Upload_Indiv[[Side]:[Side]],"Raintree Back",Upload_Indiv[[Excl Score]:[Excl Score]],0),"")</f>
        <v/>
      </c>
    </row>
    <row r="1382" spans="1:5" x14ac:dyDescent="0.25">
      <c r="A1382" t="s">
        <v>724</v>
      </c>
      <c r="B1382" t="s">
        <v>361</v>
      </c>
      <c r="C1382" t="s">
        <v>834</v>
      </c>
      <c r="D1382" t="s">
        <v>1877</v>
      </c>
      <c r="E1382" t="str">
        <f>IFERROR(AVERAGEIFS(Upload_Indiv[Score7],Upload_Indiv[[Player]:[Player]],$A38,Upload_Indiv[[Side]:[Side]],"Raintree Front",Upload_Indiv[[Excl Score]:[Excl Score]],0),"")</f>
        <v/>
      </c>
    </row>
    <row r="1383" spans="1:5" x14ac:dyDescent="0.25">
      <c r="A1383" t="s">
        <v>724</v>
      </c>
      <c r="B1383" t="s">
        <v>361</v>
      </c>
      <c r="C1383" t="s">
        <v>834</v>
      </c>
      <c r="D1383" t="s">
        <v>1878</v>
      </c>
      <c r="E1383" t="str">
        <f>IFERROR(AVERAGEIFS(Upload_Indiv[Score7],Upload_Indiv[[Player]:[Player]],$A38,Upload_Indiv[[Side]:[Side]],"Raintree Back",Upload_Indiv[[Excl Score]:[Excl Score]],0),"")</f>
        <v/>
      </c>
    </row>
    <row r="1384" spans="1:5" x14ac:dyDescent="0.25">
      <c r="A1384" t="s">
        <v>724</v>
      </c>
      <c r="B1384" t="s">
        <v>361</v>
      </c>
      <c r="C1384" t="s">
        <v>834</v>
      </c>
      <c r="D1384" t="s">
        <v>1879</v>
      </c>
      <c r="E1384" t="str">
        <f>IFERROR(AVERAGEIFS(Upload_Indiv[Score7],Upload_Indiv[[Player]:[Player]],$A39,Upload_Indiv[[Side]:[Side]],"Raintree Front",Upload_Indiv[[Excl Score]:[Excl Score]],0),"")</f>
        <v/>
      </c>
    </row>
    <row r="1385" spans="1:5" x14ac:dyDescent="0.25">
      <c r="A1385" t="s">
        <v>724</v>
      </c>
      <c r="B1385" t="s">
        <v>361</v>
      </c>
      <c r="C1385" t="s">
        <v>834</v>
      </c>
      <c r="D1385" t="s">
        <v>1880</v>
      </c>
      <c r="E1385" t="str">
        <f>IFERROR(AVERAGEIFS(Upload_Indiv[Score7],Upload_Indiv[[Player]:[Player]],$A39,Upload_Indiv[[Side]:[Side]],"Raintree Back",Upload_Indiv[[Excl Score]:[Excl Score]],0),"")</f>
        <v/>
      </c>
    </row>
    <row r="1386" spans="1:5" x14ac:dyDescent="0.25">
      <c r="A1386" t="s">
        <v>724</v>
      </c>
      <c r="B1386" t="s">
        <v>361</v>
      </c>
      <c r="C1386" t="s">
        <v>834</v>
      </c>
      <c r="D1386" t="s">
        <v>1881</v>
      </c>
      <c r="E1386" t="str">
        <f>IFERROR(AVERAGEIFS(Upload_Indiv[Score7],Upload_Indiv[[Player]:[Player]],$A40,Upload_Indiv[[Side]:[Side]],"Raintree Front",Upload_Indiv[[Excl Score]:[Excl Score]],0),"")</f>
        <v/>
      </c>
    </row>
    <row r="1387" spans="1:5" x14ac:dyDescent="0.25">
      <c r="A1387" t="s">
        <v>724</v>
      </c>
      <c r="B1387" t="s">
        <v>361</v>
      </c>
      <c r="C1387" t="s">
        <v>834</v>
      </c>
      <c r="D1387" t="s">
        <v>1882</v>
      </c>
      <c r="E1387" t="str">
        <f>IFERROR(AVERAGEIFS(Upload_Indiv[Score7],Upload_Indiv[[Player]:[Player]],$A40,Upload_Indiv[[Side]:[Side]],"Raintree Back",Upload_Indiv[[Excl Score]:[Excl Score]],0),"")</f>
        <v/>
      </c>
    </row>
    <row r="1388" spans="1:5" x14ac:dyDescent="0.25">
      <c r="A1388" t="s">
        <v>724</v>
      </c>
      <c r="B1388" t="s">
        <v>361</v>
      </c>
      <c r="C1388" t="s">
        <v>834</v>
      </c>
      <c r="D1388" t="s">
        <v>1883</v>
      </c>
      <c r="E1388" t="str">
        <f>IFERROR(AVERAGEIFS(Upload_Indiv[Score7],Upload_Indiv[[Player]:[Player]],$A41,Upload_Indiv[[Side]:[Side]],"Raintree Front",Upload_Indiv[[Excl Score]:[Excl Score]],0),"")</f>
        <v/>
      </c>
    </row>
    <row r="1389" spans="1:5" x14ac:dyDescent="0.25">
      <c r="A1389" t="s">
        <v>724</v>
      </c>
      <c r="B1389" t="s">
        <v>361</v>
      </c>
      <c r="C1389" t="s">
        <v>834</v>
      </c>
      <c r="D1389" t="s">
        <v>1884</v>
      </c>
      <c r="E1389" t="str">
        <f>IFERROR(AVERAGEIFS(Upload_Indiv[Score7],Upload_Indiv[[Player]:[Player]],$A41,Upload_Indiv[[Side]:[Side]],"Raintree Back",Upload_Indiv[[Excl Score]:[Excl Score]],0),"")</f>
        <v/>
      </c>
    </row>
    <row r="1390" spans="1:5" x14ac:dyDescent="0.25">
      <c r="A1390" t="s">
        <v>724</v>
      </c>
      <c r="B1390" t="s">
        <v>361</v>
      </c>
      <c r="C1390" t="s">
        <v>834</v>
      </c>
      <c r="D1390" t="s">
        <v>1885</v>
      </c>
      <c r="E1390" t="str">
        <f>IFERROR(AVERAGEIFS(Upload_Indiv[Score7],Upload_Indiv[[Player]:[Player]],$A42,Upload_Indiv[[Side]:[Side]],"Raintree Front",Upload_Indiv[[Excl Score]:[Excl Score]],0),"")</f>
        <v/>
      </c>
    </row>
    <row r="1391" spans="1:5" x14ac:dyDescent="0.25">
      <c r="A1391" t="s">
        <v>724</v>
      </c>
      <c r="B1391" t="s">
        <v>361</v>
      </c>
      <c r="C1391" t="s">
        <v>834</v>
      </c>
      <c r="D1391" t="s">
        <v>1886</v>
      </c>
      <c r="E1391" t="str">
        <f>IFERROR(AVERAGEIFS(Upload_Indiv[Score7],Upload_Indiv[[Player]:[Player]],$A42,Upload_Indiv[[Side]:[Side]],"Raintree Back",Upload_Indiv[[Excl Score]:[Excl Score]],0),"")</f>
        <v/>
      </c>
    </row>
    <row r="1392" spans="1:5" x14ac:dyDescent="0.25">
      <c r="A1392" t="s">
        <v>724</v>
      </c>
      <c r="B1392" t="s">
        <v>361</v>
      </c>
      <c r="C1392" t="s">
        <v>834</v>
      </c>
      <c r="D1392" t="s">
        <v>1887</v>
      </c>
      <c r="E1392" t="str">
        <f>IFERROR(AVERAGEIFS(Upload_Indiv[Score7],Upload_Indiv[[Player]:[Player]],$A43,Upload_Indiv[[Side]:[Side]],"Raintree Front",Upload_Indiv[[Excl Score]:[Excl Score]],0),"")</f>
        <v/>
      </c>
    </row>
    <row r="1393" spans="1:5" x14ac:dyDescent="0.25">
      <c r="A1393" t="s">
        <v>724</v>
      </c>
      <c r="B1393" t="s">
        <v>361</v>
      </c>
      <c r="C1393" t="s">
        <v>834</v>
      </c>
      <c r="D1393" t="s">
        <v>1888</v>
      </c>
      <c r="E1393" t="str">
        <f>IFERROR(AVERAGEIFS(Upload_Indiv[Score7],Upload_Indiv[[Player]:[Player]],$A43,Upload_Indiv[[Side]:[Side]],"Raintree Back",Upload_Indiv[[Excl Score]:[Excl Score]],0),"")</f>
        <v/>
      </c>
    </row>
    <row r="1394" spans="1:5" x14ac:dyDescent="0.25">
      <c r="A1394" t="s">
        <v>724</v>
      </c>
      <c r="B1394" t="s">
        <v>361</v>
      </c>
      <c r="C1394" t="s">
        <v>834</v>
      </c>
      <c r="D1394" t="s">
        <v>1889</v>
      </c>
      <c r="E1394" t="str">
        <f>IFERROR(AVERAGEIFS(Upload_Indiv[Score7],Upload_Indiv[[Player]:[Player]],$A44,Upload_Indiv[[Side]:[Side]],"Raintree Front",Upload_Indiv[[Excl Score]:[Excl Score]],0),"")</f>
        <v/>
      </c>
    </row>
    <row r="1395" spans="1:5" x14ac:dyDescent="0.25">
      <c r="A1395" t="s">
        <v>724</v>
      </c>
      <c r="B1395" t="s">
        <v>361</v>
      </c>
      <c r="C1395" t="s">
        <v>834</v>
      </c>
      <c r="D1395" t="s">
        <v>1890</v>
      </c>
      <c r="E1395" t="str">
        <f>IFERROR(AVERAGEIFS(Upload_Indiv[Score7],Upload_Indiv[[Player]:[Player]],$A44,Upload_Indiv[[Side]:[Side]],"Raintree Back",Upload_Indiv[[Excl Score]:[Excl Score]],0),"")</f>
        <v/>
      </c>
    </row>
    <row r="1396" spans="1:5" x14ac:dyDescent="0.25">
      <c r="A1396" t="s">
        <v>724</v>
      </c>
      <c r="B1396" t="s">
        <v>361</v>
      </c>
      <c r="C1396" t="s">
        <v>834</v>
      </c>
      <c r="D1396" t="s">
        <v>1891</v>
      </c>
      <c r="E1396" t="str">
        <f>IFERROR(AVERAGEIFS(Upload_Indiv[Score7],Upload_Indiv[[Player]:[Player]],$A45,Upload_Indiv[[Side]:[Side]],"Raintree Front",Upload_Indiv[[Excl Score]:[Excl Score]],0),"")</f>
        <v/>
      </c>
    </row>
    <row r="1397" spans="1:5" x14ac:dyDescent="0.25">
      <c r="A1397" t="s">
        <v>724</v>
      </c>
      <c r="B1397" t="s">
        <v>361</v>
      </c>
      <c r="C1397" t="s">
        <v>834</v>
      </c>
      <c r="D1397" t="s">
        <v>1892</v>
      </c>
      <c r="E1397" t="str">
        <f>IFERROR(AVERAGEIFS(Upload_Indiv[Score7],Upload_Indiv[[Player]:[Player]],$A45,Upload_Indiv[[Side]:[Side]],"Raintree Back",Upload_Indiv[[Excl Score]:[Excl Score]],0),"")</f>
        <v/>
      </c>
    </row>
    <row r="1398" spans="1:5" x14ac:dyDescent="0.25">
      <c r="A1398" t="s">
        <v>724</v>
      </c>
      <c r="B1398" t="s">
        <v>361</v>
      </c>
      <c r="C1398" t="s">
        <v>834</v>
      </c>
      <c r="D1398" t="s">
        <v>1893</v>
      </c>
      <c r="E1398" t="str">
        <f>IFERROR(AVERAGEIFS(Upload_Indiv[Score7],Upload_Indiv[[Player]:[Player]],$A46,Upload_Indiv[[Side]:[Side]],"Raintree Front",Upload_Indiv[[Excl Score]:[Excl Score]],0),"")</f>
        <v/>
      </c>
    </row>
    <row r="1399" spans="1:5" x14ac:dyDescent="0.25">
      <c r="A1399" t="s">
        <v>724</v>
      </c>
      <c r="B1399" t="s">
        <v>361</v>
      </c>
      <c r="C1399" t="s">
        <v>834</v>
      </c>
      <c r="D1399" t="s">
        <v>1894</v>
      </c>
      <c r="E1399" t="str">
        <f>IFERROR(AVERAGEIFS(Upload_Indiv[Score7],Upload_Indiv[[Player]:[Player]],$A46,Upload_Indiv[[Side]:[Side]],"Raintree Back",Upload_Indiv[[Excl Score]:[Excl Score]],0),"")</f>
        <v/>
      </c>
    </row>
    <row r="1400" spans="1:5" x14ac:dyDescent="0.25">
      <c r="A1400" t="s">
        <v>724</v>
      </c>
      <c r="B1400" t="s">
        <v>361</v>
      </c>
      <c r="C1400" t="s">
        <v>834</v>
      </c>
      <c r="D1400" t="s">
        <v>1895</v>
      </c>
      <c r="E1400" t="str">
        <f>IFERROR(AVERAGEIFS(Upload_Indiv[Score7],Upload_Indiv[[Player]:[Player]],$A47,Upload_Indiv[[Side]:[Side]],"Raintree Front",Upload_Indiv[[Excl Score]:[Excl Score]],0),"")</f>
        <v/>
      </c>
    </row>
    <row r="1401" spans="1:5" x14ac:dyDescent="0.25">
      <c r="A1401" t="s">
        <v>724</v>
      </c>
      <c r="B1401" t="s">
        <v>361</v>
      </c>
      <c r="C1401" t="s">
        <v>834</v>
      </c>
      <c r="D1401" t="s">
        <v>1896</v>
      </c>
      <c r="E1401" t="str">
        <f>IFERROR(AVERAGEIFS(Upload_Indiv[Score7],Upload_Indiv[[Player]:[Player]],$A47,Upload_Indiv[[Side]:[Side]],"Raintree Back",Upload_Indiv[[Excl Score]:[Excl Score]],0),"")</f>
        <v/>
      </c>
    </row>
    <row r="1402" spans="1:5" x14ac:dyDescent="0.25">
      <c r="A1402" t="s">
        <v>724</v>
      </c>
      <c r="B1402" t="s">
        <v>361</v>
      </c>
      <c r="C1402" t="s">
        <v>834</v>
      </c>
      <c r="D1402" t="s">
        <v>1897</v>
      </c>
      <c r="E1402" t="str">
        <f>IFERROR(AVERAGEIFS(Upload_Indiv[Score7],Upload_Indiv[[Player]:[Player]],$A48,Upload_Indiv[[Side]:[Side]],"Raintree Front",Upload_Indiv[[Excl Score]:[Excl Score]],0),"")</f>
        <v/>
      </c>
    </row>
    <row r="1403" spans="1:5" x14ac:dyDescent="0.25">
      <c r="A1403" t="s">
        <v>724</v>
      </c>
      <c r="B1403" t="s">
        <v>361</v>
      </c>
      <c r="C1403" t="s">
        <v>834</v>
      </c>
      <c r="D1403" t="s">
        <v>1898</v>
      </c>
      <c r="E1403" t="str">
        <f>IFERROR(AVERAGEIFS(Upload_Indiv[Score7],Upload_Indiv[[Player]:[Player]],$A48,Upload_Indiv[[Side]:[Side]],"Raintree Back",Upload_Indiv[[Excl Score]:[Excl Score]],0),"")</f>
        <v/>
      </c>
    </row>
    <row r="1404" spans="1:5" x14ac:dyDescent="0.25">
      <c r="A1404" t="s">
        <v>724</v>
      </c>
      <c r="B1404" t="s">
        <v>361</v>
      </c>
      <c r="C1404" t="s">
        <v>834</v>
      </c>
      <c r="D1404" t="s">
        <v>1899</v>
      </c>
      <c r="E1404" t="str">
        <f>IFERROR(AVERAGEIFS(Upload_Indiv[Score7],Upload_Indiv[[Player]:[Player]],$A49,Upload_Indiv[[Side]:[Side]],"Raintree Front",Upload_Indiv[[Excl Score]:[Excl Score]],0),"")</f>
        <v/>
      </c>
    </row>
    <row r="1405" spans="1:5" x14ac:dyDescent="0.25">
      <c r="A1405" t="s">
        <v>724</v>
      </c>
      <c r="B1405" t="s">
        <v>361</v>
      </c>
      <c r="C1405" t="s">
        <v>834</v>
      </c>
      <c r="D1405" t="s">
        <v>1900</v>
      </c>
      <c r="E1405" t="str">
        <f>IFERROR(AVERAGEIFS(Upload_Indiv[Score7],Upload_Indiv[[Player]:[Player]],$A49,Upload_Indiv[[Side]:[Side]],"Raintree Back",Upload_Indiv[[Excl Score]:[Excl Score]],0),"")</f>
        <v/>
      </c>
    </row>
    <row r="1406" spans="1:5" x14ac:dyDescent="0.25">
      <c r="A1406" t="s">
        <v>724</v>
      </c>
      <c r="B1406" t="s">
        <v>361</v>
      </c>
      <c r="C1406" t="s">
        <v>834</v>
      </c>
      <c r="D1406" t="s">
        <v>1901</v>
      </c>
      <c r="E1406" t="str">
        <f>IFERROR(AVERAGEIFS(Upload_Indiv[Score7],Upload_Indiv[[Player]:[Player]],$A50,Upload_Indiv[[Side]:[Side]],"Raintree Front",Upload_Indiv[[Excl Score]:[Excl Score]],0),"")</f>
        <v/>
      </c>
    </row>
    <row r="1407" spans="1:5" x14ac:dyDescent="0.25">
      <c r="A1407" t="s">
        <v>724</v>
      </c>
      <c r="B1407" t="s">
        <v>361</v>
      </c>
      <c r="C1407" t="s">
        <v>834</v>
      </c>
      <c r="D1407" t="s">
        <v>1902</v>
      </c>
      <c r="E1407" t="str">
        <f>IFERROR(AVERAGEIFS(Upload_Indiv[Score7],Upload_Indiv[[Player]:[Player]],$A50,Upload_Indiv[[Side]:[Side]],"Raintree Back",Upload_Indiv[[Excl Score]:[Excl Score]],0),"")</f>
        <v/>
      </c>
    </row>
    <row r="1408" spans="1:5" x14ac:dyDescent="0.25">
      <c r="A1408" t="s">
        <v>724</v>
      </c>
      <c r="B1408" t="s">
        <v>361</v>
      </c>
      <c r="C1408" t="s">
        <v>834</v>
      </c>
      <c r="D1408" t="s">
        <v>1903</v>
      </c>
      <c r="E1408" t="str">
        <f>IFERROR(AVERAGEIFS(Upload_Indiv[Score7],Upload_Indiv[[Player]:[Player]],$A51,Upload_Indiv[[Side]:[Side]],"Raintree Front",Upload_Indiv[[Excl Score]:[Excl Score]],0),"")</f>
        <v/>
      </c>
    </row>
    <row r="1409" spans="1:5" x14ac:dyDescent="0.25">
      <c r="A1409" t="s">
        <v>724</v>
      </c>
      <c r="B1409" t="s">
        <v>361</v>
      </c>
      <c r="C1409" t="s">
        <v>834</v>
      </c>
      <c r="D1409" t="s">
        <v>1904</v>
      </c>
      <c r="E1409" t="str">
        <f>IFERROR(AVERAGEIFS(Upload_Indiv[Score7],Upload_Indiv[[Player]:[Player]],$A51,Upload_Indiv[[Side]:[Side]],"Raintree Back",Upload_Indiv[[Excl Score]:[Excl Score]],0),"")</f>
        <v/>
      </c>
    </row>
    <row r="1410" spans="1:5" x14ac:dyDescent="0.25">
      <c r="A1410" t="s">
        <v>724</v>
      </c>
      <c r="B1410" t="s">
        <v>361</v>
      </c>
      <c r="C1410" t="s">
        <v>834</v>
      </c>
      <c r="D1410" t="s">
        <v>1905</v>
      </c>
      <c r="E1410" t="str">
        <f>IFERROR(AVERAGEIFS(Upload_Indiv[Score7],Upload_Indiv[[Player]:[Player]],$A52,Upload_Indiv[[Side]:[Side]],"Raintree Front",Upload_Indiv[[Excl Score]:[Excl Score]],0),"")</f>
        <v/>
      </c>
    </row>
    <row r="1411" spans="1:5" x14ac:dyDescent="0.25">
      <c r="A1411" t="s">
        <v>724</v>
      </c>
      <c r="B1411" t="s">
        <v>361</v>
      </c>
      <c r="C1411" t="s">
        <v>834</v>
      </c>
      <c r="D1411" t="s">
        <v>1906</v>
      </c>
      <c r="E1411" t="str">
        <f>IFERROR(AVERAGEIFS(Upload_Indiv[Score7],Upload_Indiv[[Player]:[Player]],$A52,Upload_Indiv[[Side]:[Side]],"Raintree Back",Upload_Indiv[[Excl Score]:[Excl Score]],0),"")</f>
        <v/>
      </c>
    </row>
    <row r="1412" spans="1:5" x14ac:dyDescent="0.25">
      <c r="A1412" t="s">
        <v>724</v>
      </c>
      <c r="B1412" t="s">
        <v>361</v>
      </c>
      <c r="C1412" t="s">
        <v>834</v>
      </c>
      <c r="D1412" t="s">
        <v>1907</v>
      </c>
      <c r="E1412" t="str">
        <f>IFERROR(AVERAGEIFS(Upload_Indiv[Score7],Upload_Indiv[[Player]:[Player]],$A53,Upload_Indiv[[Side]:[Side]],"Raintree Front",Upload_Indiv[[Excl Score]:[Excl Score]],0),"")</f>
        <v/>
      </c>
    </row>
    <row r="1413" spans="1:5" x14ac:dyDescent="0.25">
      <c r="A1413" t="s">
        <v>724</v>
      </c>
      <c r="B1413" t="s">
        <v>361</v>
      </c>
      <c r="C1413" t="s">
        <v>834</v>
      </c>
      <c r="D1413" t="s">
        <v>1908</v>
      </c>
      <c r="E1413" t="str">
        <f>IFERROR(AVERAGEIFS(Upload_Indiv[Score7],Upload_Indiv[[Player]:[Player]],$A53,Upload_Indiv[[Side]:[Side]],"Raintree Back",Upload_Indiv[[Excl Score]:[Excl Score]],0),"")</f>
        <v/>
      </c>
    </row>
    <row r="1414" spans="1:5" x14ac:dyDescent="0.25">
      <c r="A1414" t="s">
        <v>724</v>
      </c>
      <c r="B1414" t="s">
        <v>361</v>
      </c>
      <c r="C1414" t="s">
        <v>834</v>
      </c>
      <c r="D1414" t="s">
        <v>1909</v>
      </c>
      <c r="E1414" t="str">
        <f>IFERROR(AVERAGEIFS(Upload_Indiv[Score7],Upload_Indiv[[Player]:[Player]],$A54,Upload_Indiv[[Side]:[Side]],"Raintree Front",Upload_Indiv[[Excl Score]:[Excl Score]],0),"")</f>
        <v/>
      </c>
    </row>
    <row r="1415" spans="1:5" x14ac:dyDescent="0.25">
      <c r="A1415" t="s">
        <v>724</v>
      </c>
      <c r="B1415" t="s">
        <v>361</v>
      </c>
      <c r="C1415" t="s">
        <v>834</v>
      </c>
      <c r="D1415" t="s">
        <v>1910</v>
      </c>
      <c r="E1415" t="str">
        <f>IFERROR(AVERAGEIFS(Upload_Indiv[Score7],Upload_Indiv[[Player]:[Player]],$A54,Upload_Indiv[[Side]:[Side]],"Raintree Back",Upload_Indiv[[Excl Score]:[Excl Score]],0),"")</f>
        <v/>
      </c>
    </row>
    <row r="1416" spans="1:5" x14ac:dyDescent="0.25">
      <c r="A1416" t="s">
        <v>724</v>
      </c>
      <c r="B1416" t="s">
        <v>362</v>
      </c>
      <c r="C1416" t="s">
        <v>725</v>
      </c>
      <c r="D1416" t="s">
        <v>1911</v>
      </c>
      <c r="E1416" t="str">
        <f>IFERROR(AVERAGEIFS(Upload_Indiv[Score8],Upload_Indiv[[Side]:[Side]],"Raintree Front")-IF(TRUNC(ROUND($B6,0)/9,0)=2,2+IF((ROUND($B6,0)-18)*2&gt;=J$2,1,0),IF(TRUNC(ROUND($B6,0)/9,0)=1,1+IF((ROUND($B6,0)-9)*2&gt;=J$2,1,0),IF(TRUNC(ROUND($B6,0)/9,0)=0,IF(TRUNC(ROUND($B6,0)/9,0)=0,0+IF((ROUND($B6,0))*2&gt;=J$2,1,0),"Not"))))-J$3,"")</f>
        <v/>
      </c>
    </row>
    <row r="1417" spans="1:5" x14ac:dyDescent="0.25">
      <c r="A1417" t="s">
        <v>724</v>
      </c>
      <c r="B1417" t="s">
        <v>362</v>
      </c>
      <c r="C1417" t="s">
        <v>725</v>
      </c>
      <c r="D1417" t="s">
        <v>1912</v>
      </c>
      <c r="E1417" t="str">
        <f>IFERROR(AVERAGEIFS(Upload_Indiv[Score8],Upload_Indiv[[Side]:[Side]],"Raintree Back")-IF(TRUNC(ROUND($B6,0)/9,0)=2,2+IF((ROUND($B6,0)-18)*2&gt;=T$2,1,0),IF(TRUNC(ROUND($B6,0)/9,0)=1,1+IF((ROUND($B6,0)-9)*2&gt;=T$2,1,0),IF(TRUNC(ROUND($B6,0)/9,0)=0,IF(TRUNC(ROUND($B6,0)/9,0)=0,0+IF((ROUND($B6,0))*2&gt;=T$2,1,0),"Not"))))-T$3,"")</f>
        <v/>
      </c>
    </row>
    <row r="1418" spans="1:5" x14ac:dyDescent="0.25">
      <c r="A1418" t="s">
        <v>724</v>
      </c>
      <c r="B1418" t="s">
        <v>362</v>
      </c>
      <c r="C1418" t="s">
        <v>725</v>
      </c>
      <c r="D1418" t="s">
        <v>1913</v>
      </c>
      <c r="E1418" t="str">
        <f>IFERROR(AVERAGEIFS(Upload_Indiv[Score8],Upload_Indiv[[Player]:[Player]],$A8,Upload_Indiv[[Side]:[Side]],"Raintree Front")-IF(TRUNC(ROUND($B8,0)/9,0)=2,2+IF((ROUND($B8,0)-18)*2&gt;=J$2,1,0),IF(TRUNC(ROUND($B8,0)/9,0)=1,1+IF((ROUND($B8,0)-9)*2&gt;=J$2,1,0),IF(TRUNC(ROUND($B8,0)/9,0)=0,IF(TRUNC(ROUND($B8,0)/9,0)=0,0+IF((ROUND($B8,0))*2&gt;=J$2,1,0),"Not"))))-J$3,"")</f>
        <v/>
      </c>
    </row>
    <row r="1419" spans="1:5" x14ac:dyDescent="0.25">
      <c r="A1419" t="s">
        <v>724</v>
      </c>
      <c r="B1419" t="s">
        <v>362</v>
      </c>
      <c r="C1419" t="s">
        <v>725</v>
      </c>
      <c r="D1419" t="s">
        <v>1914</v>
      </c>
      <c r="E1419" t="str">
        <f>IFERROR(AVERAGEIFS(Upload_Indiv[Score8],Upload_Indiv[[Player]:[Player]],$A8,Upload_Indiv[[Side]:[Side]],"Raintree Back")-IF(TRUNC(ROUND($B8,0)/9,0)=2,2+IF((ROUND($B8,0)-18)*2&gt;=T$2,1,0),IF(TRUNC(ROUND($B8,0)/9,0)=1,1+IF((ROUND($B8,0)-9)*2&gt;=T$2,1,0),IF(TRUNC(ROUND($B8,0)/9,0)=0,IF(TRUNC(ROUND($B8,0)/9,0)=0,0+IF((ROUND($B8,0))*2&gt;=T$2,1,0),"Not"))))-T$3,"")</f>
        <v/>
      </c>
    </row>
    <row r="1420" spans="1:5" x14ac:dyDescent="0.25">
      <c r="A1420" t="s">
        <v>724</v>
      </c>
      <c r="B1420" t="s">
        <v>362</v>
      </c>
      <c r="C1420" t="s">
        <v>725</v>
      </c>
      <c r="D1420" t="s">
        <v>1195</v>
      </c>
      <c r="E1420" t="str">
        <f>IFERROR(AVERAGEIFS(Upload_Indiv[Score8],Upload_Indiv[[Player]:[Player]],$A9,Upload_Indiv[[Side]:[Side]],"Raintree Front")-IF(TRUNC(ROUND($B9,0)/9,0)=2,2+IF((ROUND($B9,0)-18)*2&gt;=J$2,1,0),IF(TRUNC(ROUND($B9,0)/9,0)=1,1+IF((ROUND($B9,0)-9)*2&gt;=J$2,1,0),IF(TRUNC(ROUND($B9,0)/9,0)=0,IF(TRUNC(ROUND($B9,0)/9,0)=0,0+IF((ROUND($B9,0))*2&gt;=J$2,1,0),"Not"))))-J$3,"")</f>
        <v/>
      </c>
    </row>
    <row r="1421" spans="1:5" x14ac:dyDescent="0.25">
      <c r="A1421" t="s">
        <v>724</v>
      </c>
      <c r="B1421" t="s">
        <v>362</v>
      </c>
      <c r="C1421" t="s">
        <v>725</v>
      </c>
      <c r="D1421" t="s">
        <v>1915</v>
      </c>
      <c r="E1421" t="str">
        <f>IFERROR(AVERAGEIFS(Upload_Indiv[Score8],Upload_Indiv[[Player]:[Player]],$A9,Upload_Indiv[[Side]:[Side]],"Raintree Back")-IF(TRUNC(ROUND($B9,0)/9,0)=2,2+IF((ROUND($B9,0)-18)*2&gt;=T$2,1,0),IF(TRUNC(ROUND($B9,0)/9,0)=1,1+IF((ROUND($B9,0)-9)*2&gt;=T$2,1,0),IF(TRUNC(ROUND($B9,0)/9,0)=0,IF(TRUNC(ROUND($B9,0)/9,0)=0,0+IF((ROUND($B9,0))*2&gt;=T$2,1,0),"Not"))))-T$3,"")</f>
        <v/>
      </c>
    </row>
    <row r="1422" spans="1:5" x14ac:dyDescent="0.25">
      <c r="A1422" t="s">
        <v>724</v>
      </c>
      <c r="B1422" t="s">
        <v>362</v>
      </c>
      <c r="C1422" t="s">
        <v>725</v>
      </c>
      <c r="D1422" t="s">
        <v>1197</v>
      </c>
      <c r="E1422" t="str">
        <f>IFERROR(AVERAGEIFS(Upload_Indiv[Score8],Upload_Indiv[[Player]:[Player]],$A10,Upload_Indiv[[Side]:[Side]],"Raintree Front")-IF(TRUNC(ROUND($B10,0)/9,0)=2,2+IF((ROUND($B10,0)-18)*2&gt;=J$2,1,0),IF(TRUNC(ROUND($B10,0)/9,0)=1,1+IF((ROUND($B10,0)-9)*2&gt;=J$2,1,0),IF(TRUNC(ROUND($B10,0)/9,0)=0,IF(TRUNC(ROUND($B10,0)/9,0)=0,0+IF((ROUND($B10,0))*2&gt;=J$2,1,0),"Not"))))-J$3,"")</f>
        <v/>
      </c>
    </row>
    <row r="1423" spans="1:5" x14ac:dyDescent="0.25">
      <c r="A1423" t="s">
        <v>724</v>
      </c>
      <c r="B1423" t="s">
        <v>362</v>
      </c>
      <c r="C1423" t="s">
        <v>725</v>
      </c>
      <c r="D1423" t="s">
        <v>1916</v>
      </c>
      <c r="E1423" t="str">
        <f>IFERROR(AVERAGEIFS(Upload_Indiv[Score8],Upload_Indiv[[Player]:[Player]],$A10,Upload_Indiv[[Side]:[Side]],"Raintree Back")-IF(TRUNC(ROUND($B10,0)/9,0)=2,2+IF((ROUND($B10,0)-18)*2&gt;=T$2,1,0),IF(TRUNC(ROUND($B10,0)/9,0)=1,1+IF((ROUND($B10,0)-9)*2&gt;=T$2,1,0),IF(TRUNC(ROUND($B10,0)/9,0)=0,IF(TRUNC(ROUND($B10,0)/9,0)=0,0+IF((ROUND($B10,0))*2&gt;=T$2,1,0),"Not"))))-T$3,"")</f>
        <v/>
      </c>
    </row>
    <row r="1424" spans="1:5" x14ac:dyDescent="0.25">
      <c r="A1424" t="s">
        <v>724</v>
      </c>
      <c r="B1424" t="s">
        <v>362</v>
      </c>
      <c r="C1424" t="s">
        <v>725</v>
      </c>
      <c r="D1424" t="s">
        <v>1199</v>
      </c>
      <c r="E1424" t="str">
        <f>IFERROR(AVERAGEIFS(Upload_Indiv[Score8],Upload_Indiv[[Player]:[Player]],$A11,Upload_Indiv[[Side]:[Side]],"Raintree Front")-IF(TRUNC(ROUND($B11,0)/9,0)=2,2+IF((ROUND($B11,0)-18)*2&gt;=J$2,1,0),IF(TRUNC(ROUND($B11,0)/9,0)=1,1+IF((ROUND($B11,0)-9)*2&gt;=J$2,1,0),IF(TRUNC(ROUND($B11,0)/9,0)=0,IF(TRUNC(ROUND($B11,0)/9,0)=0,0+IF((ROUND($B11,0))*2&gt;=J$2,1,0),"Not"))))-J$3,"")</f>
        <v/>
      </c>
    </row>
    <row r="1425" spans="1:5" x14ac:dyDescent="0.25">
      <c r="A1425" t="s">
        <v>724</v>
      </c>
      <c r="B1425" t="s">
        <v>362</v>
      </c>
      <c r="C1425" t="s">
        <v>725</v>
      </c>
      <c r="D1425" t="s">
        <v>1917</v>
      </c>
      <c r="E1425" t="str">
        <f>IFERROR(AVERAGEIFS(Upload_Indiv[Score8],Upload_Indiv[[Player]:[Player]],$A11,Upload_Indiv[[Side]:[Side]],"Raintree Back")-IF(TRUNC(ROUND($B11,0)/9,0)=2,2+IF((ROUND($B11,0)-18)*2&gt;=T$2,1,0),IF(TRUNC(ROUND($B11,0)/9,0)=1,1+IF((ROUND($B11,0)-9)*2&gt;=T$2,1,0),IF(TRUNC(ROUND($B11,0)/9,0)=0,IF(TRUNC(ROUND($B11,0)/9,0)=0,0+IF((ROUND($B11,0))*2&gt;=T$2,1,0),"Not"))))-T$3,"")</f>
        <v/>
      </c>
    </row>
    <row r="1426" spans="1:5" x14ac:dyDescent="0.25">
      <c r="A1426" t="s">
        <v>724</v>
      </c>
      <c r="B1426" t="s">
        <v>362</v>
      </c>
      <c r="C1426" t="s">
        <v>725</v>
      </c>
      <c r="D1426" t="s">
        <v>1201</v>
      </c>
      <c r="E1426" t="str">
        <f>IFERROR(AVERAGEIFS(Upload_Indiv[Score8],Upload_Indiv[[Player]:[Player]],$A12,Upload_Indiv[[Side]:[Side]],"Raintree Front")-IF(TRUNC(ROUND($B12,0)/9,0)=2,2+IF((ROUND($B12,0)-18)*2&gt;=J$2,1,0),IF(TRUNC(ROUND($B12,0)/9,0)=1,1+IF((ROUND($B12,0)-9)*2&gt;=J$2,1,0),IF(TRUNC(ROUND($B12,0)/9,0)=0,IF(TRUNC(ROUND($B12,0)/9,0)=0,0+IF((ROUND($B12,0))*2&gt;=J$2,1,0),"Not"))))-J$3,"")</f>
        <v/>
      </c>
    </row>
    <row r="1427" spans="1:5" x14ac:dyDescent="0.25">
      <c r="A1427" t="s">
        <v>724</v>
      </c>
      <c r="B1427" t="s">
        <v>362</v>
      </c>
      <c r="C1427" t="s">
        <v>725</v>
      </c>
      <c r="D1427" t="s">
        <v>1918</v>
      </c>
      <c r="E1427" t="str">
        <f>IFERROR(AVERAGEIFS(Upload_Indiv[Score8],Upload_Indiv[[Player]:[Player]],$A12,Upload_Indiv[[Side]:[Side]],"Raintree Back")-IF(TRUNC(ROUND($B12,0)/9,0)=2,2+IF((ROUND($B12,0)-18)*2&gt;=T$2,1,0),IF(TRUNC(ROUND($B12,0)/9,0)=1,1+IF((ROUND($B12,0)-9)*2&gt;=T$2,1,0),IF(TRUNC(ROUND($B12,0)/9,0)=0,IF(TRUNC(ROUND($B12,0)/9,0)=0,0+IF((ROUND($B12,0))*2&gt;=T$2,1,0),"Not"))))-T$3,"")</f>
        <v/>
      </c>
    </row>
    <row r="1428" spans="1:5" x14ac:dyDescent="0.25">
      <c r="A1428" t="s">
        <v>724</v>
      </c>
      <c r="B1428" t="s">
        <v>362</v>
      </c>
      <c r="C1428" t="s">
        <v>725</v>
      </c>
      <c r="D1428" t="s">
        <v>1203</v>
      </c>
      <c r="E1428" t="str">
        <f>IFERROR(AVERAGEIFS(Upload_Indiv[Score8],Upload_Indiv[[Player]:[Player]],$A13,Upload_Indiv[[Side]:[Side]],"Raintree Front")-IF(TRUNC(ROUND($B13,0)/9,0)=2,2+IF((ROUND($B13,0)-18)*2&gt;=J$2,1,0),IF(TRUNC(ROUND($B13,0)/9,0)=1,1+IF((ROUND($B13,0)-9)*2&gt;=J$2,1,0),IF(TRUNC(ROUND($B13,0)/9,0)=0,IF(TRUNC(ROUND($B13,0)/9,0)=0,0+IF((ROUND($B13,0))*2&gt;=J$2,1,0),"Not"))))-J$3,"")</f>
        <v/>
      </c>
    </row>
    <row r="1429" spans="1:5" x14ac:dyDescent="0.25">
      <c r="A1429" t="s">
        <v>724</v>
      </c>
      <c r="B1429" t="s">
        <v>362</v>
      </c>
      <c r="C1429" t="s">
        <v>725</v>
      </c>
      <c r="D1429" t="s">
        <v>1919</v>
      </c>
      <c r="E1429" t="str">
        <f>IFERROR(AVERAGEIFS(Upload_Indiv[Score8],Upload_Indiv[[Player]:[Player]],$A13,Upload_Indiv[[Side]:[Side]],"Raintree Back")-IF(TRUNC(ROUND($B13,0)/9,0)=2,2+IF((ROUND($B13,0)-18)*2&gt;=T$2,1,0),IF(TRUNC(ROUND($B13,0)/9,0)=1,1+IF((ROUND($B13,0)-9)*2&gt;=T$2,1,0),IF(TRUNC(ROUND($B13,0)/9,0)=0,IF(TRUNC(ROUND($B13,0)/9,0)=0,0+IF((ROUND($B13,0))*2&gt;=T$2,1,0),"Not"))))-T$3,"")</f>
        <v/>
      </c>
    </row>
    <row r="1430" spans="1:5" x14ac:dyDescent="0.25">
      <c r="A1430" t="s">
        <v>724</v>
      </c>
      <c r="B1430" t="s">
        <v>362</v>
      </c>
      <c r="C1430" t="s">
        <v>725</v>
      </c>
      <c r="D1430" t="s">
        <v>1205</v>
      </c>
      <c r="E1430" t="str">
        <f>IFERROR(AVERAGEIFS(Upload_Indiv[Score8],Upload_Indiv[[Player]:[Player]],$A14,Upload_Indiv[[Side]:[Side]],"Raintree Front")-IF(TRUNC(ROUND($B14,0)/9,0)=2,2+IF((ROUND($B14,0)-18)*2&gt;=J$2,1,0),IF(TRUNC(ROUND($B14,0)/9,0)=1,1+IF((ROUND($B14,0)-9)*2&gt;=J$2,1,0),IF(TRUNC(ROUND($B14,0)/9,0)=0,IF(TRUNC(ROUND($B14,0)/9,0)=0,0+IF((ROUND($B14,0))*2&gt;=J$2,1,0),"Not"))))-J$3,"")</f>
        <v/>
      </c>
    </row>
    <row r="1431" spans="1:5" x14ac:dyDescent="0.25">
      <c r="A1431" t="s">
        <v>724</v>
      </c>
      <c r="B1431" t="s">
        <v>362</v>
      </c>
      <c r="C1431" t="s">
        <v>725</v>
      </c>
      <c r="D1431" t="s">
        <v>1920</v>
      </c>
      <c r="E1431" t="str">
        <f>IFERROR(AVERAGEIFS(Upload_Indiv[Score8],Upload_Indiv[[Player]:[Player]],$A14,Upload_Indiv[[Side]:[Side]],"Raintree Back")-IF(TRUNC(ROUND($B14,0)/9,0)=2,2+IF((ROUND($B14,0)-18)*2&gt;=T$2,1,0),IF(TRUNC(ROUND($B14,0)/9,0)=1,1+IF((ROUND($B14,0)-9)*2&gt;=T$2,1,0),IF(TRUNC(ROUND($B14,0)/9,0)=0,IF(TRUNC(ROUND($B14,0)/9,0)=0,0+IF((ROUND($B14,0))*2&gt;=T$2,1,0),"Not"))))-T$3,"")</f>
        <v/>
      </c>
    </row>
    <row r="1432" spans="1:5" x14ac:dyDescent="0.25">
      <c r="A1432" t="s">
        <v>724</v>
      </c>
      <c r="B1432" t="s">
        <v>362</v>
      </c>
      <c r="C1432" t="s">
        <v>725</v>
      </c>
      <c r="D1432" t="s">
        <v>1207</v>
      </c>
      <c r="E1432" t="str">
        <f>IFERROR(AVERAGEIFS(Upload_Indiv[Score8],Upload_Indiv[[Player]:[Player]],$A15,Upload_Indiv[[Side]:[Side]],"Raintree Front")-IF(TRUNC(ROUND($B15,0)/9,0)=2,2+IF((ROUND($B15,0)-18)*2&gt;=J$2,1,0),IF(TRUNC(ROUND($B15,0)/9,0)=1,1+IF((ROUND($B15,0)-9)*2&gt;=J$2,1,0),IF(TRUNC(ROUND($B15,0)/9,0)=0,IF(TRUNC(ROUND($B15,0)/9,0)=0,0+IF((ROUND($B15,0))*2&gt;=J$2,1,0),"Not"))))-J$3,"")</f>
        <v/>
      </c>
    </row>
    <row r="1433" spans="1:5" x14ac:dyDescent="0.25">
      <c r="A1433" t="s">
        <v>724</v>
      </c>
      <c r="B1433" t="s">
        <v>362</v>
      </c>
      <c r="C1433" t="s">
        <v>725</v>
      </c>
      <c r="D1433" t="s">
        <v>1921</v>
      </c>
      <c r="E1433" t="str">
        <f>IFERROR(AVERAGEIFS(Upload_Indiv[Score8],Upload_Indiv[[Player]:[Player]],$A15,Upload_Indiv[[Side]:[Side]],"Raintree Back")-IF(TRUNC(ROUND($B15,0)/9,0)=2,2+IF((ROUND($B15,0)-18)*2&gt;=T$2,1,0),IF(TRUNC(ROUND($B15,0)/9,0)=1,1+IF((ROUND($B15,0)-9)*2&gt;=T$2,1,0),IF(TRUNC(ROUND($B15,0)/9,0)=0,IF(TRUNC(ROUND($B15,0)/9,0)=0,0+IF((ROUND($B15,0))*2&gt;=T$2,1,0),"Not"))))-T$3,"")</f>
        <v/>
      </c>
    </row>
    <row r="1434" spans="1:5" x14ac:dyDescent="0.25">
      <c r="A1434" t="s">
        <v>724</v>
      </c>
      <c r="B1434" t="s">
        <v>362</v>
      </c>
      <c r="C1434" t="s">
        <v>725</v>
      </c>
      <c r="D1434" t="s">
        <v>1209</v>
      </c>
      <c r="E1434" t="str">
        <f>IFERROR(AVERAGEIFS(Upload_Indiv[Score8],Upload_Indiv[[Player]:[Player]],$A16,Upload_Indiv[[Side]:[Side]],"Raintree Front")-IF(TRUNC(ROUND($B16,0)/9,0)=2,2+IF((ROUND($B16,0)-18)*2&gt;=J$2,1,0),IF(TRUNC(ROUND($B16,0)/9,0)=1,1+IF((ROUND($B16,0)-9)*2&gt;=J$2,1,0),IF(TRUNC(ROUND($B16,0)/9,0)=0,IF(TRUNC(ROUND($B16,0)/9,0)=0,0+IF((ROUND($B16,0))*2&gt;=J$2,1,0),"Not"))))-J$3,"")</f>
        <v/>
      </c>
    </row>
    <row r="1435" spans="1:5" x14ac:dyDescent="0.25">
      <c r="A1435" t="s">
        <v>724</v>
      </c>
      <c r="B1435" t="s">
        <v>362</v>
      </c>
      <c r="C1435" t="s">
        <v>725</v>
      </c>
      <c r="D1435" t="s">
        <v>1922</v>
      </c>
      <c r="E1435" t="str">
        <f>IFERROR(AVERAGEIFS(Upload_Indiv[Score8],Upload_Indiv[[Player]:[Player]],$A16,Upload_Indiv[[Side]:[Side]],"Raintree Back")-IF(TRUNC(ROUND($B16,0)/9,0)=2,2+IF((ROUND($B16,0)-18)*2&gt;=T$2,1,0),IF(TRUNC(ROUND($B16,0)/9,0)=1,1+IF((ROUND($B16,0)-9)*2&gt;=T$2,1,0),IF(TRUNC(ROUND($B16,0)/9,0)=0,IF(TRUNC(ROUND($B16,0)/9,0)=0,0+IF((ROUND($B16,0))*2&gt;=T$2,1,0),"Not"))))-T$3,"")</f>
        <v/>
      </c>
    </row>
    <row r="1436" spans="1:5" x14ac:dyDescent="0.25">
      <c r="A1436" t="s">
        <v>724</v>
      </c>
      <c r="B1436" t="s">
        <v>362</v>
      </c>
      <c r="C1436" t="s">
        <v>725</v>
      </c>
      <c r="D1436" t="s">
        <v>1211</v>
      </c>
      <c r="E1436" t="str">
        <f>IFERROR(AVERAGEIFS(Upload_Indiv[Score8],Upload_Indiv[[Player]:[Player]],$A17,Upload_Indiv[[Side]:[Side]],"Raintree Front")-IF(TRUNC(ROUND($B17,0)/9,0)=2,2+IF((ROUND($B17,0)-18)*2&gt;=J$2,1,0),IF(TRUNC(ROUND($B17,0)/9,0)=1,1+IF((ROUND($B17,0)-9)*2&gt;=J$2,1,0),IF(TRUNC(ROUND($B17,0)/9,0)=0,IF(TRUNC(ROUND($B17,0)/9,0)=0,0+IF((ROUND($B17,0))*2&gt;=J$2,1,0),"Not"))))-J$3,"")</f>
        <v/>
      </c>
    </row>
    <row r="1437" spans="1:5" x14ac:dyDescent="0.25">
      <c r="A1437" t="s">
        <v>724</v>
      </c>
      <c r="B1437" t="s">
        <v>362</v>
      </c>
      <c r="C1437" t="s">
        <v>725</v>
      </c>
      <c r="D1437" t="s">
        <v>1923</v>
      </c>
      <c r="E1437" t="str">
        <f>IFERROR(AVERAGEIFS(Upload_Indiv[Score8],Upload_Indiv[[Player]:[Player]],$A17,Upload_Indiv[[Side]:[Side]],"Raintree Back")-IF(TRUNC(ROUND($B17,0)/9,0)=2,2+IF((ROUND($B17,0)-18)*2&gt;=T$2,1,0),IF(TRUNC(ROUND($B17,0)/9,0)=1,1+IF((ROUND($B17,0)-9)*2&gt;=T$2,1,0),IF(TRUNC(ROUND($B17,0)/9,0)=0,IF(TRUNC(ROUND($B17,0)/9,0)=0,0+IF((ROUND($B17,0))*2&gt;=T$2,1,0),"Not"))))-T$3,"")</f>
        <v/>
      </c>
    </row>
    <row r="1438" spans="1:5" x14ac:dyDescent="0.25">
      <c r="A1438" t="s">
        <v>724</v>
      </c>
      <c r="B1438" t="s">
        <v>362</v>
      </c>
      <c r="C1438" t="s">
        <v>725</v>
      </c>
      <c r="D1438" t="s">
        <v>1213</v>
      </c>
      <c r="E1438" t="str">
        <f>IFERROR(AVERAGEIFS(Upload_Indiv[Score8],Upload_Indiv[[Player]:[Player]],$A18,Upload_Indiv[[Side]:[Side]],"Raintree Front")-IF(TRUNC(ROUND($B18,0)/9,0)=2,2+IF((ROUND($B18,0)-18)*2&gt;=J$2,1,0),IF(TRUNC(ROUND($B18,0)/9,0)=1,1+IF((ROUND($B18,0)-9)*2&gt;=J$2,1,0),IF(TRUNC(ROUND($B18,0)/9,0)=0,IF(TRUNC(ROUND($B18,0)/9,0)=0,0+IF((ROUND($B18,0))*2&gt;=J$2,1,0),"Not"))))-J$3,"")</f>
        <v/>
      </c>
    </row>
    <row r="1439" spans="1:5" x14ac:dyDescent="0.25">
      <c r="A1439" t="s">
        <v>724</v>
      </c>
      <c r="B1439" t="s">
        <v>362</v>
      </c>
      <c r="C1439" t="s">
        <v>725</v>
      </c>
      <c r="D1439" t="s">
        <v>1924</v>
      </c>
      <c r="E1439" t="str">
        <f>IFERROR(AVERAGEIFS(Upload_Indiv[Score8],Upload_Indiv[[Player]:[Player]],$A18,Upload_Indiv[[Side]:[Side]],"Raintree Back")-IF(TRUNC(ROUND($B18,0)/9,0)=2,2+IF((ROUND($B18,0)-18)*2&gt;=T$2,1,0),IF(TRUNC(ROUND($B18,0)/9,0)=1,1+IF((ROUND($B18,0)-9)*2&gt;=T$2,1,0),IF(TRUNC(ROUND($B18,0)/9,0)=0,IF(TRUNC(ROUND($B18,0)/9,0)=0,0+IF((ROUND($B18,0))*2&gt;=T$2,1,0),"Not"))))-T$3,"")</f>
        <v/>
      </c>
    </row>
    <row r="1440" spans="1:5" x14ac:dyDescent="0.25">
      <c r="A1440" t="s">
        <v>724</v>
      </c>
      <c r="B1440" t="s">
        <v>362</v>
      </c>
      <c r="C1440" t="s">
        <v>725</v>
      </c>
      <c r="D1440" t="s">
        <v>1215</v>
      </c>
      <c r="E1440" t="str">
        <f>IFERROR(AVERAGEIFS(Upload_Indiv[Score8],Upload_Indiv[[Player]:[Player]],$A19,Upload_Indiv[[Side]:[Side]],"Raintree Front")-IF(TRUNC(ROUND($B19,0)/9,0)=2,2+IF((ROUND($B19,0)-18)*2&gt;=J$2,1,0),IF(TRUNC(ROUND($B19,0)/9,0)=1,1+IF((ROUND($B19,0)-9)*2&gt;=J$2,1,0),IF(TRUNC(ROUND($B19,0)/9,0)=0,IF(TRUNC(ROUND($B19,0)/9,0)=0,0+IF((ROUND($B19,0))*2&gt;=J$2,1,0),"Not"))))-J$3,"")</f>
        <v/>
      </c>
    </row>
    <row r="1441" spans="1:5" x14ac:dyDescent="0.25">
      <c r="A1441" t="s">
        <v>724</v>
      </c>
      <c r="B1441" t="s">
        <v>362</v>
      </c>
      <c r="C1441" t="s">
        <v>725</v>
      </c>
      <c r="D1441" t="s">
        <v>1925</v>
      </c>
      <c r="E1441" t="str">
        <f>IFERROR(AVERAGEIFS(Upload_Indiv[Score8],Upload_Indiv[[Player]:[Player]],$A19,Upload_Indiv[[Side]:[Side]],"Raintree Back")-IF(TRUNC(ROUND($B19,0)/9,0)=2,2+IF((ROUND($B19,0)-18)*2&gt;=T$2,1,0),IF(TRUNC(ROUND($B19,0)/9,0)=1,1+IF((ROUND($B19,0)-9)*2&gt;=T$2,1,0),IF(TRUNC(ROUND($B19,0)/9,0)=0,IF(TRUNC(ROUND($B19,0)/9,0)=0,0+IF((ROUND($B19,0))*2&gt;=T$2,1,0),"Not"))))-T$3,"")</f>
        <v/>
      </c>
    </row>
    <row r="1442" spans="1:5" x14ac:dyDescent="0.25">
      <c r="A1442" t="s">
        <v>724</v>
      </c>
      <c r="B1442" t="s">
        <v>362</v>
      </c>
      <c r="C1442" t="s">
        <v>725</v>
      </c>
      <c r="D1442" t="s">
        <v>1217</v>
      </c>
      <c r="E1442" t="str">
        <f>IFERROR(AVERAGEIFS(Upload_Indiv[Score8],Upload_Indiv[[Player]:[Player]],$A20,Upload_Indiv[[Side]:[Side]],"Raintree Front")-IF(TRUNC(ROUND($B20,0)/9,0)=2,2+IF((ROUND($B20,0)-18)*2&gt;=J$2,1,0),IF(TRUNC(ROUND($B20,0)/9,0)=1,1+IF((ROUND($B20,0)-9)*2&gt;=J$2,1,0),IF(TRUNC(ROUND($B20,0)/9,0)=0,IF(TRUNC(ROUND($B20,0)/9,0)=0,0+IF((ROUND($B20,0))*2&gt;=J$2,1,0),"Not"))))-J$3,"")</f>
        <v/>
      </c>
    </row>
    <row r="1443" spans="1:5" x14ac:dyDescent="0.25">
      <c r="A1443" t="s">
        <v>724</v>
      </c>
      <c r="B1443" t="s">
        <v>362</v>
      </c>
      <c r="C1443" t="s">
        <v>725</v>
      </c>
      <c r="D1443" t="s">
        <v>1926</v>
      </c>
      <c r="E1443" t="str">
        <f>IFERROR(AVERAGEIFS(Upload_Indiv[Score8],Upload_Indiv[[Player]:[Player]],$A20,Upload_Indiv[[Side]:[Side]],"Raintree Back")-IF(TRUNC(ROUND($B20,0)/9,0)=2,2+IF((ROUND($B20,0)-18)*2&gt;=T$2,1,0),IF(TRUNC(ROUND($B20,0)/9,0)=1,1+IF((ROUND($B20,0)-9)*2&gt;=T$2,1,0),IF(TRUNC(ROUND($B20,0)/9,0)=0,IF(TRUNC(ROUND($B20,0)/9,0)=0,0+IF((ROUND($B20,0))*2&gt;=T$2,1,0),"Not"))))-T$3,"")</f>
        <v/>
      </c>
    </row>
    <row r="1444" spans="1:5" x14ac:dyDescent="0.25">
      <c r="A1444" t="s">
        <v>724</v>
      </c>
      <c r="B1444" t="s">
        <v>362</v>
      </c>
      <c r="C1444" t="s">
        <v>725</v>
      </c>
      <c r="D1444" t="s">
        <v>1219</v>
      </c>
      <c r="E1444" t="str">
        <f>IFERROR(AVERAGEIFS(Upload_Indiv[Score8],Upload_Indiv[[Player]:[Player]],$A21,Upload_Indiv[[Side]:[Side]],"Raintree Front")-IF(TRUNC(ROUND($B21,0)/9,0)=2,2+IF((ROUND($B21,0)-18)*2&gt;=J$2,1,0),IF(TRUNC(ROUND($B21,0)/9,0)=1,1+IF((ROUND($B21,0)-9)*2&gt;=J$2,1,0),IF(TRUNC(ROUND($B21,0)/9,0)=0,IF(TRUNC(ROUND($B21,0)/9,0)=0,0+IF((ROUND($B21,0))*2&gt;=J$2,1,0),"Not"))))-J$3,"")</f>
        <v/>
      </c>
    </row>
    <row r="1445" spans="1:5" x14ac:dyDescent="0.25">
      <c r="A1445" t="s">
        <v>724</v>
      </c>
      <c r="B1445" t="s">
        <v>362</v>
      </c>
      <c r="C1445" t="s">
        <v>725</v>
      </c>
      <c r="D1445" t="s">
        <v>1927</v>
      </c>
      <c r="E1445" t="str">
        <f>IFERROR(AVERAGEIFS(Upload_Indiv[Score8],Upload_Indiv[[Player]:[Player]],$A21,Upload_Indiv[[Side]:[Side]],"Raintree Back")-IF(TRUNC(ROUND($B21,0)/9,0)=2,2+IF((ROUND($B21,0)-18)*2&gt;=T$2,1,0),IF(TRUNC(ROUND($B21,0)/9,0)=1,1+IF((ROUND($B21,0)-9)*2&gt;=T$2,1,0),IF(TRUNC(ROUND($B21,0)/9,0)=0,IF(TRUNC(ROUND($B21,0)/9,0)=0,0+IF((ROUND($B21,0))*2&gt;=T$2,1,0),"Not"))))-T$3,"")</f>
        <v/>
      </c>
    </row>
    <row r="1446" spans="1:5" x14ac:dyDescent="0.25">
      <c r="A1446" t="s">
        <v>724</v>
      </c>
      <c r="B1446" t="s">
        <v>362</v>
      </c>
      <c r="C1446" t="s">
        <v>725</v>
      </c>
      <c r="D1446" t="s">
        <v>1221</v>
      </c>
      <c r="E1446" t="str">
        <f>IFERROR(AVERAGEIFS(Upload_Indiv[Score8],Upload_Indiv[[Player]:[Player]],$A22,Upload_Indiv[[Side]:[Side]],"Raintree Front")-IF(TRUNC(ROUND($B22,0)/9,0)=2,2+IF((ROUND($B22,0)-18)*2&gt;=J$2,1,0),IF(TRUNC(ROUND($B22,0)/9,0)=1,1+IF((ROUND($B22,0)-9)*2&gt;=J$2,1,0),IF(TRUNC(ROUND($B22,0)/9,0)=0,IF(TRUNC(ROUND($B22,0)/9,0)=0,0+IF((ROUND($B22,0))*2&gt;=J$2,1,0),"Not"))))-J$3,"")</f>
        <v/>
      </c>
    </row>
    <row r="1447" spans="1:5" x14ac:dyDescent="0.25">
      <c r="A1447" t="s">
        <v>724</v>
      </c>
      <c r="B1447" t="s">
        <v>362</v>
      </c>
      <c r="C1447" t="s">
        <v>725</v>
      </c>
      <c r="D1447" t="s">
        <v>1928</v>
      </c>
      <c r="E1447" t="str">
        <f>IFERROR(AVERAGEIFS(Upload_Indiv[Score8],Upload_Indiv[[Player]:[Player]],$A22,Upload_Indiv[[Side]:[Side]],"Raintree Back")-IF(TRUNC(ROUND($B22,0)/9,0)=2,2+IF((ROUND($B22,0)-18)*2&gt;=T$2,1,0),IF(TRUNC(ROUND($B22,0)/9,0)=1,1+IF((ROUND($B22,0)-9)*2&gt;=T$2,1,0),IF(TRUNC(ROUND($B22,0)/9,0)=0,IF(TRUNC(ROUND($B22,0)/9,0)=0,0+IF((ROUND($B22,0))*2&gt;=T$2,1,0),"Not"))))-T$3,"")</f>
        <v/>
      </c>
    </row>
    <row r="1448" spans="1:5" x14ac:dyDescent="0.25">
      <c r="A1448" t="s">
        <v>724</v>
      </c>
      <c r="B1448" t="s">
        <v>362</v>
      </c>
      <c r="C1448" t="s">
        <v>725</v>
      </c>
      <c r="D1448" t="s">
        <v>1223</v>
      </c>
      <c r="E1448" t="str">
        <f>IFERROR(AVERAGEIFS(Upload_Indiv[Score8],Upload_Indiv[[Player]:[Player]],$A23,Upload_Indiv[[Side]:[Side]],"Raintree Front")-IF(TRUNC(ROUND($B23,0)/9,0)=2,2+IF((ROUND($B23,0)-18)*2&gt;=J$2,1,0),IF(TRUNC(ROUND($B23,0)/9,0)=1,1+IF((ROUND($B23,0)-9)*2&gt;=J$2,1,0),IF(TRUNC(ROUND($B23,0)/9,0)=0,IF(TRUNC(ROUND($B23,0)/9,0)=0,0+IF((ROUND($B23,0))*2&gt;=J$2,1,0),"Not"))))-J$3,"")</f>
        <v/>
      </c>
    </row>
    <row r="1449" spans="1:5" x14ac:dyDescent="0.25">
      <c r="A1449" t="s">
        <v>724</v>
      </c>
      <c r="B1449" t="s">
        <v>362</v>
      </c>
      <c r="C1449" t="s">
        <v>725</v>
      </c>
      <c r="D1449" t="s">
        <v>1929</v>
      </c>
      <c r="E1449" t="str">
        <f>IFERROR(AVERAGEIFS(Upload_Indiv[Score8],Upload_Indiv[[Player]:[Player]],$A23,Upload_Indiv[[Side]:[Side]],"Raintree Back")-IF(TRUNC(ROUND($B23,0)/9,0)=2,2+IF((ROUND($B23,0)-18)*2&gt;=T$2,1,0),IF(TRUNC(ROUND($B23,0)/9,0)=1,1+IF((ROUND($B23,0)-9)*2&gt;=T$2,1,0),IF(TRUNC(ROUND($B23,0)/9,0)=0,IF(TRUNC(ROUND($B23,0)/9,0)=0,0+IF((ROUND($B23,0))*2&gt;=T$2,1,0),"Not"))))-T$3,"")</f>
        <v/>
      </c>
    </row>
    <row r="1450" spans="1:5" x14ac:dyDescent="0.25">
      <c r="A1450" t="s">
        <v>724</v>
      </c>
      <c r="B1450" t="s">
        <v>362</v>
      </c>
      <c r="C1450" t="s">
        <v>725</v>
      </c>
      <c r="D1450" t="s">
        <v>1225</v>
      </c>
      <c r="E1450" t="str">
        <f>IFERROR(AVERAGEIFS(Upload_Indiv[Score8],Upload_Indiv[[Player]:[Player]],$A24,Upload_Indiv[[Side]:[Side]],"Raintree Front")-IF(TRUNC(ROUND($B24,0)/9,0)=2,2+IF((ROUND($B24,0)-18)*2&gt;=J$2,1,0),IF(TRUNC(ROUND($B24,0)/9,0)=1,1+IF((ROUND($B24,0)-9)*2&gt;=J$2,1,0),IF(TRUNC(ROUND($B24,0)/9,0)=0,IF(TRUNC(ROUND($B24,0)/9,0)=0,0+IF((ROUND($B24,0))*2&gt;=J$2,1,0),"Not"))))-J$3,"")</f>
        <v/>
      </c>
    </row>
    <row r="1451" spans="1:5" x14ac:dyDescent="0.25">
      <c r="A1451" t="s">
        <v>724</v>
      </c>
      <c r="B1451" t="s">
        <v>362</v>
      </c>
      <c r="C1451" t="s">
        <v>725</v>
      </c>
      <c r="D1451" t="s">
        <v>1930</v>
      </c>
      <c r="E1451" t="str">
        <f>IFERROR(AVERAGEIFS(Upload_Indiv[Score8],Upload_Indiv[[Player]:[Player]],$A24,Upload_Indiv[[Side]:[Side]],"Raintree Back")-IF(TRUNC(ROUND($B24,0)/9,0)=2,2+IF((ROUND($B24,0)-18)*2&gt;=T$2,1,0),IF(TRUNC(ROUND($B24,0)/9,0)=1,1+IF((ROUND($B24,0)-9)*2&gt;=T$2,1,0),IF(TRUNC(ROUND($B24,0)/9,0)=0,IF(TRUNC(ROUND($B24,0)/9,0)=0,0+IF((ROUND($B24,0))*2&gt;=T$2,1,0),"Not"))))-T$3,"")</f>
        <v/>
      </c>
    </row>
    <row r="1452" spans="1:5" x14ac:dyDescent="0.25">
      <c r="A1452" t="s">
        <v>724</v>
      </c>
      <c r="B1452" t="s">
        <v>362</v>
      </c>
      <c r="C1452" t="s">
        <v>725</v>
      </c>
      <c r="D1452" t="s">
        <v>1227</v>
      </c>
      <c r="E1452" t="str">
        <f>IFERROR(AVERAGEIFS(Upload_Indiv[Score8],Upload_Indiv[[Player]:[Player]],$A25,Upload_Indiv[[Side]:[Side]],"Raintree Front")-IF(TRUNC(ROUND($B25,0)/9,0)=2,2+IF((ROUND($B25,0)-18)*2&gt;=J$2,1,0),IF(TRUNC(ROUND($B25,0)/9,0)=1,1+IF((ROUND($B25,0)-9)*2&gt;=J$2,1,0),IF(TRUNC(ROUND($B25,0)/9,0)=0,IF(TRUNC(ROUND($B25,0)/9,0)=0,0+IF((ROUND($B25,0))*2&gt;=J$2,1,0),"Not"))))-J$3,"")</f>
        <v/>
      </c>
    </row>
    <row r="1453" spans="1:5" x14ac:dyDescent="0.25">
      <c r="A1453" t="s">
        <v>724</v>
      </c>
      <c r="B1453" t="s">
        <v>362</v>
      </c>
      <c r="C1453" t="s">
        <v>725</v>
      </c>
      <c r="D1453" t="s">
        <v>1931</v>
      </c>
      <c r="E1453" t="str">
        <f>IFERROR(AVERAGEIFS(Upload_Indiv[Score8],Upload_Indiv[[Player]:[Player]],$A25,Upload_Indiv[[Side]:[Side]],"Raintree Back")-IF(TRUNC(ROUND($B25,0)/9,0)=2,2+IF((ROUND($B25,0)-18)*2&gt;=T$2,1,0),IF(TRUNC(ROUND($B25,0)/9,0)=1,1+IF((ROUND($B25,0)-9)*2&gt;=T$2,1,0),IF(TRUNC(ROUND($B25,0)/9,0)=0,IF(TRUNC(ROUND($B25,0)/9,0)=0,0+IF((ROUND($B25,0))*2&gt;=T$2,1,0),"Not"))))-T$3,"")</f>
        <v/>
      </c>
    </row>
    <row r="1454" spans="1:5" x14ac:dyDescent="0.25">
      <c r="A1454" t="s">
        <v>724</v>
      </c>
      <c r="B1454" t="s">
        <v>362</v>
      </c>
      <c r="C1454" t="s">
        <v>725</v>
      </c>
      <c r="D1454" t="s">
        <v>1229</v>
      </c>
      <c r="E1454" t="str">
        <f>IFERROR(AVERAGEIFS(Upload_Indiv[Score8],Upload_Indiv[[Player]:[Player]],$A26,Upload_Indiv[[Side]:[Side]],"Raintree Front")-IF(TRUNC(ROUND($B26,0)/9,0)=2,2+IF((ROUND($B26,0)-18)*2&gt;=J$2,1,0),IF(TRUNC(ROUND($B26,0)/9,0)=1,1+IF((ROUND($B26,0)-9)*2&gt;=J$2,1,0),IF(TRUNC(ROUND($B26,0)/9,0)=0,IF(TRUNC(ROUND($B26,0)/9,0)=0,0+IF((ROUND($B26,0))*2&gt;=J$2,1,0),"Not"))))-J$3,"")</f>
        <v/>
      </c>
    </row>
    <row r="1455" spans="1:5" x14ac:dyDescent="0.25">
      <c r="A1455" t="s">
        <v>724</v>
      </c>
      <c r="B1455" t="s">
        <v>362</v>
      </c>
      <c r="C1455" t="s">
        <v>725</v>
      </c>
      <c r="D1455" t="s">
        <v>1932</v>
      </c>
      <c r="E1455" t="str">
        <f>IFERROR(AVERAGEIFS(Upload_Indiv[Score8],Upload_Indiv[[Player]:[Player]],$A26,Upload_Indiv[[Side]:[Side]],"Raintree Back")-IF(TRUNC(ROUND($B26,0)/9,0)=2,2+IF((ROUND($B26,0)-18)*2&gt;=T$2,1,0),IF(TRUNC(ROUND($B26,0)/9,0)=1,1+IF((ROUND($B26,0)-9)*2&gt;=T$2,1,0),IF(TRUNC(ROUND($B26,0)/9,0)=0,IF(TRUNC(ROUND($B26,0)/9,0)=0,0+IF((ROUND($B26,0))*2&gt;=T$2,1,0),"Not"))))-T$3,"")</f>
        <v/>
      </c>
    </row>
    <row r="1456" spans="1:5" x14ac:dyDescent="0.25">
      <c r="A1456" t="s">
        <v>724</v>
      </c>
      <c r="B1456" t="s">
        <v>362</v>
      </c>
      <c r="C1456" t="s">
        <v>725</v>
      </c>
      <c r="D1456" t="s">
        <v>1231</v>
      </c>
      <c r="E1456" t="str">
        <f>IFERROR(AVERAGEIFS(Upload_Indiv[Score8],Upload_Indiv[[Player]:[Player]],$A27,Upload_Indiv[[Side]:[Side]],"Raintree Front")-IF(TRUNC(ROUND($B27,0)/9,0)=2,2+IF((ROUND($B27,0)-18)*2&gt;=J$2,1,0),IF(TRUNC(ROUND($B27,0)/9,0)=1,1+IF((ROUND($B27,0)-9)*2&gt;=J$2,1,0),IF(TRUNC(ROUND($B27,0)/9,0)=0,IF(TRUNC(ROUND($B27,0)/9,0)=0,0+IF((ROUND($B27,0))*2&gt;=J$2,1,0),"Not"))))-J$3,"")</f>
        <v/>
      </c>
    </row>
    <row r="1457" spans="1:5" x14ac:dyDescent="0.25">
      <c r="A1457" t="s">
        <v>724</v>
      </c>
      <c r="B1457" t="s">
        <v>362</v>
      </c>
      <c r="C1457" t="s">
        <v>725</v>
      </c>
      <c r="D1457" t="s">
        <v>1933</v>
      </c>
      <c r="E1457" t="str">
        <f>IFERROR(AVERAGEIFS(Upload_Indiv[Score8],Upload_Indiv[[Player]:[Player]],$A27,Upload_Indiv[[Side]:[Side]],"Raintree Back")-IF(TRUNC(ROUND($B27,0)/9,0)=2,2+IF((ROUND($B27,0)-18)*2&gt;=T$2,1,0),IF(TRUNC(ROUND($B27,0)/9,0)=1,1+IF((ROUND($B27,0)-9)*2&gt;=T$2,1,0),IF(TRUNC(ROUND($B27,0)/9,0)=0,IF(TRUNC(ROUND($B27,0)/9,0)=0,0+IF((ROUND($B27,0))*2&gt;=T$2,1,0),"Not"))))-T$3,"")</f>
        <v/>
      </c>
    </row>
    <row r="1458" spans="1:5" x14ac:dyDescent="0.25">
      <c r="A1458" t="s">
        <v>724</v>
      </c>
      <c r="B1458" t="s">
        <v>362</v>
      </c>
      <c r="C1458" t="s">
        <v>725</v>
      </c>
      <c r="D1458" t="s">
        <v>1233</v>
      </c>
      <c r="E1458" t="str">
        <f>IFERROR(AVERAGEIFS(Upload_Indiv[Score8],Upload_Indiv[[Player]:[Player]],$A28,Upload_Indiv[[Side]:[Side]],"Raintree Front")-IF(TRUNC(ROUND($B28,0)/9,0)=2,2+IF((ROUND($B28,0)-18)*2&gt;=J$2,1,0),IF(TRUNC(ROUND($B28,0)/9,0)=1,1+IF((ROUND($B28,0)-9)*2&gt;=J$2,1,0),IF(TRUNC(ROUND($B28,0)/9,0)=0,IF(TRUNC(ROUND($B28,0)/9,0)=0,0+IF((ROUND($B28,0))*2&gt;=J$2,1,0),"Not"))))-J$3,"")</f>
        <v/>
      </c>
    </row>
    <row r="1459" spans="1:5" x14ac:dyDescent="0.25">
      <c r="A1459" t="s">
        <v>724</v>
      </c>
      <c r="B1459" t="s">
        <v>362</v>
      </c>
      <c r="C1459" t="s">
        <v>725</v>
      </c>
      <c r="D1459" t="s">
        <v>1934</v>
      </c>
      <c r="E1459" t="str">
        <f>IFERROR(AVERAGEIFS(Upload_Indiv[Score8],Upload_Indiv[[Player]:[Player]],$A28,Upload_Indiv[[Side]:[Side]],"Raintree Back")-IF(TRUNC(ROUND($B28,0)/9,0)=2,2+IF((ROUND($B28,0)-18)*2&gt;=T$2,1,0),IF(TRUNC(ROUND($B28,0)/9,0)=1,1+IF((ROUND($B28,0)-9)*2&gt;=T$2,1,0),IF(TRUNC(ROUND($B28,0)/9,0)=0,IF(TRUNC(ROUND($B28,0)/9,0)=0,0+IF((ROUND($B28,0))*2&gt;=T$2,1,0),"Not"))))-T$3,"")</f>
        <v/>
      </c>
    </row>
    <row r="1460" spans="1:5" x14ac:dyDescent="0.25">
      <c r="A1460" t="s">
        <v>724</v>
      </c>
      <c r="B1460" t="s">
        <v>362</v>
      </c>
      <c r="C1460" t="s">
        <v>725</v>
      </c>
      <c r="D1460" t="s">
        <v>1235</v>
      </c>
      <c r="E1460" t="str">
        <f>IFERROR(AVERAGEIFS(Upload_Indiv[Score8],Upload_Indiv[[Player]:[Player]],$A29,Upload_Indiv[[Side]:[Side]],"Raintree Front")-IF(TRUNC(ROUND($B29,0)/9,0)=2,2+IF((ROUND($B29,0)-18)*2&gt;=J$2,1,0),IF(TRUNC(ROUND($B29,0)/9,0)=1,1+IF((ROUND($B29,0)-9)*2&gt;=J$2,1,0),IF(TRUNC(ROUND($B29,0)/9,0)=0,IF(TRUNC(ROUND($B29,0)/9,0)=0,0+IF((ROUND($B29,0))*2&gt;=J$2,1,0),"Not"))))-J$3,"")</f>
        <v/>
      </c>
    </row>
    <row r="1461" spans="1:5" x14ac:dyDescent="0.25">
      <c r="A1461" t="s">
        <v>724</v>
      </c>
      <c r="B1461" t="s">
        <v>362</v>
      </c>
      <c r="C1461" t="s">
        <v>725</v>
      </c>
      <c r="D1461" t="s">
        <v>1935</v>
      </c>
      <c r="E1461" t="str">
        <f>IFERROR(AVERAGEIFS(Upload_Indiv[Score8],Upload_Indiv[[Player]:[Player]],$A29,Upload_Indiv[[Side]:[Side]],"Raintree Back")-IF(TRUNC(ROUND($B29,0)/9,0)=2,2+IF((ROUND($B29,0)-18)*2&gt;=T$2,1,0),IF(TRUNC(ROUND($B29,0)/9,0)=1,1+IF((ROUND($B29,0)-9)*2&gt;=T$2,1,0),IF(TRUNC(ROUND($B29,0)/9,0)=0,IF(TRUNC(ROUND($B29,0)/9,0)=0,0+IF((ROUND($B29,0))*2&gt;=T$2,1,0),"Not"))))-T$3,"")</f>
        <v/>
      </c>
    </row>
    <row r="1462" spans="1:5" x14ac:dyDescent="0.25">
      <c r="A1462" t="s">
        <v>724</v>
      </c>
      <c r="B1462" t="s">
        <v>362</v>
      </c>
      <c r="C1462" t="s">
        <v>725</v>
      </c>
      <c r="D1462" t="s">
        <v>1237</v>
      </c>
      <c r="E1462" t="str">
        <f>IFERROR(AVERAGEIFS(Upload_Indiv[Score8],Upload_Indiv[[Player]:[Player]],$A30,Upload_Indiv[[Side]:[Side]],"Raintree Front")-IF(TRUNC(ROUND($B30,0)/9,0)=2,2+IF((ROUND($B30,0)-18)*2&gt;=J$2,1,0),IF(TRUNC(ROUND($B30,0)/9,0)=1,1+IF((ROUND($B30,0)-9)*2&gt;=J$2,1,0),IF(TRUNC(ROUND($B30,0)/9,0)=0,IF(TRUNC(ROUND($B30,0)/9,0)=0,0+IF((ROUND($B30,0))*2&gt;=J$2,1,0),"Not"))))-J$3,"")</f>
        <v/>
      </c>
    </row>
    <row r="1463" spans="1:5" x14ac:dyDescent="0.25">
      <c r="A1463" t="s">
        <v>724</v>
      </c>
      <c r="B1463" t="s">
        <v>362</v>
      </c>
      <c r="C1463" t="s">
        <v>725</v>
      </c>
      <c r="D1463" t="s">
        <v>1936</v>
      </c>
      <c r="E1463" t="str">
        <f>IFERROR(AVERAGEIFS(Upload_Indiv[Score8],Upload_Indiv[[Player]:[Player]],$A30,Upload_Indiv[[Side]:[Side]],"Raintree Back")-IF(TRUNC(ROUND($B30,0)/9,0)=2,2+IF((ROUND($B30,0)-18)*2&gt;=T$2,1,0),IF(TRUNC(ROUND($B30,0)/9,0)=1,1+IF((ROUND($B30,0)-9)*2&gt;=T$2,1,0),IF(TRUNC(ROUND($B30,0)/9,0)=0,IF(TRUNC(ROUND($B30,0)/9,0)=0,0+IF((ROUND($B30,0))*2&gt;=T$2,1,0),"Not"))))-T$3,"")</f>
        <v/>
      </c>
    </row>
    <row r="1464" spans="1:5" x14ac:dyDescent="0.25">
      <c r="A1464" t="s">
        <v>724</v>
      </c>
      <c r="B1464" t="s">
        <v>362</v>
      </c>
      <c r="C1464" t="s">
        <v>725</v>
      </c>
      <c r="D1464" t="s">
        <v>1239</v>
      </c>
      <c r="E1464" t="str">
        <f>IFERROR(AVERAGEIFS(Upload_Indiv[Score8],Upload_Indiv[[Player]:[Player]],$A31,Upload_Indiv[[Side]:[Side]],"Raintree Front")-IF(TRUNC(ROUND($B31,0)/9,0)=2,2+IF((ROUND($B31,0)-18)*2&gt;=J$2,1,0),IF(TRUNC(ROUND($B31,0)/9,0)=1,1+IF((ROUND($B31,0)-9)*2&gt;=J$2,1,0),IF(TRUNC(ROUND($B31,0)/9,0)=0,IF(TRUNC(ROUND($B31,0)/9,0)=0,0+IF((ROUND($B31,0))*2&gt;=J$2,1,0),"Not"))))-J$3,"")</f>
        <v/>
      </c>
    </row>
    <row r="1465" spans="1:5" x14ac:dyDescent="0.25">
      <c r="A1465" t="s">
        <v>724</v>
      </c>
      <c r="B1465" t="s">
        <v>362</v>
      </c>
      <c r="C1465" t="s">
        <v>725</v>
      </c>
      <c r="D1465" t="s">
        <v>1937</v>
      </c>
      <c r="E1465" t="str">
        <f>IFERROR(AVERAGEIFS(Upload_Indiv[Score8],Upload_Indiv[[Player]:[Player]],$A31,Upload_Indiv[[Side]:[Side]],"Raintree Back")-IF(TRUNC(ROUND($B31,0)/9,0)=2,2+IF((ROUND($B31,0)-18)*2&gt;=T$2,1,0),IF(TRUNC(ROUND($B31,0)/9,0)=1,1+IF((ROUND($B31,0)-9)*2&gt;=T$2,1,0),IF(TRUNC(ROUND($B31,0)/9,0)=0,IF(TRUNC(ROUND($B31,0)/9,0)=0,0+IF((ROUND($B31,0))*2&gt;=T$2,1,0),"Not"))))-T$3,"")</f>
        <v/>
      </c>
    </row>
    <row r="1466" spans="1:5" x14ac:dyDescent="0.25">
      <c r="A1466" t="s">
        <v>724</v>
      </c>
      <c r="B1466" t="s">
        <v>362</v>
      </c>
      <c r="C1466" t="s">
        <v>725</v>
      </c>
      <c r="D1466" t="s">
        <v>1241</v>
      </c>
      <c r="E1466" t="str">
        <f>IFERROR(AVERAGEIFS(Upload_Indiv[Score8],Upload_Indiv[[Player]:[Player]],$A32,Upload_Indiv[[Side]:[Side]],"Raintree Front")-IF(TRUNC(ROUND($B32,0)/9,0)=2,2+IF((ROUND($B32,0)-18)*2&gt;=J$2,1,0),IF(TRUNC(ROUND($B32,0)/9,0)=1,1+IF((ROUND($B32,0)-9)*2&gt;=J$2,1,0),IF(TRUNC(ROUND($B32,0)/9,0)=0,IF(TRUNC(ROUND($B32,0)/9,0)=0,0+IF((ROUND($B32,0))*2&gt;=J$2,1,0),"Not"))))-J$3,"")</f>
        <v/>
      </c>
    </row>
    <row r="1467" spans="1:5" x14ac:dyDescent="0.25">
      <c r="A1467" t="s">
        <v>724</v>
      </c>
      <c r="B1467" t="s">
        <v>362</v>
      </c>
      <c r="C1467" t="s">
        <v>725</v>
      </c>
      <c r="D1467" t="s">
        <v>1938</v>
      </c>
      <c r="E1467" t="str">
        <f>IFERROR(AVERAGEIFS(Upload_Indiv[Score8],Upload_Indiv[[Player]:[Player]],$A32,Upload_Indiv[[Side]:[Side]],"Raintree Back")-IF(TRUNC(ROUND($B32,0)/9,0)=2,2+IF((ROUND($B32,0)-18)*2&gt;=T$2,1,0),IF(TRUNC(ROUND($B32,0)/9,0)=1,1+IF((ROUND($B32,0)-9)*2&gt;=T$2,1,0),IF(TRUNC(ROUND($B32,0)/9,0)=0,IF(TRUNC(ROUND($B32,0)/9,0)=0,0+IF((ROUND($B32,0))*2&gt;=T$2,1,0),"Not"))))-T$3,"")</f>
        <v/>
      </c>
    </row>
    <row r="1468" spans="1:5" x14ac:dyDescent="0.25">
      <c r="A1468" t="s">
        <v>724</v>
      </c>
      <c r="B1468" t="s">
        <v>362</v>
      </c>
      <c r="C1468" t="s">
        <v>725</v>
      </c>
      <c r="D1468" t="s">
        <v>1243</v>
      </c>
      <c r="E1468" t="str">
        <f>IFERROR(AVERAGEIFS(Upload_Indiv[Score8],Upload_Indiv[[Player]:[Player]],$A33,Upload_Indiv[[Side]:[Side]],"Raintree Front")-IF(TRUNC(ROUND($B33,0)/9,0)=2,2+IF((ROUND($B33,0)-18)*2&gt;=J$2,1,0),IF(TRUNC(ROUND($B33,0)/9,0)=1,1+IF((ROUND($B33,0)-9)*2&gt;=J$2,1,0),IF(TRUNC(ROUND($B33,0)/9,0)=0,IF(TRUNC(ROUND($B33,0)/9,0)=0,0+IF((ROUND($B33,0))*2&gt;=J$2,1,0),"Not"))))-J$3,"")</f>
        <v/>
      </c>
    </row>
    <row r="1469" spans="1:5" x14ac:dyDescent="0.25">
      <c r="A1469" t="s">
        <v>724</v>
      </c>
      <c r="B1469" t="s">
        <v>362</v>
      </c>
      <c r="C1469" t="s">
        <v>725</v>
      </c>
      <c r="D1469" t="s">
        <v>1939</v>
      </c>
      <c r="E1469" t="str">
        <f>IFERROR(AVERAGEIFS(Upload_Indiv[Score8],Upload_Indiv[[Player]:[Player]],$A33,Upload_Indiv[[Side]:[Side]],"Raintree Back")-IF(TRUNC(ROUND($B33,0)/9,0)=2,2+IF((ROUND($B33,0)-18)*2&gt;=T$2,1,0),IF(TRUNC(ROUND($B33,0)/9,0)=1,1+IF((ROUND($B33,0)-9)*2&gt;=T$2,1,0),IF(TRUNC(ROUND($B33,0)/9,0)=0,IF(TRUNC(ROUND($B33,0)/9,0)=0,0+IF((ROUND($B33,0))*2&gt;=T$2,1,0),"Not"))))-T$3,"")</f>
        <v/>
      </c>
    </row>
    <row r="1470" spans="1:5" x14ac:dyDescent="0.25">
      <c r="A1470" t="s">
        <v>724</v>
      </c>
      <c r="B1470" t="s">
        <v>362</v>
      </c>
      <c r="C1470" t="s">
        <v>725</v>
      </c>
      <c r="D1470" t="s">
        <v>1245</v>
      </c>
      <c r="E1470" t="str">
        <f>IFERROR(AVERAGEIFS(Upload_Indiv[Score8],Upload_Indiv[[Player]:[Player]],$A34,Upload_Indiv[[Side]:[Side]],"Raintree Front")-IF(TRUNC(ROUND($B34,0)/9,0)=2,2+IF((ROUND($B34,0)-18)*2&gt;=J$2,1,0),IF(TRUNC(ROUND($B34,0)/9,0)=1,1+IF((ROUND($B34,0)-9)*2&gt;=J$2,1,0),IF(TRUNC(ROUND($B34,0)/9,0)=0,IF(TRUNC(ROUND($B34,0)/9,0)=0,0+IF((ROUND($B34,0))*2&gt;=J$2,1,0),"Not"))))-J$3,"")</f>
        <v/>
      </c>
    </row>
    <row r="1471" spans="1:5" x14ac:dyDescent="0.25">
      <c r="A1471" t="s">
        <v>724</v>
      </c>
      <c r="B1471" t="s">
        <v>362</v>
      </c>
      <c r="C1471" t="s">
        <v>725</v>
      </c>
      <c r="D1471" t="s">
        <v>1940</v>
      </c>
      <c r="E1471" t="str">
        <f>IFERROR(AVERAGEIFS(Upload_Indiv[Score8],Upload_Indiv[[Player]:[Player]],$A34,Upload_Indiv[[Side]:[Side]],"Raintree Back")-IF(TRUNC(ROUND($B34,0)/9,0)=2,2+IF((ROUND($B34,0)-18)*2&gt;=T$2,1,0),IF(TRUNC(ROUND($B34,0)/9,0)=1,1+IF((ROUND($B34,0)-9)*2&gt;=T$2,1,0),IF(TRUNC(ROUND($B34,0)/9,0)=0,IF(TRUNC(ROUND($B34,0)/9,0)=0,0+IF((ROUND($B34,0))*2&gt;=T$2,1,0),"Not"))))-T$3,"")</f>
        <v/>
      </c>
    </row>
    <row r="1472" spans="1:5" x14ac:dyDescent="0.25">
      <c r="A1472" t="s">
        <v>724</v>
      </c>
      <c r="B1472" t="s">
        <v>362</v>
      </c>
      <c r="C1472" t="s">
        <v>725</v>
      </c>
      <c r="D1472" t="s">
        <v>1247</v>
      </c>
      <c r="E1472" t="str">
        <f>IFERROR(AVERAGEIFS(Upload_Indiv[Score8],Upload_Indiv[[Player]:[Player]],$A35,Upload_Indiv[[Side]:[Side]],"Raintree Front")-IF(TRUNC(ROUND($B35,0)/9,0)=2,2+IF((ROUND($B35,0)-18)*2&gt;=J$2,1,0),IF(TRUNC(ROUND($B35,0)/9,0)=1,1+IF((ROUND($B35,0)-9)*2&gt;=J$2,1,0),IF(TRUNC(ROUND($B35,0)/9,0)=0,IF(TRUNC(ROUND($B35,0)/9,0)=0,0+IF((ROUND($B35,0))*2&gt;=J$2,1,0),"Not"))))-J$3,"")</f>
        <v/>
      </c>
    </row>
    <row r="1473" spans="1:5" x14ac:dyDescent="0.25">
      <c r="A1473" t="s">
        <v>724</v>
      </c>
      <c r="B1473" t="s">
        <v>362</v>
      </c>
      <c r="C1473" t="s">
        <v>725</v>
      </c>
      <c r="D1473" t="s">
        <v>1941</v>
      </c>
      <c r="E1473" t="str">
        <f>IFERROR(AVERAGEIFS(Upload_Indiv[Score8],Upload_Indiv[[Player]:[Player]],$A35,Upload_Indiv[[Side]:[Side]],"Raintree Back")-IF(TRUNC(ROUND($B35,0)/9,0)=2,2+IF((ROUND($B35,0)-18)*2&gt;=T$2,1,0),IF(TRUNC(ROUND($B35,0)/9,0)=1,1+IF((ROUND($B35,0)-9)*2&gt;=T$2,1,0),IF(TRUNC(ROUND($B35,0)/9,0)=0,IF(TRUNC(ROUND($B35,0)/9,0)=0,0+IF((ROUND($B35,0))*2&gt;=T$2,1,0),"Not"))))-T$3,"")</f>
        <v/>
      </c>
    </row>
    <row r="1474" spans="1:5" x14ac:dyDescent="0.25">
      <c r="A1474" t="s">
        <v>724</v>
      </c>
      <c r="B1474" t="s">
        <v>362</v>
      </c>
      <c r="C1474" t="s">
        <v>725</v>
      </c>
      <c r="D1474" t="s">
        <v>1249</v>
      </c>
      <c r="E1474" t="str">
        <f>IFERROR(AVERAGEIFS(Upload_Indiv[Score8],Upload_Indiv[[Player]:[Player]],$A36,Upload_Indiv[[Side]:[Side]],"Raintree Front")-IF(TRUNC(ROUND($B36,0)/9,0)=2,2+IF((ROUND($B36,0)-18)*2&gt;=J$2,1,0),IF(TRUNC(ROUND($B36,0)/9,0)=1,1+IF((ROUND($B36,0)-9)*2&gt;=J$2,1,0),IF(TRUNC(ROUND($B36,0)/9,0)=0,IF(TRUNC(ROUND($B36,0)/9,0)=0,0+IF((ROUND($B36,0))*2&gt;=J$2,1,0),"Not"))))-J$3,"")</f>
        <v/>
      </c>
    </row>
    <row r="1475" spans="1:5" x14ac:dyDescent="0.25">
      <c r="A1475" t="s">
        <v>724</v>
      </c>
      <c r="B1475" t="s">
        <v>362</v>
      </c>
      <c r="C1475" t="s">
        <v>725</v>
      </c>
      <c r="D1475" t="s">
        <v>1942</v>
      </c>
      <c r="E1475" t="str">
        <f>IFERROR(AVERAGEIFS(Upload_Indiv[Score8],Upload_Indiv[[Player]:[Player]],$A36,Upload_Indiv[[Side]:[Side]],"Raintree Back")-IF(TRUNC(ROUND($B36,0)/9,0)=2,2+IF((ROUND($B36,0)-18)*2&gt;=T$2,1,0),IF(TRUNC(ROUND($B36,0)/9,0)=1,1+IF((ROUND($B36,0)-9)*2&gt;=T$2,1,0),IF(TRUNC(ROUND($B36,0)/9,0)=0,IF(TRUNC(ROUND($B36,0)/9,0)=0,0+IF((ROUND($B36,0))*2&gt;=T$2,1,0),"Not"))))-T$3,"")</f>
        <v/>
      </c>
    </row>
    <row r="1476" spans="1:5" x14ac:dyDescent="0.25">
      <c r="A1476" t="s">
        <v>724</v>
      </c>
      <c r="B1476" t="s">
        <v>362</v>
      </c>
      <c r="C1476" t="s">
        <v>725</v>
      </c>
      <c r="D1476" t="s">
        <v>1251</v>
      </c>
      <c r="E1476" t="str">
        <f>IFERROR(AVERAGEIFS(Upload_Indiv[Score8],Upload_Indiv[[Player]:[Player]],$A37,Upload_Indiv[[Side]:[Side]],"Raintree Front")-IF(TRUNC(ROUND($B37,0)/9,0)=2,2+IF((ROUND($B37,0)-18)*2&gt;=J$2,1,0),IF(TRUNC(ROUND($B37,0)/9,0)=1,1+IF((ROUND($B37,0)-9)*2&gt;=J$2,1,0),IF(TRUNC(ROUND($B37,0)/9,0)=0,IF(TRUNC(ROUND($B37,0)/9,0)=0,0+IF((ROUND($B37,0))*2&gt;=J$2,1,0),"Not"))))-J$3,"")</f>
        <v/>
      </c>
    </row>
    <row r="1477" spans="1:5" x14ac:dyDescent="0.25">
      <c r="A1477" t="s">
        <v>724</v>
      </c>
      <c r="B1477" t="s">
        <v>362</v>
      </c>
      <c r="C1477" t="s">
        <v>725</v>
      </c>
      <c r="D1477" t="s">
        <v>1943</v>
      </c>
      <c r="E1477" t="str">
        <f>IFERROR(AVERAGEIFS(Upload_Indiv[Score8],Upload_Indiv[[Player]:[Player]],$A37,Upload_Indiv[[Side]:[Side]],"Raintree Back")-IF(TRUNC(ROUND($B37,0)/9,0)=2,2+IF((ROUND($B37,0)-18)*2&gt;=T$2,1,0),IF(TRUNC(ROUND($B37,0)/9,0)=1,1+IF((ROUND($B37,0)-9)*2&gt;=T$2,1,0),IF(TRUNC(ROUND($B37,0)/9,0)=0,IF(TRUNC(ROUND($B37,0)/9,0)=0,0+IF((ROUND($B37,0))*2&gt;=T$2,1,0),"Not"))))-T$3,"")</f>
        <v/>
      </c>
    </row>
    <row r="1478" spans="1:5" x14ac:dyDescent="0.25">
      <c r="A1478" t="s">
        <v>724</v>
      </c>
      <c r="B1478" t="s">
        <v>362</v>
      </c>
      <c r="C1478" t="s">
        <v>725</v>
      </c>
      <c r="D1478" t="s">
        <v>1253</v>
      </c>
      <c r="E1478" t="str">
        <f>IFERROR(AVERAGEIFS(Upload_Indiv[Score8],Upload_Indiv[[Player]:[Player]],$A38,Upload_Indiv[[Side]:[Side]],"Raintree Front")-IF(TRUNC(ROUND($B38,0)/9,0)=2,2+IF((ROUND($B38,0)-18)*2&gt;=J$2,1,0),IF(TRUNC(ROUND($B38,0)/9,0)=1,1+IF((ROUND($B38,0)-9)*2&gt;=J$2,1,0),IF(TRUNC(ROUND($B38,0)/9,0)=0,IF(TRUNC(ROUND($B38,0)/9,0)=0,0+IF((ROUND($B38,0))*2&gt;=J$2,1,0),"Not"))))-J$3,"")</f>
        <v/>
      </c>
    </row>
    <row r="1479" spans="1:5" x14ac:dyDescent="0.25">
      <c r="A1479" t="s">
        <v>724</v>
      </c>
      <c r="B1479" t="s">
        <v>362</v>
      </c>
      <c r="C1479" t="s">
        <v>725</v>
      </c>
      <c r="D1479" t="s">
        <v>1944</v>
      </c>
      <c r="E1479" t="str">
        <f>IFERROR(AVERAGEIFS(Upload_Indiv[Score8],Upload_Indiv[[Player]:[Player]],$A38,Upload_Indiv[[Side]:[Side]],"Raintree Back")-IF(TRUNC(ROUND($B38,0)/9,0)=2,2+IF((ROUND($B38,0)-18)*2&gt;=T$2,1,0),IF(TRUNC(ROUND($B38,0)/9,0)=1,1+IF((ROUND($B38,0)-9)*2&gt;=T$2,1,0),IF(TRUNC(ROUND($B38,0)/9,0)=0,IF(TRUNC(ROUND($B38,0)/9,0)=0,0+IF((ROUND($B38,0))*2&gt;=T$2,1,0),"Not"))))-T$3,"")</f>
        <v/>
      </c>
    </row>
    <row r="1480" spans="1:5" x14ac:dyDescent="0.25">
      <c r="A1480" t="s">
        <v>724</v>
      </c>
      <c r="B1480" t="s">
        <v>362</v>
      </c>
      <c r="C1480" t="s">
        <v>725</v>
      </c>
      <c r="D1480" t="s">
        <v>1255</v>
      </c>
      <c r="E1480" t="str">
        <f>IFERROR(AVERAGEIFS(Upload_Indiv[Score8],Upload_Indiv[[Player]:[Player]],$A39,Upload_Indiv[[Side]:[Side]],"Raintree Front")-IF(TRUNC(ROUND($B39,0)/9,0)=2,2+IF((ROUND($B39,0)-18)*2&gt;=J$2,1,0),IF(TRUNC(ROUND($B39,0)/9,0)=1,1+IF((ROUND($B39,0)-9)*2&gt;=J$2,1,0),IF(TRUNC(ROUND($B39,0)/9,0)=0,IF(TRUNC(ROUND($B39,0)/9,0)=0,0+IF((ROUND($B39,0))*2&gt;=J$2,1,0),"Not"))))-J$3,"")</f>
        <v/>
      </c>
    </row>
    <row r="1481" spans="1:5" x14ac:dyDescent="0.25">
      <c r="A1481" t="s">
        <v>724</v>
      </c>
      <c r="B1481" t="s">
        <v>362</v>
      </c>
      <c r="C1481" t="s">
        <v>725</v>
      </c>
      <c r="D1481" t="s">
        <v>1945</v>
      </c>
      <c r="E1481" t="str">
        <f>IFERROR(AVERAGEIFS(Upload_Indiv[Score8],Upload_Indiv[[Player]:[Player]],$A39,Upload_Indiv[[Side]:[Side]],"Raintree Back")-IF(TRUNC(ROUND($B39,0)/9,0)=2,2+IF((ROUND($B39,0)-18)*2&gt;=T$2,1,0),IF(TRUNC(ROUND($B39,0)/9,0)=1,1+IF((ROUND($B39,0)-9)*2&gt;=T$2,1,0),IF(TRUNC(ROUND($B39,0)/9,0)=0,IF(TRUNC(ROUND($B39,0)/9,0)=0,0+IF((ROUND($B39,0))*2&gt;=T$2,1,0),"Not"))))-T$3,"")</f>
        <v/>
      </c>
    </row>
    <row r="1482" spans="1:5" x14ac:dyDescent="0.25">
      <c r="A1482" t="s">
        <v>724</v>
      </c>
      <c r="B1482" t="s">
        <v>362</v>
      </c>
      <c r="C1482" t="s">
        <v>725</v>
      </c>
      <c r="D1482" t="s">
        <v>1257</v>
      </c>
      <c r="E1482" t="str">
        <f>IFERROR(AVERAGEIFS(Upload_Indiv[Score8],Upload_Indiv[[Player]:[Player]],$A40,Upload_Indiv[[Side]:[Side]],"Raintree Front")-IF(TRUNC(ROUND($B40,0)/9,0)=2,2+IF((ROUND($B40,0)-18)*2&gt;=J$2,1,0),IF(TRUNC(ROUND($B40,0)/9,0)=1,1+IF((ROUND($B40,0)-9)*2&gt;=J$2,1,0),IF(TRUNC(ROUND($B40,0)/9,0)=0,IF(TRUNC(ROUND($B40,0)/9,0)=0,0+IF((ROUND($B40,0))*2&gt;=J$2,1,0),"Not"))))-J$3,"")</f>
        <v/>
      </c>
    </row>
    <row r="1483" spans="1:5" x14ac:dyDescent="0.25">
      <c r="A1483" t="s">
        <v>724</v>
      </c>
      <c r="B1483" t="s">
        <v>362</v>
      </c>
      <c r="C1483" t="s">
        <v>725</v>
      </c>
      <c r="D1483" t="s">
        <v>1946</v>
      </c>
      <c r="E1483" t="str">
        <f>IFERROR(AVERAGEIFS(Upload_Indiv[Score8],Upload_Indiv[[Player]:[Player]],$A40,Upload_Indiv[[Side]:[Side]],"Raintree Back")-IF(TRUNC(ROUND($B40,0)/9,0)=2,2+IF((ROUND($B40,0)-18)*2&gt;=T$2,1,0),IF(TRUNC(ROUND($B40,0)/9,0)=1,1+IF((ROUND($B40,0)-9)*2&gt;=T$2,1,0),IF(TRUNC(ROUND($B40,0)/9,0)=0,IF(TRUNC(ROUND($B40,0)/9,0)=0,0+IF((ROUND($B40,0))*2&gt;=T$2,1,0),"Not"))))-T$3,"")</f>
        <v/>
      </c>
    </row>
    <row r="1484" spans="1:5" x14ac:dyDescent="0.25">
      <c r="A1484" t="s">
        <v>724</v>
      </c>
      <c r="B1484" t="s">
        <v>362</v>
      </c>
      <c r="C1484" t="s">
        <v>725</v>
      </c>
      <c r="D1484" t="s">
        <v>1259</v>
      </c>
      <c r="E1484" t="str">
        <f>IFERROR(AVERAGEIFS(Upload_Indiv[Score8],Upload_Indiv[[Player]:[Player]],$A41,Upload_Indiv[[Side]:[Side]],"Raintree Front")-IF(TRUNC(ROUND($B41,0)/9,0)=2,2+IF((ROUND($B41,0)-18)*2&gt;=J$2,1,0),IF(TRUNC(ROUND($B41,0)/9,0)=1,1+IF((ROUND($B41,0)-9)*2&gt;=J$2,1,0),IF(TRUNC(ROUND($B41,0)/9,0)=0,IF(TRUNC(ROUND($B41,0)/9,0)=0,0+IF((ROUND($B41,0))*2&gt;=J$2,1,0),"Not"))))-J$3,"")</f>
        <v/>
      </c>
    </row>
    <row r="1485" spans="1:5" x14ac:dyDescent="0.25">
      <c r="A1485" t="s">
        <v>724</v>
      </c>
      <c r="B1485" t="s">
        <v>362</v>
      </c>
      <c r="C1485" t="s">
        <v>725</v>
      </c>
      <c r="D1485" t="s">
        <v>1947</v>
      </c>
      <c r="E1485" t="str">
        <f>IFERROR(AVERAGEIFS(Upload_Indiv[Score8],Upload_Indiv[[Player]:[Player]],$A41,Upload_Indiv[[Side]:[Side]],"Raintree Back")-IF(TRUNC(ROUND($B41,0)/9,0)=2,2+IF((ROUND($B41,0)-18)*2&gt;=T$2,1,0),IF(TRUNC(ROUND($B41,0)/9,0)=1,1+IF((ROUND($B41,0)-9)*2&gt;=T$2,1,0),IF(TRUNC(ROUND($B41,0)/9,0)=0,IF(TRUNC(ROUND($B41,0)/9,0)=0,0+IF((ROUND($B41,0))*2&gt;=T$2,1,0),"Not"))))-T$3,"")</f>
        <v/>
      </c>
    </row>
    <row r="1486" spans="1:5" x14ac:dyDescent="0.25">
      <c r="A1486" t="s">
        <v>724</v>
      </c>
      <c r="B1486" t="s">
        <v>362</v>
      </c>
      <c r="C1486" t="s">
        <v>725</v>
      </c>
      <c r="D1486" t="s">
        <v>1261</v>
      </c>
      <c r="E1486" t="str">
        <f>IFERROR(AVERAGEIFS(Upload_Indiv[Score8],Upload_Indiv[[Player]:[Player]],$A42,Upload_Indiv[[Side]:[Side]],"Raintree Front")-IF(TRUNC(ROUND($B42,0)/9,0)=2,2+IF((ROUND($B42,0)-18)*2&gt;=J$2,1,0),IF(TRUNC(ROUND($B42,0)/9,0)=1,1+IF((ROUND($B42,0)-9)*2&gt;=J$2,1,0),IF(TRUNC(ROUND($B42,0)/9,0)=0,IF(TRUNC(ROUND($B42,0)/9,0)=0,0+IF((ROUND($B42,0))*2&gt;=J$2,1,0),"Not"))))-J$3,"")</f>
        <v/>
      </c>
    </row>
    <row r="1487" spans="1:5" x14ac:dyDescent="0.25">
      <c r="A1487" t="s">
        <v>724</v>
      </c>
      <c r="B1487" t="s">
        <v>362</v>
      </c>
      <c r="C1487" t="s">
        <v>725</v>
      </c>
      <c r="D1487" t="s">
        <v>1948</v>
      </c>
      <c r="E1487" t="str">
        <f>IFERROR(AVERAGEIFS(Upload_Indiv[Score8],Upload_Indiv[[Player]:[Player]],$A42,Upload_Indiv[[Side]:[Side]],"Raintree Back")-IF(TRUNC(ROUND($B42,0)/9,0)=2,2+IF((ROUND($B42,0)-18)*2&gt;=T$2,1,0),IF(TRUNC(ROUND($B42,0)/9,0)=1,1+IF((ROUND($B42,0)-9)*2&gt;=T$2,1,0),IF(TRUNC(ROUND($B42,0)/9,0)=0,IF(TRUNC(ROUND($B42,0)/9,0)=0,0+IF((ROUND($B42,0))*2&gt;=T$2,1,0),"Not"))))-T$3,"")</f>
        <v/>
      </c>
    </row>
    <row r="1488" spans="1:5" x14ac:dyDescent="0.25">
      <c r="A1488" t="s">
        <v>724</v>
      </c>
      <c r="B1488" t="s">
        <v>362</v>
      </c>
      <c r="C1488" t="s">
        <v>725</v>
      </c>
      <c r="D1488" t="s">
        <v>1263</v>
      </c>
      <c r="E1488" t="str">
        <f>IFERROR(AVERAGEIFS(Upload_Indiv[Score8],Upload_Indiv[[Player]:[Player]],$A43,Upload_Indiv[[Side]:[Side]],"Raintree Front")-IF(TRUNC(ROUND($B43,0)/9,0)=2,2+IF((ROUND($B43,0)-18)*2&gt;=J$2,1,0),IF(TRUNC(ROUND($B43,0)/9,0)=1,1+IF((ROUND($B43,0)-9)*2&gt;=J$2,1,0),IF(TRUNC(ROUND($B43,0)/9,0)=0,IF(TRUNC(ROUND($B43,0)/9,0)=0,0+IF((ROUND($B43,0))*2&gt;=J$2,1,0),"Not"))))-J$3,"")</f>
        <v/>
      </c>
    </row>
    <row r="1489" spans="1:5" x14ac:dyDescent="0.25">
      <c r="A1489" t="s">
        <v>724</v>
      </c>
      <c r="B1489" t="s">
        <v>362</v>
      </c>
      <c r="C1489" t="s">
        <v>725</v>
      </c>
      <c r="D1489" t="s">
        <v>1949</v>
      </c>
      <c r="E1489" t="str">
        <f>IFERROR(AVERAGEIFS(Upload_Indiv[Score8],Upload_Indiv[[Player]:[Player]],$A43,Upload_Indiv[[Side]:[Side]],"Raintree Back")-IF(TRUNC(ROUND($B43,0)/9,0)=2,2+IF((ROUND($B43,0)-18)*2&gt;=T$2,1,0),IF(TRUNC(ROUND($B43,0)/9,0)=1,1+IF((ROUND($B43,0)-9)*2&gt;=T$2,1,0),IF(TRUNC(ROUND($B43,0)/9,0)=0,IF(TRUNC(ROUND($B43,0)/9,0)=0,0+IF((ROUND($B43,0))*2&gt;=T$2,1,0),"Not"))))-T$3,"")</f>
        <v/>
      </c>
    </row>
    <row r="1490" spans="1:5" x14ac:dyDescent="0.25">
      <c r="A1490" t="s">
        <v>724</v>
      </c>
      <c r="B1490" t="s">
        <v>362</v>
      </c>
      <c r="C1490" t="s">
        <v>725</v>
      </c>
      <c r="D1490" t="s">
        <v>1265</v>
      </c>
      <c r="E1490" t="str">
        <f>IFERROR(AVERAGEIFS(Upload_Indiv[Score8],Upload_Indiv[[Player]:[Player]],$A44,Upload_Indiv[[Side]:[Side]],"Raintree Front")-IF(TRUNC(ROUND($B44,0)/9,0)=2,2+IF((ROUND($B44,0)-18)*2&gt;=J$2,1,0),IF(TRUNC(ROUND($B44,0)/9,0)=1,1+IF((ROUND($B44,0)-9)*2&gt;=J$2,1,0),IF(TRUNC(ROUND($B44,0)/9,0)=0,IF(TRUNC(ROUND($B44,0)/9,0)=0,0+IF((ROUND($B44,0))*2&gt;=J$2,1,0),"Not"))))-J$3,"")</f>
        <v/>
      </c>
    </row>
    <row r="1491" spans="1:5" x14ac:dyDescent="0.25">
      <c r="A1491" t="s">
        <v>724</v>
      </c>
      <c r="B1491" t="s">
        <v>362</v>
      </c>
      <c r="C1491" t="s">
        <v>725</v>
      </c>
      <c r="D1491" t="s">
        <v>1950</v>
      </c>
      <c r="E1491" t="str">
        <f>IFERROR(AVERAGEIFS(Upload_Indiv[Score8],Upload_Indiv[[Player]:[Player]],$A44,Upload_Indiv[[Side]:[Side]],"Raintree Back")-IF(TRUNC(ROUND($B44,0)/9,0)=2,2+IF((ROUND($B44,0)-18)*2&gt;=T$2,1,0),IF(TRUNC(ROUND($B44,0)/9,0)=1,1+IF((ROUND($B44,0)-9)*2&gt;=T$2,1,0),IF(TRUNC(ROUND($B44,0)/9,0)=0,IF(TRUNC(ROUND($B44,0)/9,0)=0,0+IF((ROUND($B44,0))*2&gt;=T$2,1,0),"Not"))))-T$3,"")</f>
        <v/>
      </c>
    </row>
    <row r="1492" spans="1:5" x14ac:dyDescent="0.25">
      <c r="A1492" t="s">
        <v>724</v>
      </c>
      <c r="B1492" t="s">
        <v>362</v>
      </c>
      <c r="C1492" t="s">
        <v>725</v>
      </c>
      <c r="D1492" t="s">
        <v>1267</v>
      </c>
      <c r="E1492" t="str">
        <f>IFERROR(AVERAGEIFS(Upload_Indiv[Score8],Upload_Indiv[[Player]:[Player]],$A45,Upload_Indiv[[Side]:[Side]],"Raintree Front")-IF(TRUNC(ROUND($B45,0)/9,0)=2,2+IF((ROUND($B45,0)-18)*2&gt;=J$2,1,0),IF(TRUNC(ROUND($B45,0)/9,0)=1,1+IF((ROUND($B45,0)-9)*2&gt;=J$2,1,0),IF(TRUNC(ROUND($B45,0)/9,0)=0,IF(TRUNC(ROUND($B45,0)/9,0)=0,0+IF((ROUND($B45,0))*2&gt;=J$2,1,0),"Not"))))-J$3,"")</f>
        <v/>
      </c>
    </row>
    <row r="1493" spans="1:5" x14ac:dyDescent="0.25">
      <c r="A1493" t="s">
        <v>724</v>
      </c>
      <c r="B1493" t="s">
        <v>362</v>
      </c>
      <c r="C1493" t="s">
        <v>725</v>
      </c>
      <c r="D1493" t="s">
        <v>1951</v>
      </c>
      <c r="E1493" t="str">
        <f>IFERROR(AVERAGEIFS(Upload_Indiv[Score8],Upload_Indiv[[Player]:[Player]],$A45,Upload_Indiv[[Side]:[Side]],"Raintree Back")-IF(TRUNC(ROUND($B45,0)/9,0)=2,2+IF((ROUND($B45,0)-18)*2&gt;=T$2,1,0),IF(TRUNC(ROUND($B45,0)/9,0)=1,1+IF((ROUND($B45,0)-9)*2&gt;=T$2,1,0),IF(TRUNC(ROUND($B45,0)/9,0)=0,IF(TRUNC(ROUND($B45,0)/9,0)=0,0+IF((ROUND($B45,0))*2&gt;=T$2,1,0),"Not"))))-T$3,"")</f>
        <v/>
      </c>
    </row>
    <row r="1494" spans="1:5" x14ac:dyDescent="0.25">
      <c r="A1494" t="s">
        <v>724</v>
      </c>
      <c r="B1494" t="s">
        <v>362</v>
      </c>
      <c r="C1494" t="s">
        <v>725</v>
      </c>
      <c r="D1494" t="s">
        <v>1269</v>
      </c>
      <c r="E1494" t="str">
        <f>IFERROR(AVERAGEIFS(Upload_Indiv[Score8],Upload_Indiv[[Player]:[Player]],$A46,Upload_Indiv[[Side]:[Side]],"Raintree Front")-IF(TRUNC(ROUND($B46,0)/9,0)=2,2+IF((ROUND($B46,0)-18)*2&gt;=J$2,1,0),IF(TRUNC(ROUND($B46,0)/9,0)=1,1+IF((ROUND($B46,0)-9)*2&gt;=J$2,1,0),IF(TRUNC(ROUND($B46,0)/9,0)=0,IF(TRUNC(ROUND($B46,0)/9,0)=0,0+IF((ROUND($B46,0))*2&gt;=J$2,1,0),"Not"))))-J$3,"")</f>
        <v/>
      </c>
    </row>
    <row r="1495" spans="1:5" x14ac:dyDescent="0.25">
      <c r="A1495" t="s">
        <v>724</v>
      </c>
      <c r="B1495" t="s">
        <v>362</v>
      </c>
      <c r="C1495" t="s">
        <v>725</v>
      </c>
      <c r="D1495" t="s">
        <v>1952</v>
      </c>
      <c r="E1495" t="str">
        <f>IFERROR(AVERAGEIFS(Upload_Indiv[Score8],Upload_Indiv[[Player]:[Player]],$A46,Upload_Indiv[[Side]:[Side]],"Raintree Back")-IF(TRUNC(ROUND($B46,0)/9,0)=2,2+IF((ROUND($B46,0)-18)*2&gt;=T$2,1,0),IF(TRUNC(ROUND($B46,0)/9,0)=1,1+IF((ROUND($B46,0)-9)*2&gt;=T$2,1,0),IF(TRUNC(ROUND($B46,0)/9,0)=0,IF(TRUNC(ROUND($B46,0)/9,0)=0,0+IF((ROUND($B46,0))*2&gt;=T$2,1,0),"Not"))))-T$3,"")</f>
        <v/>
      </c>
    </row>
    <row r="1496" spans="1:5" x14ac:dyDescent="0.25">
      <c r="A1496" t="s">
        <v>724</v>
      </c>
      <c r="B1496" t="s">
        <v>362</v>
      </c>
      <c r="C1496" t="s">
        <v>725</v>
      </c>
      <c r="D1496" t="s">
        <v>1271</v>
      </c>
      <c r="E1496" t="str">
        <f>IFERROR(AVERAGEIFS(Upload_Indiv[Score8],Upload_Indiv[[Player]:[Player]],$A47,Upload_Indiv[[Side]:[Side]],"Raintree Front")-IF(TRUNC(ROUND($B47,0)/9,0)=2,2+IF((ROUND($B47,0)-18)*2&gt;=J$2,1,0),IF(TRUNC(ROUND($B47,0)/9,0)=1,1+IF((ROUND($B47,0)-9)*2&gt;=J$2,1,0),IF(TRUNC(ROUND($B47,0)/9,0)=0,IF(TRUNC(ROUND($B47,0)/9,0)=0,0+IF((ROUND($B47,0))*2&gt;=J$2,1,0),"Not"))))-J$3,"")</f>
        <v/>
      </c>
    </row>
    <row r="1497" spans="1:5" x14ac:dyDescent="0.25">
      <c r="A1497" t="s">
        <v>724</v>
      </c>
      <c r="B1497" t="s">
        <v>362</v>
      </c>
      <c r="C1497" t="s">
        <v>725</v>
      </c>
      <c r="D1497" t="s">
        <v>1953</v>
      </c>
      <c r="E1497" t="str">
        <f>IFERROR(AVERAGEIFS(Upload_Indiv[Score8],Upload_Indiv[[Player]:[Player]],$A47,Upload_Indiv[[Side]:[Side]],"Raintree Back")-IF(TRUNC(ROUND($B47,0)/9,0)=2,2+IF((ROUND($B47,0)-18)*2&gt;=T$2,1,0),IF(TRUNC(ROUND($B47,0)/9,0)=1,1+IF((ROUND($B47,0)-9)*2&gt;=T$2,1,0),IF(TRUNC(ROUND($B47,0)/9,0)=0,IF(TRUNC(ROUND($B47,0)/9,0)=0,0+IF((ROUND($B47,0))*2&gt;=T$2,1,0),"Not"))))-T$3,"")</f>
        <v/>
      </c>
    </row>
    <row r="1498" spans="1:5" x14ac:dyDescent="0.25">
      <c r="A1498" t="s">
        <v>724</v>
      </c>
      <c r="B1498" t="s">
        <v>362</v>
      </c>
      <c r="C1498" t="s">
        <v>725</v>
      </c>
      <c r="D1498" t="s">
        <v>1273</v>
      </c>
      <c r="E1498" t="str">
        <f>IFERROR(AVERAGEIFS(Upload_Indiv[Score8],Upload_Indiv[[Player]:[Player]],$A48,Upload_Indiv[[Side]:[Side]],"Raintree Front")-IF(TRUNC(ROUND($B48,0)/9,0)=2,2+IF((ROUND($B48,0)-18)*2&gt;=J$2,1,0),IF(TRUNC(ROUND($B48,0)/9,0)=1,1+IF((ROUND($B48,0)-9)*2&gt;=J$2,1,0),IF(TRUNC(ROUND($B48,0)/9,0)=0,IF(TRUNC(ROUND($B48,0)/9,0)=0,0+IF((ROUND($B48,0))*2&gt;=J$2,1,0),"Not"))))-J$3,"")</f>
        <v/>
      </c>
    </row>
    <row r="1499" spans="1:5" x14ac:dyDescent="0.25">
      <c r="A1499" t="s">
        <v>724</v>
      </c>
      <c r="B1499" t="s">
        <v>362</v>
      </c>
      <c r="C1499" t="s">
        <v>725</v>
      </c>
      <c r="D1499" t="s">
        <v>1954</v>
      </c>
      <c r="E1499" t="str">
        <f>IFERROR(AVERAGEIFS(Upload_Indiv[Score8],Upload_Indiv[[Player]:[Player]],$A48,Upload_Indiv[[Side]:[Side]],"Raintree Back")-IF(TRUNC(ROUND($B48,0)/9,0)=2,2+IF((ROUND($B48,0)-18)*2&gt;=T$2,1,0),IF(TRUNC(ROUND($B48,0)/9,0)=1,1+IF((ROUND($B48,0)-9)*2&gt;=T$2,1,0),IF(TRUNC(ROUND($B48,0)/9,0)=0,IF(TRUNC(ROUND($B48,0)/9,0)=0,0+IF((ROUND($B48,0))*2&gt;=T$2,1,0),"Not"))))-T$3,"")</f>
        <v/>
      </c>
    </row>
    <row r="1500" spans="1:5" x14ac:dyDescent="0.25">
      <c r="A1500" t="s">
        <v>724</v>
      </c>
      <c r="B1500" t="s">
        <v>362</v>
      </c>
      <c r="C1500" t="s">
        <v>725</v>
      </c>
      <c r="D1500" t="s">
        <v>1275</v>
      </c>
      <c r="E1500" t="str">
        <f>IFERROR(AVERAGEIFS(Upload_Indiv[Score8],Upload_Indiv[[Player]:[Player]],$A49,Upload_Indiv[[Side]:[Side]],"Raintree Front")-IF(TRUNC(ROUND($B49,0)/9,0)=2,2+IF((ROUND($B49,0)-18)*2&gt;=J$2,1,0),IF(TRUNC(ROUND($B49,0)/9,0)=1,1+IF((ROUND($B49,0)-9)*2&gt;=J$2,1,0),IF(TRUNC(ROUND($B49,0)/9,0)=0,IF(TRUNC(ROUND($B49,0)/9,0)=0,0+IF((ROUND($B49,0))*2&gt;=J$2,1,0),"Not"))))-J$3,"")</f>
        <v/>
      </c>
    </row>
    <row r="1501" spans="1:5" x14ac:dyDescent="0.25">
      <c r="A1501" t="s">
        <v>724</v>
      </c>
      <c r="B1501" t="s">
        <v>362</v>
      </c>
      <c r="C1501" t="s">
        <v>725</v>
      </c>
      <c r="D1501" t="s">
        <v>1955</v>
      </c>
      <c r="E1501" t="str">
        <f>IFERROR(AVERAGEIFS(Upload_Indiv[Score8],Upload_Indiv[[Player]:[Player]],$A49,Upload_Indiv[[Side]:[Side]],"Raintree Back")-IF(TRUNC(ROUND($B49,0)/9,0)=2,2+IF((ROUND($B49,0)-18)*2&gt;=T$2,1,0),IF(TRUNC(ROUND($B49,0)/9,0)=1,1+IF((ROUND($B49,0)-9)*2&gt;=T$2,1,0),IF(TRUNC(ROUND($B49,0)/9,0)=0,IF(TRUNC(ROUND($B49,0)/9,0)=0,0+IF((ROUND($B49,0))*2&gt;=T$2,1,0),"Not"))))-T$3,"")</f>
        <v/>
      </c>
    </row>
    <row r="1502" spans="1:5" x14ac:dyDescent="0.25">
      <c r="A1502" t="s">
        <v>724</v>
      </c>
      <c r="B1502" t="s">
        <v>362</v>
      </c>
      <c r="C1502" t="s">
        <v>725</v>
      </c>
      <c r="D1502" t="s">
        <v>1277</v>
      </c>
      <c r="E1502" t="str">
        <f>IFERROR(AVERAGEIFS(Upload_Indiv[Score8],Upload_Indiv[[Player]:[Player]],$A50,Upload_Indiv[[Side]:[Side]],"Raintree Front")-IF(TRUNC(ROUND($B50,0)/9,0)=2,2+IF((ROUND($B50,0)-18)*2&gt;=J$2,1,0),IF(TRUNC(ROUND($B50,0)/9,0)=1,1+IF((ROUND($B50,0)-9)*2&gt;=J$2,1,0),IF(TRUNC(ROUND($B50,0)/9,0)=0,IF(TRUNC(ROUND($B50,0)/9,0)=0,0+IF((ROUND($B50,0))*2&gt;=J$2,1,0),"Not"))))-J$3,"")</f>
        <v/>
      </c>
    </row>
    <row r="1503" spans="1:5" x14ac:dyDescent="0.25">
      <c r="A1503" t="s">
        <v>724</v>
      </c>
      <c r="B1503" t="s">
        <v>362</v>
      </c>
      <c r="C1503" t="s">
        <v>725</v>
      </c>
      <c r="D1503" t="s">
        <v>1956</v>
      </c>
      <c r="E1503" t="str">
        <f>IFERROR(AVERAGEIFS(Upload_Indiv[Score8],Upload_Indiv[[Player]:[Player]],$A50,Upload_Indiv[[Side]:[Side]],"Raintree Back")-IF(TRUNC(ROUND($B50,0)/9,0)=2,2+IF((ROUND($B50,0)-18)*2&gt;=T$2,1,0),IF(TRUNC(ROUND($B50,0)/9,0)=1,1+IF((ROUND($B50,0)-9)*2&gt;=T$2,1,0),IF(TRUNC(ROUND($B50,0)/9,0)=0,IF(TRUNC(ROUND($B50,0)/9,0)=0,0+IF((ROUND($B50,0))*2&gt;=T$2,1,0),"Not"))))-T$3,"")</f>
        <v/>
      </c>
    </row>
    <row r="1504" spans="1:5" x14ac:dyDescent="0.25">
      <c r="A1504" t="s">
        <v>724</v>
      </c>
      <c r="B1504" t="s">
        <v>362</v>
      </c>
      <c r="C1504" t="s">
        <v>725</v>
      </c>
      <c r="D1504" t="s">
        <v>1279</v>
      </c>
      <c r="E1504" t="str">
        <f>IFERROR(AVERAGEIFS(Upload_Indiv[Score8],Upload_Indiv[[Player]:[Player]],$A51,Upload_Indiv[[Side]:[Side]],"Raintree Front")-IF(TRUNC(ROUND($B51,0)/9,0)=2,2+IF((ROUND($B51,0)-18)*2&gt;=J$2,1,0),IF(TRUNC(ROUND($B51,0)/9,0)=1,1+IF((ROUND($B51,0)-9)*2&gt;=J$2,1,0),IF(TRUNC(ROUND($B51,0)/9,0)=0,IF(TRUNC(ROUND($B51,0)/9,0)=0,0+IF((ROUND($B51,0))*2&gt;=J$2,1,0),"Not"))))-J$3,"")</f>
        <v/>
      </c>
    </row>
    <row r="1505" spans="1:5" x14ac:dyDescent="0.25">
      <c r="A1505" t="s">
        <v>724</v>
      </c>
      <c r="B1505" t="s">
        <v>362</v>
      </c>
      <c r="C1505" t="s">
        <v>725</v>
      </c>
      <c r="D1505" t="s">
        <v>1957</v>
      </c>
      <c r="E1505" t="str">
        <f>IFERROR(AVERAGEIFS(Upload_Indiv[Score8],Upload_Indiv[[Player]:[Player]],$A51,Upload_Indiv[[Side]:[Side]],"Raintree Back")-IF(TRUNC(ROUND($B51,0)/9,0)=2,2+IF((ROUND($B51,0)-18)*2&gt;=T$2,1,0),IF(TRUNC(ROUND($B51,0)/9,0)=1,1+IF((ROUND($B51,0)-9)*2&gt;=T$2,1,0),IF(TRUNC(ROUND($B51,0)/9,0)=0,IF(TRUNC(ROUND($B51,0)/9,0)=0,0+IF((ROUND($B51,0))*2&gt;=T$2,1,0),"Not"))))-T$3,"")</f>
        <v/>
      </c>
    </row>
    <row r="1506" spans="1:5" x14ac:dyDescent="0.25">
      <c r="A1506" t="s">
        <v>724</v>
      </c>
      <c r="B1506" t="s">
        <v>362</v>
      </c>
      <c r="C1506" t="s">
        <v>725</v>
      </c>
      <c r="D1506" t="s">
        <v>1281</v>
      </c>
      <c r="E1506" t="str">
        <f>IFERROR(AVERAGEIFS(Upload_Indiv[Score8],Upload_Indiv[[Player]:[Player]],$A52,Upload_Indiv[[Side]:[Side]],"Raintree Front")-IF(TRUNC(ROUND($B52,0)/9,0)=2,2+IF((ROUND($B52,0)-18)*2&gt;=J$2,1,0),IF(TRUNC(ROUND($B52,0)/9,0)=1,1+IF((ROUND($B52,0)-9)*2&gt;=J$2,1,0),IF(TRUNC(ROUND($B52,0)/9,0)=0,IF(TRUNC(ROUND($B52,0)/9,0)=0,0+IF((ROUND($B52,0))*2&gt;=J$2,1,0),"Not"))))-J$3,"")</f>
        <v/>
      </c>
    </row>
    <row r="1507" spans="1:5" x14ac:dyDescent="0.25">
      <c r="A1507" t="s">
        <v>724</v>
      </c>
      <c r="B1507" t="s">
        <v>362</v>
      </c>
      <c r="C1507" t="s">
        <v>725</v>
      </c>
      <c r="D1507" t="s">
        <v>1958</v>
      </c>
      <c r="E1507" t="str">
        <f>IFERROR(AVERAGEIFS(Upload_Indiv[Score8],Upload_Indiv[[Player]:[Player]],$A52,Upload_Indiv[[Side]:[Side]],"Raintree Back")-IF(TRUNC(ROUND($B52,0)/9,0)=2,2+IF((ROUND($B52,0)-18)*2&gt;=T$2,1,0),IF(TRUNC(ROUND($B52,0)/9,0)=1,1+IF((ROUND($B52,0)-9)*2&gt;=T$2,1,0),IF(TRUNC(ROUND($B52,0)/9,0)=0,IF(TRUNC(ROUND($B52,0)/9,0)=0,0+IF((ROUND($B52,0))*2&gt;=T$2,1,0),"Not"))))-T$3,"")</f>
        <v/>
      </c>
    </row>
    <row r="1508" spans="1:5" x14ac:dyDescent="0.25">
      <c r="A1508" t="s">
        <v>724</v>
      </c>
      <c r="B1508" t="s">
        <v>362</v>
      </c>
      <c r="C1508" t="s">
        <v>725</v>
      </c>
      <c r="D1508" t="s">
        <v>1283</v>
      </c>
      <c r="E1508" t="str">
        <f>IFERROR(AVERAGEIFS(Upload_Indiv[Score8],Upload_Indiv[[Player]:[Player]],$A53,Upload_Indiv[[Side]:[Side]],"Raintree Front")-IF(TRUNC(ROUND($B53,0)/9,0)=2,2+IF((ROUND($B53,0)-18)*2&gt;=J$2,1,0),IF(TRUNC(ROUND($B53,0)/9,0)=1,1+IF((ROUND($B53,0)-9)*2&gt;=J$2,1,0),IF(TRUNC(ROUND($B53,0)/9,0)=0,IF(TRUNC(ROUND($B53,0)/9,0)=0,0+IF((ROUND($B53,0))*2&gt;=J$2,1,0),"Not"))))-J$3,"")</f>
        <v/>
      </c>
    </row>
    <row r="1509" spans="1:5" x14ac:dyDescent="0.25">
      <c r="A1509" t="s">
        <v>724</v>
      </c>
      <c r="B1509" t="s">
        <v>362</v>
      </c>
      <c r="C1509" t="s">
        <v>725</v>
      </c>
      <c r="D1509" t="s">
        <v>1959</v>
      </c>
      <c r="E1509" t="str">
        <f>IFERROR(AVERAGEIFS(Upload_Indiv[Score8],Upload_Indiv[[Player]:[Player]],$A53,Upload_Indiv[[Side]:[Side]],"Raintree Back")-IF(TRUNC(ROUND($B53,0)/9,0)=2,2+IF((ROUND($B53,0)-18)*2&gt;=T$2,1,0),IF(TRUNC(ROUND($B53,0)/9,0)=1,1+IF((ROUND($B53,0)-9)*2&gt;=T$2,1,0),IF(TRUNC(ROUND($B53,0)/9,0)=0,IF(TRUNC(ROUND($B53,0)/9,0)=0,0+IF((ROUND($B53,0))*2&gt;=T$2,1,0),"Not"))))-T$3,"")</f>
        <v/>
      </c>
    </row>
    <row r="1510" spans="1:5" x14ac:dyDescent="0.25">
      <c r="A1510" t="s">
        <v>724</v>
      </c>
      <c r="B1510" t="s">
        <v>362</v>
      </c>
      <c r="C1510" t="s">
        <v>725</v>
      </c>
      <c r="D1510" t="s">
        <v>1285</v>
      </c>
      <c r="E1510" t="str">
        <f>IFERROR(AVERAGEIFS(Upload_Indiv[Score8],Upload_Indiv[[Player]:[Player]],$A54,Upload_Indiv[[Side]:[Side]],"Raintree Front")-IF(TRUNC(ROUND($B54,0)/9,0)=2,2+IF((ROUND($B54,0)-18)*2&gt;=J$2,1,0),IF(TRUNC(ROUND($B54,0)/9,0)=1,1+IF((ROUND($B54,0)-9)*2&gt;=J$2,1,0),IF(TRUNC(ROUND($B54,0)/9,0)=0,IF(TRUNC(ROUND($B54,0)/9,0)=0,0+IF((ROUND($B54,0))*2&gt;=J$2,1,0),"Not"))))-J$3,"")</f>
        <v/>
      </c>
    </row>
    <row r="1511" spans="1:5" x14ac:dyDescent="0.25">
      <c r="A1511" t="s">
        <v>724</v>
      </c>
      <c r="B1511" t="s">
        <v>362</v>
      </c>
      <c r="C1511" t="s">
        <v>725</v>
      </c>
      <c r="D1511" t="s">
        <v>1960</v>
      </c>
      <c r="E1511" t="str">
        <f>IFERROR(AVERAGEIFS(Upload_Indiv[Score8],Upload_Indiv[[Player]:[Player]],$A54,Upload_Indiv[[Side]:[Side]],"Raintree Back")-IF(TRUNC(ROUND($B54,0)/9,0)=2,2+IF((ROUND($B54,0)-18)*2&gt;=T$2,1,0),IF(TRUNC(ROUND($B54,0)/9,0)=1,1+IF((ROUND($B54,0)-9)*2&gt;=T$2,1,0),IF(TRUNC(ROUND($B54,0)/9,0)=0,IF(TRUNC(ROUND($B54,0)/9,0)=0,0+IF((ROUND($B54,0))*2&gt;=T$2,1,0),"Not"))))-T$3,"")</f>
        <v/>
      </c>
    </row>
    <row r="1512" spans="1:5" x14ac:dyDescent="0.25">
      <c r="A1512" t="s">
        <v>724</v>
      </c>
      <c r="B1512" t="s">
        <v>362</v>
      </c>
      <c r="C1512" t="s">
        <v>725</v>
      </c>
      <c r="D1512" t="s">
        <v>1961</v>
      </c>
      <c r="E1512" t="str">
        <f>IFERROR(AVERAGEIFS(Upload_Indiv[Score8],Upload_Indiv[[Player]:[Player]],$A55,Upload_Indiv[[Side]:[Side]],"Raintree Front")-IF(TRUNC(ROUND($B55,0)/9,0)=2,2+IF((ROUND($B55,0)-18)*2&gt;=J$2,1,0),IF(TRUNC(ROUND($B55,0)/9,0)=1,1+IF((ROUND($B55,0)-9)*2&gt;=J$2,1,0),IF(TRUNC(ROUND($B55,0)/9,0)=0,IF(TRUNC(ROUND($B55,0)/9,0)=0,0+IF((ROUND($B55,0))*2&gt;=J$2,1,0),"Not"))))-J$3,"")</f>
        <v/>
      </c>
    </row>
    <row r="1513" spans="1:5" x14ac:dyDescent="0.25">
      <c r="A1513" t="s">
        <v>724</v>
      </c>
      <c r="B1513" t="s">
        <v>362</v>
      </c>
      <c r="C1513" t="s">
        <v>725</v>
      </c>
      <c r="D1513" t="s">
        <v>1962</v>
      </c>
      <c r="E1513" t="str">
        <f>IFERROR(AVERAGEIFS(Upload_Indiv[Score8],Upload_Indiv[[Player]:[Player]],$A55,Upload_Indiv[[Side]:[Side]],"Raintree Back")-IF(TRUNC(ROUND($B55,0)/9,0)=2,2+IF((ROUND($B55,0)-18)*2&gt;=T$2,1,0),IF(TRUNC(ROUND($B55,0)/9,0)=1,1+IF((ROUND($B55,0)-9)*2&gt;=T$2,1,0),IF(TRUNC(ROUND($B55,0)/9,0)=0,IF(TRUNC(ROUND($B55,0)/9,0)=0,0+IF((ROUND($B55,0))*2&gt;=T$2,1,0),"Not"))))-T$3,"")</f>
        <v/>
      </c>
    </row>
    <row r="1514" spans="1:5" x14ac:dyDescent="0.25">
      <c r="A1514" t="s">
        <v>724</v>
      </c>
      <c r="B1514" t="s">
        <v>362</v>
      </c>
      <c r="C1514" t="s">
        <v>725</v>
      </c>
      <c r="D1514" t="s">
        <v>1963</v>
      </c>
      <c r="E1514" t="str">
        <f>IFERROR(AVERAGEIFS(Upload_Indiv[Score8],Upload_Indiv[[Player]:[Player]],$A56,Upload_Indiv[[Side]:[Side]],"Raintree Front")-IF(TRUNC(ROUND($B56,0)/9,0)=2,2+IF((ROUND($B56,0)-18)*2&gt;=J$2,1,0),IF(TRUNC(ROUND($B56,0)/9,0)=1,1+IF((ROUND($B56,0)-9)*2&gt;=J$2,1,0),IF(TRUNC(ROUND($B56,0)/9,0)=0,IF(TRUNC(ROUND($B56,0)/9,0)=0,0+IF((ROUND($B56,0))*2&gt;=J$2,1,0),"Not"))))-J$3,"")</f>
        <v/>
      </c>
    </row>
    <row r="1515" spans="1:5" x14ac:dyDescent="0.25">
      <c r="A1515" t="s">
        <v>724</v>
      </c>
      <c r="B1515" t="s">
        <v>362</v>
      </c>
      <c r="C1515" t="s">
        <v>725</v>
      </c>
      <c r="D1515" t="s">
        <v>1964</v>
      </c>
      <c r="E1515" t="str">
        <f>IFERROR(AVERAGEIFS(Upload_Indiv[Score8],Upload_Indiv[[Player]:[Player]],$A56,Upload_Indiv[[Side]:[Side]],"Raintree Back")-IF(TRUNC(ROUND($B56,0)/9,0)=2,2+IF((ROUND($B56,0)-18)*2&gt;=T$2,1,0),IF(TRUNC(ROUND($B56,0)/9,0)=1,1+IF((ROUND($B56,0)-9)*2&gt;=T$2,1,0),IF(TRUNC(ROUND($B56,0)/9,0)=0,IF(TRUNC(ROUND($B56,0)/9,0)=0,0+IF((ROUND($B56,0))*2&gt;=T$2,1,0),"Not"))))-T$3,"")</f>
        <v/>
      </c>
    </row>
    <row r="1516" spans="1:5" x14ac:dyDescent="0.25">
      <c r="A1516" t="s">
        <v>724</v>
      </c>
      <c r="B1516" t="s">
        <v>362</v>
      </c>
      <c r="C1516" t="s">
        <v>725</v>
      </c>
      <c r="D1516" t="s">
        <v>1965</v>
      </c>
      <c r="E1516" t="str">
        <f>IFERROR(AVERAGEIFS(Upload_Indiv[Score8],Upload_Indiv[[Player]:[Player]],$A57,Upload_Indiv[[Side]:[Side]],"Raintree Front")-IF(TRUNC(ROUND($B57,0)/9,0)=2,2+IF((ROUND($B57,0)-18)*2&gt;=J$2,1,0),IF(TRUNC(ROUND($B57,0)/9,0)=1,1+IF((ROUND($B57,0)-9)*2&gt;=J$2,1,0),IF(TRUNC(ROUND($B57,0)/9,0)=0,IF(TRUNC(ROUND($B57,0)/9,0)=0,0+IF((ROUND($B57,0))*2&gt;=J$2,1,0),"Not"))))-J$3,"")</f>
        <v/>
      </c>
    </row>
    <row r="1517" spans="1:5" x14ac:dyDescent="0.25">
      <c r="A1517" t="s">
        <v>724</v>
      </c>
      <c r="B1517" t="s">
        <v>362</v>
      </c>
      <c r="C1517" t="s">
        <v>725</v>
      </c>
      <c r="D1517" t="s">
        <v>1966</v>
      </c>
      <c r="E1517" t="str">
        <f>IFERROR(AVERAGEIFS(Upload_Indiv[Score8],Upload_Indiv[[Player]:[Player]],$A57,Upload_Indiv[[Side]:[Side]],"Raintree Back")-IF(TRUNC(ROUND($B57,0)/9,0)=2,2+IF((ROUND($B57,0)-18)*2&gt;=T$2,1,0),IF(TRUNC(ROUND($B57,0)/9,0)=1,1+IF((ROUND($B57,0)-9)*2&gt;=T$2,1,0),IF(TRUNC(ROUND($B57,0)/9,0)=0,IF(TRUNC(ROUND($B57,0)/9,0)=0,0+IF((ROUND($B57,0))*2&gt;=T$2,1,0),"Not"))))-T$3,"")</f>
        <v/>
      </c>
    </row>
    <row r="1518" spans="1:5" x14ac:dyDescent="0.25">
      <c r="A1518" t="s">
        <v>724</v>
      </c>
      <c r="B1518" t="s">
        <v>362</v>
      </c>
      <c r="C1518" t="s">
        <v>725</v>
      </c>
      <c r="D1518" t="s">
        <v>1967</v>
      </c>
      <c r="E1518" t="str">
        <f>IFERROR(AVERAGEIFS(Upload_Indiv[Score8],Upload_Indiv[[Player]:[Player]],$A58,Upload_Indiv[[Side]:[Side]],"Raintree Front")-IF(TRUNC(ROUND($B58,0)/9,0)=2,2+IF((ROUND($B58,0)-18)*2&gt;=J$2,1,0),IF(TRUNC(ROUND($B58,0)/9,0)=1,1+IF((ROUND($B58,0)-9)*2&gt;=J$2,1,0),IF(TRUNC(ROUND($B58,0)/9,0)=0,IF(TRUNC(ROUND($B58,0)/9,0)=0,0+IF((ROUND($B58,0))*2&gt;=J$2,1,0),"Not"))))-J$3,"")</f>
        <v/>
      </c>
    </row>
    <row r="1519" spans="1:5" x14ac:dyDescent="0.25">
      <c r="A1519" t="s">
        <v>724</v>
      </c>
      <c r="B1519" t="s">
        <v>362</v>
      </c>
      <c r="C1519" t="s">
        <v>725</v>
      </c>
      <c r="D1519" t="s">
        <v>1968</v>
      </c>
      <c r="E1519" t="str">
        <f>IFERROR(AVERAGEIFS(Upload_Indiv[Score8],Upload_Indiv[[Player]:[Player]],$A58,Upload_Indiv[[Side]:[Side]],"Raintree Back")-IF(TRUNC(ROUND($B58,0)/9,0)=2,2+IF((ROUND($B58,0)-18)*2&gt;=T$2,1,0),IF(TRUNC(ROUND($B58,0)/9,0)=1,1+IF((ROUND($B58,0)-9)*2&gt;=T$2,1,0),IF(TRUNC(ROUND($B58,0)/9,0)=0,IF(TRUNC(ROUND($B58,0)/9,0)=0,0+IF((ROUND($B58,0))*2&gt;=T$2,1,0),"Not"))))-T$3,"")</f>
        <v/>
      </c>
    </row>
    <row r="1520" spans="1:5" x14ac:dyDescent="0.25">
      <c r="A1520" t="s">
        <v>724</v>
      </c>
      <c r="B1520" t="s">
        <v>362</v>
      </c>
      <c r="C1520" t="s">
        <v>725</v>
      </c>
      <c r="D1520" t="s">
        <v>1969</v>
      </c>
      <c r="E1520" t="str">
        <f>IFERROR(AVERAGEIFS(Upload_Indiv[Score8],Upload_Indiv[[Player]:[Player]],$A59,Upload_Indiv[[Side]:[Side]],"Raintree Front")-IF(TRUNC(ROUND($B59,0)/9,0)=2,2+IF((ROUND($B59,0)-18)*2&gt;=J$2,1,0),IF(TRUNC(ROUND($B59,0)/9,0)=1,1+IF((ROUND($B59,0)-9)*2&gt;=J$2,1,0),IF(TRUNC(ROUND($B59,0)/9,0)=0,IF(TRUNC(ROUND($B59,0)/9,0)=0,0+IF((ROUND($B59,0))*2&gt;=J$2,1,0),"Not"))))-J$3,"")</f>
        <v/>
      </c>
    </row>
    <row r="1521" spans="1:5" x14ac:dyDescent="0.25">
      <c r="A1521" t="s">
        <v>724</v>
      </c>
      <c r="B1521" t="s">
        <v>362</v>
      </c>
      <c r="C1521" t="s">
        <v>725</v>
      </c>
      <c r="D1521" t="s">
        <v>1970</v>
      </c>
      <c r="E1521" t="str">
        <f>IFERROR(AVERAGEIFS(Upload_Indiv[Score8],Upload_Indiv[[Player]:[Player]],$A59,Upload_Indiv[[Side]:[Side]],"Raintree Back")-IF(TRUNC(ROUND($B59,0)/9,0)=2,2+IF((ROUND($B59,0)-18)*2&gt;=T$2,1,0),IF(TRUNC(ROUND($B59,0)/9,0)=1,1+IF((ROUND($B59,0)-9)*2&gt;=T$2,1,0),IF(TRUNC(ROUND($B59,0)/9,0)=0,IF(TRUNC(ROUND($B59,0)/9,0)=0,0+IF((ROUND($B59,0))*2&gt;=T$2,1,0),"Not"))))-T$3,"")</f>
        <v/>
      </c>
    </row>
    <row r="1522" spans="1:5" x14ac:dyDescent="0.25">
      <c r="A1522" t="s">
        <v>724</v>
      </c>
      <c r="B1522" t="s">
        <v>362</v>
      </c>
      <c r="C1522" t="s">
        <v>725</v>
      </c>
      <c r="D1522" t="s">
        <v>1971</v>
      </c>
      <c r="E1522" t="str">
        <f>IFERROR(AVERAGEIFS(Upload_Indiv[Score8],Upload_Indiv[[Player]:[Player]],$A60,Upload_Indiv[[Side]:[Side]],"Raintree Front")-IF(TRUNC(ROUND($B60,0)/9,0)=2,2+IF((ROUND($B60,0)-18)*2&gt;=J$2,1,0),IF(TRUNC(ROUND($B60,0)/9,0)=1,1+IF((ROUND($B60,0)-9)*2&gt;=J$2,1,0),IF(TRUNC(ROUND($B60,0)/9,0)=0,IF(TRUNC(ROUND($B60,0)/9,0)=0,0+IF((ROUND($B60,0))*2&gt;=J$2,1,0),"Not"))))-J$3,"")</f>
        <v/>
      </c>
    </row>
    <row r="1523" spans="1:5" x14ac:dyDescent="0.25">
      <c r="A1523" t="s">
        <v>724</v>
      </c>
      <c r="B1523" t="s">
        <v>362</v>
      </c>
      <c r="C1523" t="s">
        <v>725</v>
      </c>
      <c r="D1523" t="s">
        <v>1972</v>
      </c>
      <c r="E1523" t="str">
        <f>IFERROR(AVERAGEIFS(Upload_Indiv[Score8],Upload_Indiv[[Player]:[Player]],$A60,Upload_Indiv[[Side]:[Side]],"Raintree Back")-IF(TRUNC(ROUND($B60,0)/9,0)=2,2+IF((ROUND($B60,0)-18)*2&gt;=T$2,1,0),IF(TRUNC(ROUND($B60,0)/9,0)=1,1+IF((ROUND($B60,0)-9)*2&gt;=T$2,1,0),IF(TRUNC(ROUND($B60,0)/9,0)=0,IF(TRUNC(ROUND($B60,0)/9,0)=0,0+IF((ROUND($B60,0))*2&gt;=T$2,1,0),"Not"))))-T$3,"")</f>
        <v/>
      </c>
    </row>
    <row r="1524" spans="1:5" x14ac:dyDescent="0.25">
      <c r="A1524" t="s">
        <v>724</v>
      </c>
      <c r="B1524" t="s">
        <v>362</v>
      </c>
      <c r="C1524" t="s">
        <v>834</v>
      </c>
      <c r="D1524" t="s">
        <v>1973</v>
      </c>
      <c r="E1524">
        <f>IFERROR(AVERAGEIFS(Upload_Indiv[Score8],Upload_Indiv[[Side]:[Side]],"Raintree Front",Upload_Indiv[[Excl Score]:[Excl Score]],0),"")</f>
        <v>4.4035087719298245</v>
      </c>
    </row>
    <row r="1525" spans="1:5" x14ac:dyDescent="0.25">
      <c r="A1525" t="s">
        <v>724</v>
      </c>
      <c r="B1525" t="s">
        <v>362</v>
      </c>
      <c r="C1525" t="s">
        <v>834</v>
      </c>
      <c r="D1525" t="s">
        <v>1974</v>
      </c>
      <c r="E1525">
        <f>IFERROR(AVERAGEIFS(Upload_Indiv[Score8],Upload_Indiv[[Side]:[Side]],"Raintree Back",Upload_Indiv[[Excl Score]:[Excl Score]],0),"")</f>
        <v>5.610619469026549</v>
      </c>
    </row>
    <row r="1526" spans="1:5" x14ac:dyDescent="0.25">
      <c r="A1526" t="s">
        <v>724</v>
      </c>
      <c r="B1526" t="s">
        <v>362</v>
      </c>
      <c r="C1526" t="s">
        <v>834</v>
      </c>
      <c r="D1526" t="s">
        <v>1975</v>
      </c>
      <c r="E1526" t="str">
        <f>IFERROR(AVERAGEIFS(Upload_Indiv[Score8],Upload_Indiv[[Player]:[Player]],$A9,Upload_Indiv[[Side]:[Side]],"Raintree Front",Upload_Indiv[[Excl Score]:[Excl Score]],0),"")</f>
        <v/>
      </c>
    </row>
    <row r="1527" spans="1:5" x14ac:dyDescent="0.25">
      <c r="A1527" t="s">
        <v>724</v>
      </c>
      <c r="B1527" t="s">
        <v>362</v>
      </c>
      <c r="C1527" t="s">
        <v>834</v>
      </c>
      <c r="D1527" t="s">
        <v>1976</v>
      </c>
      <c r="E1527" t="str">
        <f>IFERROR(AVERAGEIFS(Upload_Indiv[Score8],Upload_Indiv[[Player]:[Player]],$A9,Upload_Indiv[[Side]:[Side]],"Raintree Back",Upload_Indiv[[Excl Score]:[Excl Score]],0),"")</f>
        <v/>
      </c>
    </row>
    <row r="1528" spans="1:5" x14ac:dyDescent="0.25">
      <c r="A1528" t="s">
        <v>724</v>
      </c>
      <c r="B1528" t="s">
        <v>362</v>
      </c>
      <c r="C1528" t="s">
        <v>834</v>
      </c>
      <c r="D1528" t="s">
        <v>1977</v>
      </c>
      <c r="E1528" t="str">
        <f>IFERROR(AVERAGEIFS(Upload_Indiv[Score8],Upload_Indiv[[Player]:[Player]],$A10,Upload_Indiv[[Side]:[Side]],"Raintree Front",Upload_Indiv[[Excl Score]:[Excl Score]],0),"")</f>
        <v/>
      </c>
    </row>
    <row r="1529" spans="1:5" x14ac:dyDescent="0.25">
      <c r="A1529" t="s">
        <v>724</v>
      </c>
      <c r="B1529" t="s">
        <v>362</v>
      </c>
      <c r="C1529" t="s">
        <v>834</v>
      </c>
      <c r="D1529" t="s">
        <v>1978</v>
      </c>
      <c r="E1529" t="str">
        <f>IFERROR(AVERAGEIFS(Upload_Indiv[Score8],Upload_Indiv[[Player]:[Player]],$A10,Upload_Indiv[[Side]:[Side]],"Raintree Back",Upload_Indiv[[Excl Score]:[Excl Score]],0),"")</f>
        <v/>
      </c>
    </row>
    <row r="1530" spans="1:5" x14ac:dyDescent="0.25">
      <c r="A1530" t="s">
        <v>724</v>
      </c>
      <c r="B1530" t="s">
        <v>362</v>
      </c>
      <c r="C1530" t="s">
        <v>834</v>
      </c>
      <c r="D1530" t="s">
        <v>1979</v>
      </c>
      <c r="E1530" t="str">
        <f>IFERROR(AVERAGEIFS(Upload_Indiv[Score8],Upload_Indiv[[Player]:[Player]],$A11,Upload_Indiv[[Side]:[Side]],"Raintree Front",Upload_Indiv[[Excl Score]:[Excl Score]],0),"")</f>
        <v/>
      </c>
    </row>
    <row r="1531" spans="1:5" x14ac:dyDescent="0.25">
      <c r="A1531" t="s">
        <v>724</v>
      </c>
      <c r="B1531" t="s">
        <v>362</v>
      </c>
      <c r="C1531" t="s">
        <v>834</v>
      </c>
      <c r="D1531" t="s">
        <v>1980</v>
      </c>
      <c r="E1531" t="str">
        <f>IFERROR(AVERAGEIFS(Upload_Indiv[Score8],Upload_Indiv[[Player]:[Player]],$A11,Upload_Indiv[[Side]:[Side]],"Raintree Back",Upload_Indiv[[Excl Score]:[Excl Score]],0),"")</f>
        <v/>
      </c>
    </row>
    <row r="1532" spans="1:5" x14ac:dyDescent="0.25">
      <c r="A1532" t="s">
        <v>724</v>
      </c>
      <c r="B1532" t="s">
        <v>362</v>
      </c>
      <c r="C1532" t="s">
        <v>834</v>
      </c>
      <c r="D1532" t="s">
        <v>1981</v>
      </c>
      <c r="E1532" t="str">
        <f>IFERROR(AVERAGEIFS(Upload_Indiv[Score8],Upload_Indiv[[Player]:[Player]],$A12,Upload_Indiv[[Side]:[Side]],"Raintree Front",Upload_Indiv[[Excl Score]:[Excl Score]],0),"")</f>
        <v/>
      </c>
    </row>
    <row r="1533" spans="1:5" x14ac:dyDescent="0.25">
      <c r="A1533" t="s">
        <v>724</v>
      </c>
      <c r="B1533" t="s">
        <v>362</v>
      </c>
      <c r="C1533" t="s">
        <v>834</v>
      </c>
      <c r="D1533" t="s">
        <v>1982</v>
      </c>
      <c r="E1533" t="str">
        <f>IFERROR(AVERAGEIFS(Upload_Indiv[Score8],Upload_Indiv[[Player]:[Player]],$A12,Upload_Indiv[[Side]:[Side]],"Raintree Back",Upload_Indiv[[Excl Score]:[Excl Score]],0),"")</f>
        <v/>
      </c>
    </row>
    <row r="1534" spans="1:5" x14ac:dyDescent="0.25">
      <c r="A1534" t="s">
        <v>724</v>
      </c>
      <c r="B1534" t="s">
        <v>362</v>
      </c>
      <c r="C1534" t="s">
        <v>834</v>
      </c>
      <c r="D1534" t="s">
        <v>1983</v>
      </c>
      <c r="E1534" t="str">
        <f>IFERROR(AVERAGEIFS(Upload_Indiv[Score8],Upload_Indiv[[Player]:[Player]],$A13,Upload_Indiv[[Side]:[Side]],"Raintree Front",Upload_Indiv[[Excl Score]:[Excl Score]],0),"")</f>
        <v/>
      </c>
    </row>
    <row r="1535" spans="1:5" x14ac:dyDescent="0.25">
      <c r="A1535" t="s">
        <v>724</v>
      </c>
      <c r="B1535" t="s">
        <v>362</v>
      </c>
      <c r="C1535" t="s">
        <v>834</v>
      </c>
      <c r="D1535" t="s">
        <v>1984</v>
      </c>
      <c r="E1535" t="str">
        <f>IFERROR(AVERAGEIFS(Upload_Indiv[Score8],Upload_Indiv[[Player]:[Player]],$A13,Upload_Indiv[[Side]:[Side]],"Raintree Back",Upload_Indiv[[Excl Score]:[Excl Score]],0),"")</f>
        <v/>
      </c>
    </row>
    <row r="1536" spans="1:5" x14ac:dyDescent="0.25">
      <c r="A1536" t="s">
        <v>724</v>
      </c>
      <c r="B1536" t="s">
        <v>362</v>
      </c>
      <c r="C1536" t="s">
        <v>834</v>
      </c>
      <c r="D1536" t="s">
        <v>1985</v>
      </c>
      <c r="E1536" t="str">
        <f>IFERROR(AVERAGEIFS(Upload_Indiv[Score8],Upload_Indiv[[Player]:[Player]],$A14,Upload_Indiv[[Side]:[Side]],"Raintree Front",Upload_Indiv[[Excl Score]:[Excl Score]],0),"")</f>
        <v/>
      </c>
    </row>
    <row r="1537" spans="1:5" x14ac:dyDescent="0.25">
      <c r="A1537" t="s">
        <v>724</v>
      </c>
      <c r="B1537" t="s">
        <v>362</v>
      </c>
      <c r="C1537" t="s">
        <v>834</v>
      </c>
      <c r="D1537" t="s">
        <v>1986</v>
      </c>
      <c r="E1537" t="str">
        <f>IFERROR(AVERAGEIFS(Upload_Indiv[Score8],Upload_Indiv[[Player]:[Player]],$A14,Upload_Indiv[[Side]:[Side]],"Raintree Back",Upload_Indiv[[Excl Score]:[Excl Score]],0),"")</f>
        <v/>
      </c>
    </row>
    <row r="1538" spans="1:5" x14ac:dyDescent="0.25">
      <c r="A1538" t="s">
        <v>724</v>
      </c>
      <c r="B1538" t="s">
        <v>362</v>
      </c>
      <c r="C1538" t="s">
        <v>834</v>
      </c>
      <c r="D1538" t="s">
        <v>1987</v>
      </c>
      <c r="E1538" t="str">
        <f>IFERROR(AVERAGEIFS(Upload_Indiv[Score8],Upload_Indiv[[Player]:[Player]],$A15,Upload_Indiv[[Side]:[Side]],"Raintree Front",Upload_Indiv[[Excl Score]:[Excl Score]],0),"")</f>
        <v/>
      </c>
    </row>
    <row r="1539" spans="1:5" x14ac:dyDescent="0.25">
      <c r="A1539" t="s">
        <v>724</v>
      </c>
      <c r="B1539" t="s">
        <v>362</v>
      </c>
      <c r="C1539" t="s">
        <v>834</v>
      </c>
      <c r="D1539" t="s">
        <v>1988</v>
      </c>
      <c r="E1539" t="str">
        <f>IFERROR(AVERAGEIFS(Upload_Indiv[Score8],Upload_Indiv[[Player]:[Player]],$A15,Upload_Indiv[[Side]:[Side]],"Raintree Back",Upload_Indiv[[Excl Score]:[Excl Score]],0),"")</f>
        <v/>
      </c>
    </row>
    <row r="1540" spans="1:5" x14ac:dyDescent="0.25">
      <c r="A1540" t="s">
        <v>724</v>
      </c>
      <c r="B1540" t="s">
        <v>362</v>
      </c>
      <c r="C1540" t="s">
        <v>834</v>
      </c>
      <c r="D1540" t="s">
        <v>1989</v>
      </c>
      <c r="E1540" t="str">
        <f>IFERROR(AVERAGEIFS(Upload_Indiv[Score8],Upload_Indiv[[Player]:[Player]],$A16,Upload_Indiv[[Side]:[Side]],"Raintree Front",Upload_Indiv[[Excl Score]:[Excl Score]],0),"")</f>
        <v/>
      </c>
    </row>
    <row r="1541" spans="1:5" x14ac:dyDescent="0.25">
      <c r="A1541" t="s">
        <v>724</v>
      </c>
      <c r="B1541" t="s">
        <v>362</v>
      </c>
      <c r="C1541" t="s">
        <v>834</v>
      </c>
      <c r="D1541" t="s">
        <v>1990</v>
      </c>
      <c r="E1541" t="str">
        <f>IFERROR(AVERAGEIFS(Upload_Indiv[Score8],Upload_Indiv[[Player]:[Player]],$A16,Upload_Indiv[[Side]:[Side]],"Raintree Back",Upload_Indiv[[Excl Score]:[Excl Score]],0),"")</f>
        <v/>
      </c>
    </row>
    <row r="1542" spans="1:5" x14ac:dyDescent="0.25">
      <c r="A1542" t="s">
        <v>724</v>
      </c>
      <c r="B1542" t="s">
        <v>362</v>
      </c>
      <c r="C1542" t="s">
        <v>834</v>
      </c>
      <c r="D1542" t="s">
        <v>1991</v>
      </c>
      <c r="E1542" t="str">
        <f>IFERROR(AVERAGEIFS(Upload_Indiv[Score8],Upload_Indiv[[Player]:[Player]],$A17,Upload_Indiv[[Side]:[Side]],"Raintree Front",Upload_Indiv[[Excl Score]:[Excl Score]],0),"")</f>
        <v/>
      </c>
    </row>
    <row r="1543" spans="1:5" x14ac:dyDescent="0.25">
      <c r="A1543" t="s">
        <v>724</v>
      </c>
      <c r="B1543" t="s">
        <v>362</v>
      </c>
      <c r="C1543" t="s">
        <v>834</v>
      </c>
      <c r="D1543" t="s">
        <v>1992</v>
      </c>
      <c r="E1543" t="str">
        <f>IFERROR(AVERAGEIFS(Upload_Indiv[Score8],Upload_Indiv[[Player]:[Player]],$A17,Upload_Indiv[[Side]:[Side]],"Raintree Back",Upload_Indiv[[Excl Score]:[Excl Score]],0),"")</f>
        <v/>
      </c>
    </row>
    <row r="1544" spans="1:5" x14ac:dyDescent="0.25">
      <c r="A1544" t="s">
        <v>724</v>
      </c>
      <c r="B1544" t="s">
        <v>362</v>
      </c>
      <c r="C1544" t="s">
        <v>834</v>
      </c>
      <c r="D1544" t="s">
        <v>1993</v>
      </c>
      <c r="E1544" t="str">
        <f>IFERROR(AVERAGEIFS(Upload_Indiv[Score8],Upload_Indiv[[Player]:[Player]],$A18,Upload_Indiv[[Side]:[Side]],"Raintree Front",Upload_Indiv[[Excl Score]:[Excl Score]],0),"")</f>
        <v/>
      </c>
    </row>
    <row r="1545" spans="1:5" x14ac:dyDescent="0.25">
      <c r="A1545" t="s">
        <v>724</v>
      </c>
      <c r="B1545" t="s">
        <v>362</v>
      </c>
      <c r="C1545" t="s">
        <v>834</v>
      </c>
      <c r="D1545" t="s">
        <v>1994</v>
      </c>
      <c r="E1545" t="str">
        <f>IFERROR(AVERAGEIFS(Upload_Indiv[Score8],Upload_Indiv[[Player]:[Player]],$A18,Upload_Indiv[[Side]:[Side]],"Raintree Back",Upload_Indiv[[Excl Score]:[Excl Score]],0),"")</f>
        <v/>
      </c>
    </row>
    <row r="1546" spans="1:5" x14ac:dyDescent="0.25">
      <c r="A1546" t="s">
        <v>724</v>
      </c>
      <c r="B1546" t="s">
        <v>362</v>
      </c>
      <c r="C1546" t="s">
        <v>834</v>
      </c>
      <c r="D1546" t="s">
        <v>1995</v>
      </c>
      <c r="E1546" t="str">
        <f>IFERROR(AVERAGEIFS(Upload_Indiv[Score8],Upload_Indiv[[Player]:[Player]],$A19,Upload_Indiv[[Side]:[Side]],"Raintree Front",Upload_Indiv[[Excl Score]:[Excl Score]],0),"")</f>
        <v/>
      </c>
    </row>
    <row r="1547" spans="1:5" x14ac:dyDescent="0.25">
      <c r="A1547" t="s">
        <v>724</v>
      </c>
      <c r="B1547" t="s">
        <v>362</v>
      </c>
      <c r="C1547" t="s">
        <v>834</v>
      </c>
      <c r="D1547" t="s">
        <v>1996</v>
      </c>
      <c r="E1547" t="str">
        <f>IFERROR(AVERAGEIFS(Upload_Indiv[Score8],Upload_Indiv[[Player]:[Player]],$A19,Upload_Indiv[[Side]:[Side]],"Raintree Back",Upload_Indiv[[Excl Score]:[Excl Score]],0),"")</f>
        <v/>
      </c>
    </row>
    <row r="1548" spans="1:5" x14ac:dyDescent="0.25">
      <c r="A1548" t="s">
        <v>724</v>
      </c>
      <c r="B1548" t="s">
        <v>362</v>
      </c>
      <c r="C1548" t="s">
        <v>834</v>
      </c>
      <c r="D1548" t="s">
        <v>1997</v>
      </c>
      <c r="E1548" t="str">
        <f>IFERROR(AVERAGEIFS(Upload_Indiv[Score8],Upload_Indiv[[Player]:[Player]],$A20,Upload_Indiv[[Side]:[Side]],"Raintree Front",Upload_Indiv[[Excl Score]:[Excl Score]],0),"")</f>
        <v/>
      </c>
    </row>
    <row r="1549" spans="1:5" x14ac:dyDescent="0.25">
      <c r="A1549" t="s">
        <v>724</v>
      </c>
      <c r="B1549" t="s">
        <v>362</v>
      </c>
      <c r="C1549" t="s">
        <v>834</v>
      </c>
      <c r="D1549" t="s">
        <v>1998</v>
      </c>
      <c r="E1549" t="str">
        <f>IFERROR(AVERAGEIFS(Upload_Indiv[Score8],Upload_Indiv[[Player]:[Player]],$A20,Upload_Indiv[[Side]:[Side]],"Raintree Back",Upload_Indiv[[Excl Score]:[Excl Score]],0),"")</f>
        <v/>
      </c>
    </row>
    <row r="1550" spans="1:5" x14ac:dyDescent="0.25">
      <c r="A1550" t="s">
        <v>724</v>
      </c>
      <c r="B1550" t="s">
        <v>362</v>
      </c>
      <c r="C1550" t="s">
        <v>834</v>
      </c>
      <c r="D1550" t="s">
        <v>1999</v>
      </c>
      <c r="E1550" t="str">
        <f>IFERROR(AVERAGEIFS(Upload_Indiv[Score8],Upload_Indiv[[Player]:[Player]],$A21,Upload_Indiv[[Side]:[Side]],"Raintree Front",Upload_Indiv[[Excl Score]:[Excl Score]],0),"")</f>
        <v/>
      </c>
    </row>
    <row r="1551" spans="1:5" x14ac:dyDescent="0.25">
      <c r="A1551" t="s">
        <v>724</v>
      </c>
      <c r="B1551" t="s">
        <v>362</v>
      </c>
      <c r="C1551" t="s">
        <v>834</v>
      </c>
      <c r="D1551" t="s">
        <v>2000</v>
      </c>
      <c r="E1551" t="str">
        <f>IFERROR(AVERAGEIFS(Upload_Indiv[Score8],Upload_Indiv[[Player]:[Player]],$A21,Upload_Indiv[[Side]:[Side]],"Raintree Back",Upload_Indiv[[Excl Score]:[Excl Score]],0),"")</f>
        <v/>
      </c>
    </row>
    <row r="1552" spans="1:5" x14ac:dyDescent="0.25">
      <c r="A1552" t="s">
        <v>724</v>
      </c>
      <c r="B1552" t="s">
        <v>362</v>
      </c>
      <c r="C1552" t="s">
        <v>834</v>
      </c>
      <c r="D1552" t="s">
        <v>2001</v>
      </c>
      <c r="E1552" t="str">
        <f>IFERROR(AVERAGEIFS(Upload_Indiv[Score8],Upload_Indiv[[Player]:[Player]],$A22,Upload_Indiv[[Side]:[Side]],"Raintree Front",Upload_Indiv[[Excl Score]:[Excl Score]],0),"")</f>
        <v/>
      </c>
    </row>
    <row r="1553" spans="1:5" x14ac:dyDescent="0.25">
      <c r="A1553" t="s">
        <v>724</v>
      </c>
      <c r="B1553" t="s">
        <v>362</v>
      </c>
      <c r="C1553" t="s">
        <v>834</v>
      </c>
      <c r="D1553" t="s">
        <v>2002</v>
      </c>
      <c r="E1553" t="str">
        <f>IFERROR(AVERAGEIFS(Upload_Indiv[Score8],Upload_Indiv[[Player]:[Player]],$A22,Upload_Indiv[[Side]:[Side]],"Raintree Back",Upload_Indiv[[Excl Score]:[Excl Score]],0),"")</f>
        <v/>
      </c>
    </row>
    <row r="1554" spans="1:5" x14ac:dyDescent="0.25">
      <c r="A1554" t="s">
        <v>724</v>
      </c>
      <c r="B1554" t="s">
        <v>362</v>
      </c>
      <c r="C1554" t="s">
        <v>834</v>
      </c>
      <c r="D1554" t="s">
        <v>2003</v>
      </c>
      <c r="E1554" t="str">
        <f>IFERROR(AVERAGEIFS(Upload_Indiv[Score8],Upload_Indiv[[Player]:[Player]],$A23,Upload_Indiv[[Side]:[Side]],"Raintree Front",Upload_Indiv[[Excl Score]:[Excl Score]],0),"")</f>
        <v/>
      </c>
    </row>
    <row r="1555" spans="1:5" x14ac:dyDescent="0.25">
      <c r="A1555" t="s">
        <v>724</v>
      </c>
      <c r="B1555" t="s">
        <v>362</v>
      </c>
      <c r="C1555" t="s">
        <v>834</v>
      </c>
      <c r="D1555" t="s">
        <v>2004</v>
      </c>
      <c r="E1555" t="str">
        <f>IFERROR(AVERAGEIFS(Upload_Indiv[Score8],Upload_Indiv[[Player]:[Player]],$A23,Upload_Indiv[[Side]:[Side]],"Raintree Back",Upload_Indiv[[Excl Score]:[Excl Score]],0),"")</f>
        <v/>
      </c>
    </row>
    <row r="1556" spans="1:5" x14ac:dyDescent="0.25">
      <c r="A1556" t="s">
        <v>724</v>
      </c>
      <c r="B1556" t="s">
        <v>362</v>
      </c>
      <c r="C1556" t="s">
        <v>834</v>
      </c>
      <c r="D1556" t="s">
        <v>2005</v>
      </c>
      <c r="E1556" t="str">
        <f>IFERROR(AVERAGEIFS(Upload_Indiv[Score8],Upload_Indiv[[Player]:[Player]],$A24,Upload_Indiv[[Side]:[Side]],"Raintree Front",Upload_Indiv[[Excl Score]:[Excl Score]],0),"")</f>
        <v/>
      </c>
    </row>
    <row r="1557" spans="1:5" x14ac:dyDescent="0.25">
      <c r="A1557" t="s">
        <v>724</v>
      </c>
      <c r="B1557" t="s">
        <v>362</v>
      </c>
      <c r="C1557" t="s">
        <v>834</v>
      </c>
      <c r="D1557" t="s">
        <v>2006</v>
      </c>
      <c r="E1557" t="str">
        <f>IFERROR(AVERAGEIFS(Upload_Indiv[Score8],Upload_Indiv[[Player]:[Player]],$A24,Upload_Indiv[[Side]:[Side]],"Raintree Back",Upload_Indiv[[Excl Score]:[Excl Score]],0),"")</f>
        <v/>
      </c>
    </row>
    <row r="1558" spans="1:5" x14ac:dyDescent="0.25">
      <c r="A1558" t="s">
        <v>724</v>
      </c>
      <c r="B1558" t="s">
        <v>362</v>
      </c>
      <c r="C1558" t="s">
        <v>834</v>
      </c>
      <c r="D1558" t="s">
        <v>2007</v>
      </c>
      <c r="E1558" t="str">
        <f>IFERROR(AVERAGEIFS(Upload_Indiv[Score8],Upload_Indiv[[Player]:[Player]],$A25,Upload_Indiv[[Side]:[Side]],"Raintree Front",Upload_Indiv[[Excl Score]:[Excl Score]],0),"")</f>
        <v/>
      </c>
    </row>
    <row r="1559" spans="1:5" x14ac:dyDescent="0.25">
      <c r="A1559" t="s">
        <v>724</v>
      </c>
      <c r="B1559" t="s">
        <v>362</v>
      </c>
      <c r="C1559" t="s">
        <v>834</v>
      </c>
      <c r="D1559" t="s">
        <v>2008</v>
      </c>
      <c r="E1559" t="str">
        <f>IFERROR(AVERAGEIFS(Upload_Indiv[Score8],Upload_Indiv[[Player]:[Player]],$A25,Upload_Indiv[[Side]:[Side]],"Raintree Back",Upload_Indiv[[Excl Score]:[Excl Score]],0),"")</f>
        <v/>
      </c>
    </row>
    <row r="1560" spans="1:5" x14ac:dyDescent="0.25">
      <c r="A1560" t="s">
        <v>724</v>
      </c>
      <c r="B1560" t="s">
        <v>362</v>
      </c>
      <c r="C1560" t="s">
        <v>834</v>
      </c>
      <c r="D1560" t="s">
        <v>2009</v>
      </c>
      <c r="E1560" t="str">
        <f>IFERROR(AVERAGEIFS(Upload_Indiv[Score8],Upload_Indiv[[Player]:[Player]],$A26,Upload_Indiv[[Side]:[Side]],"Raintree Front",Upload_Indiv[[Excl Score]:[Excl Score]],0),"")</f>
        <v/>
      </c>
    </row>
    <row r="1561" spans="1:5" x14ac:dyDescent="0.25">
      <c r="A1561" t="s">
        <v>724</v>
      </c>
      <c r="B1561" t="s">
        <v>362</v>
      </c>
      <c r="C1561" t="s">
        <v>834</v>
      </c>
      <c r="D1561" t="s">
        <v>2010</v>
      </c>
      <c r="E1561" t="str">
        <f>IFERROR(AVERAGEIFS(Upload_Indiv[Score8],Upload_Indiv[[Player]:[Player]],$A26,Upload_Indiv[[Side]:[Side]],"Raintree Back",Upload_Indiv[[Excl Score]:[Excl Score]],0),"")</f>
        <v/>
      </c>
    </row>
    <row r="1562" spans="1:5" x14ac:dyDescent="0.25">
      <c r="A1562" t="s">
        <v>724</v>
      </c>
      <c r="B1562" t="s">
        <v>362</v>
      </c>
      <c r="C1562" t="s">
        <v>834</v>
      </c>
      <c r="D1562" t="s">
        <v>2011</v>
      </c>
      <c r="E1562" t="str">
        <f>IFERROR(AVERAGEIFS(Upload_Indiv[Score8],Upload_Indiv[[Player]:[Player]],$A27,Upload_Indiv[[Side]:[Side]],"Raintree Front",Upload_Indiv[[Excl Score]:[Excl Score]],0),"")</f>
        <v/>
      </c>
    </row>
    <row r="1563" spans="1:5" x14ac:dyDescent="0.25">
      <c r="A1563" t="s">
        <v>724</v>
      </c>
      <c r="B1563" t="s">
        <v>362</v>
      </c>
      <c r="C1563" t="s">
        <v>834</v>
      </c>
      <c r="D1563" t="s">
        <v>2012</v>
      </c>
      <c r="E1563" t="str">
        <f>IFERROR(AVERAGEIFS(Upload_Indiv[Score8],Upload_Indiv[[Player]:[Player]],$A27,Upload_Indiv[[Side]:[Side]],"Raintree Back",Upload_Indiv[[Excl Score]:[Excl Score]],0),"")</f>
        <v/>
      </c>
    </row>
    <row r="1564" spans="1:5" x14ac:dyDescent="0.25">
      <c r="A1564" t="s">
        <v>724</v>
      </c>
      <c r="B1564" t="s">
        <v>362</v>
      </c>
      <c r="C1564" t="s">
        <v>834</v>
      </c>
      <c r="D1564" t="s">
        <v>2013</v>
      </c>
      <c r="E1564" t="str">
        <f>IFERROR(AVERAGEIFS(Upload_Indiv[Score8],Upload_Indiv[[Player]:[Player]],$A28,Upload_Indiv[[Side]:[Side]],"Raintree Front",Upload_Indiv[[Excl Score]:[Excl Score]],0),"")</f>
        <v/>
      </c>
    </row>
    <row r="1565" spans="1:5" x14ac:dyDescent="0.25">
      <c r="A1565" t="s">
        <v>724</v>
      </c>
      <c r="B1565" t="s">
        <v>362</v>
      </c>
      <c r="C1565" t="s">
        <v>834</v>
      </c>
      <c r="D1565" t="s">
        <v>2014</v>
      </c>
      <c r="E1565" t="str">
        <f>IFERROR(AVERAGEIFS(Upload_Indiv[Score8],Upload_Indiv[[Player]:[Player]],$A28,Upload_Indiv[[Side]:[Side]],"Raintree Back",Upload_Indiv[[Excl Score]:[Excl Score]],0),"")</f>
        <v/>
      </c>
    </row>
    <row r="1566" spans="1:5" x14ac:dyDescent="0.25">
      <c r="A1566" t="s">
        <v>724</v>
      </c>
      <c r="B1566" t="s">
        <v>362</v>
      </c>
      <c r="C1566" t="s">
        <v>834</v>
      </c>
      <c r="D1566" t="s">
        <v>2015</v>
      </c>
      <c r="E1566" t="str">
        <f>IFERROR(AVERAGEIFS(Upload_Indiv[Score8],Upload_Indiv[[Player]:[Player]],$A29,Upload_Indiv[[Side]:[Side]],"Raintree Front",Upload_Indiv[[Excl Score]:[Excl Score]],0),"")</f>
        <v/>
      </c>
    </row>
    <row r="1567" spans="1:5" x14ac:dyDescent="0.25">
      <c r="A1567" t="s">
        <v>724</v>
      </c>
      <c r="B1567" t="s">
        <v>362</v>
      </c>
      <c r="C1567" t="s">
        <v>834</v>
      </c>
      <c r="D1567" t="s">
        <v>2016</v>
      </c>
      <c r="E1567" t="str">
        <f>IFERROR(AVERAGEIFS(Upload_Indiv[Score8],Upload_Indiv[[Player]:[Player]],$A29,Upload_Indiv[[Side]:[Side]],"Raintree Back",Upload_Indiv[[Excl Score]:[Excl Score]],0),"")</f>
        <v/>
      </c>
    </row>
    <row r="1568" spans="1:5" x14ac:dyDescent="0.25">
      <c r="A1568" t="s">
        <v>724</v>
      </c>
      <c r="B1568" t="s">
        <v>362</v>
      </c>
      <c r="C1568" t="s">
        <v>834</v>
      </c>
      <c r="D1568" t="s">
        <v>2017</v>
      </c>
      <c r="E1568" t="str">
        <f>IFERROR(AVERAGEIFS(Upload_Indiv[Score8],Upload_Indiv[[Player]:[Player]],$A30,Upload_Indiv[[Side]:[Side]],"Raintree Front",Upload_Indiv[[Excl Score]:[Excl Score]],0),"")</f>
        <v/>
      </c>
    </row>
    <row r="1569" spans="1:5" x14ac:dyDescent="0.25">
      <c r="A1569" t="s">
        <v>724</v>
      </c>
      <c r="B1569" t="s">
        <v>362</v>
      </c>
      <c r="C1569" t="s">
        <v>834</v>
      </c>
      <c r="D1569" t="s">
        <v>2018</v>
      </c>
      <c r="E1569" t="str">
        <f>IFERROR(AVERAGEIFS(Upload_Indiv[Score8],Upload_Indiv[[Player]:[Player]],$A30,Upload_Indiv[[Side]:[Side]],"Raintree Back",Upload_Indiv[[Excl Score]:[Excl Score]],0),"")</f>
        <v/>
      </c>
    </row>
    <row r="1570" spans="1:5" x14ac:dyDescent="0.25">
      <c r="A1570" t="s">
        <v>724</v>
      </c>
      <c r="B1570" t="s">
        <v>362</v>
      </c>
      <c r="C1570" t="s">
        <v>834</v>
      </c>
      <c r="D1570" t="s">
        <v>2019</v>
      </c>
      <c r="E1570" t="str">
        <f>IFERROR(AVERAGEIFS(Upload_Indiv[Score8],Upload_Indiv[[Player]:[Player]],$A31,Upload_Indiv[[Side]:[Side]],"Raintree Front",Upload_Indiv[[Excl Score]:[Excl Score]],0),"")</f>
        <v/>
      </c>
    </row>
    <row r="1571" spans="1:5" x14ac:dyDescent="0.25">
      <c r="A1571" t="s">
        <v>724</v>
      </c>
      <c r="B1571" t="s">
        <v>362</v>
      </c>
      <c r="C1571" t="s">
        <v>834</v>
      </c>
      <c r="D1571" t="s">
        <v>2020</v>
      </c>
      <c r="E1571" t="str">
        <f>IFERROR(AVERAGEIFS(Upload_Indiv[Score8],Upload_Indiv[[Player]:[Player]],$A31,Upload_Indiv[[Side]:[Side]],"Raintree Back",Upload_Indiv[[Excl Score]:[Excl Score]],0),"")</f>
        <v/>
      </c>
    </row>
    <row r="1572" spans="1:5" x14ac:dyDescent="0.25">
      <c r="A1572" t="s">
        <v>724</v>
      </c>
      <c r="B1572" t="s">
        <v>362</v>
      </c>
      <c r="C1572" t="s">
        <v>834</v>
      </c>
      <c r="D1572" t="s">
        <v>2021</v>
      </c>
      <c r="E1572" t="str">
        <f>IFERROR(AVERAGEIFS(Upload_Indiv[Score8],Upload_Indiv[[Player]:[Player]],$A32,Upload_Indiv[[Side]:[Side]],"Raintree Front",Upload_Indiv[[Excl Score]:[Excl Score]],0),"")</f>
        <v/>
      </c>
    </row>
    <row r="1573" spans="1:5" x14ac:dyDescent="0.25">
      <c r="A1573" t="s">
        <v>724</v>
      </c>
      <c r="B1573" t="s">
        <v>362</v>
      </c>
      <c r="C1573" t="s">
        <v>834</v>
      </c>
      <c r="D1573" t="s">
        <v>2022</v>
      </c>
      <c r="E1573" t="str">
        <f>IFERROR(AVERAGEIFS(Upload_Indiv[Score8],Upload_Indiv[[Player]:[Player]],$A32,Upload_Indiv[[Side]:[Side]],"Raintree Back",Upload_Indiv[[Excl Score]:[Excl Score]],0),"")</f>
        <v/>
      </c>
    </row>
    <row r="1574" spans="1:5" x14ac:dyDescent="0.25">
      <c r="A1574" t="s">
        <v>724</v>
      </c>
      <c r="B1574" t="s">
        <v>362</v>
      </c>
      <c r="C1574" t="s">
        <v>834</v>
      </c>
      <c r="D1574" t="s">
        <v>2023</v>
      </c>
      <c r="E1574" t="str">
        <f>IFERROR(AVERAGEIFS(Upload_Indiv[Score8],Upload_Indiv[[Player]:[Player]],$A33,Upload_Indiv[[Side]:[Side]],"Raintree Front",Upload_Indiv[[Excl Score]:[Excl Score]],0),"")</f>
        <v/>
      </c>
    </row>
    <row r="1575" spans="1:5" x14ac:dyDescent="0.25">
      <c r="A1575" t="s">
        <v>724</v>
      </c>
      <c r="B1575" t="s">
        <v>362</v>
      </c>
      <c r="C1575" t="s">
        <v>834</v>
      </c>
      <c r="D1575" t="s">
        <v>2024</v>
      </c>
      <c r="E1575" t="str">
        <f>IFERROR(AVERAGEIFS(Upload_Indiv[Score8],Upload_Indiv[[Player]:[Player]],$A33,Upload_Indiv[[Side]:[Side]],"Raintree Back",Upload_Indiv[[Excl Score]:[Excl Score]],0),"")</f>
        <v/>
      </c>
    </row>
    <row r="1576" spans="1:5" x14ac:dyDescent="0.25">
      <c r="A1576" t="s">
        <v>724</v>
      </c>
      <c r="B1576" t="s">
        <v>362</v>
      </c>
      <c r="C1576" t="s">
        <v>834</v>
      </c>
      <c r="D1576" t="s">
        <v>2025</v>
      </c>
      <c r="E1576" t="str">
        <f>IFERROR(AVERAGEIFS(Upload_Indiv[Score8],Upload_Indiv[[Player]:[Player]],$A34,Upload_Indiv[[Side]:[Side]],"Raintree Front",Upload_Indiv[[Excl Score]:[Excl Score]],0),"")</f>
        <v/>
      </c>
    </row>
    <row r="1577" spans="1:5" x14ac:dyDescent="0.25">
      <c r="A1577" t="s">
        <v>724</v>
      </c>
      <c r="B1577" t="s">
        <v>362</v>
      </c>
      <c r="C1577" t="s">
        <v>834</v>
      </c>
      <c r="D1577" t="s">
        <v>2026</v>
      </c>
      <c r="E1577" t="str">
        <f>IFERROR(AVERAGEIFS(Upload_Indiv[Score8],Upload_Indiv[[Player]:[Player]],$A34,Upload_Indiv[[Side]:[Side]],"Raintree Back",Upload_Indiv[[Excl Score]:[Excl Score]],0),"")</f>
        <v/>
      </c>
    </row>
    <row r="1578" spans="1:5" x14ac:dyDescent="0.25">
      <c r="A1578" t="s">
        <v>724</v>
      </c>
      <c r="B1578" t="s">
        <v>362</v>
      </c>
      <c r="C1578" t="s">
        <v>834</v>
      </c>
      <c r="D1578" t="s">
        <v>2027</v>
      </c>
      <c r="E1578" t="str">
        <f>IFERROR(AVERAGEIFS(Upload_Indiv[Score8],Upload_Indiv[[Player]:[Player]],$A35,Upload_Indiv[[Side]:[Side]],"Raintree Front",Upload_Indiv[[Excl Score]:[Excl Score]],0),"")</f>
        <v/>
      </c>
    </row>
    <row r="1579" spans="1:5" x14ac:dyDescent="0.25">
      <c r="A1579" t="s">
        <v>724</v>
      </c>
      <c r="B1579" t="s">
        <v>362</v>
      </c>
      <c r="C1579" t="s">
        <v>834</v>
      </c>
      <c r="D1579" t="s">
        <v>2028</v>
      </c>
      <c r="E1579" t="str">
        <f>IFERROR(AVERAGEIFS(Upload_Indiv[Score8],Upload_Indiv[[Player]:[Player]],$A35,Upload_Indiv[[Side]:[Side]],"Raintree Back",Upload_Indiv[[Excl Score]:[Excl Score]],0),"")</f>
        <v/>
      </c>
    </row>
    <row r="1580" spans="1:5" x14ac:dyDescent="0.25">
      <c r="A1580" t="s">
        <v>724</v>
      </c>
      <c r="B1580" t="s">
        <v>362</v>
      </c>
      <c r="C1580" t="s">
        <v>834</v>
      </c>
      <c r="D1580" t="s">
        <v>2029</v>
      </c>
      <c r="E1580" t="str">
        <f>IFERROR(AVERAGEIFS(Upload_Indiv[Score8],Upload_Indiv[[Player]:[Player]],$A36,Upload_Indiv[[Side]:[Side]],"Raintree Front",Upload_Indiv[[Excl Score]:[Excl Score]],0),"")</f>
        <v/>
      </c>
    </row>
    <row r="1581" spans="1:5" x14ac:dyDescent="0.25">
      <c r="A1581" t="s">
        <v>724</v>
      </c>
      <c r="B1581" t="s">
        <v>362</v>
      </c>
      <c r="C1581" t="s">
        <v>834</v>
      </c>
      <c r="D1581" t="s">
        <v>2030</v>
      </c>
      <c r="E1581" t="str">
        <f>IFERROR(AVERAGEIFS(Upload_Indiv[Score8],Upload_Indiv[[Player]:[Player]],$A36,Upload_Indiv[[Side]:[Side]],"Raintree Back",Upload_Indiv[[Excl Score]:[Excl Score]],0),"")</f>
        <v/>
      </c>
    </row>
    <row r="1582" spans="1:5" x14ac:dyDescent="0.25">
      <c r="A1582" t="s">
        <v>724</v>
      </c>
      <c r="B1582" t="s">
        <v>362</v>
      </c>
      <c r="C1582" t="s">
        <v>834</v>
      </c>
      <c r="D1582" t="s">
        <v>2031</v>
      </c>
      <c r="E1582" t="str">
        <f>IFERROR(AVERAGEIFS(Upload_Indiv[Score8],Upload_Indiv[[Player]:[Player]],$A37,Upload_Indiv[[Side]:[Side]],"Raintree Front",Upload_Indiv[[Excl Score]:[Excl Score]],0),"")</f>
        <v/>
      </c>
    </row>
    <row r="1583" spans="1:5" x14ac:dyDescent="0.25">
      <c r="A1583" t="s">
        <v>724</v>
      </c>
      <c r="B1583" t="s">
        <v>362</v>
      </c>
      <c r="C1583" t="s">
        <v>834</v>
      </c>
      <c r="D1583" t="s">
        <v>2032</v>
      </c>
      <c r="E1583" t="str">
        <f>IFERROR(AVERAGEIFS(Upload_Indiv[Score8],Upload_Indiv[[Player]:[Player]],$A37,Upload_Indiv[[Side]:[Side]],"Raintree Back",Upload_Indiv[[Excl Score]:[Excl Score]],0),"")</f>
        <v/>
      </c>
    </row>
    <row r="1584" spans="1:5" x14ac:dyDescent="0.25">
      <c r="A1584" t="s">
        <v>724</v>
      </c>
      <c r="B1584" t="s">
        <v>362</v>
      </c>
      <c r="C1584" t="s">
        <v>834</v>
      </c>
      <c r="D1584" t="s">
        <v>2033</v>
      </c>
      <c r="E1584" t="str">
        <f>IFERROR(AVERAGEIFS(Upload_Indiv[Score8],Upload_Indiv[[Player]:[Player]],$A38,Upload_Indiv[[Side]:[Side]],"Raintree Front",Upload_Indiv[[Excl Score]:[Excl Score]],0),"")</f>
        <v/>
      </c>
    </row>
    <row r="1585" spans="1:5" x14ac:dyDescent="0.25">
      <c r="A1585" t="s">
        <v>724</v>
      </c>
      <c r="B1585" t="s">
        <v>362</v>
      </c>
      <c r="C1585" t="s">
        <v>834</v>
      </c>
      <c r="D1585" t="s">
        <v>2034</v>
      </c>
      <c r="E1585" t="str">
        <f>IFERROR(AVERAGEIFS(Upload_Indiv[Score8],Upload_Indiv[[Player]:[Player]],$A38,Upload_Indiv[[Side]:[Side]],"Raintree Back",Upload_Indiv[[Excl Score]:[Excl Score]],0),"")</f>
        <v/>
      </c>
    </row>
    <row r="1586" spans="1:5" x14ac:dyDescent="0.25">
      <c r="A1586" t="s">
        <v>724</v>
      </c>
      <c r="B1586" t="s">
        <v>362</v>
      </c>
      <c r="C1586" t="s">
        <v>834</v>
      </c>
      <c r="D1586" t="s">
        <v>2035</v>
      </c>
      <c r="E1586" t="str">
        <f>IFERROR(AVERAGEIFS(Upload_Indiv[Score8],Upload_Indiv[[Player]:[Player]],$A39,Upload_Indiv[[Side]:[Side]],"Raintree Front",Upload_Indiv[[Excl Score]:[Excl Score]],0),"")</f>
        <v/>
      </c>
    </row>
    <row r="1587" spans="1:5" x14ac:dyDescent="0.25">
      <c r="A1587" t="s">
        <v>724</v>
      </c>
      <c r="B1587" t="s">
        <v>362</v>
      </c>
      <c r="C1587" t="s">
        <v>834</v>
      </c>
      <c r="D1587" t="s">
        <v>2036</v>
      </c>
      <c r="E1587" t="str">
        <f>IFERROR(AVERAGEIFS(Upload_Indiv[Score8],Upload_Indiv[[Player]:[Player]],$A39,Upload_Indiv[[Side]:[Side]],"Raintree Back",Upload_Indiv[[Excl Score]:[Excl Score]],0),"")</f>
        <v/>
      </c>
    </row>
    <row r="1588" spans="1:5" x14ac:dyDescent="0.25">
      <c r="A1588" t="s">
        <v>724</v>
      </c>
      <c r="B1588" t="s">
        <v>362</v>
      </c>
      <c r="C1588" t="s">
        <v>834</v>
      </c>
      <c r="D1588" t="s">
        <v>2037</v>
      </c>
      <c r="E1588" t="str">
        <f>IFERROR(AVERAGEIFS(Upload_Indiv[Score8],Upload_Indiv[[Player]:[Player]],$A40,Upload_Indiv[[Side]:[Side]],"Raintree Front",Upload_Indiv[[Excl Score]:[Excl Score]],0),"")</f>
        <v/>
      </c>
    </row>
    <row r="1589" spans="1:5" x14ac:dyDescent="0.25">
      <c r="A1589" t="s">
        <v>724</v>
      </c>
      <c r="B1589" t="s">
        <v>362</v>
      </c>
      <c r="C1589" t="s">
        <v>834</v>
      </c>
      <c r="D1589" t="s">
        <v>2038</v>
      </c>
      <c r="E1589" t="str">
        <f>IFERROR(AVERAGEIFS(Upload_Indiv[Score8],Upload_Indiv[[Player]:[Player]],$A40,Upload_Indiv[[Side]:[Side]],"Raintree Back",Upload_Indiv[[Excl Score]:[Excl Score]],0),"")</f>
        <v/>
      </c>
    </row>
    <row r="1590" spans="1:5" x14ac:dyDescent="0.25">
      <c r="A1590" t="s">
        <v>724</v>
      </c>
      <c r="B1590" t="s">
        <v>362</v>
      </c>
      <c r="C1590" t="s">
        <v>834</v>
      </c>
      <c r="D1590" t="s">
        <v>2039</v>
      </c>
      <c r="E1590" t="str">
        <f>IFERROR(AVERAGEIFS(Upload_Indiv[Score8],Upload_Indiv[[Player]:[Player]],$A41,Upload_Indiv[[Side]:[Side]],"Raintree Front",Upload_Indiv[[Excl Score]:[Excl Score]],0),"")</f>
        <v/>
      </c>
    </row>
    <row r="1591" spans="1:5" x14ac:dyDescent="0.25">
      <c r="A1591" t="s">
        <v>724</v>
      </c>
      <c r="B1591" t="s">
        <v>362</v>
      </c>
      <c r="C1591" t="s">
        <v>834</v>
      </c>
      <c r="D1591" t="s">
        <v>2040</v>
      </c>
      <c r="E1591" t="str">
        <f>IFERROR(AVERAGEIFS(Upload_Indiv[Score8],Upload_Indiv[[Player]:[Player]],$A41,Upload_Indiv[[Side]:[Side]],"Raintree Back",Upload_Indiv[[Excl Score]:[Excl Score]],0),"")</f>
        <v/>
      </c>
    </row>
    <row r="1592" spans="1:5" x14ac:dyDescent="0.25">
      <c r="A1592" t="s">
        <v>724</v>
      </c>
      <c r="B1592" t="s">
        <v>362</v>
      </c>
      <c r="C1592" t="s">
        <v>834</v>
      </c>
      <c r="D1592" t="s">
        <v>2041</v>
      </c>
      <c r="E1592" t="str">
        <f>IFERROR(AVERAGEIFS(Upload_Indiv[Score8],Upload_Indiv[[Player]:[Player]],$A42,Upload_Indiv[[Side]:[Side]],"Raintree Front",Upload_Indiv[[Excl Score]:[Excl Score]],0),"")</f>
        <v/>
      </c>
    </row>
    <row r="1593" spans="1:5" x14ac:dyDescent="0.25">
      <c r="A1593" t="s">
        <v>724</v>
      </c>
      <c r="B1593" t="s">
        <v>362</v>
      </c>
      <c r="C1593" t="s">
        <v>834</v>
      </c>
      <c r="D1593" t="s">
        <v>2042</v>
      </c>
      <c r="E1593" t="str">
        <f>IFERROR(AVERAGEIFS(Upload_Indiv[Score8],Upload_Indiv[[Player]:[Player]],$A42,Upload_Indiv[[Side]:[Side]],"Raintree Back",Upload_Indiv[[Excl Score]:[Excl Score]],0),"")</f>
        <v/>
      </c>
    </row>
    <row r="1594" spans="1:5" x14ac:dyDescent="0.25">
      <c r="A1594" t="s">
        <v>724</v>
      </c>
      <c r="B1594" t="s">
        <v>362</v>
      </c>
      <c r="C1594" t="s">
        <v>834</v>
      </c>
      <c r="D1594" t="s">
        <v>2043</v>
      </c>
      <c r="E1594" t="str">
        <f>IFERROR(AVERAGEIFS(Upload_Indiv[Score8],Upload_Indiv[[Player]:[Player]],$A43,Upload_Indiv[[Side]:[Side]],"Raintree Front",Upload_Indiv[[Excl Score]:[Excl Score]],0),"")</f>
        <v/>
      </c>
    </row>
    <row r="1595" spans="1:5" x14ac:dyDescent="0.25">
      <c r="A1595" t="s">
        <v>724</v>
      </c>
      <c r="B1595" t="s">
        <v>362</v>
      </c>
      <c r="C1595" t="s">
        <v>834</v>
      </c>
      <c r="D1595" t="s">
        <v>2044</v>
      </c>
      <c r="E1595" t="str">
        <f>IFERROR(AVERAGEIFS(Upload_Indiv[Score8],Upload_Indiv[[Player]:[Player]],$A43,Upload_Indiv[[Side]:[Side]],"Raintree Back",Upload_Indiv[[Excl Score]:[Excl Score]],0),"")</f>
        <v/>
      </c>
    </row>
    <row r="1596" spans="1:5" x14ac:dyDescent="0.25">
      <c r="A1596" t="s">
        <v>724</v>
      </c>
      <c r="B1596" t="s">
        <v>362</v>
      </c>
      <c r="C1596" t="s">
        <v>834</v>
      </c>
      <c r="D1596" t="s">
        <v>2045</v>
      </c>
      <c r="E1596" t="str">
        <f>IFERROR(AVERAGEIFS(Upload_Indiv[Score8],Upload_Indiv[[Player]:[Player]],$A44,Upload_Indiv[[Side]:[Side]],"Raintree Front",Upload_Indiv[[Excl Score]:[Excl Score]],0),"")</f>
        <v/>
      </c>
    </row>
    <row r="1597" spans="1:5" x14ac:dyDescent="0.25">
      <c r="A1597" t="s">
        <v>724</v>
      </c>
      <c r="B1597" t="s">
        <v>362</v>
      </c>
      <c r="C1597" t="s">
        <v>834</v>
      </c>
      <c r="D1597" t="s">
        <v>2046</v>
      </c>
      <c r="E1597" t="str">
        <f>IFERROR(AVERAGEIFS(Upload_Indiv[Score8],Upload_Indiv[[Player]:[Player]],$A44,Upload_Indiv[[Side]:[Side]],"Raintree Back",Upload_Indiv[[Excl Score]:[Excl Score]],0),"")</f>
        <v/>
      </c>
    </row>
    <row r="1598" spans="1:5" x14ac:dyDescent="0.25">
      <c r="A1598" t="s">
        <v>724</v>
      </c>
      <c r="B1598" t="s">
        <v>362</v>
      </c>
      <c r="C1598" t="s">
        <v>834</v>
      </c>
      <c r="D1598" t="s">
        <v>2047</v>
      </c>
      <c r="E1598" t="str">
        <f>IFERROR(AVERAGEIFS(Upload_Indiv[Score8],Upload_Indiv[[Player]:[Player]],$A45,Upload_Indiv[[Side]:[Side]],"Raintree Front",Upload_Indiv[[Excl Score]:[Excl Score]],0),"")</f>
        <v/>
      </c>
    </row>
    <row r="1599" spans="1:5" x14ac:dyDescent="0.25">
      <c r="A1599" t="s">
        <v>724</v>
      </c>
      <c r="B1599" t="s">
        <v>362</v>
      </c>
      <c r="C1599" t="s">
        <v>834</v>
      </c>
      <c r="D1599" t="s">
        <v>2048</v>
      </c>
      <c r="E1599" t="str">
        <f>IFERROR(AVERAGEIFS(Upload_Indiv[Score8],Upload_Indiv[[Player]:[Player]],$A45,Upload_Indiv[[Side]:[Side]],"Raintree Back",Upload_Indiv[[Excl Score]:[Excl Score]],0),"")</f>
        <v/>
      </c>
    </row>
    <row r="1600" spans="1:5" x14ac:dyDescent="0.25">
      <c r="A1600" t="s">
        <v>724</v>
      </c>
      <c r="B1600" t="s">
        <v>362</v>
      </c>
      <c r="C1600" t="s">
        <v>834</v>
      </c>
      <c r="D1600" t="s">
        <v>2049</v>
      </c>
      <c r="E1600" t="str">
        <f>IFERROR(AVERAGEIFS(Upload_Indiv[Score8],Upload_Indiv[[Player]:[Player]],$A46,Upload_Indiv[[Side]:[Side]],"Raintree Front",Upload_Indiv[[Excl Score]:[Excl Score]],0),"")</f>
        <v/>
      </c>
    </row>
    <row r="1601" spans="1:5" x14ac:dyDescent="0.25">
      <c r="A1601" t="s">
        <v>724</v>
      </c>
      <c r="B1601" t="s">
        <v>362</v>
      </c>
      <c r="C1601" t="s">
        <v>834</v>
      </c>
      <c r="D1601" t="s">
        <v>2050</v>
      </c>
      <c r="E1601" t="str">
        <f>IFERROR(AVERAGEIFS(Upload_Indiv[Score8],Upload_Indiv[[Player]:[Player]],$A46,Upload_Indiv[[Side]:[Side]],"Raintree Back",Upload_Indiv[[Excl Score]:[Excl Score]],0),"")</f>
        <v/>
      </c>
    </row>
    <row r="1602" spans="1:5" x14ac:dyDescent="0.25">
      <c r="A1602" t="s">
        <v>724</v>
      </c>
      <c r="B1602" t="s">
        <v>362</v>
      </c>
      <c r="C1602" t="s">
        <v>834</v>
      </c>
      <c r="D1602" t="s">
        <v>2051</v>
      </c>
      <c r="E1602" t="str">
        <f>IFERROR(AVERAGEIFS(Upload_Indiv[Score8],Upload_Indiv[[Player]:[Player]],$A47,Upload_Indiv[[Side]:[Side]],"Raintree Front",Upload_Indiv[[Excl Score]:[Excl Score]],0),"")</f>
        <v/>
      </c>
    </row>
    <row r="1603" spans="1:5" x14ac:dyDescent="0.25">
      <c r="A1603" t="s">
        <v>724</v>
      </c>
      <c r="B1603" t="s">
        <v>362</v>
      </c>
      <c r="C1603" t="s">
        <v>834</v>
      </c>
      <c r="D1603" t="s">
        <v>2052</v>
      </c>
      <c r="E1603" t="str">
        <f>IFERROR(AVERAGEIFS(Upload_Indiv[Score8],Upload_Indiv[[Player]:[Player]],$A47,Upload_Indiv[[Side]:[Side]],"Raintree Back",Upload_Indiv[[Excl Score]:[Excl Score]],0),"")</f>
        <v/>
      </c>
    </row>
    <row r="1604" spans="1:5" x14ac:dyDescent="0.25">
      <c r="A1604" t="s">
        <v>724</v>
      </c>
      <c r="B1604" t="s">
        <v>362</v>
      </c>
      <c r="C1604" t="s">
        <v>834</v>
      </c>
      <c r="D1604" t="s">
        <v>2053</v>
      </c>
      <c r="E1604" t="str">
        <f>IFERROR(AVERAGEIFS(Upload_Indiv[Score8],Upload_Indiv[[Player]:[Player]],$A48,Upload_Indiv[[Side]:[Side]],"Raintree Front",Upload_Indiv[[Excl Score]:[Excl Score]],0),"")</f>
        <v/>
      </c>
    </row>
    <row r="1605" spans="1:5" x14ac:dyDescent="0.25">
      <c r="A1605" t="s">
        <v>724</v>
      </c>
      <c r="B1605" t="s">
        <v>362</v>
      </c>
      <c r="C1605" t="s">
        <v>834</v>
      </c>
      <c r="D1605" t="s">
        <v>2054</v>
      </c>
      <c r="E1605" t="str">
        <f>IFERROR(AVERAGEIFS(Upload_Indiv[Score8],Upload_Indiv[[Player]:[Player]],$A48,Upload_Indiv[[Side]:[Side]],"Raintree Back",Upload_Indiv[[Excl Score]:[Excl Score]],0),"")</f>
        <v/>
      </c>
    </row>
    <row r="1606" spans="1:5" x14ac:dyDescent="0.25">
      <c r="A1606" t="s">
        <v>724</v>
      </c>
      <c r="B1606" t="s">
        <v>362</v>
      </c>
      <c r="C1606" t="s">
        <v>834</v>
      </c>
      <c r="D1606" t="s">
        <v>2055</v>
      </c>
      <c r="E1606" t="str">
        <f>IFERROR(AVERAGEIFS(Upload_Indiv[Score8],Upload_Indiv[[Player]:[Player]],$A49,Upload_Indiv[[Side]:[Side]],"Raintree Front",Upload_Indiv[[Excl Score]:[Excl Score]],0),"")</f>
        <v/>
      </c>
    </row>
    <row r="1607" spans="1:5" x14ac:dyDescent="0.25">
      <c r="A1607" t="s">
        <v>724</v>
      </c>
      <c r="B1607" t="s">
        <v>362</v>
      </c>
      <c r="C1607" t="s">
        <v>834</v>
      </c>
      <c r="D1607" t="s">
        <v>2056</v>
      </c>
      <c r="E1607" t="str">
        <f>IFERROR(AVERAGEIFS(Upload_Indiv[Score8],Upload_Indiv[[Player]:[Player]],$A49,Upload_Indiv[[Side]:[Side]],"Raintree Back",Upload_Indiv[[Excl Score]:[Excl Score]],0),"")</f>
        <v/>
      </c>
    </row>
    <row r="1608" spans="1:5" x14ac:dyDescent="0.25">
      <c r="A1608" t="s">
        <v>724</v>
      </c>
      <c r="B1608" t="s">
        <v>362</v>
      </c>
      <c r="C1608" t="s">
        <v>834</v>
      </c>
      <c r="D1608" t="s">
        <v>2057</v>
      </c>
      <c r="E1608" t="str">
        <f>IFERROR(AVERAGEIFS(Upload_Indiv[Score8],Upload_Indiv[[Player]:[Player]],$A50,Upload_Indiv[[Side]:[Side]],"Raintree Front",Upload_Indiv[[Excl Score]:[Excl Score]],0),"")</f>
        <v/>
      </c>
    </row>
    <row r="1609" spans="1:5" x14ac:dyDescent="0.25">
      <c r="A1609" t="s">
        <v>724</v>
      </c>
      <c r="B1609" t="s">
        <v>362</v>
      </c>
      <c r="C1609" t="s">
        <v>834</v>
      </c>
      <c r="D1609" t="s">
        <v>2058</v>
      </c>
      <c r="E1609" t="str">
        <f>IFERROR(AVERAGEIFS(Upload_Indiv[Score8],Upload_Indiv[[Player]:[Player]],$A50,Upload_Indiv[[Side]:[Side]],"Raintree Back",Upload_Indiv[[Excl Score]:[Excl Score]],0),"")</f>
        <v/>
      </c>
    </row>
    <row r="1610" spans="1:5" x14ac:dyDescent="0.25">
      <c r="A1610" t="s">
        <v>724</v>
      </c>
      <c r="B1610" t="s">
        <v>362</v>
      </c>
      <c r="C1610" t="s">
        <v>834</v>
      </c>
      <c r="D1610" t="s">
        <v>2059</v>
      </c>
      <c r="E1610" t="str">
        <f>IFERROR(AVERAGEIFS(Upload_Indiv[Score8],Upload_Indiv[[Player]:[Player]],$A51,Upload_Indiv[[Side]:[Side]],"Raintree Front",Upload_Indiv[[Excl Score]:[Excl Score]],0),"")</f>
        <v/>
      </c>
    </row>
    <row r="1611" spans="1:5" x14ac:dyDescent="0.25">
      <c r="A1611" t="s">
        <v>724</v>
      </c>
      <c r="B1611" t="s">
        <v>362</v>
      </c>
      <c r="C1611" t="s">
        <v>834</v>
      </c>
      <c r="D1611" t="s">
        <v>2060</v>
      </c>
      <c r="E1611" t="str">
        <f>IFERROR(AVERAGEIFS(Upload_Indiv[Score8],Upload_Indiv[[Player]:[Player]],$A51,Upload_Indiv[[Side]:[Side]],"Raintree Back",Upload_Indiv[[Excl Score]:[Excl Score]],0),"")</f>
        <v/>
      </c>
    </row>
    <row r="1612" spans="1:5" x14ac:dyDescent="0.25">
      <c r="A1612" t="s">
        <v>724</v>
      </c>
      <c r="B1612" t="s">
        <v>362</v>
      </c>
      <c r="C1612" t="s">
        <v>834</v>
      </c>
      <c r="D1612" t="s">
        <v>2061</v>
      </c>
      <c r="E1612" t="str">
        <f>IFERROR(AVERAGEIFS(Upload_Indiv[Score8],Upload_Indiv[[Player]:[Player]],$A52,Upload_Indiv[[Side]:[Side]],"Raintree Front",Upload_Indiv[[Excl Score]:[Excl Score]],0),"")</f>
        <v/>
      </c>
    </row>
    <row r="1613" spans="1:5" x14ac:dyDescent="0.25">
      <c r="A1613" t="s">
        <v>724</v>
      </c>
      <c r="B1613" t="s">
        <v>362</v>
      </c>
      <c r="C1613" t="s">
        <v>834</v>
      </c>
      <c r="D1613" t="s">
        <v>2062</v>
      </c>
      <c r="E1613" t="str">
        <f>IFERROR(AVERAGEIFS(Upload_Indiv[Score8],Upload_Indiv[[Player]:[Player]],$A52,Upload_Indiv[[Side]:[Side]],"Raintree Back",Upload_Indiv[[Excl Score]:[Excl Score]],0),"")</f>
        <v/>
      </c>
    </row>
    <row r="1614" spans="1:5" x14ac:dyDescent="0.25">
      <c r="A1614" t="s">
        <v>724</v>
      </c>
      <c r="B1614" t="s">
        <v>362</v>
      </c>
      <c r="C1614" t="s">
        <v>834</v>
      </c>
      <c r="D1614" t="s">
        <v>2063</v>
      </c>
      <c r="E1614" t="str">
        <f>IFERROR(AVERAGEIFS(Upload_Indiv[Score8],Upload_Indiv[[Player]:[Player]],$A53,Upload_Indiv[[Side]:[Side]],"Raintree Front",Upload_Indiv[[Excl Score]:[Excl Score]],0),"")</f>
        <v/>
      </c>
    </row>
    <row r="1615" spans="1:5" x14ac:dyDescent="0.25">
      <c r="A1615" t="s">
        <v>724</v>
      </c>
      <c r="B1615" t="s">
        <v>362</v>
      </c>
      <c r="C1615" t="s">
        <v>834</v>
      </c>
      <c r="D1615" t="s">
        <v>2064</v>
      </c>
      <c r="E1615" t="str">
        <f>IFERROR(AVERAGEIFS(Upload_Indiv[Score8],Upload_Indiv[[Player]:[Player]],$A53,Upload_Indiv[[Side]:[Side]],"Raintree Back",Upload_Indiv[[Excl Score]:[Excl Score]],0),"")</f>
        <v/>
      </c>
    </row>
    <row r="1616" spans="1:5" x14ac:dyDescent="0.25">
      <c r="A1616" t="s">
        <v>724</v>
      </c>
      <c r="B1616" t="s">
        <v>362</v>
      </c>
      <c r="C1616" t="s">
        <v>834</v>
      </c>
      <c r="D1616" t="s">
        <v>2065</v>
      </c>
      <c r="E1616" t="str">
        <f>IFERROR(AVERAGEIFS(Upload_Indiv[Score8],Upload_Indiv[[Player]:[Player]],$A54,Upload_Indiv[[Side]:[Side]],"Raintree Front",Upload_Indiv[[Excl Score]:[Excl Score]],0),"")</f>
        <v/>
      </c>
    </row>
    <row r="1617" spans="1:5" x14ac:dyDescent="0.25">
      <c r="A1617" t="s">
        <v>724</v>
      </c>
      <c r="B1617" t="s">
        <v>362</v>
      </c>
      <c r="C1617" t="s">
        <v>834</v>
      </c>
      <c r="D1617" t="s">
        <v>2066</v>
      </c>
      <c r="E1617" t="str">
        <f>IFERROR(AVERAGEIFS(Upload_Indiv[Score8],Upload_Indiv[[Player]:[Player]],$A54,Upload_Indiv[[Side]:[Side]],"Raintree Back",Upload_Indiv[[Excl Score]:[Excl Score]],0),"")</f>
        <v/>
      </c>
    </row>
    <row r="1618" spans="1:5" x14ac:dyDescent="0.25">
      <c r="A1618" t="s">
        <v>724</v>
      </c>
      <c r="B1618" t="s">
        <v>363</v>
      </c>
      <c r="C1618" t="s">
        <v>725</v>
      </c>
      <c r="D1618" t="s">
        <v>2067</v>
      </c>
      <c r="E1618" t="str">
        <f>IFERROR(AVERAGEIFS(Upload_Indiv[Score9],Upload_Indiv[[Side]:[Side]],"Raintree Front")-IF(TRUNC(ROUND($B6,0)/9,0)=2,2+IF((ROUND($B6,0)-18)*2&gt;=K$2,1,0),IF(TRUNC(ROUND($B6,0)/9,0)=1,1+IF((ROUND($B6,0)-9)*2&gt;=K$2,1,0),IF(TRUNC(ROUND($B6,0)/9,0)=0,IF(TRUNC(ROUND($B6,0)/9,0)=0,0+IF((ROUND($B6,0))*2&gt;=K$2,1,0),"Not"))))-K$3,"")</f>
        <v/>
      </c>
    </row>
    <row r="1619" spans="1:5" x14ac:dyDescent="0.25">
      <c r="A1619" t="s">
        <v>724</v>
      </c>
      <c r="B1619" t="s">
        <v>363</v>
      </c>
      <c r="C1619" t="s">
        <v>725</v>
      </c>
      <c r="D1619" t="s">
        <v>2068</v>
      </c>
      <c r="E1619" t="str">
        <f>IFERROR(AVERAGEIFS(Upload_Indiv[Score9],Upload_Indiv[[Side]:[Side]],"Raintree Back")-IF(TRUNC(ROUND($B6,0)/9,0)=2,2+IF((ROUND($B6,0)-18)*2&gt;=U$2,1,0),IF(TRUNC(ROUND($B6,0)/9,0)=1,1+IF((ROUND($B6,0)-9)*2&gt;=U$2,1,0),IF(TRUNC(ROUND($B6,0)/9,0)=0,IF(TRUNC(ROUND($B6,0)/9,0)=0,0+IF((ROUND($B6,0))*2&gt;=U$2,1,0),"Not"))))-U$3,"")</f>
        <v/>
      </c>
    </row>
    <row r="1620" spans="1:5" x14ac:dyDescent="0.25">
      <c r="A1620" t="s">
        <v>724</v>
      </c>
      <c r="B1620" t="s">
        <v>363</v>
      </c>
      <c r="C1620" t="s">
        <v>725</v>
      </c>
      <c r="D1620" t="s">
        <v>2069</v>
      </c>
      <c r="E1620" t="str">
        <f>IFERROR(AVERAGEIFS(Upload_Indiv[Score9],Upload_Indiv[[Player]:[Player]],$A8,Upload_Indiv[[Side]:[Side]],"Raintree Front")-IF(TRUNC(ROUND($B8,0)/9,0)=2,2+IF((ROUND($B8,0)-18)*2&gt;=K$2,1,0),IF(TRUNC(ROUND($B8,0)/9,0)=1,1+IF((ROUND($B8,0)-9)*2&gt;=K$2,1,0),IF(TRUNC(ROUND($B8,0)/9,0)=0,IF(TRUNC(ROUND($B8,0)/9,0)=0,0+IF((ROUND($B8,0))*2&gt;=K$2,1,0),"Not"))))-K$3,"")</f>
        <v/>
      </c>
    </row>
    <row r="1621" spans="1:5" x14ac:dyDescent="0.25">
      <c r="A1621" t="s">
        <v>724</v>
      </c>
      <c r="B1621" t="s">
        <v>363</v>
      </c>
      <c r="C1621" t="s">
        <v>725</v>
      </c>
      <c r="D1621" t="s">
        <v>2070</v>
      </c>
      <c r="E1621" t="str">
        <f>IFERROR(AVERAGEIFS(Upload_Indiv[Score9],Upload_Indiv[[Player]:[Player]],$A8,Upload_Indiv[[Side]:[Side]],"Raintree Back")-IF(TRUNC(ROUND($B8,0)/9,0)=2,2+IF((ROUND($B8,0)-18)*2&gt;=U$2,1,0),IF(TRUNC(ROUND($B8,0)/9,0)=1,1+IF((ROUND($B8,0)-9)*2&gt;=U$2,1,0),IF(TRUNC(ROUND($B8,0)/9,0)=0,IF(TRUNC(ROUND($B8,0)/9,0)=0,0+IF((ROUND($B8,0))*2&gt;=U$2,1,0),"Not"))))-U$3,"")</f>
        <v/>
      </c>
    </row>
    <row r="1622" spans="1:5" x14ac:dyDescent="0.25">
      <c r="A1622" t="s">
        <v>724</v>
      </c>
      <c r="B1622" t="s">
        <v>363</v>
      </c>
      <c r="C1622" t="s">
        <v>725</v>
      </c>
      <c r="D1622" t="s">
        <v>2071</v>
      </c>
      <c r="E1622" t="str">
        <f>IFERROR(AVERAGEIFS(Upload_Indiv[Score9],Upload_Indiv[[Player]:[Player]],$A9,Upload_Indiv[[Side]:[Side]],"Raintree Front")-IF(TRUNC(ROUND($B9,0)/9,0)=2,2+IF((ROUND($B9,0)-18)*2&gt;=K$2,1,0),IF(TRUNC(ROUND($B9,0)/9,0)=1,1+IF((ROUND($B9,0)-9)*2&gt;=K$2,1,0),IF(TRUNC(ROUND($B9,0)/9,0)=0,IF(TRUNC(ROUND($B9,0)/9,0)=0,0+IF((ROUND($B9,0))*2&gt;=K$2,1,0),"Not"))))-K$3,"")</f>
        <v/>
      </c>
    </row>
    <row r="1623" spans="1:5" x14ac:dyDescent="0.25">
      <c r="A1623" t="s">
        <v>724</v>
      </c>
      <c r="B1623" t="s">
        <v>363</v>
      </c>
      <c r="C1623" t="s">
        <v>725</v>
      </c>
      <c r="D1623" t="s">
        <v>2072</v>
      </c>
      <c r="E1623" t="str">
        <f>IFERROR(AVERAGEIFS(Upload_Indiv[Score9],Upload_Indiv[[Player]:[Player]],$A9,Upload_Indiv[[Side]:[Side]],"Raintree Back")-IF(TRUNC(ROUND($B9,0)/9,0)=2,2+IF((ROUND($B9,0)-18)*2&gt;=U$2,1,0),IF(TRUNC(ROUND($B9,0)/9,0)=1,1+IF((ROUND($B9,0)-9)*2&gt;=U$2,1,0),IF(TRUNC(ROUND($B9,0)/9,0)=0,IF(TRUNC(ROUND($B9,0)/9,0)=0,0+IF((ROUND($B9,0))*2&gt;=U$2,1,0),"Not"))))-U$3,"")</f>
        <v/>
      </c>
    </row>
    <row r="1624" spans="1:5" x14ac:dyDescent="0.25">
      <c r="A1624" t="s">
        <v>724</v>
      </c>
      <c r="B1624" t="s">
        <v>363</v>
      </c>
      <c r="C1624" t="s">
        <v>725</v>
      </c>
      <c r="D1624" t="s">
        <v>2073</v>
      </c>
      <c r="E1624" t="str">
        <f>IFERROR(AVERAGEIFS(Upload_Indiv[Score9],Upload_Indiv[[Player]:[Player]],$A10,Upload_Indiv[[Side]:[Side]],"Raintree Front")-IF(TRUNC(ROUND($B10,0)/9,0)=2,2+IF((ROUND($B10,0)-18)*2&gt;=K$2,1,0),IF(TRUNC(ROUND($B10,0)/9,0)=1,1+IF((ROUND($B10,0)-9)*2&gt;=K$2,1,0),IF(TRUNC(ROUND($B10,0)/9,0)=0,IF(TRUNC(ROUND($B10,0)/9,0)=0,0+IF((ROUND($B10,0))*2&gt;=K$2,1,0),"Not"))))-K$3,"")</f>
        <v/>
      </c>
    </row>
    <row r="1625" spans="1:5" x14ac:dyDescent="0.25">
      <c r="A1625" t="s">
        <v>724</v>
      </c>
      <c r="B1625" t="s">
        <v>363</v>
      </c>
      <c r="C1625" t="s">
        <v>725</v>
      </c>
      <c r="D1625" t="s">
        <v>2074</v>
      </c>
      <c r="E1625" t="str">
        <f>IFERROR(AVERAGEIFS(Upload_Indiv[Score9],Upload_Indiv[[Player]:[Player]],$A10,Upload_Indiv[[Side]:[Side]],"Raintree Back")-IF(TRUNC(ROUND($B10,0)/9,0)=2,2+IF((ROUND($B10,0)-18)*2&gt;=U$2,1,0),IF(TRUNC(ROUND($B10,0)/9,0)=1,1+IF((ROUND($B10,0)-9)*2&gt;=U$2,1,0),IF(TRUNC(ROUND($B10,0)/9,0)=0,IF(TRUNC(ROUND($B10,0)/9,0)=0,0+IF((ROUND($B10,0))*2&gt;=U$2,1,0),"Not"))))-U$3,"")</f>
        <v/>
      </c>
    </row>
    <row r="1626" spans="1:5" x14ac:dyDescent="0.25">
      <c r="A1626" t="s">
        <v>724</v>
      </c>
      <c r="B1626" t="s">
        <v>363</v>
      </c>
      <c r="C1626" t="s">
        <v>725</v>
      </c>
      <c r="D1626" t="s">
        <v>2075</v>
      </c>
      <c r="E1626" t="str">
        <f>IFERROR(AVERAGEIFS(Upload_Indiv[Score9],Upload_Indiv[[Player]:[Player]],$A11,Upload_Indiv[[Side]:[Side]],"Raintree Front")-IF(TRUNC(ROUND($B11,0)/9,0)=2,2+IF((ROUND($B11,0)-18)*2&gt;=K$2,1,0),IF(TRUNC(ROUND($B11,0)/9,0)=1,1+IF((ROUND($B11,0)-9)*2&gt;=K$2,1,0),IF(TRUNC(ROUND($B11,0)/9,0)=0,IF(TRUNC(ROUND($B11,0)/9,0)=0,0+IF((ROUND($B11,0))*2&gt;=K$2,1,0),"Not"))))-K$3,"")</f>
        <v/>
      </c>
    </row>
    <row r="1627" spans="1:5" x14ac:dyDescent="0.25">
      <c r="A1627" t="s">
        <v>724</v>
      </c>
      <c r="B1627" t="s">
        <v>363</v>
      </c>
      <c r="C1627" t="s">
        <v>725</v>
      </c>
      <c r="D1627" t="s">
        <v>2076</v>
      </c>
      <c r="E1627" t="str">
        <f>IFERROR(AVERAGEIFS(Upload_Indiv[Score9],Upload_Indiv[[Player]:[Player]],$A11,Upload_Indiv[[Side]:[Side]],"Raintree Back")-IF(TRUNC(ROUND($B11,0)/9,0)=2,2+IF((ROUND($B11,0)-18)*2&gt;=U$2,1,0),IF(TRUNC(ROUND($B11,0)/9,0)=1,1+IF((ROUND($B11,0)-9)*2&gt;=U$2,1,0),IF(TRUNC(ROUND($B11,0)/9,0)=0,IF(TRUNC(ROUND($B11,0)/9,0)=0,0+IF((ROUND($B11,0))*2&gt;=U$2,1,0),"Not"))))-U$3,"")</f>
        <v/>
      </c>
    </row>
    <row r="1628" spans="1:5" x14ac:dyDescent="0.25">
      <c r="A1628" t="s">
        <v>724</v>
      </c>
      <c r="B1628" t="s">
        <v>363</v>
      </c>
      <c r="C1628" t="s">
        <v>725</v>
      </c>
      <c r="D1628" t="s">
        <v>2077</v>
      </c>
      <c r="E1628" t="str">
        <f>IFERROR(AVERAGEIFS(Upload_Indiv[Score9],Upload_Indiv[[Player]:[Player]],$A12,Upload_Indiv[[Side]:[Side]],"Raintree Front")-IF(TRUNC(ROUND($B12,0)/9,0)=2,2+IF((ROUND($B12,0)-18)*2&gt;=K$2,1,0),IF(TRUNC(ROUND($B12,0)/9,0)=1,1+IF((ROUND($B12,0)-9)*2&gt;=K$2,1,0),IF(TRUNC(ROUND($B12,0)/9,0)=0,IF(TRUNC(ROUND($B12,0)/9,0)=0,0+IF((ROUND($B12,0))*2&gt;=K$2,1,0),"Not"))))-K$3,"")</f>
        <v/>
      </c>
    </row>
    <row r="1629" spans="1:5" x14ac:dyDescent="0.25">
      <c r="A1629" t="s">
        <v>724</v>
      </c>
      <c r="B1629" t="s">
        <v>363</v>
      </c>
      <c r="C1629" t="s">
        <v>725</v>
      </c>
      <c r="D1629" t="s">
        <v>2078</v>
      </c>
      <c r="E1629" t="str">
        <f>IFERROR(AVERAGEIFS(Upload_Indiv[Score9],Upload_Indiv[[Player]:[Player]],$A12,Upload_Indiv[[Side]:[Side]],"Raintree Back")-IF(TRUNC(ROUND($B12,0)/9,0)=2,2+IF((ROUND($B12,0)-18)*2&gt;=U$2,1,0),IF(TRUNC(ROUND($B12,0)/9,0)=1,1+IF((ROUND($B12,0)-9)*2&gt;=U$2,1,0),IF(TRUNC(ROUND($B12,0)/9,0)=0,IF(TRUNC(ROUND($B12,0)/9,0)=0,0+IF((ROUND($B12,0))*2&gt;=U$2,1,0),"Not"))))-U$3,"")</f>
        <v/>
      </c>
    </row>
    <row r="1630" spans="1:5" x14ac:dyDescent="0.25">
      <c r="A1630" t="s">
        <v>724</v>
      </c>
      <c r="B1630" t="s">
        <v>363</v>
      </c>
      <c r="C1630" t="s">
        <v>725</v>
      </c>
      <c r="D1630" t="s">
        <v>2079</v>
      </c>
      <c r="E1630" t="str">
        <f>IFERROR(AVERAGEIFS(Upload_Indiv[Score9],Upload_Indiv[[Player]:[Player]],$A13,Upload_Indiv[[Side]:[Side]],"Raintree Front")-IF(TRUNC(ROUND($B13,0)/9,0)=2,2+IF((ROUND($B13,0)-18)*2&gt;=K$2,1,0),IF(TRUNC(ROUND($B13,0)/9,0)=1,1+IF((ROUND($B13,0)-9)*2&gt;=K$2,1,0),IF(TRUNC(ROUND($B13,0)/9,0)=0,IF(TRUNC(ROUND($B13,0)/9,0)=0,0+IF((ROUND($B13,0))*2&gt;=K$2,1,0),"Not"))))-K$3,"")</f>
        <v/>
      </c>
    </row>
    <row r="1631" spans="1:5" x14ac:dyDescent="0.25">
      <c r="A1631" t="s">
        <v>724</v>
      </c>
      <c r="B1631" t="s">
        <v>363</v>
      </c>
      <c r="C1631" t="s">
        <v>725</v>
      </c>
      <c r="D1631" t="s">
        <v>2080</v>
      </c>
      <c r="E1631" t="str">
        <f>IFERROR(AVERAGEIFS(Upload_Indiv[Score9],Upload_Indiv[[Player]:[Player]],$A13,Upload_Indiv[[Side]:[Side]],"Raintree Back")-IF(TRUNC(ROUND($B13,0)/9,0)=2,2+IF((ROUND($B13,0)-18)*2&gt;=U$2,1,0),IF(TRUNC(ROUND($B13,0)/9,0)=1,1+IF((ROUND($B13,0)-9)*2&gt;=U$2,1,0),IF(TRUNC(ROUND($B13,0)/9,0)=0,IF(TRUNC(ROUND($B13,0)/9,0)=0,0+IF((ROUND($B13,0))*2&gt;=U$2,1,0),"Not"))))-U$3,"")</f>
        <v/>
      </c>
    </row>
    <row r="1632" spans="1:5" x14ac:dyDescent="0.25">
      <c r="A1632" t="s">
        <v>724</v>
      </c>
      <c r="B1632" t="s">
        <v>363</v>
      </c>
      <c r="C1632" t="s">
        <v>725</v>
      </c>
      <c r="D1632" t="s">
        <v>2081</v>
      </c>
      <c r="E1632" t="str">
        <f>IFERROR(AVERAGEIFS(Upload_Indiv[Score9],Upload_Indiv[[Player]:[Player]],$A14,Upload_Indiv[[Side]:[Side]],"Raintree Front")-IF(TRUNC(ROUND($B14,0)/9,0)=2,2+IF((ROUND($B14,0)-18)*2&gt;=K$2,1,0),IF(TRUNC(ROUND($B14,0)/9,0)=1,1+IF((ROUND($B14,0)-9)*2&gt;=K$2,1,0),IF(TRUNC(ROUND($B14,0)/9,0)=0,IF(TRUNC(ROUND($B14,0)/9,0)=0,0+IF((ROUND($B14,0))*2&gt;=K$2,1,0),"Not"))))-K$3,"")</f>
        <v/>
      </c>
    </row>
    <row r="1633" spans="1:5" x14ac:dyDescent="0.25">
      <c r="A1633" t="s">
        <v>724</v>
      </c>
      <c r="B1633" t="s">
        <v>363</v>
      </c>
      <c r="C1633" t="s">
        <v>725</v>
      </c>
      <c r="D1633" t="s">
        <v>2082</v>
      </c>
      <c r="E1633" t="str">
        <f>IFERROR(AVERAGEIFS(Upload_Indiv[Score9],Upload_Indiv[[Player]:[Player]],$A14,Upload_Indiv[[Side]:[Side]],"Raintree Back")-IF(TRUNC(ROUND($B14,0)/9,0)=2,2+IF((ROUND($B14,0)-18)*2&gt;=U$2,1,0),IF(TRUNC(ROUND($B14,0)/9,0)=1,1+IF((ROUND($B14,0)-9)*2&gt;=U$2,1,0),IF(TRUNC(ROUND($B14,0)/9,0)=0,IF(TRUNC(ROUND($B14,0)/9,0)=0,0+IF((ROUND($B14,0))*2&gt;=U$2,1,0),"Not"))))-U$3,"")</f>
        <v/>
      </c>
    </row>
    <row r="1634" spans="1:5" x14ac:dyDescent="0.25">
      <c r="A1634" t="s">
        <v>724</v>
      </c>
      <c r="B1634" t="s">
        <v>363</v>
      </c>
      <c r="C1634" t="s">
        <v>725</v>
      </c>
      <c r="D1634" t="s">
        <v>2083</v>
      </c>
      <c r="E1634" t="str">
        <f>IFERROR(AVERAGEIFS(Upload_Indiv[Score9],Upload_Indiv[[Player]:[Player]],$A15,Upload_Indiv[[Side]:[Side]],"Raintree Front")-IF(TRUNC(ROUND($B15,0)/9,0)=2,2+IF((ROUND($B15,0)-18)*2&gt;=K$2,1,0),IF(TRUNC(ROUND($B15,0)/9,0)=1,1+IF((ROUND($B15,0)-9)*2&gt;=K$2,1,0),IF(TRUNC(ROUND($B15,0)/9,0)=0,IF(TRUNC(ROUND($B15,0)/9,0)=0,0+IF((ROUND($B15,0))*2&gt;=K$2,1,0),"Not"))))-K$3,"")</f>
        <v/>
      </c>
    </row>
    <row r="1635" spans="1:5" x14ac:dyDescent="0.25">
      <c r="A1635" t="s">
        <v>724</v>
      </c>
      <c r="B1635" t="s">
        <v>363</v>
      </c>
      <c r="C1635" t="s">
        <v>725</v>
      </c>
      <c r="D1635" t="s">
        <v>2084</v>
      </c>
      <c r="E1635" t="str">
        <f>IFERROR(AVERAGEIFS(Upload_Indiv[Score9],Upload_Indiv[[Player]:[Player]],$A15,Upload_Indiv[[Side]:[Side]],"Raintree Back")-IF(TRUNC(ROUND($B15,0)/9,0)=2,2+IF((ROUND($B15,0)-18)*2&gt;=U$2,1,0),IF(TRUNC(ROUND($B15,0)/9,0)=1,1+IF((ROUND($B15,0)-9)*2&gt;=U$2,1,0),IF(TRUNC(ROUND($B15,0)/9,0)=0,IF(TRUNC(ROUND($B15,0)/9,0)=0,0+IF((ROUND($B15,0))*2&gt;=U$2,1,0),"Not"))))-U$3,"")</f>
        <v/>
      </c>
    </row>
    <row r="1636" spans="1:5" x14ac:dyDescent="0.25">
      <c r="A1636" t="s">
        <v>724</v>
      </c>
      <c r="B1636" t="s">
        <v>363</v>
      </c>
      <c r="C1636" t="s">
        <v>725</v>
      </c>
      <c r="D1636" t="s">
        <v>2085</v>
      </c>
      <c r="E1636" t="str">
        <f>IFERROR(AVERAGEIFS(Upload_Indiv[Score9],Upload_Indiv[[Player]:[Player]],$A16,Upload_Indiv[[Side]:[Side]],"Raintree Front")-IF(TRUNC(ROUND($B16,0)/9,0)=2,2+IF((ROUND($B16,0)-18)*2&gt;=K$2,1,0),IF(TRUNC(ROUND($B16,0)/9,0)=1,1+IF((ROUND($B16,0)-9)*2&gt;=K$2,1,0),IF(TRUNC(ROUND($B16,0)/9,0)=0,IF(TRUNC(ROUND($B16,0)/9,0)=0,0+IF((ROUND($B16,0))*2&gt;=K$2,1,0),"Not"))))-K$3,"")</f>
        <v/>
      </c>
    </row>
    <row r="1637" spans="1:5" x14ac:dyDescent="0.25">
      <c r="A1637" t="s">
        <v>724</v>
      </c>
      <c r="B1637" t="s">
        <v>363</v>
      </c>
      <c r="C1637" t="s">
        <v>725</v>
      </c>
      <c r="D1637" t="s">
        <v>2086</v>
      </c>
      <c r="E1637" t="str">
        <f>IFERROR(AVERAGEIFS(Upload_Indiv[Score9],Upload_Indiv[[Player]:[Player]],$A16,Upload_Indiv[[Side]:[Side]],"Raintree Back")-IF(TRUNC(ROUND($B16,0)/9,0)=2,2+IF((ROUND($B16,0)-18)*2&gt;=U$2,1,0),IF(TRUNC(ROUND($B16,0)/9,0)=1,1+IF((ROUND($B16,0)-9)*2&gt;=U$2,1,0),IF(TRUNC(ROUND($B16,0)/9,0)=0,IF(TRUNC(ROUND($B16,0)/9,0)=0,0+IF((ROUND($B16,0))*2&gt;=U$2,1,0),"Not"))))-U$3,"")</f>
        <v/>
      </c>
    </row>
    <row r="1638" spans="1:5" x14ac:dyDescent="0.25">
      <c r="A1638" t="s">
        <v>724</v>
      </c>
      <c r="B1638" t="s">
        <v>363</v>
      </c>
      <c r="C1638" t="s">
        <v>725</v>
      </c>
      <c r="D1638" t="s">
        <v>2087</v>
      </c>
      <c r="E1638" t="str">
        <f>IFERROR(AVERAGEIFS(Upload_Indiv[Score9],Upload_Indiv[[Player]:[Player]],$A17,Upload_Indiv[[Side]:[Side]],"Raintree Front")-IF(TRUNC(ROUND($B17,0)/9,0)=2,2+IF((ROUND($B17,0)-18)*2&gt;=K$2,1,0),IF(TRUNC(ROUND($B17,0)/9,0)=1,1+IF((ROUND($B17,0)-9)*2&gt;=K$2,1,0),IF(TRUNC(ROUND($B17,0)/9,0)=0,IF(TRUNC(ROUND($B17,0)/9,0)=0,0+IF((ROUND($B17,0))*2&gt;=K$2,1,0),"Not"))))-K$3,"")</f>
        <v/>
      </c>
    </row>
    <row r="1639" spans="1:5" x14ac:dyDescent="0.25">
      <c r="A1639" t="s">
        <v>724</v>
      </c>
      <c r="B1639" t="s">
        <v>363</v>
      </c>
      <c r="C1639" t="s">
        <v>725</v>
      </c>
      <c r="D1639" t="s">
        <v>2088</v>
      </c>
      <c r="E1639" t="str">
        <f>IFERROR(AVERAGEIFS(Upload_Indiv[Score9],Upload_Indiv[[Player]:[Player]],$A17,Upload_Indiv[[Side]:[Side]],"Raintree Back")-IF(TRUNC(ROUND($B17,0)/9,0)=2,2+IF((ROUND($B17,0)-18)*2&gt;=U$2,1,0),IF(TRUNC(ROUND($B17,0)/9,0)=1,1+IF((ROUND($B17,0)-9)*2&gt;=U$2,1,0),IF(TRUNC(ROUND($B17,0)/9,0)=0,IF(TRUNC(ROUND($B17,0)/9,0)=0,0+IF((ROUND($B17,0))*2&gt;=U$2,1,0),"Not"))))-U$3,"")</f>
        <v/>
      </c>
    </row>
    <row r="1640" spans="1:5" x14ac:dyDescent="0.25">
      <c r="A1640" t="s">
        <v>724</v>
      </c>
      <c r="B1640" t="s">
        <v>363</v>
      </c>
      <c r="C1640" t="s">
        <v>725</v>
      </c>
      <c r="D1640" t="s">
        <v>2089</v>
      </c>
      <c r="E1640" t="str">
        <f>IFERROR(AVERAGEIFS(Upload_Indiv[Score9],Upload_Indiv[[Player]:[Player]],$A18,Upload_Indiv[[Side]:[Side]],"Raintree Front")-IF(TRUNC(ROUND($B18,0)/9,0)=2,2+IF((ROUND($B18,0)-18)*2&gt;=K$2,1,0),IF(TRUNC(ROUND($B18,0)/9,0)=1,1+IF((ROUND($B18,0)-9)*2&gt;=K$2,1,0),IF(TRUNC(ROUND($B18,0)/9,0)=0,IF(TRUNC(ROUND($B18,0)/9,0)=0,0+IF((ROUND($B18,0))*2&gt;=K$2,1,0),"Not"))))-K$3,"")</f>
        <v/>
      </c>
    </row>
    <row r="1641" spans="1:5" x14ac:dyDescent="0.25">
      <c r="A1641" t="s">
        <v>724</v>
      </c>
      <c r="B1641" t="s">
        <v>363</v>
      </c>
      <c r="C1641" t="s">
        <v>725</v>
      </c>
      <c r="D1641" t="s">
        <v>2090</v>
      </c>
      <c r="E1641" t="str">
        <f>IFERROR(AVERAGEIFS(Upload_Indiv[Score9],Upload_Indiv[[Player]:[Player]],$A18,Upload_Indiv[[Side]:[Side]],"Raintree Back")-IF(TRUNC(ROUND($B18,0)/9,0)=2,2+IF((ROUND($B18,0)-18)*2&gt;=U$2,1,0),IF(TRUNC(ROUND($B18,0)/9,0)=1,1+IF((ROUND($B18,0)-9)*2&gt;=U$2,1,0),IF(TRUNC(ROUND($B18,0)/9,0)=0,IF(TRUNC(ROUND($B18,0)/9,0)=0,0+IF((ROUND($B18,0))*2&gt;=U$2,1,0),"Not"))))-U$3,"")</f>
        <v/>
      </c>
    </row>
    <row r="1642" spans="1:5" x14ac:dyDescent="0.25">
      <c r="A1642" t="s">
        <v>724</v>
      </c>
      <c r="B1642" t="s">
        <v>363</v>
      </c>
      <c r="C1642" t="s">
        <v>725</v>
      </c>
      <c r="D1642" t="s">
        <v>2091</v>
      </c>
      <c r="E1642" t="str">
        <f>IFERROR(AVERAGEIFS(Upload_Indiv[Score9],Upload_Indiv[[Player]:[Player]],$A19,Upload_Indiv[[Side]:[Side]],"Raintree Front")-IF(TRUNC(ROUND($B19,0)/9,0)=2,2+IF((ROUND($B19,0)-18)*2&gt;=K$2,1,0),IF(TRUNC(ROUND($B19,0)/9,0)=1,1+IF((ROUND($B19,0)-9)*2&gt;=K$2,1,0),IF(TRUNC(ROUND($B19,0)/9,0)=0,IF(TRUNC(ROUND($B19,0)/9,0)=0,0+IF((ROUND($B19,0))*2&gt;=K$2,1,0),"Not"))))-K$3,"")</f>
        <v/>
      </c>
    </row>
    <row r="1643" spans="1:5" x14ac:dyDescent="0.25">
      <c r="A1643" t="s">
        <v>724</v>
      </c>
      <c r="B1643" t="s">
        <v>363</v>
      </c>
      <c r="C1643" t="s">
        <v>725</v>
      </c>
      <c r="D1643" t="s">
        <v>2092</v>
      </c>
      <c r="E1643" t="str">
        <f>IFERROR(AVERAGEIFS(Upload_Indiv[Score9],Upload_Indiv[[Player]:[Player]],$A19,Upload_Indiv[[Side]:[Side]],"Raintree Back")-IF(TRUNC(ROUND($B19,0)/9,0)=2,2+IF((ROUND($B19,0)-18)*2&gt;=U$2,1,0),IF(TRUNC(ROUND($B19,0)/9,0)=1,1+IF((ROUND($B19,0)-9)*2&gt;=U$2,1,0),IF(TRUNC(ROUND($B19,0)/9,0)=0,IF(TRUNC(ROUND($B19,0)/9,0)=0,0+IF((ROUND($B19,0))*2&gt;=U$2,1,0),"Not"))))-U$3,"")</f>
        <v/>
      </c>
    </row>
    <row r="1644" spans="1:5" x14ac:dyDescent="0.25">
      <c r="A1644" t="s">
        <v>724</v>
      </c>
      <c r="B1644" t="s">
        <v>363</v>
      </c>
      <c r="C1644" t="s">
        <v>725</v>
      </c>
      <c r="D1644" t="s">
        <v>2093</v>
      </c>
      <c r="E1644" t="str">
        <f>IFERROR(AVERAGEIFS(Upload_Indiv[Score9],Upload_Indiv[[Player]:[Player]],$A20,Upload_Indiv[[Side]:[Side]],"Raintree Front")-IF(TRUNC(ROUND($B20,0)/9,0)=2,2+IF((ROUND($B20,0)-18)*2&gt;=K$2,1,0),IF(TRUNC(ROUND($B20,0)/9,0)=1,1+IF((ROUND($B20,0)-9)*2&gt;=K$2,1,0),IF(TRUNC(ROUND($B20,0)/9,0)=0,IF(TRUNC(ROUND($B20,0)/9,0)=0,0+IF((ROUND($B20,0))*2&gt;=K$2,1,0),"Not"))))-K$3,"")</f>
        <v/>
      </c>
    </row>
    <row r="1645" spans="1:5" x14ac:dyDescent="0.25">
      <c r="A1645" t="s">
        <v>724</v>
      </c>
      <c r="B1645" t="s">
        <v>363</v>
      </c>
      <c r="C1645" t="s">
        <v>725</v>
      </c>
      <c r="D1645" t="s">
        <v>2094</v>
      </c>
      <c r="E1645" t="str">
        <f>IFERROR(AVERAGEIFS(Upload_Indiv[Score9],Upload_Indiv[[Player]:[Player]],$A20,Upload_Indiv[[Side]:[Side]],"Raintree Back")-IF(TRUNC(ROUND($B20,0)/9,0)=2,2+IF((ROUND($B20,0)-18)*2&gt;=U$2,1,0),IF(TRUNC(ROUND($B20,0)/9,0)=1,1+IF((ROUND($B20,0)-9)*2&gt;=U$2,1,0),IF(TRUNC(ROUND($B20,0)/9,0)=0,IF(TRUNC(ROUND($B20,0)/9,0)=0,0+IF((ROUND($B20,0))*2&gt;=U$2,1,0),"Not"))))-U$3,"")</f>
        <v/>
      </c>
    </row>
    <row r="1646" spans="1:5" x14ac:dyDescent="0.25">
      <c r="A1646" t="s">
        <v>724</v>
      </c>
      <c r="B1646" t="s">
        <v>363</v>
      </c>
      <c r="C1646" t="s">
        <v>725</v>
      </c>
      <c r="D1646" t="s">
        <v>2095</v>
      </c>
      <c r="E1646" t="str">
        <f>IFERROR(AVERAGEIFS(Upload_Indiv[Score9],Upload_Indiv[[Player]:[Player]],$A21,Upload_Indiv[[Side]:[Side]],"Raintree Front")-IF(TRUNC(ROUND($B21,0)/9,0)=2,2+IF((ROUND($B21,0)-18)*2&gt;=K$2,1,0),IF(TRUNC(ROUND($B21,0)/9,0)=1,1+IF((ROUND($B21,0)-9)*2&gt;=K$2,1,0),IF(TRUNC(ROUND($B21,0)/9,0)=0,IF(TRUNC(ROUND($B21,0)/9,0)=0,0+IF((ROUND($B21,0))*2&gt;=K$2,1,0),"Not"))))-K$3,"")</f>
        <v/>
      </c>
    </row>
    <row r="1647" spans="1:5" x14ac:dyDescent="0.25">
      <c r="A1647" t="s">
        <v>724</v>
      </c>
      <c r="B1647" t="s">
        <v>363</v>
      </c>
      <c r="C1647" t="s">
        <v>725</v>
      </c>
      <c r="D1647" t="s">
        <v>2096</v>
      </c>
      <c r="E1647" t="str">
        <f>IFERROR(AVERAGEIFS(Upload_Indiv[Score9],Upload_Indiv[[Player]:[Player]],$A21,Upload_Indiv[[Side]:[Side]],"Raintree Back")-IF(TRUNC(ROUND($B21,0)/9,0)=2,2+IF((ROUND($B21,0)-18)*2&gt;=U$2,1,0),IF(TRUNC(ROUND($B21,0)/9,0)=1,1+IF((ROUND($B21,0)-9)*2&gt;=U$2,1,0),IF(TRUNC(ROUND($B21,0)/9,0)=0,IF(TRUNC(ROUND($B21,0)/9,0)=0,0+IF((ROUND($B21,0))*2&gt;=U$2,1,0),"Not"))))-U$3,"")</f>
        <v/>
      </c>
    </row>
    <row r="1648" spans="1:5" x14ac:dyDescent="0.25">
      <c r="A1648" t="s">
        <v>724</v>
      </c>
      <c r="B1648" t="s">
        <v>363</v>
      </c>
      <c r="C1648" t="s">
        <v>725</v>
      </c>
      <c r="D1648" t="s">
        <v>2097</v>
      </c>
      <c r="E1648" t="str">
        <f>IFERROR(AVERAGEIFS(Upload_Indiv[Score9],Upload_Indiv[[Player]:[Player]],$A22,Upload_Indiv[[Side]:[Side]],"Raintree Front")-IF(TRUNC(ROUND($B22,0)/9,0)=2,2+IF((ROUND($B22,0)-18)*2&gt;=K$2,1,0),IF(TRUNC(ROUND($B22,0)/9,0)=1,1+IF((ROUND($B22,0)-9)*2&gt;=K$2,1,0),IF(TRUNC(ROUND($B22,0)/9,0)=0,IF(TRUNC(ROUND($B22,0)/9,0)=0,0+IF((ROUND($B22,0))*2&gt;=K$2,1,0),"Not"))))-K$3,"")</f>
        <v/>
      </c>
    </row>
    <row r="1649" spans="1:5" x14ac:dyDescent="0.25">
      <c r="A1649" t="s">
        <v>724</v>
      </c>
      <c r="B1649" t="s">
        <v>363</v>
      </c>
      <c r="C1649" t="s">
        <v>725</v>
      </c>
      <c r="D1649" t="s">
        <v>2098</v>
      </c>
      <c r="E1649" t="str">
        <f>IFERROR(AVERAGEIFS(Upload_Indiv[Score9],Upload_Indiv[[Player]:[Player]],$A22,Upload_Indiv[[Side]:[Side]],"Raintree Back")-IF(TRUNC(ROUND($B22,0)/9,0)=2,2+IF((ROUND($B22,0)-18)*2&gt;=U$2,1,0),IF(TRUNC(ROUND($B22,0)/9,0)=1,1+IF((ROUND($B22,0)-9)*2&gt;=U$2,1,0),IF(TRUNC(ROUND($B22,0)/9,0)=0,IF(TRUNC(ROUND($B22,0)/9,0)=0,0+IF((ROUND($B22,0))*2&gt;=U$2,1,0),"Not"))))-U$3,"")</f>
        <v/>
      </c>
    </row>
    <row r="1650" spans="1:5" x14ac:dyDescent="0.25">
      <c r="A1650" t="s">
        <v>724</v>
      </c>
      <c r="B1650" t="s">
        <v>363</v>
      </c>
      <c r="C1650" t="s">
        <v>725</v>
      </c>
      <c r="D1650" t="s">
        <v>2099</v>
      </c>
      <c r="E1650" t="str">
        <f>IFERROR(AVERAGEIFS(Upload_Indiv[Score9],Upload_Indiv[[Player]:[Player]],$A23,Upload_Indiv[[Side]:[Side]],"Raintree Front")-IF(TRUNC(ROUND($B23,0)/9,0)=2,2+IF((ROUND($B23,0)-18)*2&gt;=K$2,1,0),IF(TRUNC(ROUND($B23,0)/9,0)=1,1+IF((ROUND($B23,0)-9)*2&gt;=K$2,1,0),IF(TRUNC(ROUND($B23,0)/9,0)=0,IF(TRUNC(ROUND($B23,0)/9,0)=0,0+IF((ROUND($B23,0))*2&gt;=K$2,1,0),"Not"))))-K$3,"")</f>
        <v/>
      </c>
    </row>
    <row r="1651" spans="1:5" x14ac:dyDescent="0.25">
      <c r="A1651" t="s">
        <v>724</v>
      </c>
      <c r="B1651" t="s">
        <v>363</v>
      </c>
      <c r="C1651" t="s">
        <v>725</v>
      </c>
      <c r="D1651" t="s">
        <v>2100</v>
      </c>
      <c r="E1651" t="str">
        <f>IFERROR(AVERAGEIFS(Upload_Indiv[Score9],Upload_Indiv[[Player]:[Player]],$A23,Upload_Indiv[[Side]:[Side]],"Raintree Back")-IF(TRUNC(ROUND($B23,0)/9,0)=2,2+IF((ROUND($B23,0)-18)*2&gt;=U$2,1,0),IF(TRUNC(ROUND($B23,0)/9,0)=1,1+IF((ROUND($B23,0)-9)*2&gt;=U$2,1,0),IF(TRUNC(ROUND($B23,0)/9,0)=0,IF(TRUNC(ROUND($B23,0)/9,0)=0,0+IF((ROUND($B23,0))*2&gt;=U$2,1,0),"Not"))))-U$3,"")</f>
        <v/>
      </c>
    </row>
    <row r="1652" spans="1:5" x14ac:dyDescent="0.25">
      <c r="A1652" t="s">
        <v>724</v>
      </c>
      <c r="B1652" t="s">
        <v>363</v>
      </c>
      <c r="C1652" t="s">
        <v>725</v>
      </c>
      <c r="D1652" t="s">
        <v>2101</v>
      </c>
      <c r="E1652" t="str">
        <f>IFERROR(AVERAGEIFS(Upload_Indiv[Score9],Upload_Indiv[[Player]:[Player]],$A24,Upload_Indiv[[Side]:[Side]],"Raintree Front")-IF(TRUNC(ROUND($B24,0)/9,0)=2,2+IF((ROUND($B24,0)-18)*2&gt;=K$2,1,0),IF(TRUNC(ROUND($B24,0)/9,0)=1,1+IF((ROUND($B24,0)-9)*2&gt;=K$2,1,0),IF(TRUNC(ROUND($B24,0)/9,0)=0,IF(TRUNC(ROUND($B24,0)/9,0)=0,0+IF((ROUND($B24,0))*2&gt;=K$2,1,0),"Not"))))-K$3,"")</f>
        <v/>
      </c>
    </row>
    <row r="1653" spans="1:5" x14ac:dyDescent="0.25">
      <c r="A1653" t="s">
        <v>724</v>
      </c>
      <c r="B1653" t="s">
        <v>363</v>
      </c>
      <c r="C1653" t="s">
        <v>725</v>
      </c>
      <c r="D1653" t="s">
        <v>2102</v>
      </c>
      <c r="E1653" t="str">
        <f>IFERROR(AVERAGEIFS(Upload_Indiv[Score9],Upload_Indiv[[Player]:[Player]],$A24,Upload_Indiv[[Side]:[Side]],"Raintree Back")-IF(TRUNC(ROUND($B24,0)/9,0)=2,2+IF((ROUND($B24,0)-18)*2&gt;=U$2,1,0),IF(TRUNC(ROUND($B24,0)/9,0)=1,1+IF((ROUND($B24,0)-9)*2&gt;=U$2,1,0),IF(TRUNC(ROUND($B24,0)/9,0)=0,IF(TRUNC(ROUND($B24,0)/9,0)=0,0+IF((ROUND($B24,0))*2&gt;=U$2,1,0),"Not"))))-U$3,"")</f>
        <v/>
      </c>
    </row>
    <row r="1654" spans="1:5" x14ac:dyDescent="0.25">
      <c r="A1654" t="s">
        <v>724</v>
      </c>
      <c r="B1654" t="s">
        <v>363</v>
      </c>
      <c r="C1654" t="s">
        <v>725</v>
      </c>
      <c r="D1654" t="s">
        <v>2103</v>
      </c>
      <c r="E1654" t="str">
        <f>IFERROR(AVERAGEIFS(Upload_Indiv[Score9],Upload_Indiv[[Player]:[Player]],$A25,Upload_Indiv[[Side]:[Side]],"Raintree Front")-IF(TRUNC(ROUND($B25,0)/9,0)=2,2+IF((ROUND($B25,0)-18)*2&gt;=K$2,1,0),IF(TRUNC(ROUND($B25,0)/9,0)=1,1+IF((ROUND($B25,0)-9)*2&gt;=K$2,1,0),IF(TRUNC(ROUND($B25,0)/9,0)=0,IF(TRUNC(ROUND($B25,0)/9,0)=0,0+IF((ROUND($B25,0))*2&gt;=K$2,1,0),"Not"))))-K$3,"")</f>
        <v/>
      </c>
    </row>
    <row r="1655" spans="1:5" x14ac:dyDescent="0.25">
      <c r="A1655" t="s">
        <v>724</v>
      </c>
      <c r="B1655" t="s">
        <v>363</v>
      </c>
      <c r="C1655" t="s">
        <v>725</v>
      </c>
      <c r="D1655" t="s">
        <v>2104</v>
      </c>
      <c r="E1655" t="str">
        <f>IFERROR(AVERAGEIFS(Upload_Indiv[Score9],Upload_Indiv[[Player]:[Player]],$A25,Upload_Indiv[[Side]:[Side]],"Raintree Back")-IF(TRUNC(ROUND($B25,0)/9,0)=2,2+IF((ROUND($B25,0)-18)*2&gt;=U$2,1,0),IF(TRUNC(ROUND($B25,0)/9,0)=1,1+IF((ROUND($B25,0)-9)*2&gt;=U$2,1,0),IF(TRUNC(ROUND($B25,0)/9,0)=0,IF(TRUNC(ROUND($B25,0)/9,0)=0,0+IF((ROUND($B25,0))*2&gt;=U$2,1,0),"Not"))))-U$3,"")</f>
        <v/>
      </c>
    </row>
    <row r="1656" spans="1:5" x14ac:dyDescent="0.25">
      <c r="A1656" t="s">
        <v>724</v>
      </c>
      <c r="B1656" t="s">
        <v>363</v>
      </c>
      <c r="C1656" t="s">
        <v>725</v>
      </c>
      <c r="D1656" t="s">
        <v>2105</v>
      </c>
      <c r="E1656" t="str">
        <f>IFERROR(AVERAGEIFS(Upload_Indiv[Score9],Upload_Indiv[[Player]:[Player]],$A26,Upload_Indiv[[Side]:[Side]],"Raintree Front")-IF(TRUNC(ROUND($B26,0)/9,0)=2,2+IF((ROUND($B26,0)-18)*2&gt;=K$2,1,0),IF(TRUNC(ROUND($B26,0)/9,0)=1,1+IF((ROUND($B26,0)-9)*2&gt;=K$2,1,0),IF(TRUNC(ROUND($B26,0)/9,0)=0,IF(TRUNC(ROUND($B26,0)/9,0)=0,0+IF((ROUND($B26,0))*2&gt;=K$2,1,0),"Not"))))-K$3,"")</f>
        <v/>
      </c>
    </row>
    <row r="1657" spans="1:5" x14ac:dyDescent="0.25">
      <c r="A1657" t="s">
        <v>724</v>
      </c>
      <c r="B1657" t="s">
        <v>363</v>
      </c>
      <c r="C1657" t="s">
        <v>725</v>
      </c>
      <c r="D1657" t="s">
        <v>2106</v>
      </c>
      <c r="E1657" t="str">
        <f>IFERROR(AVERAGEIFS(Upload_Indiv[Score9],Upload_Indiv[[Player]:[Player]],$A26,Upload_Indiv[[Side]:[Side]],"Raintree Back")-IF(TRUNC(ROUND($B26,0)/9,0)=2,2+IF((ROUND($B26,0)-18)*2&gt;=U$2,1,0),IF(TRUNC(ROUND($B26,0)/9,0)=1,1+IF((ROUND($B26,0)-9)*2&gt;=U$2,1,0),IF(TRUNC(ROUND($B26,0)/9,0)=0,IF(TRUNC(ROUND($B26,0)/9,0)=0,0+IF((ROUND($B26,0))*2&gt;=U$2,1,0),"Not"))))-U$3,"")</f>
        <v/>
      </c>
    </row>
    <row r="1658" spans="1:5" x14ac:dyDescent="0.25">
      <c r="A1658" t="s">
        <v>724</v>
      </c>
      <c r="B1658" t="s">
        <v>363</v>
      </c>
      <c r="C1658" t="s">
        <v>725</v>
      </c>
      <c r="D1658" t="s">
        <v>2107</v>
      </c>
      <c r="E1658" t="str">
        <f>IFERROR(AVERAGEIFS(Upload_Indiv[Score9],Upload_Indiv[[Player]:[Player]],$A27,Upload_Indiv[[Side]:[Side]],"Raintree Front")-IF(TRUNC(ROUND($B27,0)/9,0)=2,2+IF((ROUND($B27,0)-18)*2&gt;=K$2,1,0),IF(TRUNC(ROUND($B27,0)/9,0)=1,1+IF((ROUND($B27,0)-9)*2&gt;=K$2,1,0),IF(TRUNC(ROUND($B27,0)/9,0)=0,IF(TRUNC(ROUND($B27,0)/9,0)=0,0+IF((ROUND($B27,0))*2&gt;=K$2,1,0),"Not"))))-K$3,"")</f>
        <v/>
      </c>
    </row>
    <row r="1659" spans="1:5" x14ac:dyDescent="0.25">
      <c r="A1659" t="s">
        <v>724</v>
      </c>
      <c r="B1659" t="s">
        <v>363</v>
      </c>
      <c r="C1659" t="s">
        <v>725</v>
      </c>
      <c r="D1659" t="s">
        <v>2108</v>
      </c>
      <c r="E1659" t="str">
        <f>IFERROR(AVERAGEIFS(Upload_Indiv[Score9],Upload_Indiv[[Player]:[Player]],$A27,Upload_Indiv[[Side]:[Side]],"Raintree Back")-IF(TRUNC(ROUND($B27,0)/9,0)=2,2+IF((ROUND($B27,0)-18)*2&gt;=U$2,1,0),IF(TRUNC(ROUND($B27,0)/9,0)=1,1+IF((ROUND($B27,0)-9)*2&gt;=U$2,1,0),IF(TRUNC(ROUND($B27,0)/9,0)=0,IF(TRUNC(ROUND($B27,0)/9,0)=0,0+IF((ROUND($B27,0))*2&gt;=U$2,1,0),"Not"))))-U$3,"")</f>
        <v/>
      </c>
    </row>
    <row r="1660" spans="1:5" x14ac:dyDescent="0.25">
      <c r="A1660" t="s">
        <v>724</v>
      </c>
      <c r="B1660" t="s">
        <v>363</v>
      </c>
      <c r="C1660" t="s">
        <v>725</v>
      </c>
      <c r="D1660" t="s">
        <v>2109</v>
      </c>
      <c r="E1660" t="str">
        <f>IFERROR(AVERAGEIFS(Upload_Indiv[Score9],Upload_Indiv[[Player]:[Player]],$A28,Upload_Indiv[[Side]:[Side]],"Raintree Front")-IF(TRUNC(ROUND($B28,0)/9,0)=2,2+IF((ROUND($B28,0)-18)*2&gt;=K$2,1,0),IF(TRUNC(ROUND($B28,0)/9,0)=1,1+IF((ROUND($B28,0)-9)*2&gt;=K$2,1,0),IF(TRUNC(ROUND($B28,0)/9,0)=0,IF(TRUNC(ROUND($B28,0)/9,0)=0,0+IF((ROUND($B28,0))*2&gt;=K$2,1,0),"Not"))))-K$3,"")</f>
        <v/>
      </c>
    </row>
    <row r="1661" spans="1:5" x14ac:dyDescent="0.25">
      <c r="A1661" t="s">
        <v>724</v>
      </c>
      <c r="B1661" t="s">
        <v>363</v>
      </c>
      <c r="C1661" t="s">
        <v>725</v>
      </c>
      <c r="D1661" t="s">
        <v>2110</v>
      </c>
      <c r="E1661" t="str">
        <f>IFERROR(AVERAGEIFS(Upload_Indiv[Score9],Upload_Indiv[[Player]:[Player]],$A28,Upload_Indiv[[Side]:[Side]],"Raintree Back")-IF(TRUNC(ROUND($B28,0)/9,0)=2,2+IF((ROUND($B28,0)-18)*2&gt;=U$2,1,0),IF(TRUNC(ROUND($B28,0)/9,0)=1,1+IF((ROUND($B28,0)-9)*2&gt;=U$2,1,0),IF(TRUNC(ROUND($B28,0)/9,0)=0,IF(TRUNC(ROUND($B28,0)/9,0)=0,0+IF((ROUND($B28,0))*2&gt;=U$2,1,0),"Not"))))-U$3,"")</f>
        <v/>
      </c>
    </row>
    <row r="1662" spans="1:5" x14ac:dyDescent="0.25">
      <c r="A1662" t="s">
        <v>724</v>
      </c>
      <c r="B1662" t="s">
        <v>363</v>
      </c>
      <c r="C1662" t="s">
        <v>725</v>
      </c>
      <c r="D1662" t="s">
        <v>2111</v>
      </c>
      <c r="E1662" t="str">
        <f>IFERROR(AVERAGEIFS(Upload_Indiv[Score9],Upload_Indiv[[Player]:[Player]],$A29,Upload_Indiv[[Side]:[Side]],"Raintree Front")-IF(TRUNC(ROUND($B29,0)/9,0)=2,2+IF((ROUND($B29,0)-18)*2&gt;=K$2,1,0),IF(TRUNC(ROUND($B29,0)/9,0)=1,1+IF((ROUND($B29,0)-9)*2&gt;=K$2,1,0),IF(TRUNC(ROUND($B29,0)/9,0)=0,IF(TRUNC(ROUND($B29,0)/9,0)=0,0+IF((ROUND($B29,0))*2&gt;=K$2,1,0),"Not"))))-K$3,"")</f>
        <v/>
      </c>
    </row>
    <row r="1663" spans="1:5" x14ac:dyDescent="0.25">
      <c r="A1663" t="s">
        <v>724</v>
      </c>
      <c r="B1663" t="s">
        <v>363</v>
      </c>
      <c r="C1663" t="s">
        <v>725</v>
      </c>
      <c r="D1663" t="s">
        <v>2112</v>
      </c>
      <c r="E1663" t="str">
        <f>IFERROR(AVERAGEIFS(Upload_Indiv[Score9],Upload_Indiv[[Player]:[Player]],$A29,Upload_Indiv[[Side]:[Side]],"Raintree Back")-IF(TRUNC(ROUND($B29,0)/9,0)=2,2+IF((ROUND($B29,0)-18)*2&gt;=U$2,1,0),IF(TRUNC(ROUND($B29,0)/9,0)=1,1+IF((ROUND($B29,0)-9)*2&gt;=U$2,1,0),IF(TRUNC(ROUND($B29,0)/9,0)=0,IF(TRUNC(ROUND($B29,0)/9,0)=0,0+IF((ROUND($B29,0))*2&gt;=U$2,1,0),"Not"))))-U$3,"")</f>
        <v/>
      </c>
    </row>
    <row r="1664" spans="1:5" x14ac:dyDescent="0.25">
      <c r="A1664" t="s">
        <v>724</v>
      </c>
      <c r="B1664" t="s">
        <v>363</v>
      </c>
      <c r="C1664" t="s">
        <v>725</v>
      </c>
      <c r="D1664" t="s">
        <v>2113</v>
      </c>
      <c r="E1664" t="str">
        <f>IFERROR(AVERAGEIFS(Upload_Indiv[Score9],Upload_Indiv[[Player]:[Player]],$A30,Upload_Indiv[[Side]:[Side]],"Raintree Front")-IF(TRUNC(ROUND($B30,0)/9,0)=2,2+IF((ROUND($B30,0)-18)*2&gt;=K$2,1,0),IF(TRUNC(ROUND($B30,0)/9,0)=1,1+IF((ROUND($B30,0)-9)*2&gt;=K$2,1,0),IF(TRUNC(ROUND($B30,0)/9,0)=0,IF(TRUNC(ROUND($B30,0)/9,0)=0,0+IF((ROUND($B30,0))*2&gt;=K$2,1,0),"Not"))))-K$3,"")</f>
        <v/>
      </c>
    </row>
    <row r="1665" spans="1:5" x14ac:dyDescent="0.25">
      <c r="A1665" t="s">
        <v>724</v>
      </c>
      <c r="B1665" t="s">
        <v>363</v>
      </c>
      <c r="C1665" t="s">
        <v>725</v>
      </c>
      <c r="D1665" t="s">
        <v>2114</v>
      </c>
      <c r="E1665" t="str">
        <f>IFERROR(AVERAGEIFS(Upload_Indiv[Score9],Upload_Indiv[[Player]:[Player]],$A30,Upload_Indiv[[Side]:[Side]],"Raintree Back")-IF(TRUNC(ROUND($B30,0)/9,0)=2,2+IF((ROUND($B30,0)-18)*2&gt;=U$2,1,0),IF(TRUNC(ROUND($B30,0)/9,0)=1,1+IF((ROUND($B30,0)-9)*2&gt;=U$2,1,0),IF(TRUNC(ROUND($B30,0)/9,0)=0,IF(TRUNC(ROUND($B30,0)/9,0)=0,0+IF((ROUND($B30,0))*2&gt;=U$2,1,0),"Not"))))-U$3,"")</f>
        <v/>
      </c>
    </row>
    <row r="1666" spans="1:5" x14ac:dyDescent="0.25">
      <c r="A1666" t="s">
        <v>724</v>
      </c>
      <c r="B1666" t="s">
        <v>363</v>
      </c>
      <c r="C1666" t="s">
        <v>725</v>
      </c>
      <c r="D1666" t="s">
        <v>2115</v>
      </c>
      <c r="E1666" t="str">
        <f>IFERROR(AVERAGEIFS(Upload_Indiv[Score9],Upload_Indiv[[Player]:[Player]],$A31,Upload_Indiv[[Side]:[Side]],"Raintree Front")-IF(TRUNC(ROUND($B31,0)/9,0)=2,2+IF((ROUND($B31,0)-18)*2&gt;=K$2,1,0),IF(TRUNC(ROUND($B31,0)/9,0)=1,1+IF((ROUND($B31,0)-9)*2&gt;=K$2,1,0),IF(TRUNC(ROUND($B31,0)/9,0)=0,IF(TRUNC(ROUND($B31,0)/9,0)=0,0+IF((ROUND($B31,0))*2&gt;=K$2,1,0),"Not"))))-K$3,"")</f>
        <v/>
      </c>
    </row>
    <row r="1667" spans="1:5" x14ac:dyDescent="0.25">
      <c r="A1667" t="s">
        <v>724</v>
      </c>
      <c r="B1667" t="s">
        <v>363</v>
      </c>
      <c r="C1667" t="s">
        <v>725</v>
      </c>
      <c r="D1667" t="s">
        <v>2116</v>
      </c>
      <c r="E1667" t="str">
        <f>IFERROR(AVERAGEIFS(Upload_Indiv[Score9],Upload_Indiv[[Player]:[Player]],$A31,Upload_Indiv[[Side]:[Side]],"Raintree Back")-IF(TRUNC(ROUND($B31,0)/9,0)=2,2+IF((ROUND($B31,0)-18)*2&gt;=U$2,1,0),IF(TRUNC(ROUND($B31,0)/9,0)=1,1+IF((ROUND($B31,0)-9)*2&gt;=U$2,1,0),IF(TRUNC(ROUND($B31,0)/9,0)=0,IF(TRUNC(ROUND($B31,0)/9,0)=0,0+IF((ROUND($B31,0))*2&gt;=U$2,1,0),"Not"))))-U$3,"")</f>
        <v/>
      </c>
    </row>
    <row r="1668" spans="1:5" x14ac:dyDescent="0.25">
      <c r="A1668" t="s">
        <v>724</v>
      </c>
      <c r="B1668" t="s">
        <v>363</v>
      </c>
      <c r="C1668" t="s">
        <v>725</v>
      </c>
      <c r="D1668" t="s">
        <v>2117</v>
      </c>
      <c r="E1668" t="str">
        <f>IFERROR(AVERAGEIFS(Upload_Indiv[Score9],Upload_Indiv[[Player]:[Player]],$A32,Upload_Indiv[[Side]:[Side]],"Raintree Front")-IF(TRUNC(ROUND($B32,0)/9,0)=2,2+IF((ROUND($B32,0)-18)*2&gt;=K$2,1,0),IF(TRUNC(ROUND($B32,0)/9,0)=1,1+IF((ROUND($B32,0)-9)*2&gt;=K$2,1,0),IF(TRUNC(ROUND($B32,0)/9,0)=0,IF(TRUNC(ROUND($B32,0)/9,0)=0,0+IF((ROUND($B32,0))*2&gt;=K$2,1,0),"Not"))))-K$3,"")</f>
        <v/>
      </c>
    </row>
    <row r="1669" spans="1:5" x14ac:dyDescent="0.25">
      <c r="A1669" t="s">
        <v>724</v>
      </c>
      <c r="B1669" t="s">
        <v>363</v>
      </c>
      <c r="C1669" t="s">
        <v>725</v>
      </c>
      <c r="D1669" t="s">
        <v>2118</v>
      </c>
      <c r="E1669" t="str">
        <f>IFERROR(AVERAGEIFS(Upload_Indiv[Score9],Upload_Indiv[[Player]:[Player]],$A32,Upload_Indiv[[Side]:[Side]],"Raintree Back")-IF(TRUNC(ROUND($B32,0)/9,0)=2,2+IF((ROUND($B32,0)-18)*2&gt;=U$2,1,0),IF(TRUNC(ROUND($B32,0)/9,0)=1,1+IF((ROUND($B32,0)-9)*2&gt;=U$2,1,0),IF(TRUNC(ROUND($B32,0)/9,0)=0,IF(TRUNC(ROUND($B32,0)/9,0)=0,0+IF((ROUND($B32,0))*2&gt;=U$2,1,0),"Not"))))-U$3,"")</f>
        <v/>
      </c>
    </row>
    <row r="1670" spans="1:5" x14ac:dyDescent="0.25">
      <c r="A1670" t="s">
        <v>724</v>
      </c>
      <c r="B1670" t="s">
        <v>363</v>
      </c>
      <c r="C1670" t="s">
        <v>725</v>
      </c>
      <c r="D1670" t="s">
        <v>2119</v>
      </c>
      <c r="E1670" t="str">
        <f>IFERROR(AVERAGEIFS(Upload_Indiv[Score9],Upload_Indiv[[Player]:[Player]],$A33,Upload_Indiv[[Side]:[Side]],"Raintree Front")-IF(TRUNC(ROUND($B33,0)/9,0)=2,2+IF((ROUND($B33,0)-18)*2&gt;=K$2,1,0),IF(TRUNC(ROUND($B33,0)/9,0)=1,1+IF((ROUND($B33,0)-9)*2&gt;=K$2,1,0),IF(TRUNC(ROUND($B33,0)/9,0)=0,IF(TRUNC(ROUND($B33,0)/9,0)=0,0+IF((ROUND($B33,0))*2&gt;=K$2,1,0),"Not"))))-K$3,"")</f>
        <v/>
      </c>
    </row>
    <row r="1671" spans="1:5" x14ac:dyDescent="0.25">
      <c r="A1671" t="s">
        <v>724</v>
      </c>
      <c r="B1671" t="s">
        <v>363</v>
      </c>
      <c r="C1671" t="s">
        <v>725</v>
      </c>
      <c r="D1671" t="s">
        <v>2120</v>
      </c>
      <c r="E1671" t="str">
        <f>IFERROR(AVERAGEIFS(Upload_Indiv[Score9],Upload_Indiv[[Player]:[Player]],$A33,Upload_Indiv[[Side]:[Side]],"Raintree Back")-IF(TRUNC(ROUND($B33,0)/9,0)=2,2+IF((ROUND($B33,0)-18)*2&gt;=U$2,1,0),IF(TRUNC(ROUND($B33,0)/9,0)=1,1+IF((ROUND($B33,0)-9)*2&gt;=U$2,1,0),IF(TRUNC(ROUND($B33,0)/9,0)=0,IF(TRUNC(ROUND($B33,0)/9,0)=0,0+IF((ROUND($B33,0))*2&gt;=U$2,1,0),"Not"))))-U$3,"")</f>
        <v/>
      </c>
    </row>
    <row r="1672" spans="1:5" x14ac:dyDescent="0.25">
      <c r="A1672" t="s">
        <v>724</v>
      </c>
      <c r="B1672" t="s">
        <v>363</v>
      </c>
      <c r="C1672" t="s">
        <v>725</v>
      </c>
      <c r="D1672" t="s">
        <v>2121</v>
      </c>
      <c r="E1672" t="str">
        <f>IFERROR(AVERAGEIFS(Upload_Indiv[Score9],Upload_Indiv[[Player]:[Player]],$A34,Upload_Indiv[[Side]:[Side]],"Raintree Front")-IF(TRUNC(ROUND($B34,0)/9,0)=2,2+IF((ROUND($B34,0)-18)*2&gt;=K$2,1,0),IF(TRUNC(ROUND($B34,0)/9,0)=1,1+IF((ROUND($B34,0)-9)*2&gt;=K$2,1,0),IF(TRUNC(ROUND($B34,0)/9,0)=0,IF(TRUNC(ROUND($B34,0)/9,0)=0,0+IF((ROUND($B34,0))*2&gt;=K$2,1,0),"Not"))))-K$3,"")</f>
        <v/>
      </c>
    </row>
    <row r="1673" spans="1:5" x14ac:dyDescent="0.25">
      <c r="A1673" t="s">
        <v>724</v>
      </c>
      <c r="B1673" t="s">
        <v>363</v>
      </c>
      <c r="C1673" t="s">
        <v>725</v>
      </c>
      <c r="D1673" t="s">
        <v>2122</v>
      </c>
      <c r="E1673" t="str">
        <f>IFERROR(AVERAGEIFS(Upload_Indiv[Score9],Upload_Indiv[[Player]:[Player]],$A34,Upload_Indiv[[Side]:[Side]],"Raintree Back")-IF(TRUNC(ROUND($B34,0)/9,0)=2,2+IF((ROUND($B34,0)-18)*2&gt;=U$2,1,0),IF(TRUNC(ROUND($B34,0)/9,0)=1,1+IF((ROUND($B34,0)-9)*2&gt;=U$2,1,0),IF(TRUNC(ROUND($B34,0)/9,0)=0,IF(TRUNC(ROUND($B34,0)/9,0)=0,0+IF((ROUND($B34,0))*2&gt;=U$2,1,0),"Not"))))-U$3,"")</f>
        <v/>
      </c>
    </row>
    <row r="1674" spans="1:5" x14ac:dyDescent="0.25">
      <c r="A1674" t="s">
        <v>724</v>
      </c>
      <c r="B1674" t="s">
        <v>363</v>
      </c>
      <c r="C1674" t="s">
        <v>725</v>
      </c>
      <c r="D1674" t="s">
        <v>2123</v>
      </c>
      <c r="E1674" t="str">
        <f>IFERROR(AVERAGEIFS(Upload_Indiv[Score9],Upload_Indiv[[Player]:[Player]],$A35,Upload_Indiv[[Side]:[Side]],"Raintree Front")-IF(TRUNC(ROUND($B35,0)/9,0)=2,2+IF((ROUND($B35,0)-18)*2&gt;=K$2,1,0),IF(TRUNC(ROUND($B35,0)/9,0)=1,1+IF((ROUND($B35,0)-9)*2&gt;=K$2,1,0),IF(TRUNC(ROUND($B35,0)/9,0)=0,IF(TRUNC(ROUND($B35,0)/9,0)=0,0+IF((ROUND($B35,0))*2&gt;=K$2,1,0),"Not"))))-K$3,"")</f>
        <v/>
      </c>
    </row>
    <row r="1675" spans="1:5" x14ac:dyDescent="0.25">
      <c r="A1675" t="s">
        <v>724</v>
      </c>
      <c r="B1675" t="s">
        <v>363</v>
      </c>
      <c r="C1675" t="s">
        <v>725</v>
      </c>
      <c r="D1675" t="s">
        <v>2124</v>
      </c>
      <c r="E1675" t="str">
        <f>IFERROR(AVERAGEIFS(Upload_Indiv[Score9],Upload_Indiv[[Player]:[Player]],$A35,Upload_Indiv[[Side]:[Side]],"Raintree Back")-IF(TRUNC(ROUND($B35,0)/9,0)=2,2+IF((ROUND($B35,0)-18)*2&gt;=U$2,1,0),IF(TRUNC(ROUND($B35,0)/9,0)=1,1+IF((ROUND($B35,0)-9)*2&gt;=U$2,1,0),IF(TRUNC(ROUND($B35,0)/9,0)=0,IF(TRUNC(ROUND($B35,0)/9,0)=0,0+IF((ROUND($B35,0))*2&gt;=U$2,1,0),"Not"))))-U$3,"")</f>
        <v/>
      </c>
    </row>
    <row r="1676" spans="1:5" x14ac:dyDescent="0.25">
      <c r="A1676" t="s">
        <v>724</v>
      </c>
      <c r="B1676" t="s">
        <v>363</v>
      </c>
      <c r="C1676" t="s">
        <v>725</v>
      </c>
      <c r="D1676" t="s">
        <v>2125</v>
      </c>
      <c r="E1676" t="str">
        <f>IFERROR(AVERAGEIFS(Upload_Indiv[Score9],Upload_Indiv[[Player]:[Player]],$A36,Upload_Indiv[[Side]:[Side]],"Raintree Front")-IF(TRUNC(ROUND($B36,0)/9,0)=2,2+IF((ROUND($B36,0)-18)*2&gt;=K$2,1,0),IF(TRUNC(ROUND($B36,0)/9,0)=1,1+IF((ROUND($B36,0)-9)*2&gt;=K$2,1,0),IF(TRUNC(ROUND($B36,0)/9,0)=0,IF(TRUNC(ROUND($B36,0)/9,0)=0,0+IF((ROUND($B36,0))*2&gt;=K$2,1,0),"Not"))))-K$3,"")</f>
        <v/>
      </c>
    </row>
    <row r="1677" spans="1:5" x14ac:dyDescent="0.25">
      <c r="A1677" t="s">
        <v>724</v>
      </c>
      <c r="B1677" t="s">
        <v>363</v>
      </c>
      <c r="C1677" t="s">
        <v>725</v>
      </c>
      <c r="D1677" t="s">
        <v>2126</v>
      </c>
      <c r="E1677" t="str">
        <f>IFERROR(AVERAGEIFS(Upload_Indiv[Score9],Upload_Indiv[[Player]:[Player]],$A36,Upload_Indiv[[Side]:[Side]],"Raintree Back")-IF(TRUNC(ROUND($B36,0)/9,0)=2,2+IF((ROUND($B36,0)-18)*2&gt;=U$2,1,0),IF(TRUNC(ROUND($B36,0)/9,0)=1,1+IF((ROUND($B36,0)-9)*2&gt;=U$2,1,0),IF(TRUNC(ROUND($B36,0)/9,0)=0,IF(TRUNC(ROUND($B36,0)/9,0)=0,0+IF((ROUND($B36,0))*2&gt;=U$2,1,0),"Not"))))-U$3,"")</f>
        <v/>
      </c>
    </row>
    <row r="1678" spans="1:5" x14ac:dyDescent="0.25">
      <c r="A1678" t="s">
        <v>724</v>
      </c>
      <c r="B1678" t="s">
        <v>363</v>
      </c>
      <c r="C1678" t="s">
        <v>725</v>
      </c>
      <c r="D1678" t="s">
        <v>2127</v>
      </c>
      <c r="E1678" t="str">
        <f>IFERROR(AVERAGEIFS(Upload_Indiv[Score9],Upload_Indiv[[Player]:[Player]],$A37,Upload_Indiv[[Side]:[Side]],"Raintree Front")-IF(TRUNC(ROUND($B37,0)/9,0)=2,2+IF((ROUND($B37,0)-18)*2&gt;=K$2,1,0),IF(TRUNC(ROUND($B37,0)/9,0)=1,1+IF((ROUND($B37,0)-9)*2&gt;=K$2,1,0),IF(TRUNC(ROUND($B37,0)/9,0)=0,IF(TRUNC(ROUND($B37,0)/9,0)=0,0+IF((ROUND($B37,0))*2&gt;=K$2,1,0),"Not"))))-K$3,"")</f>
        <v/>
      </c>
    </row>
    <row r="1679" spans="1:5" x14ac:dyDescent="0.25">
      <c r="A1679" t="s">
        <v>724</v>
      </c>
      <c r="B1679" t="s">
        <v>363</v>
      </c>
      <c r="C1679" t="s">
        <v>725</v>
      </c>
      <c r="D1679" t="s">
        <v>2128</v>
      </c>
      <c r="E1679" t="str">
        <f>IFERROR(AVERAGEIFS(Upload_Indiv[Score9],Upload_Indiv[[Player]:[Player]],$A37,Upload_Indiv[[Side]:[Side]],"Raintree Back")-IF(TRUNC(ROUND($B37,0)/9,0)=2,2+IF((ROUND($B37,0)-18)*2&gt;=U$2,1,0),IF(TRUNC(ROUND($B37,0)/9,0)=1,1+IF((ROUND($B37,0)-9)*2&gt;=U$2,1,0),IF(TRUNC(ROUND($B37,0)/9,0)=0,IF(TRUNC(ROUND($B37,0)/9,0)=0,0+IF((ROUND($B37,0))*2&gt;=U$2,1,0),"Not"))))-U$3,"")</f>
        <v/>
      </c>
    </row>
    <row r="1680" spans="1:5" x14ac:dyDescent="0.25">
      <c r="A1680" t="s">
        <v>724</v>
      </c>
      <c r="B1680" t="s">
        <v>363</v>
      </c>
      <c r="C1680" t="s">
        <v>725</v>
      </c>
      <c r="D1680" t="s">
        <v>2129</v>
      </c>
      <c r="E1680" t="str">
        <f>IFERROR(AVERAGEIFS(Upload_Indiv[Score9],Upload_Indiv[[Player]:[Player]],$A38,Upload_Indiv[[Side]:[Side]],"Raintree Front")-IF(TRUNC(ROUND($B38,0)/9,0)=2,2+IF((ROUND($B38,0)-18)*2&gt;=K$2,1,0),IF(TRUNC(ROUND($B38,0)/9,0)=1,1+IF((ROUND($B38,0)-9)*2&gt;=K$2,1,0),IF(TRUNC(ROUND($B38,0)/9,0)=0,IF(TRUNC(ROUND($B38,0)/9,0)=0,0+IF((ROUND($B38,0))*2&gt;=K$2,1,0),"Not"))))-K$3,"")</f>
        <v/>
      </c>
    </row>
    <row r="1681" spans="1:5" x14ac:dyDescent="0.25">
      <c r="A1681" t="s">
        <v>724</v>
      </c>
      <c r="B1681" t="s">
        <v>363</v>
      </c>
      <c r="C1681" t="s">
        <v>725</v>
      </c>
      <c r="D1681" t="s">
        <v>2130</v>
      </c>
      <c r="E1681" t="str">
        <f>IFERROR(AVERAGEIFS(Upload_Indiv[Score9],Upload_Indiv[[Player]:[Player]],$A38,Upload_Indiv[[Side]:[Side]],"Raintree Back")-IF(TRUNC(ROUND($B38,0)/9,0)=2,2+IF((ROUND($B38,0)-18)*2&gt;=U$2,1,0),IF(TRUNC(ROUND($B38,0)/9,0)=1,1+IF((ROUND($B38,0)-9)*2&gt;=U$2,1,0),IF(TRUNC(ROUND($B38,0)/9,0)=0,IF(TRUNC(ROUND($B38,0)/9,0)=0,0+IF((ROUND($B38,0))*2&gt;=U$2,1,0),"Not"))))-U$3,"")</f>
        <v/>
      </c>
    </row>
    <row r="1682" spans="1:5" x14ac:dyDescent="0.25">
      <c r="A1682" t="s">
        <v>724</v>
      </c>
      <c r="B1682" t="s">
        <v>363</v>
      </c>
      <c r="C1682" t="s">
        <v>725</v>
      </c>
      <c r="D1682" t="s">
        <v>2131</v>
      </c>
      <c r="E1682" t="str">
        <f>IFERROR(AVERAGEIFS(Upload_Indiv[Score9],Upload_Indiv[[Player]:[Player]],$A39,Upload_Indiv[[Side]:[Side]],"Raintree Front")-IF(TRUNC(ROUND($B39,0)/9,0)=2,2+IF((ROUND($B39,0)-18)*2&gt;=K$2,1,0),IF(TRUNC(ROUND($B39,0)/9,0)=1,1+IF((ROUND($B39,0)-9)*2&gt;=K$2,1,0),IF(TRUNC(ROUND($B39,0)/9,0)=0,IF(TRUNC(ROUND($B39,0)/9,0)=0,0+IF((ROUND($B39,0))*2&gt;=K$2,1,0),"Not"))))-K$3,"")</f>
        <v/>
      </c>
    </row>
    <row r="1683" spans="1:5" x14ac:dyDescent="0.25">
      <c r="A1683" t="s">
        <v>724</v>
      </c>
      <c r="B1683" t="s">
        <v>363</v>
      </c>
      <c r="C1683" t="s">
        <v>725</v>
      </c>
      <c r="D1683" t="s">
        <v>2132</v>
      </c>
      <c r="E1683" t="str">
        <f>IFERROR(AVERAGEIFS(Upload_Indiv[Score9],Upload_Indiv[[Player]:[Player]],$A39,Upload_Indiv[[Side]:[Side]],"Raintree Back")-IF(TRUNC(ROUND($B39,0)/9,0)=2,2+IF((ROUND($B39,0)-18)*2&gt;=U$2,1,0),IF(TRUNC(ROUND($B39,0)/9,0)=1,1+IF((ROUND($B39,0)-9)*2&gt;=U$2,1,0),IF(TRUNC(ROUND($B39,0)/9,0)=0,IF(TRUNC(ROUND($B39,0)/9,0)=0,0+IF((ROUND($B39,0))*2&gt;=U$2,1,0),"Not"))))-U$3,"")</f>
        <v/>
      </c>
    </row>
    <row r="1684" spans="1:5" x14ac:dyDescent="0.25">
      <c r="A1684" t="s">
        <v>724</v>
      </c>
      <c r="B1684" t="s">
        <v>363</v>
      </c>
      <c r="C1684" t="s">
        <v>725</v>
      </c>
      <c r="D1684" t="s">
        <v>2133</v>
      </c>
      <c r="E1684" t="str">
        <f>IFERROR(AVERAGEIFS(Upload_Indiv[Score9],Upload_Indiv[[Player]:[Player]],$A40,Upload_Indiv[[Side]:[Side]],"Raintree Front")-IF(TRUNC(ROUND($B40,0)/9,0)=2,2+IF((ROUND($B40,0)-18)*2&gt;=K$2,1,0),IF(TRUNC(ROUND($B40,0)/9,0)=1,1+IF((ROUND($B40,0)-9)*2&gt;=K$2,1,0),IF(TRUNC(ROUND($B40,0)/9,0)=0,IF(TRUNC(ROUND($B40,0)/9,0)=0,0+IF((ROUND($B40,0))*2&gt;=K$2,1,0),"Not"))))-K$3,"")</f>
        <v/>
      </c>
    </row>
    <row r="1685" spans="1:5" x14ac:dyDescent="0.25">
      <c r="A1685" t="s">
        <v>724</v>
      </c>
      <c r="B1685" t="s">
        <v>363</v>
      </c>
      <c r="C1685" t="s">
        <v>725</v>
      </c>
      <c r="D1685" t="s">
        <v>2134</v>
      </c>
      <c r="E1685" t="str">
        <f>IFERROR(AVERAGEIFS(Upload_Indiv[Score9],Upload_Indiv[[Player]:[Player]],$A40,Upload_Indiv[[Side]:[Side]],"Raintree Back")-IF(TRUNC(ROUND($B40,0)/9,0)=2,2+IF((ROUND($B40,0)-18)*2&gt;=U$2,1,0),IF(TRUNC(ROUND($B40,0)/9,0)=1,1+IF((ROUND($B40,0)-9)*2&gt;=U$2,1,0),IF(TRUNC(ROUND($B40,0)/9,0)=0,IF(TRUNC(ROUND($B40,0)/9,0)=0,0+IF((ROUND($B40,0))*2&gt;=U$2,1,0),"Not"))))-U$3,"")</f>
        <v/>
      </c>
    </row>
    <row r="1686" spans="1:5" x14ac:dyDescent="0.25">
      <c r="A1686" t="s">
        <v>724</v>
      </c>
      <c r="B1686" t="s">
        <v>363</v>
      </c>
      <c r="C1686" t="s">
        <v>725</v>
      </c>
      <c r="D1686" t="s">
        <v>2135</v>
      </c>
      <c r="E1686" t="str">
        <f>IFERROR(AVERAGEIFS(Upload_Indiv[Score9],Upload_Indiv[[Player]:[Player]],$A41,Upload_Indiv[[Side]:[Side]],"Raintree Front")-IF(TRUNC(ROUND($B41,0)/9,0)=2,2+IF((ROUND($B41,0)-18)*2&gt;=K$2,1,0),IF(TRUNC(ROUND($B41,0)/9,0)=1,1+IF((ROUND($B41,0)-9)*2&gt;=K$2,1,0),IF(TRUNC(ROUND($B41,0)/9,0)=0,IF(TRUNC(ROUND($B41,0)/9,0)=0,0+IF((ROUND($B41,0))*2&gt;=K$2,1,0),"Not"))))-K$3,"")</f>
        <v/>
      </c>
    </row>
    <row r="1687" spans="1:5" x14ac:dyDescent="0.25">
      <c r="A1687" t="s">
        <v>724</v>
      </c>
      <c r="B1687" t="s">
        <v>363</v>
      </c>
      <c r="C1687" t="s">
        <v>725</v>
      </c>
      <c r="D1687" t="s">
        <v>2136</v>
      </c>
      <c r="E1687" t="str">
        <f>IFERROR(AVERAGEIFS(Upload_Indiv[Score9],Upload_Indiv[[Player]:[Player]],$A41,Upload_Indiv[[Side]:[Side]],"Raintree Back")-IF(TRUNC(ROUND($B41,0)/9,0)=2,2+IF((ROUND($B41,0)-18)*2&gt;=U$2,1,0),IF(TRUNC(ROUND($B41,0)/9,0)=1,1+IF((ROUND($B41,0)-9)*2&gt;=U$2,1,0),IF(TRUNC(ROUND($B41,0)/9,0)=0,IF(TRUNC(ROUND($B41,0)/9,0)=0,0+IF((ROUND($B41,0))*2&gt;=U$2,1,0),"Not"))))-U$3,"")</f>
        <v/>
      </c>
    </row>
    <row r="1688" spans="1:5" x14ac:dyDescent="0.25">
      <c r="A1688" t="s">
        <v>724</v>
      </c>
      <c r="B1688" t="s">
        <v>363</v>
      </c>
      <c r="C1688" t="s">
        <v>725</v>
      </c>
      <c r="D1688" t="s">
        <v>2137</v>
      </c>
      <c r="E1688" t="str">
        <f>IFERROR(AVERAGEIFS(Upload_Indiv[Score9],Upload_Indiv[[Player]:[Player]],$A42,Upload_Indiv[[Side]:[Side]],"Raintree Front")-IF(TRUNC(ROUND($B42,0)/9,0)=2,2+IF((ROUND($B42,0)-18)*2&gt;=K$2,1,0),IF(TRUNC(ROUND($B42,0)/9,0)=1,1+IF((ROUND($B42,0)-9)*2&gt;=K$2,1,0),IF(TRUNC(ROUND($B42,0)/9,0)=0,IF(TRUNC(ROUND($B42,0)/9,0)=0,0+IF((ROUND($B42,0))*2&gt;=K$2,1,0),"Not"))))-K$3,"")</f>
        <v/>
      </c>
    </row>
    <row r="1689" spans="1:5" x14ac:dyDescent="0.25">
      <c r="A1689" t="s">
        <v>724</v>
      </c>
      <c r="B1689" t="s">
        <v>363</v>
      </c>
      <c r="C1689" t="s">
        <v>725</v>
      </c>
      <c r="D1689" t="s">
        <v>2138</v>
      </c>
      <c r="E1689" t="str">
        <f>IFERROR(AVERAGEIFS(Upload_Indiv[Score9],Upload_Indiv[[Player]:[Player]],$A42,Upload_Indiv[[Side]:[Side]],"Raintree Back")-IF(TRUNC(ROUND($B42,0)/9,0)=2,2+IF((ROUND($B42,0)-18)*2&gt;=U$2,1,0),IF(TRUNC(ROUND($B42,0)/9,0)=1,1+IF((ROUND($B42,0)-9)*2&gt;=U$2,1,0),IF(TRUNC(ROUND($B42,0)/9,0)=0,IF(TRUNC(ROUND($B42,0)/9,0)=0,0+IF((ROUND($B42,0))*2&gt;=U$2,1,0),"Not"))))-U$3,"")</f>
        <v/>
      </c>
    </row>
    <row r="1690" spans="1:5" x14ac:dyDescent="0.25">
      <c r="A1690" t="s">
        <v>724</v>
      </c>
      <c r="B1690" t="s">
        <v>363</v>
      </c>
      <c r="C1690" t="s">
        <v>725</v>
      </c>
      <c r="D1690" t="s">
        <v>2139</v>
      </c>
      <c r="E1690" t="str">
        <f>IFERROR(AVERAGEIFS(Upload_Indiv[Score9],Upload_Indiv[[Player]:[Player]],$A43,Upload_Indiv[[Side]:[Side]],"Raintree Front")-IF(TRUNC(ROUND($B43,0)/9,0)=2,2+IF((ROUND($B43,0)-18)*2&gt;=K$2,1,0),IF(TRUNC(ROUND($B43,0)/9,0)=1,1+IF((ROUND($B43,0)-9)*2&gt;=K$2,1,0),IF(TRUNC(ROUND($B43,0)/9,0)=0,IF(TRUNC(ROUND($B43,0)/9,0)=0,0+IF((ROUND($B43,0))*2&gt;=K$2,1,0),"Not"))))-K$3,"")</f>
        <v/>
      </c>
    </row>
    <row r="1691" spans="1:5" x14ac:dyDescent="0.25">
      <c r="A1691" t="s">
        <v>724</v>
      </c>
      <c r="B1691" t="s">
        <v>363</v>
      </c>
      <c r="C1691" t="s">
        <v>725</v>
      </c>
      <c r="D1691" t="s">
        <v>2140</v>
      </c>
      <c r="E1691" t="str">
        <f>IFERROR(AVERAGEIFS(Upload_Indiv[Score9],Upload_Indiv[[Player]:[Player]],$A43,Upload_Indiv[[Side]:[Side]],"Raintree Back")-IF(TRUNC(ROUND($B43,0)/9,0)=2,2+IF((ROUND($B43,0)-18)*2&gt;=U$2,1,0),IF(TRUNC(ROUND($B43,0)/9,0)=1,1+IF((ROUND($B43,0)-9)*2&gt;=U$2,1,0),IF(TRUNC(ROUND($B43,0)/9,0)=0,IF(TRUNC(ROUND($B43,0)/9,0)=0,0+IF((ROUND($B43,0))*2&gt;=U$2,1,0),"Not"))))-U$3,"")</f>
        <v/>
      </c>
    </row>
    <row r="1692" spans="1:5" x14ac:dyDescent="0.25">
      <c r="A1692" t="s">
        <v>724</v>
      </c>
      <c r="B1692" t="s">
        <v>363</v>
      </c>
      <c r="C1692" t="s">
        <v>725</v>
      </c>
      <c r="D1692" t="s">
        <v>2141</v>
      </c>
      <c r="E1692" t="str">
        <f>IFERROR(AVERAGEIFS(Upload_Indiv[Score9],Upload_Indiv[[Player]:[Player]],$A44,Upload_Indiv[[Side]:[Side]],"Raintree Front")-IF(TRUNC(ROUND($B44,0)/9,0)=2,2+IF((ROUND($B44,0)-18)*2&gt;=K$2,1,0),IF(TRUNC(ROUND($B44,0)/9,0)=1,1+IF((ROUND($B44,0)-9)*2&gt;=K$2,1,0),IF(TRUNC(ROUND($B44,0)/9,0)=0,IF(TRUNC(ROUND($B44,0)/9,0)=0,0+IF((ROUND($B44,0))*2&gt;=K$2,1,0),"Not"))))-K$3,"")</f>
        <v/>
      </c>
    </row>
    <row r="1693" spans="1:5" x14ac:dyDescent="0.25">
      <c r="A1693" t="s">
        <v>724</v>
      </c>
      <c r="B1693" t="s">
        <v>363</v>
      </c>
      <c r="C1693" t="s">
        <v>725</v>
      </c>
      <c r="D1693" t="s">
        <v>2142</v>
      </c>
      <c r="E1693" t="str">
        <f>IFERROR(AVERAGEIFS(Upload_Indiv[Score9],Upload_Indiv[[Player]:[Player]],$A44,Upload_Indiv[[Side]:[Side]],"Raintree Back")-IF(TRUNC(ROUND($B44,0)/9,0)=2,2+IF((ROUND($B44,0)-18)*2&gt;=U$2,1,0),IF(TRUNC(ROUND($B44,0)/9,0)=1,1+IF((ROUND($B44,0)-9)*2&gt;=U$2,1,0),IF(TRUNC(ROUND($B44,0)/9,0)=0,IF(TRUNC(ROUND($B44,0)/9,0)=0,0+IF((ROUND($B44,0))*2&gt;=U$2,1,0),"Not"))))-U$3,"")</f>
        <v/>
      </c>
    </row>
    <row r="1694" spans="1:5" x14ac:dyDescent="0.25">
      <c r="A1694" t="s">
        <v>724</v>
      </c>
      <c r="B1694" t="s">
        <v>363</v>
      </c>
      <c r="C1694" t="s">
        <v>725</v>
      </c>
      <c r="D1694" t="s">
        <v>2143</v>
      </c>
      <c r="E1694" t="str">
        <f>IFERROR(AVERAGEIFS(Upload_Indiv[Score9],Upload_Indiv[[Player]:[Player]],$A45,Upload_Indiv[[Side]:[Side]],"Raintree Front")-IF(TRUNC(ROUND($B45,0)/9,0)=2,2+IF((ROUND($B45,0)-18)*2&gt;=K$2,1,0),IF(TRUNC(ROUND($B45,0)/9,0)=1,1+IF((ROUND($B45,0)-9)*2&gt;=K$2,1,0),IF(TRUNC(ROUND($B45,0)/9,0)=0,IF(TRUNC(ROUND($B45,0)/9,0)=0,0+IF((ROUND($B45,0))*2&gt;=K$2,1,0),"Not"))))-K$3,"")</f>
        <v/>
      </c>
    </row>
    <row r="1695" spans="1:5" x14ac:dyDescent="0.25">
      <c r="A1695" t="s">
        <v>724</v>
      </c>
      <c r="B1695" t="s">
        <v>363</v>
      </c>
      <c r="C1695" t="s">
        <v>725</v>
      </c>
      <c r="D1695" t="s">
        <v>2144</v>
      </c>
      <c r="E1695" t="str">
        <f>IFERROR(AVERAGEIFS(Upload_Indiv[Score9],Upload_Indiv[[Player]:[Player]],$A45,Upload_Indiv[[Side]:[Side]],"Raintree Back")-IF(TRUNC(ROUND($B45,0)/9,0)=2,2+IF((ROUND($B45,0)-18)*2&gt;=U$2,1,0),IF(TRUNC(ROUND($B45,0)/9,0)=1,1+IF((ROUND($B45,0)-9)*2&gt;=U$2,1,0),IF(TRUNC(ROUND($B45,0)/9,0)=0,IF(TRUNC(ROUND($B45,0)/9,0)=0,0+IF((ROUND($B45,0))*2&gt;=U$2,1,0),"Not"))))-U$3,"")</f>
        <v/>
      </c>
    </row>
    <row r="1696" spans="1:5" x14ac:dyDescent="0.25">
      <c r="A1696" t="s">
        <v>724</v>
      </c>
      <c r="B1696" t="s">
        <v>363</v>
      </c>
      <c r="C1696" t="s">
        <v>725</v>
      </c>
      <c r="D1696" t="s">
        <v>2145</v>
      </c>
      <c r="E1696" t="str">
        <f>IFERROR(AVERAGEIFS(Upload_Indiv[Score9],Upload_Indiv[[Player]:[Player]],$A46,Upload_Indiv[[Side]:[Side]],"Raintree Front")-IF(TRUNC(ROUND($B46,0)/9,0)=2,2+IF((ROUND($B46,0)-18)*2&gt;=K$2,1,0),IF(TRUNC(ROUND($B46,0)/9,0)=1,1+IF((ROUND($B46,0)-9)*2&gt;=K$2,1,0),IF(TRUNC(ROUND($B46,0)/9,0)=0,IF(TRUNC(ROUND($B46,0)/9,0)=0,0+IF((ROUND($B46,0))*2&gt;=K$2,1,0),"Not"))))-K$3,"")</f>
        <v/>
      </c>
    </row>
    <row r="1697" spans="1:5" x14ac:dyDescent="0.25">
      <c r="A1697" t="s">
        <v>724</v>
      </c>
      <c r="B1697" t="s">
        <v>363</v>
      </c>
      <c r="C1697" t="s">
        <v>725</v>
      </c>
      <c r="D1697" t="s">
        <v>2146</v>
      </c>
      <c r="E1697" t="str">
        <f>IFERROR(AVERAGEIFS(Upload_Indiv[Score9],Upload_Indiv[[Player]:[Player]],$A46,Upload_Indiv[[Side]:[Side]],"Raintree Back")-IF(TRUNC(ROUND($B46,0)/9,0)=2,2+IF((ROUND($B46,0)-18)*2&gt;=U$2,1,0),IF(TRUNC(ROUND($B46,0)/9,0)=1,1+IF((ROUND($B46,0)-9)*2&gt;=U$2,1,0),IF(TRUNC(ROUND($B46,0)/9,0)=0,IF(TRUNC(ROUND($B46,0)/9,0)=0,0+IF((ROUND($B46,0))*2&gt;=U$2,1,0),"Not"))))-U$3,"")</f>
        <v/>
      </c>
    </row>
    <row r="1698" spans="1:5" x14ac:dyDescent="0.25">
      <c r="A1698" t="s">
        <v>724</v>
      </c>
      <c r="B1698" t="s">
        <v>363</v>
      </c>
      <c r="C1698" t="s">
        <v>725</v>
      </c>
      <c r="D1698" t="s">
        <v>2147</v>
      </c>
      <c r="E1698" t="str">
        <f>IFERROR(AVERAGEIFS(Upload_Indiv[Score9],Upload_Indiv[[Player]:[Player]],$A47,Upload_Indiv[[Side]:[Side]],"Raintree Front")-IF(TRUNC(ROUND($B47,0)/9,0)=2,2+IF((ROUND($B47,0)-18)*2&gt;=K$2,1,0),IF(TRUNC(ROUND($B47,0)/9,0)=1,1+IF((ROUND($B47,0)-9)*2&gt;=K$2,1,0),IF(TRUNC(ROUND($B47,0)/9,0)=0,IF(TRUNC(ROUND($B47,0)/9,0)=0,0+IF((ROUND($B47,0))*2&gt;=K$2,1,0),"Not"))))-K$3,"")</f>
        <v/>
      </c>
    </row>
    <row r="1699" spans="1:5" x14ac:dyDescent="0.25">
      <c r="A1699" t="s">
        <v>724</v>
      </c>
      <c r="B1699" t="s">
        <v>363</v>
      </c>
      <c r="C1699" t="s">
        <v>725</v>
      </c>
      <c r="D1699" t="s">
        <v>2148</v>
      </c>
      <c r="E1699" t="str">
        <f>IFERROR(AVERAGEIFS(Upload_Indiv[Score9],Upload_Indiv[[Player]:[Player]],$A47,Upload_Indiv[[Side]:[Side]],"Raintree Back")-IF(TRUNC(ROUND($B47,0)/9,0)=2,2+IF((ROUND($B47,0)-18)*2&gt;=U$2,1,0),IF(TRUNC(ROUND($B47,0)/9,0)=1,1+IF((ROUND($B47,0)-9)*2&gt;=U$2,1,0),IF(TRUNC(ROUND($B47,0)/9,0)=0,IF(TRUNC(ROUND($B47,0)/9,0)=0,0+IF((ROUND($B47,0))*2&gt;=U$2,1,0),"Not"))))-U$3,"")</f>
        <v/>
      </c>
    </row>
    <row r="1700" spans="1:5" x14ac:dyDescent="0.25">
      <c r="A1700" t="s">
        <v>724</v>
      </c>
      <c r="B1700" t="s">
        <v>363</v>
      </c>
      <c r="C1700" t="s">
        <v>725</v>
      </c>
      <c r="D1700" t="s">
        <v>2149</v>
      </c>
      <c r="E1700" t="str">
        <f>IFERROR(AVERAGEIFS(Upload_Indiv[Score9],Upload_Indiv[[Player]:[Player]],$A48,Upload_Indiv[[Side]:[Side]],"Raintree Front")-IF(TRUNC(ROUND($B48,0)/9,0)=2,2+IF((ROUND($B48,0)-18)*2&gt;=K$2,1,0),IF(TRUNC(ROUND($B48,0)/9,0)=1,1+IF((ROUND($B48,0)-9)*2&gt;=K$2,1,0),IF(TRUNC(ROUND($B48,0)/9,0)=0,IF(TRUNC(ROUND($B48,0)/9,0)=0,0+IF((ROUND($B48,0))*2&gt;=K$2,1,0),"Not"))))-K$3,"")</f>
        <v/>
      </c>
    </row>
    <row r="1701" spans="1:5" x14ac:dyDescent="0.25">
      <c r="A1701" t="s">
        <v>724</v>
      </c>
      <c r="B1701" t="s">
        <v>363</v>
      </c>
      <c r="C1701" t="s">
        <v>725</v>
      </c>
      <c r="D1701" t="s">
        <v>2150</v>
      </c>
      <c r="E1701" t="str">
        <f>IFERROR(AVERAGEIFS(Upload_Indiv[Score9],Upload_Indiv[[Player]:[Player]],$A48,Upload_Indiv[[Side]:[Side]],"Raintree Back")-IF(TRUNC(ROUND($B48,0)/9,0)=2,2+IF((ROUND($B48,0)-18)*2&gt;=U$2,1,0),IF(TRUNC(ROUND($B48,0)/9,0)=1,1+IF((ROUND($B48,0)-9)*2&gt;=U$2,1,0),IF(TRUNC(ROUND($B48,0)/9,0)=0,IF(TRUNC(ROUND($B48,0)/9,0)=0,0+IF((ROUND($B48,0))*2&gt;=U$2,1,0),"Not"))))-U$3,"")</f>
        <v/>
      </c>
    </row>
    <row r="1702" spans="1:5" x14ac:dyDescent="0.25">
      <c r="A1702" t="s">
        <v>724</v>
      </c>
      <c r="B1702" t="s">
        <v>363</v>
      </c>
      <c r="C1702" t="s">
        <v>725</v>
      </c>
      <c r="D1702" t="s">
        <v>2151</v>
      </c>
      <c r="E1702" t="str">
        <f>IFERROR(AVERAGEIFS(Upload_Indiv[Score9],Upload_Indiv[[Player]:[Player]],$A49,Upload_Indiv[[Side]:[Side]],"Raintree Front")-IF(TRUNC(ROUND($B49,0)/9,0)=2,2+IF((ROUND($B49,0)-18)*2&gt;=K$2,1,0),IF(TRUNC(ROUND($B49,0)/9,0)=1,1+IF((ROUND($B49,0)-9)*2&gt;=K$2,1,0),IF(TRUNC(ROUND($B49,0)/9,0)=0,IF(TRUNC(ROUND($B49,0)/9,0)=0,0+IF((ROUND($B49,0))*2&gt;=K$2,1,0),"Not"))))-K$3,"")</f>
        <v/>
      </c>
    </row>
    <row r="1703" spans="1:5" x14ac:dyDescent="0.25">
      <c r="A1703" t="s">
        <v>724</v>
      </c>
      <c r="B1703" t="s">
        <v>363</v>
      </c>
      <c r="C1703" t="s">
        <v>725</v>
      </c>
      <c r="D1703" t="s">
        <v>2152</v>
      </c>
      <c r="E1703" t="str">
        <f>IFERROR(AVERAGEIFS(Upload_Indiv[Score9],Upload_Indiv[[Player]:[Player]],$A49,Upload_Indiv[[Side]:[Side]],"Raintree Back")-IF(TRUNC(ROUND($B49,0)/9,0)=2,2+IF((ROUND($B49,0)-18)*2&gt;=U$2,1,0),IF(TRUNC(ROUND($B49,0)/9,0)=1,1+IF((ROUND($B49,0)-9)*2&gt;=U$2,1,0),IF(TRUNC(ROUND($B49,0)/9,0)=0,IF(TRUNC(ROUND($B49,0)/9,0)=0,0+IF((ROUND($B49,0))*2&gt;=U$2,1,0),"Not"))))-U$3,"")</f>
        <v/>
      </c>
    </row>
    <row r="1704" spans="1:5" x14ac:dyDescent="0.25">
      <c r="A1704" t="s">
        <v>724</v>
      </c>
      <c r="B1704" t="s">
        <v>363</v>
      </c>
      <c r="C1704" t="s">
        <v>725</v>
      </c>
      <c r="D1704" t="s">
        <v>2153</v>
      </c>
      <c r="E1704" t="str">
        <f>IFERROR(AVERAGEIFS(Upload_Indiv[Score9],Upload_Indiv[[Player]:[Player]],$A50,Upload_Indiv[[Side]:[Side]],"Raintree Front")-IF(TRUNC(ROUND($B50,0)/9,0)=2,2+IF((ROUND($B50,0)-18)*2&gt;=K$2,1,0),IF(TRUNC(ROUND($B50,0)/9,0)=1,1+IF((ROUND($B50,0)-9)*2&gt;=K$2,1,0),IF(TRUNC(ROUND($B50,0)/9,0)=0,IF(TRUNC(ROUND($B50,0)/9,0)=0,0+IF((ROUND($B50,0))*2&gt;=K$2,1,0),"Not"))))-K$3,"")</f>
        <v/>
      </c>
    </row>
    <row r="1705" spans="1:5" x14ac:dyDescent="0.25">
      <c r="A1705" t="s">
        <v>724</v>
      </c>
      <c r="B1705" t="s">
        <v>363</v>
      </c>
      <c r="C1705" t="s">
        <v>725</v>
      </c>
      <c r="D1705" t="s">
        <v>2154</v>
      </c>
      <c r="E1705" t="str">
        <f>IFERROR(AVERAGEIFS(Upload_Indiv[Score9],Upload_Indiv[[Player]:[Player]],$A50,Upload_Indiv[[Side]:[Side]],"Raintree Back")-IF(TRUNC(ROUND($B50,0)/9,0)=2,2+IF((ROUND($B50,0)-18)*2&gt;=U$2,1,0),IF(TRUNC(ROUND($B50,0)/9,0)=1,1+IF((ROUND($B50,0)-9)*2&gt;=U$2,1,0),IF(TRUNC(ROUND($B50,0)/9,0)=0,IF(TRUNC(ROUND($B50,0)/9,0)=0,0+IF((ROUND($B50,0))*2&gt;=U$2,1,0),"Not"))))-U$3,"")</f>
        <v/>
      </c>
    </row>
    <row r="1706" spans="1:5" x14ac:dyDescent="0.25">
      <c r="A1706" t="s">
        <v>724</v>
      </c>
      <c r="B1706" t="s">
        <v>363</v>
      </c>
      <c r="C1706" t="s">
        <v>725</v>
      </c>
      <c r="D1706" t="s">
        <v>2155</v>
      </c>
      <c r="E1706" t="str">
        <f>IFERROR(AVERAGEIFS(Upload_Indiv[Score9],Upload_Indiv[[Player]:[Player]],$A51,Upload_Indiv[[Side]:[Side]],"Raintree Front")-IF(TRUNC(ROUND($B51,0)/9,0)=2,2+IF((ROUND($B51,0)-18)*2&gt;=K$2,1,0),IF(TRUNC(ROUND($B51,0)/9,0)=1,1+IF((ROUND($B51,0)-9)*2&gt;=K$2,1,0),IF(TRUNC(ROUND($B51,0)/9,0)=0,IF(TRUNC(ROUND($B51,0)/9,0)=0,0+IF((ROUND($B51,0))*2&gt;=K$2,1,0),"Not"))))-K$3,"")</f>
        <v/>
      </c>
    </row>
    <row r="1707" spans="1:5" x14ac:dyDescent="0.25">
      <c r="A1707" t="s">
        <v>724</v>
      </c>
      <c r="B1707" t="s">
        <v>363</v>
      </c>
      <c r="C1707" t="s">
        <v>725</v>
      </c>
      <c r="D1707" t="s">
        <v>2156</v>
      </c>
      <c r="E1707" t="str">
        <f>IFERROR(AVERAGEIFS(Upload_Indiv[Score9],Upload_Indiv[[Player]:[Player]],$A51,Upload_Indiv[[Side]:[Side]],"Raintree Back")-IF(TRUNC(ROUND($B51,0)/9,0)=2,2+IF((ROUND($B51,0)-18)*2&gt;=U$2,1,0),IF(TRUNC(ROUND($B51,0)/9,0)=1,1+IF((ROUND($B51,0)-9)*2&gt;=U$2,1,0),IF(TRUNC(ROUND($B51,0)/9,0)=0,IF(TRUNC(ROUND($B51,0)/9,0)=0,0+IF((ROUND($B51,0))*2&gt;=U$2,1,0),"Not"))))-U$3,"")</f>
        <v/>
      </c>
    </row>
    <row r="1708" spans="1:5" x14ac:dyDescent="0.25">
      <c r="A1708" t="s">
        <v>724</v>
      </c>
      <c r="B1708" t="s">
        <v>363</v>
      </c>
      <c r="C1708" t="s">
        <v>725</v>
      </c>
      <c r="D1708" t="s">
        <v>2157</v>
      </c>
      <c r="E1708" t="str">
        <f>IFERROR(AVERAGEIFS(Upload_Indiv[Score9],Upload_Indiv[[Player]:[Player]],$A52,Upload_Indiv[[Side]:[Side]],"Raintree Front")-IF(TRUNC(ROUND($B52,0)/9,0)=2,2+IF((ROUND($B52,0)-18)*2&gt;=K$2,1,0),IF(TRUNC(ROUND($B52,0)/9,0)=1,1+IF((ROUND($B52,0)-9)*2&gt;=K$2,1,0),IF(TRUNC(ROUND($B52,0)/9,0)=0,IF(TRUNC(ROUND($B52,0)/9,0)=0,0+IF((ROUND($B52,0))*2&gt;=K$2,1,0),"Not"))))-K$3,"")</f>
        <v/>
      </c>
    </row>
    <row r="1709" spans="1:5" x14ac:dyDescent="0.25">
      <c r="A1709" t="s">
        <v>724</v>
      </c>
      <c r="B1709" t="s">
        <v>363</v>
      </c>
      <c r="C1709" t="s">
        <v>725</v>
      </c>
      <c r="D1709" t="s">
        <v>2158</v>
      </c>
      <c r="E1709" t="str">
        <f>IFERROR(AVERAGEIFS(Upload_Indiv[Score9],Upload_Indiv[[Player]:[Player]],$A52,Upload_Indiv[[Side]:[Side]],"Raintree Back")-IF(TRUNC(ROUND($B52,0)/9,0)=2,2+IF((ROUND($B52,0)-18)*2&gt;=U$2,1,0),IF(TRUNC(ROUND($B52,0)/9,0)=1,1+IF((ROUND($B52,0)-9)*2&gt;=U$2,1,0),IF(TRUNC(ROUND($B52,0)/9,0)=0,IF(TRUNC(ROUND($B52,0)/9,0)=0,0+IF((ROUND($B52,0))*2&gt;=U$2,1,0),"Not"))))-U$3,"")</f>
        <v/>
      </c>
    </row>
    <row r="1710" spans="1:5" x14ac:dyDescent="0.25">
      <c r="A1710" t="s">
        <v>724</v>
      </c>
      <c r="B1710" t="s">
        <v>363</v>
      </c>
      <c r="C1710" t="s">
        <v>725</v>
      </c>
      <c r="D1710" t="s">
        <v>2159</v>
      </c>
      <c r="E1710" t="str">
        <f>IFERROR(AVERAGEIFS(Upload_Indiv[Score9],Upload_Indiv[[Player]:[Player]],$A53,Upload_Indiv[[Side]:[Side]],"Raintree Front")-IF(TRUNC(ROUND($B53,0)/9,0)=2,2+IF((ROUND($B53,0)-18)*2&gt;=K$2,1,0),IF(TRUNC(ROUND($B53,0)/9,0)=1,1+IF((ROUND($B53,0)-9)*2&gt;=K$2,1,0),IF(TRUNC(ROUND($B53,0)/9,0)=0,IF(TRUNC(ROUND($B53,0)/9,0)=0,0+IF((ROUND($B53,0))*2&gt;=K$2,1,0),"Not"))))-K$3,"")</f>
        <v/>
      </c>
    </row>
    <row r="1711" spans="1:5" x14ac:dyDescent="0.25">
      <c r="A1711" t="s">
        <v>724</v>
      </c>
      <c r="B1711" t="s">
        <v>363</v>
      </c>
      <c r="C1711" t="s">
        <v>725</v>
      </c>
      <c r="D1711" t="s">
        <v>2160</v>
      </c>
      <c r="E1711" t="str">
        <f>IFERROR(AVERAGEIFS(Upload_Indiv[Score9],Upload_Indiv[[Player]:[Player]],$A53,Upload_Indiv[[Side]:[Side]],"Raintree Back")-IF(TRUNC(ROUND($B53,0)/9,0)=2,2+IF((ROUND($B53,0)-18)*2&gt;=U$2,1,0),IF(TRUNC(ROUND($B53,0)/9,0)=1,1+IF((ROUND($B53,0)-9)*2&gt;=U$2,1,0),IF(TRUNC(ROUND($B53,0)/9,0)=0,IF(TRUNC(ROUND($B53,0)/9,0)=0,0+IF((ROUND($B53,0))*2&gt;=U$2,1,0),"Not"))))-U$3,"")</f>
        <v/>
      </c>
    </row>
    <row r="1712" spans="1:5" x14ac:dyDescent="0.25">
      <c r="A1712" t="s">
        <v>724</v>
      </c>
      <c r="B1712" t="s">
        <v>363</v>
      </c>
      <c r="C1712" t="s">
        <v>725</v>
      </c>
      <c r="D1712" t="s">
        <v>2161</v>
      </c>
      <c r="E1712" t="str">
        <f>IFERROR(AVERAGEIFS(Upload_Indiv[Score9],Upload_Indiv[[Player]:[Player]],$A54,Upload_Indiv[[Side]:[Side]],"Raintree Front")-IF(TRUNC(ROUND($B54,0)/9,0)=2,2+IF((ROUND($B54,0)-18)*2&gt;=K$2,1,0),IF(TRUNC(ROUND($B54,0)/9,0)=1,1+IF((ROUND($B54,0)-9)*2&gt;=K$2,1,0),IF(TRUNC(ROUND($B54,0)/9,0)=0,IF(TRUNC(ROUND($B54,0)/9,0)=0,0+IF((ROUND($B54,0))*2&gt;=K$2,1,0),"Not"))))-K$3,"")</f>
        <v/>
      </c>
    </row>
    <row r="1713" spans="1:5" x14ac:dyDescent="0.25">
      <c r="A1713" t="s">
        <v>724</v>
      </c>
      <c r="B1713" t="s">
        <v>363</v>
      </c>
      <c r="C1713" t="s">
        <v>725</v>
      </c>
      <c r="D1713" t="s">
        <v>2162</v>
      </c>
      <c r="E1713" t="str">
        <f>IFERROR(AVERAGEIFS(Upload_Indiv[Score9],Upload_Indiv[[Player]:[Player]],$A54,Upload_Indiv[[Side]:[Side]],"Raintree Back")-IF(TRUNC(ROUND($B54,0)/9,0)=2,2+IF((ROUND($B54,0)-18)*2&gt;=U$2,1,0),IF(TRUNC(ROUND($B54,0)/9,0)=1,1+IF((ROUND($B54,0)-9)*2&gt;=U$2,1,0),IF(TRUNC(ROUND($B54,0)/9,0)=0,IF(TRUNC(ROUND($B54,0)/9,0)=0,0+IF((ROUND($B54,0))*2&gt;=U$2,1,0),"Not"))))-U$3,"")</f>
        <v/>
      </c>
    </row>
    <row r="1714" spans="1:5" x14ac:dyDescent="0.25">
      <c r="A1714" t="s">
        <v>724</v>
      </c>
      <c r="B1714" t="s">
        <v>363</v>
      </c>
      <c r="C1714" t="s">
        <v>725</v>
      </c>
      <c r="D1714" t="s">
        <v>2163</v>
      </c>
      <c r="E1714" t="str">
        <f>IFERROR(AVERAGEIFS(Upload_Indiv[Score9],Upload_Indiv[[Player]:[Player]],$A55,Upload_Indiv[[Side]:[Side]],"Raintree Front")-IF(TRUNC(ROUND($B55,0)/9,0)=2,2+IF((ROUND($B55,0)-18)*2&gt;=K$2,1,0),IF(TRUNC(ROUND($B55,0)/9,0)=1,1+IF((ROUND($B55,0)-9)*2&gt;=K$2,1,0),IF(TRUNC(ROUND($B55,0)/9,0)=0,IF(TRUNC(ROUND($B55,0)/9,0)=0,0+IF((ROUND($B55,0))*2&gt;=K$2,1,0),"Not"))))-K$3,"")</f>
        <v/>
      </c>
    </row>
    <row r="1715" spans="1:5" x14ac:dyDescent="0.25">
      <c r="A1715" t="s">
        <v>724</v>
      </c>
      <c r="B1715" t="s">
        <v>363</v>
      </c>
      <c r="C1715" t="s">
        <v>725</v>
      </c>
      <c r="D1715" t="s">
        <v>2164</v>
      </c>
      <c r="E1715" t="str">
        <f>IFERROR(AVERAGEIFS(Upload_Indiv[Score9],Upload_Indiv[[Player]:[Player]],$A55,Upload_Indiv[[Side]:[Side]],"Raintree Back")-IF(TRUNC(ROUND($B55,0)/9,0)=2,2+IF((ROUND($B55,0)-18)*2&gt;=U$2,1,0),IF(TRUNC(ROUND($B55,0)/9,0)=1,1+IF((ROUND($B55,0)-9)*2&gt;=U$2,1,0),IF(TRUNC(ROUND($B55,0)/9,0)=0,IF(TRUNC(ROUND($B55,0)/9,0)=0,0+IF((ROUND($B55,0))*2&gt;=U$2,1,0),"Not"))))-U$3,"")</f>
        <v/>
      </c>
    </row>
    <row r="1716" spans="1:5" x14ac:dyDescent="0.25">
      <c r="A1716" t="s">
        <v>724</v>
      </c>
      <c r="B1716" t="s">
        <v>363</v>
      </c>
      <c r="C1716" t="s">
        <v>725</v>
      </c>
      <c r="D1716" t="s">
        <v>2165</v>
      </c>
      <c r="E1716" t="str">
        <f>IFERROR(AVERAGEIFS(Upload_Indiv[Score9],Upload_Indiv[[Player]:[Player]],$A56,Upload_Indiv[[Side]:[Side]],"Raintree Front")-IF(TRUNC(ROUND($B56,0)/9,0)=2,2+IF((ROUND($B56,0)-18)*2&gt;=K$2,1,0),IF(TRUNC(ROUND($B56,0)/9,0)=1,1+IF((ROUND($B56,0)-9)*2&gt;=K$2,1,0),IF(TRUNC(ROUND($B56,0)/9,0)=0,IF(TRUNC(ROUND($B56,0)/9,0)=0,0+IF((ROUND($B56,0))*2&gt;=K$2,1,0),"Not"))))-K$3,"")</f>
        <v/>
      </c>
    </row>
    <row r="1717" spans="1:5" x14ac:dyDescent="0.25">
      <c r="A1717" t="s">
        <v>724</v>
      </c>
      <c r="B1717" t="s">
        <v>363</v>
      </c>
      <c r="C1717" t="s">
        <v>725</v>
      </c>
      <c r="D1717" t="s">
        <v>2166</v>
      </c>
      <c r="E1717" t="str">
        <f>IFERROR(AVERAGEIFS(Upload_Indiv[Score9],Upload_Indiv[[Player]:[Player]],$A56,Upload_Indiv[[Side]:[Side]],"Raintree Back")-IF(TRUNC(ROUND($B56,0)/9,0)=2,2+IF((ROUND($B56,0)-18)*2&gt;=U$2,1,0),IF(TRUNC(ROUND($B56,0)/9,0)=1,1+IF((ROUND($B56,0)-9)*2&gt;=U$2,1,0),IF(TRUNC(ROUND($B56,0)/9,0)=0,IF(TRUNC(ROUND($B56,0)/9,0)=0,0+IF((ROUND($B56,0))*2&gt;=U$2,1,0),"Not"))))-U$3,"")</f>
        <v/>
      </c>
    </row>
    <row r="1718" spans="1:5" x14ac:dyDescent="0.25">
      <c r="A1718" t="s">
        <v>724</v>
      </c>
      <c r="B1718" t="s">
        <v>363</v>
      </c>
      <c r="C1718" t="s">
        <v>725</v>
      </c>
      <c r="D1718" t="s">
        <v>2167</v>
      </c>
      <c r="E1718" t="str">
        <f>IFERROR(AVERAGEIFS(Upload_Indiv[Score9],Upload_Indiv[[Player]:[Player]],$A57,Upload_Indiv[[Side]:[Side]],"Raintree Front")-IF(TRUNC(ROUND($B57,0)/9,0)=2,2+IF((ROUND($B57,0)-18)*2&gt;=K$2,1,0),IF(TRUNC(ROUND($B57,0)/9,0)=1,1+IF((ROUND($B57,0)-9)*2&gt;=K$2,1,0),IF(TRUNC(ROUND($B57,0)/9,0)=0,IF(TRUNC(ROUND($B57,0)/9,0)=0,0+IF((ROUND($B57,0))*2&gt;=K$2,1,0),"Not"))))-K$3,"")</f>
        <v/>
      </c>
    </row>
    <row r="1719" spans="1:5" x14ac:dyDescent="0.25">
      <c r="A1719" t="s">
        <v>724</v>
      </c>
      <c r="B1719" t="s">
        <v>363</v>
      </c>
      <c r="C1719" t="s">
        <v>725</v>
      </c>
      <c r="D1719" t="s">
        <v>2168</v>
      </c>
      <c r="E1719" t="str">
        <f>IFERROR(AVERAGEIFS(Upload_Indiv[Score9],Upload_Indiv[[Player]:[Player]],$A57,Upload_Indiv[[Side]:[Side]],"Raintree Back")-IF(TRUNC(ROUND($B57,0)/9,0)=2,2+IF((ROUND($B57,0)-18)*2&gt;=U$2,1,0),IF(TRUNC(ROUND($B57,0)/9,0)=1,1+IF((ROUND($B57,0)-9)*2&gt;=U$2,1,0),IF(TRUNC(ROUND($B57,0)/9,0)=0,IF(TRUNC(ROUND($B57,0)/9,0)=0,0+IF((ROUND($B57,0))*2&gt;=U$2,1,0),"Not"))))-U$3,"")</f>
        <v/>
      </c>
    </row>
    <row r="1720" spans="1:5" x14ac:dyDescent="0.25">
      <c r="A1720" t="s">
        <v>724</v>
      </c>
      <c r="B1720" t="s">
        <v>363</v>
      </c>
      <c r="C1720" t="s">
        <v>725</v>
      </c>
      <c r="D1720" t="s">
        <v>2169</v>
      </c>
      <c r="E1720" t="str">
        <f>IFERROR(AVERAGEIFS(Upload_Indiv[Score9],Upload_Indiv[[Player]:[Player]],$A58,Upload_Indiv[[Side]:[Side]],"Raintree Front")-IF(TRUNC(ROUND($B58,0)/9,0)=2,2+IF((ROUND($B58,0)-18)*2&gt;=K$2,1,0),IF(TRUNC(ROUND($B58,0)/9,0)=1,1+IF((ROUND($B58,0)-9)*2&gt;=K$2,1,0),IF(TRUNC(ROUND($B58,0)/9,0)=0,IF(TRUNC(ROUND($B58,0)/9,0)=0,0+IF((ROUND($B58,0))*2&gt;=K$2,1,0),"Not"))))-K$3,"")</f>
        <v/>
      </c>
    </row>
    <row r="1721" spans="1:5" x14ac:dyDescent="0.25">
      <c r="A1721" t="s">
        <v>724</v>
      </c>
      <c r="B1721" t="s">
        <v>363</v>
      </c>
      <c r="C1721" t="s">
        <v>725</v>
      </c>
      <c r="D1721" t="s">
        <v>2170</v>
      </c>
      <c r="E1721" t="str">
        <f>IFERROR(AVERAGEIFS(Upload_Indiv[Score9],Upload_Indiv[[Player]:[Player]],$A58,Upload_Indiv[[Side]:[Side]],"Raintree Back")-IF(TRUNC(ROUND($B58,0)/9,0)=2,2+IF((ROUND($B58,0)-18)*2&gt;=U$2,1,0),IF(TRUNC(ROUND($B58,0)/9,0)=1,1+IF((ROUND($B58,0)-9)*2&gt;=U$2,1,0),IF(TRUNC(ROUND($B58,0)/9,0)=0,IF(TRUNC(ROUND($B58,0)/9,0)=0,0+IF((ROUND($B58,0))*2&gt;=U$2,1,0),"Not"))))-U$3,"")</f>
        <v/>
      </c>
    </row>
    <row r="1722" spans="1:5" x14ac:dyDescent="0.25">
      <c r="A1722" t="s">
        <v>724</v>
      </c>
      <c r="B1722" t="s">
        <v>363</v>
      </c>
      <c r="C1722" t="s">
        <v>725</v>
      </c>
      <c r="D1722" t="s">
        <v>2171</v>
      </c>
      <c r="E1722" t="str">
        <f>IFERROR(AVERAGEIFS(Upload_Indiv[Score9],Upload_Indiv[[Player]:[Player]],$A59,Upload_Indiv[[Side]:[Side]],"Raintree Front")-IF(TRUNC(ROUND($B59,0)/9,0)=2,2+IF((ROUND($B59,0)-18)*2&gt;=K$2,1,0),IF(TRUNC(ROUND($B59,0)/9,0)=1,1+IF((ROUND($B59,0)-9)*2&gt;=K$2,1,0),IF(TRUNC(ROUND($B59,0)/9,0)=0,IF(TRUNC(ROUND($B59,0)/9,0)=0,0+IF((ROUND($B59,0))*2&gt;=K$2,1,0),"Not"))))-K$3,"")</f>
        <v/>
      </c>
    </row>
    <row r="1723" spans="1:5" x14ac:dyDescent="0.25">
      <c r="A1723" t="s">
        <v>724</v>
      </c>
      <c r="B1723" t="s">
        <v>363</v>
      </c>
      <c r="C1723" t="s">
        <v>725</v>
      </c>
      <c r="D1723" t="s">
        <v>2172</v>
      </c>
      <c r="E1723" t="str">
        <f>IFERROR(AVERAGEIFS(Upload_Indiv[Score9],Upload_Indiv[[Player]:[Player]],$A59,Upload_Indiv[[Side]:[Side]],"Raintree Back")-IF(TRUNC(ROUND($B59,0)/9,0)=2,2+IF((ROUND($B59,0)-18)*2&gt;=U$2,1,0),IF(TRUNC(ROUND($B59,0)/9,0)=1,1+IF((ROUND($B59,0)-9)*2&gt;=U$2,1,0),IF(TRUNC(ROUND($B59,0)/9,0)=0,IF(TRUNC(ROUND($B59,0)/9,0)=0,0+IF((ROUND($B59,0))*2&gt;=U$2,1,0),"Not"))))-U$3,"")</f>
        <v/>
      </c>
    </row>
    <row r="1724" spans="1:5" x14ac:dyDescent="0.25">
      <c r="A1724" t="s">
        <v>724</v>
      </c>
      <c r="B1724" t="s">
        <v>363</v>
      </c>
      <c r="C1724" t="s">
        <v>725</v>
      </c>
      <c r="D1724" t="s">
        <v>2173</v>
      </c>
      <c r="E1724" t="str">
        <f>IFERROR(AVERAGEIFS(Upload_Indiv[Score9],Upload_Indiv[[Player]:[Player]],$A60,Upload_Indiv[[Side]:[Side]],"Raintree Front")-IF(TRUNC(ROUND($B60,0)/9,0)=2,2+IF((ROUND($B60,0)-18)*2&gt;=K$2,1,0),IF(TRUNC(ROUND($B60,0)/9,0)=1,1+IF((ROUND($B60,0)-9)*2&gt;=K$2,1,0),IF(TRUNC(ROUND($B60,0)/9,0)=0,IF(TRUNC(ROUND($B60,0)/9,0)=0,0+IF((ROUND($B60,0))*2&gt;=K$2,1,0),"Not"))))-K$3,"")</f>
        <v/>
      </c>
    </row>
    <row r="1725" spans="1:5" x14ac:dyDescent="0.25">
      <c r="A1725" t="s">
        <v>724</v>
      </c>
      <c r="B1725" t="s">
        <v>363</v>
      </c>
      <c r="C1725" t="s">
        <v>725</v>
      </c>
      <c r="D1725" t="s">
        <v>2174</v>
      </c>
      <c r="E1725" t="str">
        <f>IFERROR(AVERAGEIFS(Upload_Indiv[Score9],Upload_Indiv[[Player]:[Player]],$A60,Upload_Indiv[[Side]:[Side]],"Raintree Back")-IF(TRUNC(ROUND($B60,0)/9,0)=2,2+IF((ROUND($B60,0)-18)*2&gt;=U$2,1,0),IF(TRUNC(ROUND($B60,0)/9,0)=1,1+IF((ROUND($B60,0)-9)*2&gt;=U$2,1,0),IF(TRUNC(ROUND($B60,0)/9,0)=0,IF(TRUNC(ROUND($B60,0)/9,0)=0,0+IF((ROUND($B60,0))*2&gt;=U$2,1,0),"Not"))))-U$3,"")</f>
        <v/>
      </c>
    </row>
    <row r="1726" spans="1:5" x14ac:dyDescent="0.25">
      <c r="A1726" t="s">
        <v>724</v>
      </c>
      <c r="B1726" t="s">
        <v>363</v>
      </c>
      <c r="C1726" t="s">
        <v>834</v>
      </c>
      <c r="D1726" t="s">
        <v>2175</v>
      </c>
      <c r="E1726">
        <f>IFERROR(AVERAGEIFS(Upload_Indiv[Score9],Upload_Indiv[[Side]:[Side]],"Raintree Front",Upload_Indiv[[Excl Score]:[Excl Score]],0),"")</f>
        <v>5.5921052631578947</v>
      </c>
    </row>
    <row r="1727" spans="1:5" x14ac:dyDescent="0.25">
      <c r="A1727" t="s">
        <v>724</v>
      </c>
      <c r="B1727" t="s">
        <v>363</v>
      </c>
      <c r="C1727" t="s">
        <v>834</v>
      </c>
      <c r="D1727" t="s">
        <v>2176</v>
      </c>
      <c r="E1727">
        <f>IFERROR(AVERAGEIFS(Upload_Indiv[Score9],Upload_Indiv[[Side]:[Side]],"Raintree Back",Upload_Indiv[[Excl Score]:[Excl Score]],0),"")</f>
        <v>6.8097345132743365</v>
      </c>
    </row>
    <row r="1728" spans="1:5" x14ac:dyDescent="0.25">
      <c r="A1728" t="s">
        <v>724</v>
      </c>
      <c r="B1728" t="s">
        <v>363</v>
      </c>
      <c r="C1728" t="s">
        <v>834</v>
      </c>
      <c r="D1728" t="s">
        <v>2177</v>
      </c>
      <c r="E1728" t="str">
        <f>IFERROR(AVERAGEIFS(Upload_Indiv[Score9],Upload_Indiv[[Player]:[Player]],$A9,Upload_Indiv[[Side]:[Side]],"Raintree Front",Upload_Indiv[[Excl Score]:[Excl Score]],0),"")</f>
        <v/>
      </c>
    </row>
    <row r="1729" spans="1:5" x14ac:dyDescent="0.25">
      <c r="A1729" t="s">
        <v>724</v>
      </c>
      <c r="B1729" t="s">
        <v>363</v>
      </c>
      <c r="C1729" t="s">
        <v>834</v>
      </c>
      <c r="D1729" t="s">
        <v>2178</v>
      </c>
      <c r="E1729" t="str">
        <f>IFERROR(AVERAGEIFS(Upload_Indiv[Score9],Upload_Indiv[[Player]:[Player]],$A9,Upload_Indiv[[Side]:[Side]],"Raintree Back",Upload_Indiv[[Excl Score]:[Excl Score]],0),"")</f>
        <v/>
      </c>
    </row>
    <row r="1730" spans="1:5" x14ac:dyDescent="0.25">
      <c r="A1730" t="s">
        <v>724</v>
      </c>
      <c r="B1730" t="s">
        <v>363</v>
      </c>
      <c r="C1730" t="s">
        <v>834</v>
      </c>
      <c r="D1730" t="s">
        <v>2179</v>
      </c>
      <c r="E1730" t="str">
        <f>IFERROR(AVERAGEIFS(Upload_Indiv[Score9],Upload_Indiv[[Player]:[Player]],$A10,Upload_Indiv[[Side]:[Side]],"Raintree Front",Upload_Indiv[[Excl Score]:[Excl Score]],0),"")</f>
        <v/>
      </c>
    </row>
    <row r="1731" spans="1:5" x14ac:dyDescent="0.25">
      <c r="A1731" t="s">
        <v>724</v>
      </c>
      <c r="B1731" t="s">
        <v>363</v>
      </c>
      <c r="C1731" t="s">
        <v>834</v>
      </c>
      <c r="D1731" t="s">
        <v>2180</v>
      </c>
      <c r="E1731" t="str">
        <f>IFERROR(AVERAGEIFS(Upload_Indiv[Score9],Upload_Indiv[[Player]:[Player]],$A10,Upload_Indiv[[Side]:[Side]],"Raintree Back",Upload_Indiv[[Excl Score]:[Excl Score]],0),"")</f>
        <v/>
      </c>
    </row>
    <row r="1732" spans="1:5" x14ac:dyDescent="0.25">
      <c r="A1732" t="s">
        <v>724</v>
      </c>
      <c r="B1732" t="s">
        <v>363</v>
      </c>
      <c r="C1732" t="s">
        <v>834</v>
      </c>
      <c r="D1732" t="s">
        <v>2181</v>
      </c>
      <c r="E1732" t="str">
        <f>IFERROR(AVERAGEIFS(Upload_Indiv[Score9],Upload_Indiv[[Player]:[Player]],$A11,Upload_Indiv[[Side]:[Side]],"Raintree Front",Upload_Indiv[[Excl Score]:[Excl Score]],0),"")</f>
        <v/>
      </c>
    </row>
    <row r="1733" spans="1:5" x14ac:dyDescent="0.25">
      <c r="A1733" t="s">
        <v>724</v>
      </c>
      <c r="B1733" t="s">
        <v>363</v>
      </c>
      <c r="C1733" t="s">
        <v>834</v>
      </c>
      <c r="D1733" t="s">
        <v>2182</v>
      </c>
      <c r="E1733" t="str">
        <f>IFERROR(AVERAGEIFS(Upload_Indiv[Score9],Upload_Indiv[[Player]:[Player]],$A11,Upload_Indiv[[Side]:[Side]],"Raintree Back",Upload_Indiv[[Excl Score]:[Excl Score]],0),"")</f>
        <v/>
      </c>
    </row>
    <row r="1734" spans="1:5" x14ac:dyDescent="0.25">
      <c r="A1734" t="s">
        <v>724</v>
      </c>
      <c r="B1734" t="s">
        <v>363</v>
      </c>
      <c r="C1734" t="s">
        <v>834</v>
      </c>
      <c r="D1734" t="s">
        <v>2183</v>
      </c>
      <c r="E1734" t="str">
        <f>IFERROR(AVERAGEIFS(Upload_Indiv[Score9],Upload_Indiv[[Player]:[Player]],$A12,Upload_Indiv[[Side]:[Side]],"Raintree Front",Upload_Indiv[[Excl Score]:[Excl Score]],0),"")</f>
        <v/>
      </c>
    </row>
    <row r="1735" spans="1:5" x14ac:dyDescent="0.25">
      <c r="A1735" t="s">
        <v>724</v>
      </c>
      <c r="B1735" t="s">
        <v>363</v>
      </c>
      <c r="C1735" t="s">
        <v>834</v>
      </c>
      <c r="D1735" t="s">
        <v>2184</v>
      </c>
      <c r="E1735" t="str">
        <f>IFERROR(AVERAGEIFS(Upload_Indiv[Score9],Upload_Indiv[[Player]:[Player]],$A12,Upload_Indiv[[Side]:[Side]],"Raintree Back",Upload_Indiv[[Excl Score]:[Excl Score]],0),"")</f>
        <v/>
      </c>
    </row>
    <row r="1736" spans="1:5" x14ac:dyDescent="0.25">
      <c r="A1736" t="s">
        <v>724</v>
      </c>
      <c r="B1736" t="s">
        <v>363</v>
      </c>
      <c r="C1736" t="s">
        <v>834</v>
      </c>
      <c r="D1736" t="s">
        <v>2185</v>
      </c>
      <c r="E1736" t="str">
        <f>IFERROR(AVERAGEIFS(Upload_Indiv[Score9],Upload_Indiv[[Player]:[Player]],$A13,Upload_Indiv[[Side]:[Side]],"Raintree Front",Upload_Indiv[[Excl Score]:[Excl Score]],0),"")</f>
        <v/>
      </c>
    </row>
    <row r="1737" spans="1:5" x14ac:dyDescent="0.25">
      <c r="A1737" t="s">
        <v>724</v>
      </c>
      <c r="B1737" t="s">
        <v>363</v>
      </c>
      <c r="C1737" t="s">
        <v>834</v>
      </c>
      <c r="D1737" t="s">
        <v>2186</v>
      </c>
      <c r="E1737" t="str">
        <f>IFERROR(AVERAGEIFS(Upload_Indiv[Score9],Upload_Indiv[[Player]:[Player]],$A13,Upload_Indiv[[Side]:[Side]],"Raintree Back",Upload_Indiv[[Excl Score]:[Excl Score]],0),"")</f>
        <v/>
      </c>
    </row>
    <row r="1738" spans="1:5" x14ac:dyDescent="0.25">
      <c r="A1738" t="s">
        <v>724</v>
      </c>
      <c r="B1738" t="s">
        <v>363</v>
      </c>
      <c r="C1738" t="s">
        <v>834</v>
      </c>
      <c r="D1738" t="s">
        <v>2187</v>
      </c>
      <c r="E1738" t="str">
        <f>IFERROR(AVERAGEIFS(Upload_Indiv[Score9],Upload_Indiv[[Player]:[Player]],$A14,Upload_Indiv[[Side]:[Side]],"Raintree Front",Upload_Indiv[[Excl Score]:[Excl Score]],0),"")</f>
        <v/>
      </c>
    </row>
    <row r="1739" spans="1:5" x14ac:dyDescent="0.25">
      <c r="A1739" t="s">
        <v>724</v>
      </c>
      <c r="B1739" t="s">
        <v>363</v>
      </c>
      <c r="C1739" t="s">
        <v>834</v>
      </c>
      <c r="D1739" t="s">
        <v>2188</v>
      </c>
      <c r="E1739" t="str">
        <f>IFERROR(AVERAGEIFS(Upload_Indiv[Score9],Upload_Indiv[[Player]:[Player]],$A14,Upload_Indiv[[Side]:[Side]],"Raintree Back",Upload_Indiv[[Excl Score]:[Excl Score]],0),"")</f>
        <v/>
      </c>
    </row>
    <row r="1740" spans="1:5" x14ac:dyDescent="0.25">
      <c r="A1740" t="s">
        <v>724</v>
      </c>
      <c r="B1740" t="s">
        <v>363</v>
      </c>
      <c r="C1740" t="s">
        <v>834</v>
      </c>
      <c r="D1740" t="s">
        <v>2189</v>
      </c>
      <c r="E1740" t="str">
        <f>IFERROR(AVERAGEIFS(Upload_Indiv[Score9],Upload_Indiv[[Player]:[Player]],$A15,Upload_Indiv[[Side]:[Side]],"Raintree Front",Upload_Indiv[[Excl Score]:[Excl Score]],0),"")</f>
        <v/>
      </c>
    </row>
    <row r="1741" spans="1:5" x14ac:dyDescent="0.25">
      <c r="A1741" t="s">
        <v>724</v>
      </c>
      <c r="B1741" t="s">
        <v>363</v>
      </c>
      <c r="C1741" t="s">
        <v>834</v>
      </c>
      <c r="D1741" t="s">
        <v>2190</v>
      </c>
      <c r="E1741" t="str">
        <f>IFERROR(AVERAGEIFS(Upload_Indiv[Score9],Upload_Indiv[[Player]:[Player]],$A15,Upload_Indiv[[Side]:[Side]],"Raintree Back",Upload_Indiv[[Excl Score]:[Excl Score]],0),"")</f>
        <v/>
      </c>
    </row>
    <row r="1742" spans="1:5" x14ac:dyDescent="0.25">
      <c r="A1742" t="s">
        <v>724</v>
      </c>
      <c r="B1742" t="s">
        <v>363</v>
      </c>
      <c r="C1742" t="s">
        <v>834</v>
      </c>
      <c r="D1742" t="s">
        <v>2191</v>
      </c>
      <c r="E1742" t="str">
        <f>IFERROR(AVERAGEIFS(Upload_Indiv[Score9],Upload_Indiv[[Player]:[Player]],$A16,Upload_Indiv[[Side]:[Side]],"Raintree Front",Upload_Indiv[[Excl Score]:[Excl Score]],0),"")</f>
        <v/>
      </c>
    </row>
    <row r="1743" spans="1:5" x14ac:dyDescent="0.25">
      <c r="A1743" t="s">
        <v>724</v>
      </c>
      <c r="B1743" t="s">
        <v>363</v>
      </c>
      <c r="C1743" t="s">
        <v>834</v>
      </c>
      <c r="D1743" t="s">
        <v>2192</v>
      </c>
      <c r="E1743" t="str">
        <f>IFERROR(AVERAGEIFS(Upload_Indiv[Score9],Upload_Indiv[[Player]:[Player]],$A16,Upload_Indiv[[Side]:[Side]],"Raintree Back",Upload_Indiv[[Excl Score]:[Excl Score]],0),"")</f>
        <v/>
      </c>
    </row>
    <row r="1744" spans="1:5" x14ac:dyDescent="0.25">
      <c r="A1744" t="s">
        <v>724</v>
      </c>
      <c r="B1744" t="s">
        <v>363</v>
      </c>
      <c r="C1744" t="s">
        <v>834</v>
      </c>
      <c r="D1744" t="s">
        <v>2193</v>
      </c>
      <c r="E1744" t="str">
        <f>IFERROR(AVERAGEIFS(Upload_Indiv[Score9],Upload_Indiv[[Player]:[Player]],$A17,Upload_Indiv[[Side]:[Side]],"Raintree Front",Upload_Indiv[[Excl Score]:[Excl Score]],0),"")</f>
        <v/>
      </c>
    </row>
    <row r="1745" spans="1:5" x14ac:dyDescent="0.25">
      <c r="A1745" t="s">
        <v>724</v>
      </c>
      <c r="B1745" t="s">
        <v>363</v>
      </c>
      <c r="C1745" t="s">
        <v>834</v>
      </c>
      <c r="D1745" t="s">
        <v>2194</v>
      </c>
      <c r="E1745" t="str">
        <f>IFERROR(AVERAGEIFS(Upload_Indiv[Score9],Upload_Indiv[[Player]:[Player]],$A17,Upload_Indiv[[Side]:[Side]],"Raintree Back",Upload_Indiv[[Excl Score]:[Excl Score]],0),"")</f>
        <v/>
      </c>
    </row>
    <row r="1746" spans="1:5" x14ac:dyDescent="0.25">
      <c r="A1746" t="s">
        <v>724</v>
      </c>
      <c r="B1746" t="s">
        <v>363</v>
      </c>
      <c r="C1746" t="s">
        <v>834</v>
      </c>
      <c r="D1746" t="s">
        <v>2195</v>
      </c>
      <c r="E1746" t="str">
        <f>IFERROR(AVERAGEIFS(Upload_Indiv[Score9],Upload_Indiv[[Player]:[Player]],$A18,Upload_Indiv[[Side]:[Side]],"Raintree Front",Upload_Indiv[[Excl Score]:[Excl Score]],0),"")</f>
        <v/>
      </c>
    </row>
    <row r="1747" spans="1:5" x14ac:dyDescent="0.25">
      <c r="A1747" t="s">
        <v>724</v>
      </c>
      <c r="B1747" t="s">
        <v>363</v>
      </c>
      <c r="C1747" t="s">
        <v>834</v>
      </c>
      <c r="D1747" t="s">
        <v>2196</v>
      </c>
      <c r="E1747" t="str">
        <f>IFERROR(AVERAGEIFS(Upload_Indiv[Score9],Upload_Indiv[[Player]:[Player]],$A18,Upload_Indiv[[Side]:[Side]],"Raintree Back",Upload_Indiv[[Excl Score]:[Excl Score]],0),"")</f>
        <v/>
      </c>
    </row>
    <row r="1748" spans="1:5" x14ac:dyDescent="0.25">
      <c r="A1748" t="s">
        <v>724</v>
      </c>
      <c r="B1748" t="s">
        <v>363</v>
      </c>
      <c r="C1748" t="s">
        <v>834</v>
      </c>
      <c r="D1748" t="s">
        <v>2197</v>
      </c>
      <c r="E1748" t="str">
        <f>IFERROR(AVERAGEIFS(Upload_Indiv[Score9],Upload_Indiv[[Player]:[Player]],$A19,Upload_Indiv[[Side]:[Side]],"Raintree Front",Upload_Indiv[[Excl Score]:[Excl Score]],0),"")</f>
        <v/>
      </c>
    </row>
    <row r="1749" spans="1:5" x14ac:dyDescent="0.25">
      <c r="A1749" t="s">
        <v>724</v>
      </c>
      <c r="B1749" t="s">
        <v>363</v>
      </c>
      <c r="C1749" t="s">
        <v>834</v>
      </c>
      <c r="D1749" t="s">
        <v>2198</v>
      </c>
      <c r="E1749" t="str">
        <f>IFERROR(AVERAGEIFS(Upload_Indiv[Score9],Upload_Indiv[[Player]:[Player]],$A19,Upload_Indiv[[Side]:[Side]],"Raintree Back",Upload_Indiv[[Excl Score]:[Excl Score]],0),"")</f>
        <v/>
      </c>
    </row>
    <row r="1750" spans="1:5" x14ac:dyDescent="0.25">
      <c r="A1750" t="s">
        <v>724</v>
      </c>
      <c r="B1750" t="s">
        <v>363</v>
      </c>
      <c r="C1750" t="s">
        <v>834</v>
      </c>
      <c r="D1750" t="s">
        <v>2199</v>
      </c>
      <c r="E1750" t="str">
        <f>IFERROR(AVERAGEIFS(Upload_Indiv[Score9],Upload_Indiv[[Player]:[Player]],$A20,Upload_Indiv[[Side]:[Side]],"Raintree Front",Upload_Indiv[[Excl Score]:[Excl Score]],0),"")</f>
        <v/>
      </c>
    </row>
    <row r="1751" spans="1:5" x14ac:dyDescent="0.25">
      <c r="A1751" t="s">
        <v>724</v>
      </c>
      <c r="B1751" t="s">
        <v>363</v>
      </c>
      <c r="C1751" t="s">
        <v>834</v>
      </c>
      <c r="D1751" t="s">
        <v>2200</v>
      </c>
      <c r="E1751" t="str">
        <f>IFERROR(AVERAGEIFS(Upload_Indiv[Score9],Upload_Indiv[[Player]:[Player]],$A20,Upload_Indiv[[Side]:[Side]],"Raintree Back",Upload_Indiv[[Excl Score]:[Excl Score]],0),"")</f>
        <v/>
      </c>
    </row>
    <row r="1752" spans="1:5" x14ac:dyDescent="0.25">
      <c r="A1752" t="s">
        <v>724</v>
      </c>
      <c r="B1752" t="s">
        <v>363</v>
      </c>
      <c r="C1752" t="s">
        <v>834</v>
      </c>
      <c r="D1752" t="s">
        <v>2201</v>
      </c>
      <c r="E1752" t="str">
        <f>IFERROR(AVERAGEIFS(Upload_Indiv[Score9],Upload_Indiv[[Player]:[Player]],$A21,Upload_Indiv[[Side]:[Side]],"Raintree Front",Upload_Indiv[[Excl Score]:[Excl Score]],0),"")</f>
        <v/>
      </c>
    </row>
    <row r="1753" spans="1:5" x14ac:dyDescent="0.25">
      <c r="A1753" t="s">
        <v>724</v>
      </c>
      <c r="B1753" t="s">
        <v>363</v>
      </c>
      <c r="C1753" t="s">
        <v>834</v>
      </c>
      <c r="D1753" t="s">
        <v>2202</v>
      </c>
      <c r="E1753" t="str">
        <f>IFERROR(AVERAGEIFS(Upload_Indiv[Score9],Upload_Indiv[[Player]:[Player]],$A21,Upload_Indiv[[Side]:[Side]],"Raintree Back",Upload_Indiv[[Excl Score]:[Excl Score]],0),"")</f>
        <v/>
      </c>
    </row>
    <row r="1754" spans="1:5" x14ac:dyDescent="0.25">
      <c r="A1754" t="s">
        <v>724</v>
      </c>
      <c r="B1754" t="s">
        <v>363</v>
      </c>
      <c r="C1754" t="s">
        <v>834</v>
      </c>
      <c r="D1754" t="s">
        <v>2203</v>
      </c>
      <c r="E1754" t="str">
        <f>IFERROR(AVERAGEIFS(Upload_Indiv[Score9],Upload_Indiv[[Player]:[Player]],$A22,Upload_Indiv[[Side]:[Side]],"Raintree Front",Upload_Indiv[[Excl Score]:[Excl Score]],0),"")</f>
        <v/>
      </c>
    </row>
    <row r="1755" spans="1:5" x14ac:dyDescent="0.25">
      <c r="A1755" t="s">
        <v>724</v>
      </c>
      <c r="B1755" t="s">
        <v>363</v>
      </c>
      <c r="C1755" t="s">
        <v>834</v>
      </c>
      <c r="D1755" t="s">
        <v>2204</v>
      </c>
      <c r="E1755" t="str">
        <f>IFERROR(AVERAGEIFS(Upload_Indiv[Score9],Upload_Indiv[[Player]:[Player]],$A22,Upload_Indiv[[Side]:[Side]],"Raintree Back",Upload_Indiv[[Excl Score]:[Excl Score]],0),"")</f>
        <v/>
      </c>
    </row>
    <row r="1756" spans="1:5" x14ac:dyDescent="0.25">
      <c r="A1756" t="s">
        <v>724</v>
      </c>
      <c r="B1756" t="s">
        <v>363</v>
      </c>
      <c r="C1756" t="s">
        <v>834</v>
      </c>
      <c r="D1756" t="s">
        <v>2205</v>
      </c>
      <c r="E1756" t="str">
        <f>IFERROR(AVERAGEIFS(Upload_Indiv[Score9],Upload_Indiv[[Player]:[Player]],$A23,Upload_Indiv[[Side]:[Side]],"Raintree Front",Upload_Indiv[[Excl Score]:[Excl Score]],0),"")</f>
        <v/>
      </c>
    </row>
    <row r="1757" spans="1:5" x14ac:dyDescent="0.25">
      <c r="A1757" t="s">
        <v>724</v>
      </c>
      <c r="B1757" t="s">
        <v>363</v>
      </c>
      <c r="C1757" t="s">
        <v>834</v>
      </c>
      <c r="D1757" t="s">
        <v>2206</v>
      </c>
      <c r="E1757" t="str">
        <f>IFERROR(AVERAGEIFS(Upload_Indiv[Score9],Upload_Indiv[[Player]:[Player]],$A23,Upload_Indiv[[Side]:[Side]],"Raintree Back",Upload_Indiv[[Excl Score]:[Excl Score]],0),"")</f>
        <v/>
      </c>
    </row>
    <row r="1758" spans="1:5" x14ac:dyDescent="0.25">
      <c r="A1758" t="s">
        <v>724</v>
      </c>
      <c r="B1758" t="s">
        <v>363</v>
      </c>
      <c r="C1758" t="s">
        <v>834</v>
      </c>
      <c r="D1758" t="s">
        <v>2207</v>
      </c>
      <c r="E1758" t="str">
        <f>IFERROR(AVERAGEIFS(Upload_Indiv[Score9],Upload_Indiv[[Player]:[Player]],$A24,Upload_Indiv[[Side]:[Side]],"Raintree Front",Upload_Indiv[[Excl Score]:[Excl Score]],0),"")</f>
        <v/>
      </c>
    </row>
    <row r="1759" spans="1:5" x14ac:dyDescent="0.25">
      <c r="A1759" t="s">
        <v>724</v>
      </c>
      <c r="B1759" t="s">
        <v>363</v>
      </c>
      <c r="C1759" t="s">
        <v>834</v>
      </c>
      <c r="D1759" t="s">
        <v>2208</v>
      </c>
      <c r="E1759" t="str">
        <f>IFERROR(AVERAGEIFS(Upload_Indiv[Score9],Upload_Indiv[[Player]:[Player]],$A24,Upload_Indiv[[Side]:[Side]],"Raintree Back",Upload_Indiv[[Excl Score]:[Excl Score]],0),"")</f>
        <v/>
      </c>
    </row>
    <row r="1760" spans="1:5" x14ac:dyDescent="0.25">
      <c r="A1760" t="s">
        <v>724</v>
      </c>
      <c r="B1760" t="s">
        <v>363</v>
      </c>
      <c r="C1760" t="s">
        <v>834</v>
      </c>
      <c r="D1760" t="s">
        <v>2209</v>
      </c>
      <c r="E1760" t="str">
        <f>IFERROR(AVERAGEIFS(Upload_Indiv[Score9],Upload_Indiv[[Player]:[Player]],$A25,Upload_Indiv[[Side]:[Side]],"Raintree Front",Upload_Indiv[[Excl Score]:[Excl Score]],0),"")</f>
        <v/>
      </c>
    </row>
    <row r="1761" spans="1:5" x14ac:dyDescent="0.25">
      <c r="A1761" t="s">
        <v>724</v>
      </c>
      <c r="B1761" t="s">
        <v>363</v>
      </c>
      <c r="C1761" t="s">
        <v>834</v>
      </c>
      <c r="D1761" t="s">
        <v>2210</v>
      </c>
      <c r="E1761" t="str">
        <f>IFERROR(AVERAGEIFS(Upload_Indiv[Score9],Upload_Indiv[[Player]:[Player]],$A25,Upload_Indiv[[Side]:[Side]],"Raintree Back",Upload_Indiv[[Excl Score]:[Excl Score]],0),"")</f>
        <v/>
      </c>
    </row>
    <row r="1762" spans="1:5" x14ac:dyDescent="0.25">
      <c r="A1762" t="s">
        <v>724</v>
      </c>
      <c r="B1762" t="s">
        <v>363</v>
      </c>
      <c r="C1762" t="s">
        <v>834</v>
      </c>
      <c r="D1762" t="s">
        <v>2211</v>
      </c>
      <c r="E1762" t="str">
        <f>IFERROR(AVERAGEIFS(Upload_Indiv[Score9],Upload_Indiv[[Player]:[Player]],$A26,Upload_Indiv[[Side]:[Side]],"Raintree Front",Upload_Indiv[[Excl Score]:[Excl Score]],0),"")</f>
        <v/>
      </c>
    </row>
    <row r="1763" spans="1:5" x14ac:dyDescent="0.25">
      <c r="A1763" t="s">
        <v>724</v>
      </c>
      <c r="B1763" t="s">
        <v>363</v>
      </c>
      <c r="C1763" t="s">
        <v>834</v>
      </c>
      <c r="D1763" t="s">
        <v>2212</v>
      </c>
      <c r="E1763" t="str">
        <f>IFERROR(AVERAGEIFS(Upload_Indiv[Score9],Upload_Indiv[[Player]:[Player]],$A26,Upload_Indiv[[Side]:[Side]],"Raintree Back",Upload_Indiv[[Excl Score]:[Excl Score]],0),"")</f>
        <v/>
      </c>
    </row>
    <row r="1764" spans="1:5" x14ac:dyDescent="0.25">
      <c r="A1764" t="s">
        <v>724</v>
      </c>
      <c r="B1764" t="s">
        <v>363</v>
      </c>
      <c r="C1764" t="s">
        <v>834</v>
      </c>
      <c r="D1764" t="s">
        <v>2213</v>
      </c>
      <c r="E1764" t="str">
        <f>IFERROR(AVERAGEIFS(Upload_Indiv[Score9],Upload_Indiv[[Player]:[Player]],$A27,Upload_Indiv[[Side]:[Side]],"Raintree Front",Upload_Indiv[[Excl Score]:[Excl Score]],0),"")</f>
        <v/>
      </c>
    </row>
    <row r="1765" spans="1:5" x14ac:dyDescent="0.25">
      <c r="A1765" t="s">
        <v>724</v>
      </c>
      <c r="B1765" t="s">
        <v>363</v>
      </c>
      <c r="C1765" t="s">
        <v>834</v>
      </c>
      <c r="D1765" t="s">
        <v>2214</v>
      </c>
      <c r="E1765" t="str">
        <f>IFERROR(AVERAGEIFS(Upload_Indiv[Score9],Upload_Indiv[[Player]:[Player]],$A27,Upload_Indiv[[Side]:[Side]],"Raintree Back",Upload_Indiv[[Excl Score]:[Excl Score]],0),"")</f>
        <v/>
      </c>
    </row>
    <row r="1766" spans="1:5" x14ac:dyDescent="0.25">
      <c r="A1766" t="s">
        <v>724</v>
      </c>
      <c r="B1766" t="s">
        <v>363</v>
      </c>
      <c r="C1766" t="s">
        <v>834</v>
      </c>
      <c r="D1766" t="s">
        <v>2215</v>
      </c>
      <c r="E1766" t="str">
        <f>IFERROR(AVERAGEIFS(Upload_Indiv[Score9],Upload_Indiv[[Player]:[Player]],$A28,Upload_Indiv[[Side]:[Side]],"Raintree Front",Upload_Indiv[[Excl Score]:[Excl Score]],0),"")</f>
        <v/>
      </c>
    </row>
    <row r="1767" spans="1:5" x14ac:dyDescent="0.25">
      <c r="A1767" t="s">
        <v>724</v>
      </c>
      <c r="B1767" t="s">
        <v>363</v>
      </c>
      <c r="C1767" t="s">
        <v>834</v>
      </c>
      <c r="D1767" t="s">
        <v>2216</v>
      </c>
      <c r="E1767" t="str">
        <f>IFERROR(AVERAGEIFS(Upload_Indiv[Score9],Upload_Indiv[[Player]:[Player]],$A28,Upload_Indiv[[Side]:[Side]],"Raintree Back",Upload_Indiv[[Excl Score]:[Excl Score]],0),"")</f>
        <v/>
      </c>
    </row>
    <row r="1768" spans="1:5" x14ac:dyDescent="0.25">
      <c r="A1768" t="s">
        <v>724</v>
      </c>
      <c r="B1768" t="s">
        <v>363</v>
      </c>
      <c r="C1768" t="s">
        <v>834</v>
      </c>
      <c r="D1768" t="s">
        <v>2217</v>
      </c>
      <c r="E1768" t="str">
        <f>IFERROR(AVERAGEIFS(Upload_Indiv[Score9],Upload_Indiv[[Player]:[Player]],$A29,Upload_Indiv[[Side]:[Side]],"Raintree Front",Upload_Indiv[[Excl Score]:[Excl Score]],0),"")</f>
        <v/>
      </c>
    </row>
    <row r="1769" spans="1:5" x14ac:dyDescent="0.25">
      <c r="A1769" t="s">
        <v>724</v>
      </c>
      <c r="B1769" t="s">
        <v>363</v>
      </c>
      <c r="C1769" t="s">
        <v>834</v>
      </c>
      <c r="D1769" t="s">
        <v>2218</v>
      </c>
      <c r="E1769" t="str">
        <f>IFERROR(AVERAGEIFS(Upload_Indiv[Score9],Upload_Indiv[[Player]:[Player]],$A29,Upload_Indiv[[Side]:[Side]],"Raintree Back",Upload_Indiv[[Excl Score]:[Excl Score]],0),"")</f>
        <v/>
      </c>
    </row>
    <row r="1770" spans="1:5" x14ac:dyDescent="0.25">
      <c r="A1770" t="s">
        <v>724</v>
      </c>
      <c r="B1770" t="s">
        <v>363</v>
      </c>
      <c r="C1770" t="s">
        <v>834</v>
      </c>
      <c r="D1770" t="s">
        <v>2219</v>
      </c>
      <c r="E1770" t="str">
        <f>IFERROR(AVERAGEIFS(Upload_Indiv[Score9],Upload_Indiv[[Player]:[Player]],$A30,Upload_Indiv[[Side]:[Side]],"Raintree Front",Upload_Indiv[[Excl Score]:[Excl Score]],0),"")</f>
        <v/>
      </c>
    </row>
    <row r="1771" spans="1:5" x14ac:dyDescent="0.25">
      <c r="A1771" t="s">
        <v>724</v>
      </c>
      <c r="B1771" t="s">
        <v>363</v>
      </c>
      <c r="C1771" t="s">
        <v>834</v>
      </c>
      <c r="D1771" t="s">
        <v>2220</v>
      </c>
      <c r="E1771" t="str">
        <f>IFERROR(AVERAGEIFS(Upload_Indiv[Score9],Upload_Indiv[[Player]:[Player]],$A30,Upload_Indiv[[Side]:[Side]],"Raintree Back",Upload_Indiv[[Excl Score]:[Excl Score]],0),"")</f>
        <v/>
      </c>
    </row>
    <row r="1772" spans="1:5" x14ac:dyDescent="0.25">
      <c r="A1772" t="s">
        <v>724</v>
      </c>
      <c r="B1772" t="s">
        <v>363</v>
      </c>
      <c r="C1772" t="s">
        <v>834</v>
      </c>
      <c r="D1772" t="s">
        <v>2221</v>
      </c>
      <c r="E1772" t="str">
        <f>IFERROR(AVERAGEIFS(Upload_Indiv[Score9],Upload_Indiv[[Player]:[Player]],$A31,Upload_Indiv[[Side]:[Side]],"Raintree Front",Upload_Indiv[[Excl Score]:[Excl Score]],0),"")</f>
        <v/>
      </c>
    </row>
    <row r="1773" spans="1:5" x14ac:dyDescent="0.25">
      <c r="A1773" t="s">
        <v>724</v>
      </c>
      <c r="B1773" t="s">
        <v>363</v>
      </c>
      <c r="C1773" t="s">
        <v>834</v>
      </c>
      <c r="D1773" t="s">
        <v>2222</v>
      </c>
      <c r="E1773" t="str">
        <f>IFERROR(AVERAGEIFS(Upload_Indiv[Score9],Upload_Indiv[[Player]:[Player]],$A31,Upload_Indiv[[Side]:[Side]],"Raintree Back",Upload_Indiv[[Excl Score]:[Excl Score]],0),"")</f>
        <v/>
      </c>
    </row>
    <row r="1774" spans="1:5" x14ac:dyDescent="0.25">
      <c r="A1774" t="s">
        <v>724</v>
      </c>
      <c r="B1774" t="s">
        <v>363</v>
      </c>
      <c r="C1774" t="s">
        <v>834</v>
      </c>
      <c r="D1774" t="s">
        <v>2223</v>
      </c>
      <c r="E1774" t="str">
        <f>IFERROR(AVERAGEIFS(Upload_Indiv[Score9],Upload_Indiv[[Player]:[Player]],$A32,Upload_Indiv[[Side]:[Side]],"Raintree Front",Upload_Indiv[[Excl Score]:[Excl Score]],0),"")</f>
        <v/>
      </c>
    </row>
    <row r="1775" spans="1:5" x14ac:dyDescent="0.25">
      <c r="A1775" t="s">
        <v>724</v>
      </c>
      <c r="B1775" t="s">
        <v>363</v>
      </c>
      <c r="C1775" t="s">
        <v>834</v>
      </c>
      <c r="D1775" t="s">
        <v>2224</v>
      </c>
      <c r="E1775" t="str">
        <f>IFERROR(AVERAGEIFS(Upload_Indiv[Score9],Upload_Indiv[[Player]:[Player]],$A32,Upload_Indiv[[Side]:[Side]],"Raintree Back",Upload_Indiv[[Excl Score]:[Excl Score]],0),"")</f>
        <v/>
      </c>
    </row>
    <row r="1776" spans="1:5" x14ac:dyDescent="0.25">
      <c r="A1776" t="s">
        <v>724</v>
      </c>
      <c r="B1776" t="s">
        <v>363</v>
      </c>
      <c r="C1776" t="s">
        <v>834</v>
      </c>
      <c r="D1776" t="s">
        <v>2225</v>
      </c>
      <c r="E1776" t="str">
        <f>IFERROR(AVERAGEIFS(Upload_Indiv[Score9],Upload_Indiv[[Player]:[Player]],$A33,Upload_Indiv[[Side]:[Side]],"Raintree Front",Upload_Indiv[[Excl Score]:[Excl Score]],0),"")</f>
        <v/>
      </c>
    </row>
    <row r="1777" spans="1:5" x14ac:dyDescent="0.25">
      <c r="A1777" t="s">
        <v>724</v>
      </c>
      <c r="B1777" t="s">
        <v>363</v>
      </c>
      <c r="C1777" t="s">
        <v>834</v>
      </c>
      <c r="D1777" t="s">
        <v>2226</v>
      </c>
      <c r="E1777" t="str">
        <f>IFERROR(AVERAGEIFS(Upload_Indiv[Score9],Upload_Indiv[[Player]:[Player]],$A33,Upload_Indiv[[Side]:[Side]],"Raintree Back",Upload_Indiv[[Excl Score]:[Excl Score]],0),"")</f>
        <v/>
      </c>
    </row>
    <row r="1778" spans="1:5" x14ac:dyDescent="0.25">
      <c r="A1778" t="s">
        <v>724</v>
      </c>
      <c r="B1778" t="s">
        <v>363</v>
      </c>
      <c r="C1778" t="s">
        <v>834</v>
      </c>
      <c r="D1778" t="s">
        <v>2227</v>
      </c>
      <c r="E1778" t="str">
        <f>IFERROR(AVERAGEIFS(Upload_Indiv[Score9],Upload_Indiv[[Player]:[Player]],$A34,Upload_Indiv[[Side]:[Side]],"Raintree Front",Upload_Indiv[[Excl Score]:[Excl Score]],0),"")</f>
        <v/>
      </c>
    </row>
    <row r="1779" spans="1:5" x14ac:dyDescent="0.25">
      <c r="A1779" t="s">
        <v>724</v>
      </c>
      <c r="B1779" t="s">
        <v>363</v>
      </c>
      <c r="C1779" t="s">
        <v>834</v>
      </c>
      <c r="D1779" t="s">
        <v>2228</v>
      </c>
      <c r="E1779" t="str">
        <f>IFERROR(AVERAGEIFS(Upload_Indiv[Score9],Upload_Indiv[[Player]:[Player]],$A34,Upload_Indiv[[Side]:[Side]],"Raintree Back",Upload_Indiv[[Excl Score]:[Excl Score]],0),"")</f>
        <v/>
      </c>
    </row>
    <row r="1780" spans="1:5" x14ac:dyDescent="0.25">
      <c r="A1780" t="s">
        <v>724</v>
      </c>
      <c r="B1780" t="s">
        <v>363</v>
      </c>
      <c r="C1780" t="s">
        <v>834</v>
      </c>
      <c r="D1780" t="s">
        <v>2229</v>
      </c>
      <c r="E1780" t="str">
        <f>IFERROR(AVERAGEIFS(Upload_Indiv[Score9],Upload_Indiv[[Player]:[Player]],$A35,Upload_Indiv[[Side]:[Side]],"Raintree Front",Upload_Indiv[[Excl Score]:[Excl Score]],0),"")</f>
        <v/>
      </c>
    </row>
    <row r="1781" spans="1:5" x14ac:dyDescent="0.25">
      <c r="A1781" t="s">
        <v>724</v>
      </c>
      <c r="B1781" t="s">
        <v>363</v>
      </c>
      <c r="C1781" t="s">
        <v>834</v>
      </c>
      <c r="D1781" t="s">
        <v>2230</v>
      </c>
      <c r="E1781" t="str">
        <f>IFERROR(AVERAGEIFS(Upload_Indiv[Score9],Upload_Indiv[[Player]:[Player]],$A35,Upload_Indiv[[Side]:[Side]],"Raintree Back",Upload_Indiv[[Excl Score]:[Excl Score]],0),"")</f>
        <v/>
      </c>
    </row>
    <row r="1782" spans="1:5" x14ac:dyDescent="0.25">
      <c r="A1782" t="s">
        <v>724</v>
      </c>
      <c r="B1782" t="s">
        <v>363</v>
      </c>
      <c r="C1782" t="s">
        <v>834</v>
      </c>
      <c r="D1782" t="s">
        <v>2231</v>
      </c>
      <c r="E1782" t="str">
        <f>IFERROR(AVERAGEIFS(Upload_Indiv[Score9],Upload_Indiv[[Player]:[Player]],$A36,Upload_Indiv[[Side]:[Side]],"Raintree Front",Upload_Indiv[[Excl Score]:[Excl Score]],0),"")</f>
        <v/>
      </c>
    </row>
    <row r="1783" spans="1:5" x14ac:dyDescent="0.25">
      <c r="A1783" t="s">
        <v>724</v>
      </c>
      <c r="B1783" t="s">
        <v>363</v>
      </c>
      <c r="C1783" t="s">
        <v>834</v>
      </c>
      <c r="D1783" t="s">
        <v>2232</v>
      </c>
      <c r="E1783" t="str">
        <f>IFERROR(AVERAGEIFS(Upload_Indiv[Score9],Upload_Indiv[[Player]:[Player]],$A36,Upload_Indiv[[Side]:[Side]],"Raintree Back",Upload_Indiv[[Excl Score]:[Excl Score]],0),"")</f>
        <v/>
      </c>
    </row>
    <row r="1784" spans="1:5" x14ac:dyDescent="0.25">
      <c r="A1784" t="s">
        <v>724</v>
      </c>
      <c r="B1784" t="s">
        <v>363</v>
      </c>
      <c r="C1784" t="s">
        <v>834</v>
      </c>
      <c r="D1784" t="s">
        <v>2233</v>
      </c>
    </row>
  </sheetData>
  <autoFilter ref="A1:E1" xr:uid="{12CF6178-7FE3-4604-8EAC-BF91785A7838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C902-FBC5-4171-852D-C1FC8721FB84}">
  <sheetPr codeName="Sheet33"/>
  <dimension ref="A1:E165"/>
  <sheetViews>
    <sheetView workbookViewId="0"/>
  </sheetViews>
  <sheetFormatPr defaultRowHeight="13.2" x14ac:dyDescent="0.25"/>
  <cols>
    <col min="1" max="1" width="45.21875" bestFit="1" customWidth="1"/>
    <col min="2" max="2" width="107.109375" bestFit="1" customWidth="1"/>
    <col min="3" max="3" width="40.44140625" bestFit="1" customWidth="1"/>
    <col min="4" max="4" width="8.6640625" bestFit="1" customWidth="1"/>
    <col min="5" max="5" width="9.109375" customWidth="1"/>
  </cols>
  <sheetData>
    <row r="1" spans="1:5" x14ac:dyDescent="0.25">
      <c r="A1" t="s">
        <v>12</v>
      </c>
      <c r="B1" t="s">
        <v>2251</v>
      </c>
      <c r="C1" t="s">
        <v>2252</v>
      </c>
      <c r="D1" t="s">
        <v>2253</v>
      </c>
      <c r="E1" t="s">
        <v>2559</v>
      </c>
    </row>
    <row r="2" spans="1:5" x14ac:dyDescent="0.25">
      <c r="A2" t="s">
        <v>2254</v>
      </c>
      <c r="B2" s="390" t="s">
        <v>2255</v>
      </c>
      <c r="C2" t="s">
        <v>2256</v>
      </c>
      <c r="E2" t="str">
        <f>IF(ISERROR(MATCH($A2,'Settings Documentation'!$C$2:$C$48,0)),"Legacy","")</f>
        <v>Legacy</v>
      </c>
    </row>
    <row r="3" spans="1:5" x14ac:dyDescent="0.25">
      <c r="A3" s="390" t="s">
        <v>2257</v>
      </c>
      <c r="B3" s="390" t="s">
        <v>2258</v>
      </c>
      <c r="C3" t="s">
        <v>2259</v>
      </c>
      <c r="E3" t="str">
        <f>IF(ISERROR(MATCH($A3,'Settings Documentation'!$C$2:$C$48,0)),"Legacy","")</f>
        <v>Legacy</v>
      </c>
    </row>
    <row r="4" spans="1:5" x14ac:dyDescent="0.25">
      <c r="A4" t="s">
        <v>2260</v>
      </c>
      <c r="B4" s="390" t="s">
        <v>2261</v>
      </c>
      <c r="C4" t="s">
        <v>2262</v>
      </c>
      <c r="E4" t="str">
        <f>IF(ISERROR(MATCH($A4,'Settings Documentation'!$C$2:$C$48,0)),"Legacy","")</f>
        <v>Legacy</v>
      </c>
    </row>
    <row r="5" spans="1:5" x14ac:dyDescent="0.25">
      <c r="A5" s="390" t="s">
        <v>2263</v>
      </c>
      <c r="B5" s="390" t="s">
        <v>2264</v>
      </c>
      <c r="C5" t="s">
        <v>79</v>
      </c>
      <c r="E5" t="str">
        <f>IF(ISERROR(MATCH($A5,'Settings Documentation'!$C$2:$C$48,0)),"Legacy","")</f>
        <v>Legacy</v>
      </c>
    </row>
    <row r="6" spans="1:5" x14ac:dyDescent="0.25">
      <c r="A6" t="s">
        <v>2265</v>
      </c>
      <c r="B6" s="390" t="s">
        <v>2266</v>
      </c>
      <c r="C6" t="s">
        <v>2267</v>
      </c>
      <c r="E6" t="str">
        <f>IF(ISERROR(MATCH($A6,'Settings Documentation'!$C$2:$C$48,0)),"Legacy","")</f>
        <v>Legacy</v>
      </c>
    </row>
    <row r="7" spans="1:5" x14ac:dyDescent="0.25">
      <c r="A7" t="s">
        <v>2268</v>
      </c>
      <c r="B7" s="390" t="s">
        <v>2266</v>
      </c>
      <c r="C7" t="s">
        <v>2267</v>
      </c>
      <c r="E7" t="str">
        <f>IF(ISERROR(MATCH($A7,'Settings Documentation'!$C$2:$C$48,0)),"Legacy","")</f>
        <v>Legacy</v>
      </c>
    </row>
    <row r="8" spans="1:5" x14ac:dyDescent="0.25">
      <c r="A8" t="s">
        <v>2269</v>
      </c>
      <c r="B8" s="390" t="s">
        <v>2266</v>
      </c>
      <c r="C8" t="s">
        <v>2267</v>
      </c>
      <c r="E8" t="str">
        <f>IF(ISERROR(MATCH($A8,'Settings Documentation'!$C$2:$C$48,0)),"Legacy","")</f>
        <v>Legacy</v>
      </c>
    </row>
    <row r="9" spans="1:5" x14ac:dyDescent="0.25">
      <c r="A9" t="s">
        <v>2270</v>
      </c>
      <c r="B9" s="390" t="s">
        <v>2266</v>
      </c>
      <c r="C9" t="s">
        <v>2267</v>
      </c>
      <c r="E9" t="str">
        <f>IF(ISERROR(MATCH($A9,'Settings Documentation'!$C$2:$C$48,0)),"Legacy","")</f>
        <v>Legacy</v>
      </c>
    </row>
    <row r="10" spans="1:5" x14ac:dyDescent="0.25">
      <c r="A10" t="s">
        <v>2271</v>
      </c>
      <c r="B10" s="390" t="s">
        <v>2266</v>
      </c>
      <c r="C10" t="s">
        <v>2267</v>
      </c>
      <c r="E10" t="str">
        <f>IF(ISERROR(MATCH($A10,'Settings Documentation'!$C$2:$C$48,0)),"Legacy","")</f>
        <v>Legacy</v>
      </c>
    </row>
    <row r="11" spans="1:5" x14ac:dyDescent="0.25">
      <c r="A11" t="s">
        <v>2272</v>
      </c>
      <c r="B11" s="390" t="s">
        <v>2266</v>
      </c>
      <c r="C11" t="s">
        <v>2267</v>
      </c>
      <c r="E11" t="str">
        <f>IF(ISERROR(MATCH($A11,'Settings Documentation'!$C$2:$C$48,0)),"Legacy","")</f>
        <v>Legacy</v>
      </c>
    </row>
    <row r="12" spans="1:5" x14ac:dyDescent="0.25">
      <c r="A12" t="s">
        <v>2273</v>
      </c>
      <c r="B12" s="390" t="s">
        <v>2266</v>
      </c>
      <c r="C12" t="s">
        <v>2267</v>
      </c>
      <c r="E12" t="str">
        <f>IF(ISERROR(MATCH($A12,'Settings Documentation'!$C$2:$C$48,0)),"Legacy","")</f>
        <v>Legacy</v>
      </c>
    </row>
    <row r="13" spans="1:5" x14ac:dyDescent="0.25">
      <c r="A13" t="s">
        <v>2274</v>
      </c>
      <c r="B13" s="390" t="s">
        <v>2266</v>
      </c>
      <c r="C13" t="s">
        <v>2267</v>
      </c>
      <c r="E13" t="str">
        <f>IF(ISERROR(MATCH($A13,'Settings Documentation'!$C$2:$C$48,0)),"Legacy","")</f>
        <v>Legacy</v>
      </c>
    </row>
    <row r="14" spans="1:5" x14ac:dyDescent="0.25">
      <c r="A14" t="s">
        <v>2275</v>
      </c>
      <c r="B14" s="390" t="s">
        <v>2266</v>
      </c>
      <c r="C14" t="s">
        <v>2267</v>
      </c>
      <c r="E14" t="str">
        <f>IF(ISERROR(MATCH($A14,'Settings Documentation'!$C$2:$C$48,0)),"Legacy","")</f>
        <v>Legacy</v>
      </c>
    </row>
    <row r="15" spans="1:5" x14ac:dyDescent="0.25">
      <c r="A15" t="s">
        <v>2276</v>
      </c>
      <c r="B15" s="390" t="s">
        <v>2266</v>
      </c>
      <c r="C15" t="s">
        <v>2267</v>
      </c>
      <c r="E15" t="str">
        <f>IF(ISERROR(MATCH($A15,'Settings Documentation'!$C$2:$C$48,0)),"Legacy","")</f>
        <v>Legacy</v>
      </c>
    </row>
    <row r="16" spans="1:5" x14ac:dyDescent="0.25">
      <c r="A16" t="s">
        <v>2277</v>
      </c>
      <c r="B16" s="390" t="s">
        <v>2266</v>
      </c>
      <c r="C16" t="s">
        <v>2267</v>
      </c>
      <c r="E16" t="str">
        <f>IF(ISERROR(MATCH($A16,'Settings Documentation'!$C$2:$C$48,0)),"Legacy","")</f>
        <v>Legacy</v>
      </c>
    </row>
    <row r="17" spans="1:5" x14ac:dyDescent="0.25">
      <c r="A17" t="s">
        <v>2499</v>
      </c>
      <c r="B17" s="390" t="s">
        <v>2544</v>
      </c>
      <c r="C17" t="s">
        <v>2267</v>
      </c>
      <c r="E17" t="str">
        <f>IF(ISERROR(MATCH($A17,'Settings Documentation'!$C$2:$C$48,0)),"Legacy","")</f>
        <v/>
      </c>
    </row>
    <row r="18" spans="1:5" x14ac:dyDescent="0.25">
      <c r="A18" t="s">
        <v>686</v>
      </c>
      <c r="B18" s="390" t="s">
        <v>2545</v>
      </c>
      <c r="C18" t="s">
        <v>2267</v>
      </c>
      <c r="E18" t="str">
        <f>IF(ISERROR(MATCH($A18,'Settings Documentation'!$C$2:$C$48,0)),"Legacy","")</f>
        <v>Legacy</v>
      </c>
    </row>
    <row r="19" spans="1:5" x14ac:dyDescent="0.25">
      <c r="A19" t="s">
        <v>2531</v>
      </c>
      <c r="B19" s="390" t="s">
        <v>2546</v>
      </c>
      <c r="C19" t="s">
        <v>2267</v>
      </c>
      <c r="E19" t="str">
        <f>IF(ISERROR(MATCH($A19,'Settings Documentation'!$C$2:$C$48,0)),"Legacy","")</f>
        <v/>
      </c>
    </row>
    <row r="20" spans="1:5" x14ac:dyDescent="0.25">
      <c r="A20" t="s">
        <v>50</v>
      </c>
      <c r="B20" s="390" t="s">
        <v>2279</v>
      </c>
      <c r="C20" t="s">
        <v>2267</v>
      </c>
      <c r="E20" t="str">
        <f>IF(ISERROR(MATCH($A20,'Settings Documentation'!$C$2:$C$48,0)),"Legacy","")</f>
        <v>Legacy</v>
      </c>
    </row>
    <row r="21" spans="1:5" x14ac:dyDescent="0.25">
      <c r="A21" t="s">
        <v>2502</v>
      </c>
      <c r="B21" s="390" t="s">
        <v>2547</v>
      </c>
      <c r="C21" t="s">
        <v>2267</v>
      </c>
      <c r="E21" t="str">
        <f>IF(ISERROR(MATCH($A21,'Settings Documentation'!$C$2:$C$48,0)),"Legacy","")</f>
        <v/>
      </c>
    </row>
    <row r="22" spans="1:5" x14ac:dyDescent="0.25">
      <c r="A22" t="s">
        <v>2543</v>
      </c>
      <c r="B22" s="390" t="s">
        <v>2548</v>
      </c>
      <c r="C22" t="s">
        <v>2267</v>
      </c>
      <c r="E22" t="str">
        <f>IF(ISERROR(MATCH($A22,'Settings Documentation'!$C$2:$C$48,0)),"Legacy","")</f>
        <v/>
      </c>
    </row>
    <row r="23" spans="1:5" x14ac:dyDescent="0.25">
      <c r="A23" t="s">
        <v>2541</v>
      </c>
      <c r="B23" s="390" t="s">
        <v>2356</v>
      </c>
      <c r="C23" t="s">
        <v>2267</v>
      </c>
      <c r="E23" t="str">
        <f>IF(ISERROR(MATCH($A23,'Settings Documentation'!$C$2:$C$48,0)),"Legacy","")</f>
        <v/>
      </c>
    </row>
    <row r="24" spans="1:5" x14ac:dyDescent="0.25">
      <c r="A24" t="s">
        <v>2500</v>
      </c>
      <c r="B24" s="390" t="s">
        <v>2549</v>
      </c>
      <c r="C24" t="s">
        <v>2267</v>
      </c>
      <c r="E24" t="str">
        <f>IF(ISERROR(MATCH($A24,'Settings Documentation'!$C$2:$C$48,0)),"Legacy","")</f>
        <v/>
      </c>
    </row>
    <row r="25" spans="1:5" x14ac:dyDescent="0.25">
      <c r="A25" t="s">
        <v>2501</v>
      </c>
      <c r="B25" s="390" t="s">
        <v>2550</v>
      </c>
      <c r="C25" t="s">
        <v>2267</v>
      </c>
      <c r="E25" t="str">
        <f>IF(ISERROR(MATCH($A25,'Settings Documentation'!$C$2:$C$48,0)),"Legacy","")</f>
        <v/>
      </c>
    </row>
    <row r="26" spans="1:5" x14ac:dyDescent="0.25">
      <c r="A26" t="s">
        <v>647</v>
      </c>
      <c r="B26" s="390" t="s">
        <v>2280</v>
      </c>
      <c r="C26" t="s">
        <v>2267</v>
      </c>
      <c r="E26" t="str">
        <f>IF(ISERROR(MATCH($A26,'Settings Documentation'!$C$2:$C$48,0)),"Legacy","")</f>
        <v/>
      </c>
    </row>
    <row r="27" spans="1:5" x14ac:dyDescent="0.25">
      <c r="A27" t="s">
        <v>51</v>
      </c>
      <c r="B27" s="390" t="s">
        <v>2281</v>
      </c>
      <c r="C27" t="s">
        <v>2267</v>
      </c>
      <c r="E27" t="str">
        <f>IF(ISERROR(MATCH($A27,'Settings Documentation'!$C$2:$C$48,0)),"Legacy","")</f>
        <v>Legacy</v>
      </c>
    </row>
    <row r="28" spans="1:5" x14ac:dyDescent="0.25">
      <c r="A28" t="s">
        <v>2517</v>
      </c>
      <c r="B28" s="390" t="s">
        <v>2551</v>
      </c>
      <c r="C28" t="s">
        <v>2267</v>
      </c>
      <c r="E28" t="str">
        <f>IF(ISERROR(MATCH($A28,'Settings Documentation'!$C$2:$C$48,0)),"Legacy","")</f>
        <v/>
      </c>
    </row>
    <row r="29" spans="1:5" x14ac:dyDescent="0.25">
      <c r="A29" t="s">
        <v>710</v>
      </c>
      <c r="B29" s="390" t="s">
        <v>2377</v>
      </c>
      <c r="C29" t="s">
        <v>2267</v>
      </c>
      <c r="E29" t="str">
        <f>IF(ISERROR(MATCH($A29,'Settings Documentation'!$C$2:$C$48,0)),"Legacy","")</f>
        <v/>
      </c>
    </row>
    <row r="30" spans="1:5" x14ac:dyDescent="0.25">
      <c r="A30" t="s">
        <v>671</v>
      </c>
      <c r="B30" s="390" t="s">
        <v>2283</v>
      </c>
      <c r="C30" t="s">
        <v>2267</v>
      </c>
      <c r="E30" t="str">
        <f>IF(ISERROR(MATCH($A30,'Settings Documentation'!$C$2:$C$48,0)),"Legacy","")</f>
        <v>Legacy</v>
      </c>
    </row>
    <row r="31" spans="1:5" x14ac:dyDescent="0.25">
      <c r="A31" t="s">
        <v>713</v>
      </c>
      <c r="B31" s="390" t="s">
        <v>2552</v>
      </c>
      <c r="C31" t="s">
        <v>2267</v>
      </c>
      <c r="E31" t="str">
        <f>IF(ISERROR(MATCH($A31,'Settings Documentation'!$C$2:$C$48,0)),"Legacy","")</f>
        <v/>
      </c>
    </row>
    <row r="32" spans="1:5" x14ac:dyDescent="0.25">
      <c r="A32" t="s">
        <v>2284</v>
      </c>
      <c r="B32" s="390" t="s">
        <v>2285</v>
      </c>
      <c r="C32" t="s">
        <v>2286</v>
      </c>
      <c r="E32" t="str">
        <f>IF(ISERROR(MATCH($A32,'Settings Documentation'!$C$2:$C$48,0)),"Legacy","")</f>
        <v>Legacy</v>
      </c>
    </row>
    <row r="33" spans="1:5" x14ac:dyDescent="0.25">
      <c r="A33" t="s">
        <v>2287</v>
      </c>
      <c r="B33" s="390" t="s">
        <v>2288</v>
      </c>
      <c r="C33" t="s">
        <v>2289</v>
      </c>
      <c r="E33" t="str">
        <f>IF(ISERROR(MATCH($A33,'Settings Documentation'!$C$2:$C$48,0)),"Legacy","")</f>
        <v>Legacy</v>
      </c>
    </row>
    <row r="34" spans="1:5" x14ac:dyDescent="0.25">
      <c r="A34" t="s">
        <v>2290</v>
      </c>
      <c r="B34" s="390" t="s">
        <v>2291</v>
      </c>
      <c r="C34" t="s">
        <v>2292</v>
      </c>
      <c r="E34" t="str">
        <f>IF(ISERROR(MATCH($A34,'Settings Documentation'!$C$2:$C$48,0)),"Legacy","")</f>
        <v>Legacy</v>
      </c>
    </row>
    <row r="35" spans="1:5" x14ac:dyDescent="0.25">
      <c r="A35" t="s">
        <v>2293</v>
      </c>
      <c r="B35" s="390" t="s">
        <v>2294</v>
      </c>
      <c r="C35" t="s">
        <v>2295</v>
      </c>
      <c r="E35" t="str">
        <f>IF(ISERROR(MATCH($A35,'Settings Documentation'!$C$2:$C$48,0)),"Legacy","")</f>
        <v>Legacy</v>
      </c>
    </row>
    <row r="36" spans="1:5" x14ac:dyDescent="0.25">
      <c r="A36" t="s">
        <v>2296</v>
      </c>
      <c r="B36" s="390" t="s">
        <v>2297</v>
      </c>
      <c r="C36" t="s">
        <v>2298</v>
      </c>
      <c r="E36" t="str">
        <f>IF(ISERROR(MATCH($A36,'Settings Documentation'!$C$2:$C$48,0)),"Legacy","")</f>
        <v>Legacy</v>
      </c>
    </row>
    <row r="37" spans="1:5" x14ac:dyDescent="0.25">
      <c r="A37" t="s">
        <v>2299</v>
      </c>
      <c r="B37" s="390" t="s">
        <v>2300</v>
      </c>
      <c r="C37" t="s">
        <v>2301</v>
      </c>
      <c r="E37" t="str">
        <f>IF(ISERROR(MATCH($A37,'Settings Documentation'!$C$2:$C$48,0)),"Legacy","")</f>
        <v>Legacy</v>
      </c>
    </row>
    <row r="38" spans="1:5" x14ac:dyDescent="0.25">
      <c r="A38" t="s">
        <v>690</v>
      </c>
      <c r="B38" s="390" t="s">
        <v>2319</v>
      </c>
      <c r="C38" t="s">
        <v>2267</v>
      </c>
      <c r="E38" t="str">
        <f>IF(ISERROR(MATCH($A38,'Settings Documentation'!$C$2:$C$48,0)),"Legacy","")</f>
        <v>Legacy</v>
      </c>
    </row>
    <row r="39" spans="1:5" x14ac:dyDescent="0.25">
      <c r="A39" t="s">
        <v>2244</v>
      </c>
      <c r="B39" s="390" t="s">
        <v>2302</v>
      </c>
      <c r="C39" t="s">
        <v>2267</v>
      </c>
      <c r="E39" t="str">
        <f>IF(ISERROR(MATCH($A39,'Settings Documentation'!$C$2:$C$48,0)),"Legacy","")</f>
        <v/>
      </c>
    </row>
    <row r="40" spans="1:5" x14ac:dyDescent="0.25">
      <c r="A40" t="s">
        <v>673</v>
      </c>
      <c r="B40" s="390" t="s">
        <v>2303</v>
      </c>
      <c r="C40" t="s">
        <v>2267</v>
      </c>
      <c r="E40" t="str">
        <f>IF(ISERROR(MATCH($A40,'Settings Documentation'!$C$2:$C$48,0)),"Legacy","")</f>
        <v/>
      </c>
    </row>
    <row r="41" spans="1:5" x14ac:dyDescent="0.25">
      <c r="A41" t="s">
        <v>2247</v>
      </c>
      <c r="B41" s="390" t="s">
        <v>2304</v>
      </c>
      <c r="C41" t="s">
        <v>2267</v>
      </c>
      <c r="E41" t="str">
        <f>IF(ISERROR(MATCH($A41,'Settings Documentation'!$C$2:$C$48,0)),"Legacy","")</f>
        <v/>
      </c>
    </row>
    <row r="42" spans="1:5" x14ac:dyDescent="0.25">
      <c r="A42" t="s">
        <v>2240</v>
      </c>
      <c r="B42" s="390" t="s">
        <v>2305</v>
      </c>
      <c r="C42" t="s">
        <v>2267</v>
      </c>
      <c r="E42" t="str">
        <f>IF(ISERROR(MATCH($A42,'Settings Documentation'!$C$2:$C$48,0)),"Legacy","")</f>
        <v/>
      </c>
    </row>
    <row r="43" spans="1:5" x14ac:dyDescent="0.25">
      <c r="A43" t="s">
        <v>2242</v>
      </c>
      <c r="B43" s="390" t="s">
        <v>2306</v>
      </c>
      <c r="C43" t="s">
        <v>2267</v>
      </c>
      <c r="E43" t="str">
        <f>IF(ISERROR(MATCH($A43,'Settings Documentation'!$C$2:$C$48,0)),"Legacy","")</f>
        <v/>
      </c>
    </row>
    <row r="44" spans="1:5" x14ac:dyDescent="0.25">
      <c r="A44" t="s">
        <v>2524</v>
      </c>
      <c r="B44" s="390" t="s">
        <v>2553</v>
      </c>
      <c r="C44" t="s">
        <v>2267</v>
      </c>
      <c r="E44" t="str">
        <f>IF(ISERROR(MATCH($A44,'Settings Documentation'!$C$2:$C$48,0)),"Legacy","")</f>
        <v>Legacy</v>
      </c>
    </row>
    <row r="45" spans="1:5" x14ac:dyDescent="0.25">
      <c r="A45" t="s">
        <v>2523</v>
      </c>
      <c r="B45" s="390" t="s">
        <v>2554</v>
      </c>
      <c r="C45" t="s">
        <v>2267</v>
      </c>
      <c r="E45" t="str">
        <f>IF(ISERROR(MATCH($A45,'Settings Documentation'!$C$2:$C$48,0)),"Legacy","")</f>
        <v>Legacy</v>
      </c>
    </row>
    <row r="46" spans="1:5" ht="26.4" x14ac:dyDescent="0.25">
      <c r="A46" t="s">
        <v>2308</v>
      </c>
      <c r="B46" s="391" t="s">
        <v>2309</v>
      </c>
      <c r="C46" t="s">
        <v>2267</v>
      </c>
      <c r="E46" t="str">
        <f>IF(ISERROR(MATCH($A46,'Settings Documentation'!$C$2:$C$48,0)),"Legacy","")</f>
        <v>Legacy</v>
      </c>
    </row>
    <row r="47" spans="1:5" x14ac:dyDescent="0.25">
      <c r="A47" t="s">
        <v>2310</v>
      </c>
      <c r="B47" s="390" t="s">
        <v>2311</v>
      </c>
      <c r="C47" t="s">
        <v>2267</v>
      </c>
      <c r="E47" t="str">
        <f>IF(ISERROR(MATCH($A47,'Settings Documentation'!$C$2:$C$48,0)),"Legacy","")</f>
        <v>Legacy</v>
      </c>
    </row>
    <row r="48" spans="1:5" x14ac:dyDescent="0.25">
      <c r="A48" t="s">
        <v>633</v>
      </c>
      <c r="B48" s="390" t="s">
        <v>2312</v>
      </c>
      <c r="C48" t="s">
        <v>2267</v>
      </c>
      <c r="E48" t="str">
        <f>IF(ISERROR(MATCH($A48,'Settings Documentation'!$C$2:$C$48,0)),"Legacy","")</f>
        <v>Legacy</v>
      </c>
    </row>
    <row r="49" spans="1:5" x14ac:dyDescent="0.25">
      <c r="A49" t="s">
        <v>2313</v>
      </c>
      <c r="B49" s="390" t="s">
        <v>2314</v>
      </c>
      <c r="C49" t="s">
        <v>2267</v>
      </c>
      <c r="E49" t="str">
        <f>IF(ISERROR(MATCH($A49,'Settings Documentation'!$C$2:$C$48,0)),"Legacy","")</f>
        <v>Legacy</v>
      </c>
    </row>
    <row r="50" spans="1:5" x14ac:dyDescent="0.25">
      <c r="A50" t="s">
        <v>2315</v>
      </c>
      <c r="B50" s="390" t="s">
        <v>2316</v>
      </c>
      <c r="C50" t="s">
        <v>2267</v>
      </c>
      <c r="E50" t="str">
        <f>IF(ISERROR(MATCH($A50,'Settings Documentation'!$C$2:$C$48,0)),"Legacy","")</f>
        <v>Legacy</v>
      </c>
    </row>
    <row r="51" spans="1:5" x14ac:dyDescent="0.25">
      <c r="A51" t="s">
        <v>2317</v>
      </c>
      <c r="B51" s="390" t="s">
        <v>2318</v>
      </c>
      <c r="C51" t="s">
        <v>2267</v>
      </c>
      <c r="E51" t="str">
        <f>IF(ISERROR(MATCH($A51,'Settings Documentation'!$C$2:$C$48,0)),"Legacy","")</f>
        <v>Legacy</v>
      </c>
    </row>
    <row r="52" spans="1:5" x14ac:dyDescent="0.25">
      <c r="A52" t="s">
        <v>682</v>
      </c>
      <c r="B52" s="390" t="s">
        <v>2378</v>
      </c>
      <c r="C52" t="s">
        <v>2267</v>
      </c>
      <c r="E52" t="str">
        <f>IF(ISERROR(MATCH($A52,'Settings Documentation'!$C$2:$C$48,0)),"Legacy","")</f>
        <v>Legacy</v>
      </c>
    </row>
    <row r="53" spans="1:5" x14ac:dyDescent="0.25">
      <c r="A53" s="390" t="s">
        <v>2320</v>
      </c>
      <c r="B53" s="390" t="s">
        <v>2321</v>
      </c>
      <c r="C53" t="s">
        <v>2322</v>
      </c>
      <c r="E53" t="str">
        <f>IF(ISERROR(MATCH($A53,'Settings Documentation'!$C$2:$C$48,0)),"Legacy","")</f>
        <v>Legacy</v>
      </c>
    </row>
    <row r="54" spans="1:5" x14ac:dyDescent="0.25">
      <c r="A54" t="s">
        <v>584</v>
      </c>
      <c r="B54" s="390" t="s">
        <v>2324</v>
      </c>
      <c r="C54" t="s">
        <v>2267</v>
      </c>
      <c r="E54" t="str">
        <f>IF(ISERROR(MATCH($A54,'Settings Documentation'!$C$2:$C$48,0)),"Legacy","")</f>
        <v/>
      </c>
    </row>
    <row r="55" spans="1:5" x14ac:dyDescent="0.25">
      <c r="A55" t="s">
        <v>580</v>
      </c>
      <c r="B55" s="390" t="s">
        <v>2465</v>
      </c>
      <c r="C55" t="s">
        <v>2267</v>
      </c>
      <c r="E55" t="str">
        <f>IF(ISERROR(MATCH($A55,'Settings Documentation'!$C$2:$C$48,0)),"Legacy","")</f>
        <v/>
      </c>
    </row>
    <row r="56" spans="1:5" x14ac:dyDescent="0.25">
      <c r="A56" t="s">
        <v>668</v>
      </c>
      <c r="B56" s="390" t="s">
        <v>2325</v>
      </c>
      <c r="C56" t="s">
        <v>2267</v>
      </c>
      <c r="E56" t="str">
        <f>IF(ISERROR(MATCH($A56,'Settings Documentation'!$C$2:$C$48,0)),"Legacy","")</f>
        <v>Legacy</v>
      </c>
    </row>
    <row r="57" spans="1:5" x14ac:dyDescent="0.25">
      <c r="A57" t="s">
        <v>676</v>
      </c>
      <c r="B57" s="390" t="s">
        <v>2326</v>
      </c>
      <c r="C57" t="s">
        <v>2267</v>
      </c>
      <c r="E57" t="str">
        <f>IF(ISERROR(MATCH($A57,'Settings Documentation'!$C$2:$C$48,0)),"Legacy","")</f>
        <v/>
      </c>
    </row>
    <row r="58" spans="1:5" x14ac:dyDescent="0.25">
      <c r="A58" t="s">
        <v>2327</v>
      </c>
      <c r="B58" s="390" t="s">
        <v>2328</v>
      </c>
      <c r="C58" t="s">
        <v>2267</v>
      </c>
      <c r="E58" t="str">
        <f>IF(ISERROR(MATCH($A58,'Settings Documentation'!$C$2:$C$48,0)),"Legacy","")</f>
        <v>Legacy</v>
      </c>
    </row>
    <row r="59" spans="1:5" x14ac:dyDescent="0.25">
      <c r="A59" s="390" t="s">
        <v>2329</v>
      </c>
      <c r="B59" s="390" t="s">
        <v>2330</v>
      </c>
      <c r="C59" t="s">
        <v>2322</v>
      </c>
      <c r="E59" t="str">
        <f>IF(ISERROR(MATCH($A59,'Settings Documentation'!$C$2:$C$48,0)),"Legacy","")</f>
        <v>Legacy</v>
      </c>
    </row>
    <row r="60" spans="1:5" x14ac:dyDescent="0.25">
      <c r="A60" t="s">
        <v>640</v>
      </c>
      <c r="B60" s="390" t="s">
        <v>2331</v>
      </c>
      <c r="C60" t="s">
        <v>2267</v>
      </c>
      <c r="E60" t="str">
        <f>IF(ISERROR(MATCH($A60,'Settings Documentation'!$C$2:$C$48,0)),"Legacy","")</f>
        <v>Legacy</v>
      </c>
    </row>
    <row r="61" spans="1:5" x14ac:dyDescent="0.25">
      <c r="A61" t="s">
        <v>701</v>
      </c>
      <c r="B61" s="390" t="s">
        <v>2555</v>
      </c>
      <c r="C61" t="s">
        <v>2267</v>
      </c>
      <c r="E61" t="str">
        <f>IF(ISERROR(MATCH($A61,'Settings Documentation'!$C$2:$C$48,0)),"Legacy","")</f>
        <v/>
      </c>
    </row>
    <row r="62" spans="1:5" x14ac:dyDescent="0.25">
      <c r="A62" t="s">
        <v>2522</v>
      </c>
      <c r="B62" s="390" t="s">
        <v>2556</v>
      </c>
      <c r="C62" t="s">
        <v>2267</v>
      </c>
      <c r="E62" t="str">
        <f>IF(ISERROR(MATCH($A62,'Settings Documentation'!$C$2:$C$48,0)),"Legacy","")</f>
        <v>Legacy</v>
      </c>
    </row>
    <row r="63" spans="1:5" x14ac:dyDescent="0.25">
      <c r="A63" t="s">
        <v>2521</v>
      </c>
      <c r="B63" s="390" t="s">
        <v>2557</v>
      </c>
      <c r="C63" t="s">
        <v>2267</v>
      </c>
      <c r="E63" t="str">
        <f>IF(ISERROR(MATCH($A63,'Settings Documentation'!$C$2:$C$48,0)),"Legacy","")</f>
        <v>Legacy</v>
      </c>
    </row>
    <row r="64" spans="1:5" x14ac:dyDescent="0.25">
      <c r="A64" t="s">
        <v>49</v>
      </c>
      <c r="B64" s="390" t="s">
        <v>2333</v>
      </c>
      <c r="C64" t="s">
        <v>2267</v>
      </c>
      <c r="E64" t="str">
        <f>IF(ISERROR(MATCH($A64,'Settings Documentation'!$C$2:$C$48,0)),"Legacy","")</f>
        <v>Legacy</v>
      </c>
    </row>
    <row r="65" spans="1:5" x14ac:dyDescent="0.25">
      <c r="A65" t="s">
        <v>663</v>
      </c>
      <c r="B65" s="390" t="s">
        <v>2334</v>
      </c>
      <c r="C65" t="s">
        <v>2267</v>
      </c>
      <c r="E65" t="str">
        <f>IF(ISERROR(MATCH($A65,'Settings Documentation'!$C$2:$C$48,0)),"Legacy","")</f>
        <v>Legacy</v>
      </c>
    </row>
    <row r="66" spans="1:5" x14ac:dyDescent="0.25">
      <c r="A66" t="s">
        <v>660</v>
      </c>
      <c r="B66" s="390" t="s">
        <v>2335</v>
      </c>
      <c r="C66" t="s">
        <v>2267</v>
      </c>
      <c r="E66" t="str">
        <f>IF(ISERROR(MATCH($A66,'Settings Documentation'!$C$2:$C$48,0)),"Legacy","")</f>
        <v>Legacy</v>
      </c>
    </row>
    <row r="67" spans="1:5" x14ac:dyDescent="0.25">
      <c r="A67" t="s">
        <v>657</v>
      </c>
      <c r="B67" s="390" t="s">
        <v>2336</v>
      </c>
      <c r="C67" t="s">
        <v>2267</v>
      </c>
      <c r="E67" t="str">
        <f>IF(ISERROR(MATCH($A67,'Settings Documentation'!$C$2:$C$48,0)),"Legacy","")</f>
        <v>Legacy</v>
      </c>
    </row>
    <row r="68" spans="1:5" x14ac:dyDescent="0.25">
      <c r="A68" t="s">
        <v>653</v>
      </c>
      <c r="B68" s="390" t="s">
        <v>2337</v>
      </c>
      <c r="C68" t="s">
        <v>2267</v>
      </c>
      <c r="E68" t="str">
        <f>IF(ISERROR(MATCH($A68,'Settings Documentation'!$C$2:$C$48,0)),"Legacy","")</f>
        <v>Legacy</v>
      </c>
    </row>
    <row r="69" spans="1:5" x14ac:dyDescent="0.25">
      <c r="A69" t="s">
        <v>667</v>
      </c>
      <c r="B69" s="390" t="s">
        <v>2338</v>
      </c>
      <c r="C69" t="s">
        <v>2267</v>
      </c>
      <c r="E69" t="str">
        <f>IF(ISERROR(MATCH($A69,'Settings Documentation'!$C$2:$C$48,0)),"Legacy","")</f>
        <v>Legacy</v>
      </c>
    </row>
    <row r="70" spans="1:5" x14ac:dyDescent="0.25">
      <c r="A70" t="s">
        <v>665</v>
      </c>
      <c r="B70" s="390" t="s">
        <v>2339</v>
      </c>
      <c r="C70" t="s">
        <v>2267</v>
      </c>
      <c r="E70" t="str">
        <f>IF(ISERROR(MATCH($A70,'Settings Documentation'!$C$2:$C$48,0)),"Legacy","")</f>
        <v>Legacy</v>
      </c>
    </row>
    <row r="71" spans="1:5" x14ac:dyDescent="0.25">
      <c r="A71" s="390" t="s">
        <v>2340</v>
      </c>
      <c r="B71" s="390" t="s">
        <v>2341</v>
      </c>
      <c r="C71" t="s">
        <v>2342</v>
      </c>
      <c r="E71" t="str">
        <f>IF(ISERROR(MATCH($A71,'Settings Documentation'!$C$2:$C$48,0)),"Legacy","")</f>
        <v>Legacy</v>
      </c>
    </row>
    <row r="72" spans="1:5" x14ac:dyDescent="0.25">
      <c r="A72" s="390" t="s">
        <v>2343</v>
      </c>
      <c r="B72" s="390" t="s">
        <v>2344</v>
      </c>
      <c r="C72" t="s">
        <v>89</v>
      </c>
      <c r="E72" t="str">
        <f>IF(ISERROR(MATCH($A72,'Settings Documentation'!$C$2:$C$48,0)),"Legacy","")</f>
        <v>Legacy</v>
      </c>
    </row>
    <row r="73" spans="1:5" x14ac:dyDescent="0.25">
      <c r="A73" t="s">
        <v>2345</v>
      </c>
      <c r="B73" s="390" t="s">
        <v>2346</v>
      </c>
      <c r="C73" t="s">
        <v>2347</v>
      </c>
      <c r="E73" t="str">
        <f>IF(ISERROR(MATCH($A73,'Settings Documentation'!$C$2:$C$48,0)),"Legacy","")</f>
        <v>Legacy</v>
      </c>
    </row>
    <row r="74" spans="1:5" x14ac:dyDescent="0.25">
      <c r="A74" t="s">
        <v>2348</v>
      </c>
      <c r="B74" s="390" t="s">
        <v>2349</v>
      </c>
      <c r="C74" t="s">
        <v>2262</v>
      </c>
      <c r="E74" t="str">
        <f>IF(ISERROR(MATCH($A74,'Settings Documentation'!$C$2:$C$48,0)),"Legacy","")</f>
        <v>Legacy</v>
      </c>
    </row>
    <row r="75" spans="1:5" x14ac:dyDescent="0.25">
      <c r="A75" s="390" t="s">
        <v>2350</v>
      </c>
      <c r="B75" s="390" t="s">
        <v>2351</v>
      </c>
      <c r="C75" t="s">
        <v>79</v>
      </c>
      <c r="E75" t="str">
        <f>IF(ISERROR(MATCH($A75,'Settings Documentation'!$C$2:$C$48,0)),"Legacy","")</f>
        <v>Legacy</v>
      </c>
    </row>
    <row r="76" spans="1:5" x14ac:dyDescent="0.25">
      <c r="A76" t="s">
        <v>2352</v>
      </c>
      <c r="B76" s="390" t="s">
        <v>2353</v>
      </c>
      <c r="C76" t="s">
        <v>2262</v>
      </c>
      <c r="E76" t="str">
        <f>IF(ISERROR(MATCH($A76,'Settings Documentation'!$C$2:$C$48,0)),"Legacy","")</f>
        <v>Legacy</v>
      </c>
    </row>
    <row r="77" spans="1:5" x14ac:dyDescent="0.25">
      <c r="A77" t="s">
        <v>2354</v>
      </c>
      <c r="B77" s="390" t="s">
        <v>2355</v>
      </c>
      <c r="C77" t="s">
        <v>2267</v>
      </c>
      <c r="E77" t="str">
        <f>IF(ISERROR(MATCH($A77,'Settings Documentation'!$C$2:$C$48,0)),"Legacy","")</f>
        <v>Legacy</v>
      </c>
    </row>
    <row r="78" spans="1:5" x14ac:dyDescent="0.25">
      <c r="A78" t="s">
        <v>716</v>
      </c>
      <c r="B78" s="390" t="s">
        <v>2282</v>
      </c>
      <c r="C78" t="s">
        <v>2267</v>
      </c>
      <c r="E78" t="str">
        <f>IF(ISERROR(MATCH($A78,'Settings Documentation'!$C$2:$C$48,0)),"Legacy","")</f>
        <v/>
      </c>
    </row>
    <row r="79" spans="1:5" x14ac:dyDescent="0.25">
      <c r="A79" t="s">
        <v>650</v>
      </c>
      <c r="B79" s="390" t="s">
        <v>2357</v>
      </c>
      <c r="C79" t="s">
        <v>2267</v>
      </c>
      <c r="E79" t="str">
        <f>IF(ISERROR(MATCH($A79,'Settings Documentation'!$C$2:$C$48,0)),"Legacy","")</f>
        <v>Legacy</v>
      </c>
    </row>
    <row r="80" spans="1:5" x14ac:dyDescent="0.25">
      <c r="A80" t="s">
        <v>2358</v>
      </c>
      <c r="B80" s="390" t="s">
        <v>2359</v>
      </c>
      <c r="C80" t="s">
        <v>2267</v>
      </c>
      <c r="E80" t="str">
        <f>IF(ISERROR(MATCH($A80,'Settings Documentation'!$C$2:$C$48,0)),"Legacy","")</f>
        <v>Legacy</v>
      </c>
    </row>
    <row r="81" spans="1:5" x14ac:dyDescent="0.25">
      <c r="A81" t="s">
        <v>2360</v>
      </c>
      <c r="B81" s="390" t="s">
        <v>2361</v>
      </c>
      <c r="C81" t="s">
        <v>2267</v>
      </c>
      <c r="E81" t="str">
        <f>IF(ISERROR(MATCH($A81,'Settings Documentation'!$C$2:$C$48,0)),"Legacy","")</f>
        <v>Legacy</v>
      </c>
    </row>
    <row r="82" spans="1:5" x14ac:dyDescent="0.25">
      <c r="A82" t="s">
        <v>2362</v>
      </c>
      <c r="B82" s="390" t="s">
        <v>2363</v>
      </c>
      <c r="C82" t="s">
        <v>2267</v>
      </c>
      <c r="E82" t="str">
        <f>IF(ISERROR(MATCH($A82,'Settings Documentation'!$C$2:$C$48,0)),"Legacy","")</f>
        <v>Legacy</v>
      </c>
    </row>
    <row r="83" spans="1:5" x14ac:dyDescent="0.25">
      <c r="A83" t="s">
        <v>2364</v>
      </c>
      <c r="B83" s="390" t="s">
        <v>2365</v>
      </c>
      <c r="C83" t="s">
        <v>2267</v>
      </c>
      <c r="E83" t="str">
        <f>IF(ISERROR(MATCH($A83,'Settings Documentation'!$C$2:$C$48,0)),"Legacy","")</f>
        <v>Legacy</v>
      </c>
    </row>
    <row r="84" spans="1:5" x14ac:dyDescent="0.25">
      <c r="A84" t="s">
        <v>2366</v>
      </c>
      <c r="B84" s="390" t="s">
        <v>2367</v>
      </c>
      <c r="C84" t="s">
        <v>2267</v>
      </c>
      <c r="E84" t="str">
        <f>IF(ISERROR(MATCH($A84,'Settings Documentation'!$C$2:$C$48,0)),"Legacy","")</f>
        <v>Legacy</v>
      </c>
    </row>
    <row r="85" spans="1:5" x14ac:dyDescent="0.25">
      <c r="A85" t="s">
        <v>2368</v>
      </c>
      <c r="B85" s="390" t="s">
        <v>2369</v>
      </c>
      <c r="C85" t="s">
        <v>2267</v>
      </c>
      <c r="E85" t="str">
        <f>IF(ISERROR(MATCH($A85,'Settings Documentation'!$C$2:$C$48,0)),"Legacy","")</f>
        <v>Legacy</v>
      </c>
    </row>
    <row r="86" spans="1:5" x14ac:dyDescent="0.25">
      <c r="A86" t="s">
        <v>2370</v>
      </c>
      <c r="B86" s="390" t="s">
        <v>2371</v>
      </c>
      <c r="C86" t="s">
        <v>2267</v>
      </c>
      <c r="E86" t="str">
        <f>IF(ISERROR(MATCH($A86,'Settings Documentation'!$C$2:$C$48,0)),"Legacy","")</f>
        <v>Legacy</v>
      </c>
    </row>
    <row r="87" spans="1:5" ht="26.4" x14ac:dyDescent="0.25">
      <c r="A87" t="s">
        <v>2372</v>
      </c>
      <c r="B87" s="391" t="s">
        <v>2373</v>
      </c>
      <c r="C87" t="s">
        <v>2267</v>
      </c>
      <c r="E87" t="str">
        <f>IF(ISERROR(MATCH($A87,'Settings Documentation'!$C$2:$C$48,0)),"Legacy","")</f>
        <v>Legacy</v>
      </c>
    </row>
    <row r="88" spans="1:5" x14ac:dyDescent="0.25">
      <c r="A88" t="s">
        <v>637</v>
      </c>
      <c r="B88" s="390" t="s">
        <v>2374</v>
      </c>
      <c r="C88" t="s">
        <v>2267</v>
      </c>
      <c r="E88" t="str">
        <f>IF(ISERROR(MATCH($A88,'Settings Documentation'!$C$2:$C$48,0)),"Legacy","")</f>
        <v>Legacy</v>
      </c>
    </row>
    <row r="89" spans="1:5" x14ac:dyDescent="0.25">
      <c r="A89" s="390" t="s">
        <v>2375</v>
      </c>
      <c r="B89" s="390" t="s">
        <v>2376</v>
      </c>
      <c r="C89" t="s">
        <v>2322</v>
      </c>
      <c r="E89" t="str">
        <f>IF(ISERROR(MATCH($A89,'Settings Documentation'!$C$2:$C$48,0)),"Legacy","")</f>
        <v>Legacy</v>
      </c>
    </row>
    <row r="90" spans="1:5" x14ac:dyDescent="0.25">
      <c r="A90" t="s">
        <v>582</v>
      </c>
      <c r="B90" s="390" t="s">
        <v>2323</v>
      </c>
      <c r="C90" t="s">
        <v>2267</v>
      </c>
      <c r="E90" t="str">
        <f>IF(ISERROR(MATCH($A90,'Settings Documentation'!$C$2:$C$48,0)),"Legacy","")</f>
        <v/>
      </c>
    </row>
    <row r="91" spans="1:5" x14ac:dyDescent="0.25">
      <c r="A91" t="s">
        <v>679</v>
      </c>
      <c r="B91" s="390" t="s">
        <v>2307</v>
      </c>
      <c r="C91" t="s">
        <v>2267</v>
      </c>
      <c r="E91" t="str">
        <f>IF(ISERROR(MATCH($A91,'Settings Documentation'!$C$2:$C$48,0)),"Legacy","")</f>
        <v>Legacy</v>
      </c>
    </row>
    <row r="92" spans="1:5" x14ac:dyDescent="0.25">
      <c r="A92" t="s">
        <v>76</v>
      </c>
      <c r="B92" s="390" t="s">
        <v>2379</v>
      </c>
      <c r="C92" t="s">
        <v>2267</v>
      </c>
      <c r="E92" t="str">
        <f>IF(ISERROR(MATCH($A92,'Settings Documentation'!$C$2:$C$48,0)),"Legacy","")</f>
        <v>Legacy</v>
      </c>
    </row>
    <row r="93" spans="1:5" x14ac:dyDescent="0.25">
      <c r="A93" t="s">
        <v>17</v>
      </c>
      <c r="B93" s="390" t="s">
        <v>2380</v>
      </c>
      <c r="C93" t="s">
        <v>2267</v>
      </c>
      <c r="E93" t="str">
        <f>IF(ISERROR(MATCH($A93,'Settings Documentation'!$C$2:$C$48,0)),"Legacy","")</f>
        <v>Legacy</v>
      </c>
    </row>
    <row r="94" spans="1:5" x14ac:dyDescent="0.25">
      <c r="A94" t="s">
        <v>19</v>
      </c>
      <c r="B94" s="390" t="s">
        <v>2381</v>
      </c>
      <c r="C94" t="s">
        <v>2267</v>
      </c>
      <c r="E94" t="str">
        <f>IF(ISERROR(MATCH($A94,'Settings Documentation'!$C$2:$C$48,0)),"Legacy","")</f>
        <v>Legacy</v>
      </c>
    </row>
    <row r="95" spans="1:5" x14ac:dyDescent="0.25">
      <c r="A95" t="s">
        <v>21</v>
      </c>
      <c r="B95" s="390" t="s">
        <v>2382</v>
      </c>
      <c r="C95" t="s">
        <v>2267</v>
      </c>
      <c r="E95" t="str">
        <f>IF(ISERROR(MATCH($A95,'Settings Documentation'!$C$2:$C$48,0)),"Legacy","")</f>
        <v>Legacy</v>
      </c>
    </row>
    <row r="96" spans="1:5" x14ac:dyDescent="0.25">
      <c r="A96" t="s">
        <v>23</v>
      </c>
      <c r="B96" s="390" t="s">
        <v>2383</v>
      </c>
      <c r="C96" t="s">
        <v>2267</v>
      </c>
      <c r="E96" t="str">
        <f>IF(ISERROR(MATCH($A96,'Settings Documentation'!$C$2:$C$48,0)),"Legacy","")</f>
        <v>Legacy</v>
      </c>
    </row>
    <row r="97" spans="1:5" x14ac:dyDescent="0.25">
      <c r="A97" t="s">
        <v>25</v>
      </c>
      <c r="B97" s="390" t="s">
        <v>2384</v>
      </c>
      <c r="C97" t="s">
        <v>2267</v>
      </c>
      <c r="E97" t="str">
        <f>IF(ISERROR(MATCH($A97,'Settings Documentation'!$C$2:$C$48,0)),"Legacy","")</f>
        <v>Legacy</v>
      </c>
    </row>
    <row r="98" spans="1:5" x14ac:dyDescent="0.25">
      <c r="A98" t="s">
        <v>27</v>
      </c>
      <c r="B98" s="390" t="s">
        <v>2385</v>
      </c>
      <c r="C98" t="s">
        <v>2267</v>
      </c>
      <c r="E98" t="str">
        <f>IF(ISERROR(MATCH($A98,'Settings Documentation'!$C$2:$C$48,0)),"Legacy","")</f>
        <v>Legacy</v>
      </c>
    </row>
    <row r="99" spans="1:5" x14ac:dyDescent="0.25">
      <c r="A99" t="s">
        <v>29</v>
      </c>
      <c r="B99" s="390" t="s">
        <v>2386</v>
      </c>
      <c r="C99" t="s">
        <v>2267</v>
      </c>
      <c r="E99" t="str">
        <f>IF(ISERROR(MATCH($A99,'Settings Documentation'!$C$2:$C$48,0)),"Legacy","")</f>
        <v>Legacy</v>
      </c>
    </row>
    <row r="100" spans="1:5" x14ac:dyDescent="0.25">
      <c r="A100" t="s">
        <v>31</v>
      </c>
      <c r="B100" s="390" t="s">
        <v>2387</v>
      </c>
      <c r="C100" t="s">
        <v>2267</v>
      </c>
      <c r="E100" t="str">
        <f>IF(ISERROR(MATCH($A100,'Settings Documentation'!$C$2:$C$48,0)),"Legacy","")</f>
        <v>Legacy</v>
      </c>
    </row>
    <row r="101" spans="1:5" x14ac:dyDescent="0.25">
      <c r="A101" t="s">
        <v>2388</v>
      </c>
      <c r="B101" s="390" t="s">
        <v>2389</v>
      </c>
      <c r="C101" t="s">
        <v>2267</v>
      </c>
      <c r="E101" t="str">
        <f>IF(ISERROR(MATCH($A101,'Settings Documentation'!$C$2:$C$48,0)),"Legacy","")</f>
        <v>Legacy</v>
      </c>
    </row>
    <row r="102" spans="1:5" x14ac:dyDescent="0.25">
      <c r="A102" t="s">
        <v>2390</v>
      </c>
      <c r="B102" s="390" t="s">
        <v>2391</v>
      </c>
      <c r="C102" t="s">
        <v>2267</v>
      </c>
      <c r="E102" t="str">
        <f>IF(ISERROR(MATCH($A102,'Settings Documentation'!$C$2:$C$48,0)),"Legacy","")</f>
        <v>Legacy</v>
      </c>
    </row>
    <row r="103" spans="1:5" x14ac:dyDescent="0.25">
      <c r="A103" t="s">
        <v>2392</v>
      </c>
      <c r="B103" s="390" t="s">
        <v>2393</v>
      </c>
      <c r="C103" t="s">
        <v>2267</v>
      </c>
      <c r="E103" t="str">
        <f>IF(ISERROR(MATCH($A103,'Settings Documentation'!$C$2:$C$48,0)),"Legacy","")</f>
        <v>Legacy</v>
      </c>
    </row>
    <row r="104" spans="1:5" x14ac:dyDescent="0.25">
      <c r="A104" t="s">
        <v>2394</v>
      </c>
      <c r="B104" s="390" t="s">
        <v>2395</v>
      </c>
      <c r="C104" t="s">
        <v>2267</v>
      </c>
      <c r="E104" t="str">
        <f>IF(ISERROR(MATCH($A104,'Settings Documentation'!$C$2:$C$48,0)),"Legacy","")</f>
        <v>Legacy</v>
      </c>
    </row>
    <row r="105" spans="1:5" x14ac:dyDescent="0.25">
      <c r="A105" t="s">
        <v>2396</v>
      </c>
      <c r="B105" s="390" t="s">
        <v>2397</v>
      </c>
      <c r="C105" t="s">
        <v>2267</v>
      </c>
      <c r="E105" t="str">
        <f>IF(ISERROR(MATCH($A105,'Settings Documentation'!$C$2:$C$48,0)),"Legacy","")</f>
        <v>Legacy</v>
      </c>
    </row>
    <row r="106" spans="1:5" x14ac:dyDescent="0.25">
      <c r="A106" s="390" t="s">
        <v>2398</v>
      </c>
      <c r="B106" s="390" t="s">
        <v>2399</v>
      </c>
      <c r="C106" t="s">
        <v>2400</v>
      </c>
      <c r="E106" t="str">
        <f>IF(ISERROR(MATCH($A106,'Settings Documentation'!$C$2:$C$48,0)),"Legacy","")</f>
        <v>Legacy</v>
      </c>
    </row>
    <row r="107" spans="1:5" x14ac:dyDescent="0.25">
      <c r="A107" s="390" t="s">
        <v>2401</v>
      </c>
      <c r="B107" s="390" t="s">
        <v>2399</v>
      </c>
      <c r="C107" t="s">
        <v>2402</v>
      </c>
      <c r="E107" t="str">
        <f>IF(ISERROR(MATCH($A107,'Settings Documentation'!$C$2:$C$48,0)),"Legacy","")</f>
        <v>Legacy</v>
      </c>
    </row>
    <row r="108" spans="1:5" x14ac:dyDescent="0.25">
      <c r="A108" s="390" t="s">
        <v>2403</v>
      </c>
      <c r="B108" s="390" t="s">
        <v>2399</v>
      </c>
      <c r="C108" t="s">
        <v>834</v>
      </c>
      <c r="E108" t="str">
        <f>IF(ISERROR(MATCH($A108,'Settings Documentation'!$C$2:$C$48,0)),"Legacy","")</f>
        <v>Legacy</v>
      </c>
    </row>
    <row r="109" spans="1:5" x14ac:dyDescent="0.25">
      <c r="A109" t="s">
        <v>2404</v>
      </c>
      <c r="B109" s="390" t="s">
        <v>2399</v>
      </c>
      <c r="C109" t="s">
        <v>2267</v>
      </c>
      <c r="E109" t="str">
        <f>IF(ISERROR(MATCH($A109,'Settings Documentation'!$C$2:$C$48,0)),"Legacy","")</f>
        <v>Legacy</v>
      </c>
    </row>
    <row r="110" spans="1:5" x14ac:dyDescent="0.25">
      <c r="A110" s="390" t="s">
        <v>2405</v>
      </c>
      <c r="B110" s="390" t="s">
        <v>2406</v>
      </c>
      <c r="C110" t="s">
        <v>2400</v>
      </c>
      <c r="E110" t="str">
        <f>IF(ISERROR(MATCH($A110,'Settings Documentation'!$C$2:$C$48,0)),"Legacy","")</f>
        <v>Legacy</v>
      </c>
    </row>
    <row r="111" spans="1:5" x14ac:dyDescent="0.25">
      <c r="A111" s="390" t="s">
        <v>2407</v>
      </c>
      <c r="B111" s="390" t="s">
        <v>2406</v>
      </c>
      <c r="C111" t="s">
        <v>2402</v>
      </c>
      <c r="E111" t="str">
        <f>IF(ISERROR(MATCH($A111,'Settings Documentation'!$C$2:$C$48,0)),"Legacy","")</f>
        <v>Legacy</v>
      </c>
    </row>
    <row r="112" spans="1:5" x14ac:dyDescent="0.25">
      <c r="A112" s="390" t="s">
        <v>2408</v>
      </c>
      <c r="B112" s="390" t="s">
        <v>2406</v>
      </c>
      <c r="C112" t="s">
        <v>834</v>
      </c>
      <c r="E112" t="str">
        <f>IF(ISERROR(MATCH($A112,'Settings Documentation'!$C$2:$C$48,0)),"Legacy","")</f>
        <v>Legacy</v>
      </c>
    </row>
    <row r="113" spans="1:5" x14ac:dyDescent="0.25">
      <c r="A113" t="s">
        <v>2409</v>
      </c>
      <c r="B113" s="390" t="s">
        <v>2406</v>
      </c>
      <c r="C113" t="s">
        <v>2267</v>
      </c>
      <c r="E113" t="str">
        <f>IF(ISERROR(MATCH($A113,'Settings Documentation'!$C$2:$C$48,0)),"Legacy","")</f>
        <v>Legacy</v>
      </c>
    </row>
    <row r="114" spans="1:5" x14ac:dyDescent="0.25">
      <c r="A114" s="390" t="s">
        <v>2410</v>
      </c>
      <c r="B114" s="390" t="s">
        <v>2411</v>
      </c>
      <c r="C114" t="s">
        <v>2400</v>
      </c>
      <c r="E114" t="str">
        <f>IF(ISERROR(MATCH($A114,'Settings Documentation'!$C$2:$C$48,0)),"Legacy","")</f>
        <v>Legacy</v>
      </c>
    </row>
    <row r="115" spans="1:5" x14ac:dyDescent="0.25">
      <c r="A115" s="390" t="s">
        <v>2412</v>
      </c>
      <c r="B115" s="390" t="s">
        <v>2411</v>
      </c>
      <c r="C115" t="s">
        <v>2402</v>
      </c>
      <c r="E115" t="str">
        <f>IF(ISERROR(MATCH($A115,'Settings Documentation'!$C$2:$C$48,0)),"Legacy","")</f>
        <v>Legacy</v>
      </c>
    </row>
    <row r="116" spans="1:5" x14ac:dyDescent="0.25">
      <c r="A116" s="390" t="s">
        <v>2413</v>
      </c>
      <c r="B116" s="390" t="s">
        <v>2411</v>
      </c>
      <c r="C116" t="s">
        <v>834</v>
      </c>
      <c r="E116" t="str">
        <f>IF(ISERROR(MATCH($A116,'Settings Documentation'!$C$2:$C$48,0)),"Legacy","")</f>
        <v>Legacy</v>
      </c>
    </row>
    <row r="117" spans="1:5" x14ac:dyDescent="0.25">
      <c r="A117" t="s">
        <v>2414</v>
      </c>
      <c r="B117" s="390" t="s">
        <v>2411</v>
      </c>
      <c r="C117" t="s">
        <v>2267</v>
      </c>
      <c r="E117" t="str">
        <f>IF(ISERROR(MATCH($A117,'Settings Documentation'!$C$2:$C$48,0)),"Legacy","")</f>
        <v>Legacy</v>
      </c>
    </row>
    <row r="118" spans="1:5" x14ac:dyDescent="0.25">
      <c r="A118" s="390" t="s">
        <v>2415</v>
      </c>
      <c r="B118" s="390" t="s">
        <v>2416</v>
      </c>
      <c r="C118" t="s">
        <v>2400</v>
      </c>
      <c r="E118" t="str">
        <f>IF(ISERROR(MATCH($A118,'Settings Documentation'!$C$2:$C$48,0)),"Legacy","")</f>
        <v>Legacy</v>
      </c>
    </row>
    <row r="119" spans="1:5" x14ac:dyDescent="0.25">
      <c r="A119" s="390" t="s">
        <v>2417</v>
      </c>
      <c r="B119" s="390" t="s">
        <v>2416</v>
      </c>
      <c r="C119" t="s">
        <v>2402</v>
      </c>
      <c r="E119" t="str">
        <f>IF(ISERROR(MATCH($A119,'Settings Documentation'!$C$2:$C$48,0)),"Legacy","")</f>
        <v>Legacy</v>
      </c>
    </row>
    <row r="120" spans="1:5" x14ac:dyDescent="0.25">
      <c r="A120" s="390" t="s">
        <v>2418</v>
      </c>
      <c r="B120" s="390" t="s">
        <v>2416</v>
      </c>
      <c r="C120" t="s">
        <v>834</v>
      </c>
      <c r="E120" t="str">
        <f>IF(ISERROR(MATCH($A120,'Settings Documentation'!$C$2:$C$48,0)),"Legacy","")</f>
        <v>Legacy</v>
      </c>
    </row>
    <row r="121" spans="1:5" x14ac:dyDescent="0.25">
      <c r="A121" t="s">
        <v>2419</v>
      </c>
      <c r="B121" s="390" t="s">
        <v>2416</v>
      </c>
      <c r="C121" t="s">
        <v>2267</v>
      </c>
      <c r="E121" t="str">
        <f>IF(ISERROR(MATCH($A121,'Settings Documentation'!$C$2:$C$48,0)),"Legacy","")</f>
        <v>Legacy</v>
      </c>
    </row>
    <row r="122" spans="1:5" x14ac:dyDescent="0.25">
      <c r="A122" s="390" t="s">
        <v>2420</v>
      </c>
      <c r="B122" s="390" t="s">
        <v>2421</v>
      </c>
      <c r="C122" t="s">
        <v>2400</v>
      </c>
      <c r="E122" t="str">
        <f>IF(ISERROR(MATCH($A122,'Settings Documentation'!$C$2:$C$48,0)),"Legacy","")</f>
        <v>Legacy</v>
      </c>
    </row>
    <row r="123" spans="1:5" x14ac:dyDescent="0.25">
      <c r="A123" s="390" t="s">
        <v>2422</v>
      </c>
      <c r="B123" s="390" t="s">
        <v>2421</v>
      </c>
      <c r="C123" t="s">
        <v>2402</v>
      </c>
      <c r="E123" t="str">
        <f>IF(ISERROR(MATCH($A123,'Settings Documentation'!$C$2:$C$48,0)),"Legacy","")</f>
        <v>Legacy</v>
      </c>
    </row>
    <row r="124" spans="1:5" x14ac:dyDescent="0.25">
      <c r="A124" s="390" t="s">
        <v>2423</v>
      </c>
      <c r="B124" s="390" t="s">
        <v>2421</v>
      </c>
      <c r="C124" t="s">
        <v>834</v>
      </c>
      <c r="E124" t="str">
        <f>IF(ISERROR(MATCH($A124,'Settings Documentation'!$C$2:$C$48,0)),"Legacy","")</f>
        <v>Legacy</v>
      </c>
    </row>
    <row r="125" spans="1:5" x14ac:dyDescent="0.25">
      <c r="A125" t="s">
        <v>2424</v>
      </c>
      <c r="B125" s="390" t="s">
        <v>2421</v>
      </c>
      <c r="C125" t="s">
        <v>2267</v>
      </c>
      <c r="E125" t="str">
        <f>IF(ISERROR(MATCH($A125,'Settings Documentation'!$C$2:$C$48,0)),"Legacy","")</f>
        <v>Legacy</v>
      </c>
    </row>
    <row r="126" spans="1:5" x14ac:dyDescent="0.25">
      <c r="A126" s="390" t="s">
        <v>2425</v>
      </c>
      <c r="B126" s="390" t="s">
        <v>2426</v>
      </c>
      <c r="C126" t="s">
        <v>2400</v>
      </c>
      <c r="E126" t="str">
        <f>IF(ISERROR(MATCH($A126,'Settings Documentation'!$C$2:$C$48,0)),"Legacy","")</f>
        <v>Legacy</v>
      </c>
    </row>
    <row r="127" spans="1:5" x14ac:dyDescent="0.25">
      <c r="A127" s="390" t="s">
        <v>2427</v>
      </c>
      <c r="B127" s="390" t="s">
        <v>2426</v>
      </c>
      <c r="C127" t="s">
        <v>2402</v>
      </c>
      <c r="E127" t="str">
        <f>IF(ISERROR(MATCH($A127,'Settings Documentation'!$C$2:$C$48,0)),"Legacy","")</f>
        <v>Legacy</v>
      </c>
    </row>
    <row r="128" spans="1:5" x14ac:dyDescent="0.25">
      <c r="A128" s="390" t="s">
        <v>2428</v>
      </c>
      <c r="B128" s="390" t="s">
        <v>2426</v>
      </c>
      <c r="C128" t="s">
        <v>834</v>
      </c>
      <c r="E128" t="str">
        <f>IF(ISERROR(MATCH($A128,'Settings Documentation'!$C$2:$C$48,0)),"Legacy","")</f>
        <v>Legacy</v>
      </c>
    </row>
    <row r="129" spans="1:5" x14ac:dyDescent="0.25">
      <c r="A129" t="s">
        <v>2429</v>
      </c>
      <c r="B129" s="390" t="s">
        <v>2426</v>
      </c>
      <c r="C129" t="s">
        <v>2267</v>
      </c>
      <c r="E129" t="str">
        <f>IF(ISERROR(MATCH($A129,'Settings Documentation'!$C$2:$C$48,0)),"Legacy","")</f>
        <v>Legacy</v>
      </c>
    </row>
    <row r="130" spans="1:5" x14ac:dyDescent="0.25">
      <c r="A130" s="390" t="s">
        <v>2430</v>
      </c>
      <c r="B130" s="390" t="s">
        <v>2431</v>
      </c>
      <c r="C130" t="s">
        <v>2400</v>
      </c>
      <c r="E130" t="str">
        <f>IF(ISERROR(MATCH($A130,'Settings Documentation'!$C$2:$C$48,0)),"Legacy","")</f>
        <v>Legacy</v>
      </c>
    </row>
    <row r="131" spans="1:5" x14ac:dyDescent="0.25">
      <c r="A131" s="390" t="s">
        <v>2432</v>
      </c>
      <c r="B131" s="390" t="s">
        <v>2431</v>
      </c>
      <c r="C131" t="s">
        <v>2402</v>
      </c>
      <c r="E131" t="str">
        <f>IF(ISERROR(MATCH($A131,'Settings Documentation'!$C$2:$C$48,0)),"Legacy","")</f>
        <v>Legacy</v>
      </c>
    </row>
    <row r="132" spans="1:5" x14ac:dyDescent="0.25">
      <c r="A132" s="390" t="s">
        <v>2433</v>
      </c>
      <c r="B132" s="390" t="s">
        <v>2431</v>
      </c>
      <c r="C132" t="s">
        <v>834</v>
      </c>
      <c r="E132" t="str">
        <f>IF(ISERROR(MATCH($A132,'Settings Documentation'!$C$2:$C$48,0)),"Legacy","")</f>
        <v>Legacy</v>
      </c>
    </row>
    <row r="133" spans="1:5" x14ac:dyDescent="0.25">
      <c r="A133" t="s">
        <v>2434</v>
      </c>
      <c r="B133" s="390" t="s">
        <v>2431</v>
      </c>
      <c r="C133" t="s">
        <v>2267</v>
      </c>
      <c r="E133" t="str">
        <f>IF(ISERROR(MATCH($A133,'Settings Documentation'!$C$2:$C$48,0)),"Legacy","")</f>
        <v>Legacy</v>
      </c>
    </row>
    <row r="134" spans="1:5" x14ac:dyDescent="0.25">
      <c r="A134" s="390" t="s">
        <v>2435</v>
      </c>
      <c r="B134" s="390" t="s">
        <v>2436</v>
      </c>
      <c r="C134" t="s">
        <v>2400</v>
      </c>
      <c r="E134" t="str">
        <f>IF(ISERROR(MATCH($A134,'Settings Documentation'!$C$2:$C$48,0)),"Legacy","")</f>
        <v>Legacy</v>
      </c>
    </row>
    <row r="135" spans="1:5" x14ac:dyDescent="0.25">
      <c r="A135" s="390" t="s">
        <v>2437</v>
      </c>
      <c r="B135" s="390" t="s">
        <v>2436</v>
      </c>
      <c r="C135" t="s">
        <v>2402</v>
      </c>
      <c r="E135" t="str">
        <f>IF(ISERROR(MATCH($A135,'Settings Documentation'!$C$2:$C$48,0)),"Legacy","")</f>
        <v>Legacy</v>
      </c>
    </row>
    <row r="136" spans="1:5" x14ac:dyDescent="0.25">
      <c r="A136" s="390" t="s">
        <v>2438</v>
      </c>
      <c r="B136" s="390" t="s">
        <v>2436</v>
      </c>
      <c r="C136" t="s">
        <v>834</v>
      </c>
      <c r="E136" t="str">
        <f>IF(ISERROR(MATCH($A136,'Settings Documentation'!$C$2:$C$48,0)),"Legacy","")</f>
        <v>Legacy</v>
      </c>
    </row>
    <row r="137" spans="1:5" x14ac:dyDescent="0.25">
      <c r="A137" t="s">
        <v>2439</v>
      </c>
      <c r="B137" s="390" t="s">
        <v>2436</v>
      </c>
      <c r="C137" t="s">
        <v>2267</v>
      </c>
      <c r="E137" t="str">
        <f>IF(ISERROR(MATCH($A137,'Settings Documentation'!$C$2:$C$48,0)),"Legacy","")</f>
        <v>Legacy</v>
      </c>
    </row>
    <row r="138" spans="1:5" x14ac:dyDescent="0.25">
      <c r="A138" s="390" t="s">
        <v>2440</v>
      </c>
      <c r="B138" s="390" t="s">
        <v>2441</v>
      </c>
      <c r="C138" t="s">
        <v>2400</v>
      </c>
      <c r="E138" t="str">
        <f>IF(ISERROR(MATCH($A138,'Settings Documentation'!$C$2:$C$48,0)),"Legacy","")</f>
        <v>Legacy</v>
      </c>
    </row>
    <row r="139" spans="1:5" x14ac:dyDescent="0.25">
      <c r="A139" s="390" t="s">
        <v>2442</v>
      </c>
      <c r="B139" s="390" t="s">
        <v>2441</v>
      </c>
      <c r="C139" t="s">
        <v>2402</v>
      </c>
      <c r="E139" t="str">
        <f>IF(ISERROR(MATCH($A139,'Settings Documentation'!$C$2:$C$48,0)),"Legacy","")</f>
        <v>Legacy</v>
      </c>
    </row>
    <row r="140" spans="1:5" x14ac:dyDescent="0.25">
      <c r="A140" s="390" t="s">
        <v>2443</v>
      </c>
      <c r="B140" s="390" t="s">
        <v>2441</v>
      </c>
      <c r="C140" t="s">
        <v>834</v>
      </c>
      <c r="E140" t="str">
        <f>IF(ISERROR(MATCH($A140,'Settings Documentation'!$C$2:$C$48,0)),"Legacy","")</f>
        <v>Legacy</v>
      </c>
    </row>
    <row r="141" spans="1:5" x14ac:dyDescent="0.25">
      <c r="A141" t="s">
        <v>2444</v>
      </c>
      <c r="B141" s="390" t="s">
        <v>2441</v>
      </c>
      <c r="C141" t="s">
        <v>2267</v>
      </c>
      <c r="E141" t="str">
        <f>IF(ISERROR(MATCH($A141,'Settings Documentation'!$C$2:$C$48,0)),"Legacy","")</f>
        <v>Legacy</v>
      </c>
    </row>
    <row r="142" spans="1:5" x14ac:dyDescent="0.25">
      <c r="A142" s="390" t="s">
        <v>2445</v>
      </c>
      <c r="B142" s="390" t="s">
        <v>2446</v>
      </c>
      <c r="C142" t="s">
        <v>2400</v>
      </c>
      <c r="E142" t="str">
        <f>IF(ISERROR(MATCH($A142,'Settings Documentation'!$C$2:$C$48,0)),"Legacy","")</f>
        <v>Legacy</v>
      </c>
    </row>
    <row r="143" spans="1:5" x14ac:dyDescent="0.25">
      <c r="A143" s="390" t="s">
        <v>2447</v>
      </c>
      <c r="B143" s="390" t="s">
        <v>2446</v>
      </c>
      <c r="C143" t="s">
        <v>2402</v>
      </c>
      <c r="E143" t="str">
        <f>IF(ISERROR(MATCH($A143,'Settings Documentation'!$C$2:$C$48,0)),"Legacy","")</f>
        <v>Legacy</v>
      </c>
    </row>
    <row r="144" spans="1:5" x14ac:dyDescent="0.25">
      <c r="A144" s="390" t="s">
        <v>2448</v>
      </c>
      <c r="B144" s="390" t="s">
        <v>2446</v>
      </c>
      <c r="C144" t="s">
        <v>834</v>
      </c>
      <c r="E144" t="str">
        <f>IF(ISERROR(MATCH($A144,'Settings Documentation'!$C$2:$C$48,0)),"Legacy","")</f>
        <v>Legacy</v>
      </c>
    </row>
    <row r="145" spans="1:5" x14ac:dyDescent="0.25">
      <c r="A145" t="s">
        <v>2449</v>
      </c>
      <c r="B145" s="390" t="s">
        <v>2446</v>
      </c>
      <c r="C145" t="s">
        <v>2267</v>
      </c>
      <c r="E145" t="str">
        <f>IF(ISERROR(MATCH($A145,'Settings Documentation'!$C$2:$C$48,0)),"Legacy","")</f>
        <v>Legacy</v>
      </c>
    </row>
    <row r="146" spans="1:5" x14ac:dyDescent="0.25">
      <c r="A146" s="390" t="s">
        <v>2450</v>
      </c>
      <c r="B146" s="390" t="s">
        <v>2451</v>
      </c>
      <c r="C146" t="s">
        <v>2400</v>
      </c>
      <c r="E146" t="str">
        <f>IF(ISERROR(MATCH($A146,'Settings Documentation'!$C$2:$C$48,0)),"Legacy","")</f>
        <v>Legacy</v>
      </c>
    </row>
    <row r="147" spans="1:5" x14ac:dyDescent="0.25">
      <c r="A147" s="390" t="s">
        <v>2452</v>
      </c>
      <c r="B147" s="390" t="s">
        <v>2451</v>
      </c>
      <c r="C147" t="s">
        <v>2402</v>
      </c>
      <c r="E147" t="str">
        <f>IF(ISERROR(MATCH($A147,'Settings Documentation'!$C$2:$C$48,0)),"Legacy","")</f>
        <v>Legacy</v>
      </c>
    </row>
    <row r="148" spans="1:5" x14ac:dyDescent="0.25">
      <c r="A148" s="390" t="s">
        <v>2453</v>
      </c>
      <c r="B148" s="390" t="s">
        <v>2451</v>
      </c>
      <c r="C148" t="s">
        <v>834</v>
      </c>
      <c r="E148" t="str">
        <f>IF(ISERROR(MATCH($A148,'Settings Documentation'!$C$2:$C$48,0)),"Legacy","")</f>
        <v>Legacy</v>
      </c>
    </row>
    <row r="149" spans="1:5" x14ac:dyDescent="0.25">
      <c r="A149" t="s">
        <v>2454</v>
      </c>
      <c r="B149" s="390" t="s">
        <v>2451</v>
      </c>
      <c r="C149" t="s">
        <v>2267</v>
      </c>
      <c r="E149" t="str">
        <f>IF(ISERROR(MATCH($A149,'Settings Documentation'!$C$2:$C$48,0)),"Legacy","")</f>
        <v>Legacy</v>
      </c>
    </row>
    <row r="150" spans="1:5" x14ac:dyDescent="0.25">
      <c r="A150" s="390" t="s">
        <v>2455</v>
      </c>
      <c r="B150" s="390" t="s">
        <v>2456</v>
      </c>
      <c r="C150" t="s">
        <v>2400</v>
      </c>
      <c r="E150" t="str">
        <f>IF(ISERROR(MATCH($A150,'Settings Documentation'!$C$2:$C$48,0)),"Legacy","")</f>
        <v>Legacy</v>
      </c>
    </row>
    <row r="151" spans="1:5" x14ac:dyDescent="0.25">
      <c r="A151" s="390" t="s">
        <v>2457</v>
      </c>
      <c r="B151" s="390" t="s">
        <v>2456</v>
      </c>
      <c r="C151" t="s">
        <v>2402</v>
      </c>
      <c r="E151" t="str">
        <f>IF(ISERROR(MATCH($A151,'Settings Documentation'!$C$2:$C$48,0)),"Legacy","")</f>
        <v>Legacy</v>
      </c>
    </row>
    <row r="152" spans="1:5" x14ac:dyDescent="0.25">
      <c r="A152" s="390" t="s">
        <v>2458</v>
      </c>
      <c r="B152" s="390" t="s">
        <v>2456</v>
      </c>
      <c r="C152" t="s">
        <v>834</v>
      </c>
      <c r="E152" t="str">
        <f>IF(ISERROR(MATCH($A152,'Settings Documentation'!$C$2:$C$48,0)),"Legacy","")</f>
        <v>Legacy</v>
      </c>
    </row>
    <row r="153" spans="1:5" x14ac:dyDescent="0.25">
      <c r="A153" t="s">
        <v>2459</v>
      </c>
      <c r="B153" s="390" t="s">
        <v>2456</v>
      </c>
      <c r="C153" t="s">
        <v>2267</v>
      </c>
      <c r="E153" t="str">
        <f>IF(ISERROR(MATCH($A153,'Settings Documentation'!$C$2:$C$48,0)),"Legacy","")</f>
        <v>Legacy</v>
      </c>
    </row>
    <row r="154" spans="1:5" x14ac:dyDescent="0.25">
      <c r="A154" s="390" t="s">
        <v>2460</v>
      </c>
      <c r="B154" s="390" t="s">
        <v>2461</v>
      </c>
      <c r="C154" t="s">
        <v>2400</v>
      </c>
      <c r="E154" t="str">
        <f>IF(ISERROR(MATCH($A154,'Settings Documentation'!$C$2:$C$48,0)),"Legacy","")</f>
        <v>Legacy</v>
      </c>
    </row>
    <row r="155" spans="1:5" x14ac:dyDescent="0.25">
      <c r="A155" s="390" t="s">
        <v>2462</v>
      </c>
      <c r="B155" s="390" t="s">
        <v>2461</v>
      </c>
      <c r="C155" t="s">
        <v>2402</v>
      </c>
      <c r="E155" t="str">
        <f>IF(ISERROR(MATCH($A155,'Settings Documentation'!$C$2:$C$48,0)),"Legacy","")</f>
        <v>Legacy</v>
      </c>
    </row>
    <row r="156" spans="1:5" x14ac:dyDescent="0.25">
      <c r="A156" s="390" t="s">
        <v>2463</v>
      </c>
      <c r="B156" s="390" t="s">
        <v>2461</v>
      </c>
      <c r="C156" t="s">
        <v>834</v>
      </c>
      <c r="E156" t="str">
        <f>IF(ISERROR(MATCH($A156,'Settings Documentation'!$C$2:$C$48,0)),"Legacy","")</f>
        <v>Legacy</v>
      </c>
    </row>
    <row r="157" spans="1:5" x14ac:dyDescent="0.25">
      <c r="A157" t="s">
        <v>2464</v>
      </c>
      <c r="B157" s="390" t="s">
        <v>2461</v>
      </c>
      <c r="C157" t="s">
        <v>2267</v>
      </c>
      <c r="E157" t="str">
        <f>IF(ISERROR(MATCH($A157,'Settings Documentation'!$C$2:$C$48,0)),"Legacy","")</f>
        <v>Legacy</v>
      </c>
    </row>
    <row r="158" spans="1:5" x14ac:dyDescent="0.25">
      <c r="A158" t="s">
        <v>694</v>
      </c>
      <c r="B158" s="390" t="s">
        <v>2278</v>
      </c>
      <c r="C158" t="s">
        <v>2267</v>
      </c>
      <c r="E158" t="str">
        <f>IF(ISERROR(MATCH($A158,'Settings Documentation'!$C$2:$C$48,0)),"Legacy","")</f>
        <v>Legacy</v>
      </c>
    </row>
    <row r="159" spans="1:5" x14ac:dyDescent="0.25">
      <c r="A159" s="390" t="s">
        <v>2466</v>
      </c>
      <c r="B159" s="390" t="s">
        <v>2467</v>
      </c>
      <c r="C159" t="s">
        <v>2322</v>
      </c>
      <c r="E159" t="str">
        <f>IF(ISERROR(MATCH($A159,'Settings Documentation'!$C$2:$C$48,0)),"Legacy","")</f>
        <v>Legacy</v>
      </c>
    </row>
    <row r="160" spans="1:5" x14ac:dyDescent="0.25">
      <c r="A160" t="s">
        <v>644</v>
      </c>
      <c r="B160" s="390" t="s">
        <v>2468</v>
      </c>
      <c r="C160" t="s">
        <v>2267</v>
      </c>
      <c r="E160" t="str">
        <f>IF(ISERROR(MATCH($A160,'Settings Documentation'!$C$2:$C$48,0)),"Legacy","")</f>
        <v/>
      </c>
    </row>
    <row r="161" spans="1:5" x14ac:dyDescent="0.25">
      <c r="A161" t="s">
        <v>2532</v>
      </c>
      <c r="B161" s="390" t="s">
        <v>2558</v>
      </c>
      <c r="C161" t="s">
        <v>2267</v>
      </c>
      <c r="E161" t="str">
        <f>IF(ISERROR(MATCH($A161,'Settings Documentation'!$C$2:$C$48,0)),"Legacy","")</f>
        <v/>
      </c>
    </row>
    <row r="162" spans="1:5" x14ac:dyDescent="0.25">
      <c r="A162" s="390" t="s">
        <v>2469</v>
      </c>
      <c r="B162" s="390" t="s">
        <v>2470</v>
      </c>
      <c r="C162" t="s">
        <v>2322</v>
      </c>
      <c r="E162" t="str">
        <f>IF(ISERROR(MATCH($A162,'Settings Documentation'!$C$2:$C$48,0)),"Legacy","")</f>
        <v>Legacy</v>
      </c>
    </row>
    <row r="163" spans="1:5" x14ac:dyDescent="0.25">
      <c r="A163" t="s">
        <v>586</v>
      </c>
      <c r="B163" s="390" t="s">
        <v>2332</v>
      </c>
      <c r="C163" t="s">
        <v>2267</v>
      </c>
      <c r="E163" t="str">
        <f>IF(ISERROR(MATCH($A163,'Settings Documentation'!$C$2:$C$48,0)),"Legacy","")</f>
        <v/>
      </c>
    </row>
    <row r="164" spans="1:5" x14ac:dyDescent="0.25">
      <c r="A164" t="s">
        <v>2471</v>
      </c>
      <c r="B164" s="390" t="s">
        <v>2472</v>
      </c>
      <c r="C164" t="s">
        <v>2267</v>
      </c>
      <c r="E164" t="str">
        <f>IF(ISERROR(MATCH($A164,'Settings Documentation'!$C$2:$C$48,0)),"Legacy","")</f>
        <v>Legacy</v>
      </c>
    </row>
    <row r="165" spans="1:5" x14ac:dyDescent="0.25">
      <c r="A165" t="s">
        <v>2473</v>
      </c>
      <c r="B165" s="390" t="s">
        <v>2474</v>
      </c>
      <c r="C165" t="s">
        <v>2267</v>
      </c>
      <c r="E165" t="str">
        <f>IF(ISERROR(MATCH($A165,'Settings Documentation'!$C$2:$C$48,0)),"Legacy","")</f>
        <v>Legacy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pageSetUpPr fitToPage="1"/>
  </sheetPr>
  <dimension ref="B1:AB30"/>
  <sheetViews>
    <sheetView workbookViewId="0"/>
  </sheetViews>
  <sheetFormatPr defaultRowHeight="13.2" x14ac:dyDescent="0.25"/>
  <cols>
    <col min="1" max="1" width="5.5546875" customWidth="1"/>
    <col min="2" max="2" width="4.5546875" customWidth="1"/>
    <col min="3" max="3" width="6.5546875" customWidth="1"/>
    <col min="4" max="4" width="20.5546875" customWidth="1"/>
    <col min="5" max="5" width="3.5546875" customWidth="1"/>
    <col min="6" max="8" width="9.5546875" customWidth="1"/>
    <col min="9" max="9" width="8.109375" customWidth="1"/>
    <col min="10" max="10" width="4.5546875" customWidth="1"/>
    <col min="11" max="11" width="6.5546875" customWidth="1"/>
    <col min="12" max="12" width="20.5546875" customWidth="1"/>
    <col min="13" max="13" width="3.5546875" customWidth="1"/>
    <col min="14" max="16" width="9.5546875" customWidth="1"/>
    <col min="17" max="17" width="5.5546875" customWidth="1"/>
    <col min="18" max="20" width="10.5546875" customWidth="1"/>
  </cols>
  <sheetData>
    <row r="1" spans="2:28" ht="17.7" customHeight="1" x14ac:dyDescent="0.3">
      <c r="B1" s="438" t="s"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</row>
    <row r="2" spans="2:28" ht="17.7" customHeight="1" x14ac:dyDescent="0.3">
      <c r="B2" s="438" t="s">
        <v>1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</row>
    <row r="3" spans="2:28" ht="17.7" customHeight="1" x14ac:dyDescent="0.3">
      <c r="B3" s="439" t="s">
        <v>567</v>
      </c>
      <c r="C3" s="439"/>
      <c r="D3" s="439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U3" s="440" t="s">
        <v>2</v>
      </c>
      <c r="V3" s="440"/>
      <c r="W3" s="440"/>
      <c r="X3" s="440"/>
      <c r="Y3" s="440"/>
    </row>
    <row r="4" spans="2:28" ht="17.399999999999999" x14ac:dyDescent="0.3">
      <c r="B4" s="435" t="s">
        <v>486</v>
      </c>
      <c r="C4" s="435"/>
      <c r="D4" s="435"/>
      <c r="E4" s="435"/>
      <c r="F4" s="435"/>
      <c r="G4" s="435"/>
      <c r="H4" s="78">
        <v>17</v>
      </c>
      <c r="I4" s="69"/>
      <c r="J4" s="69"/>
      <c r="L4" s="77" t="s">
        <v>3</v>
      </c>
      <c r="M4" s="78"/>
      <c r="N4" s="69"/>
      <c r="O4" s="115">
        <v>16</v>
      </c>
      <c r="P4" s="69"/>
      <c r="U4" s="440" t="s">
        <v>4</v>
      </c>
      <c r="V4" s="440"/>
      <c r="W4" s="440"/>
      <c r="X4" s="440"/>
      <c r="Y4" s="440"/>
    </row>
    <row r="5" spans="2:28" ht="13.8" thickBot="1" x14ac:dyDescent="0.3">
      <c r="C5" s="79" t="e">
        <f ca="1">IF($H$4=1,_xlfn.XLOOKUP($F5,$X$8:$X$17,$W$8:$W$17),_xlfn.XLOOKUP($F5,$Y$8:$Y$17,$W$8:$W$17))</f>
        <v>#NUM!</v>
      </c>
      <c r="D5" s="79" t="e">
        <f ca="1">IF($H$4=1,_xlfn.XLOOKUP($F5,$X$8:$X$17,$V$8:$V$17),_xlfn.XLOOKUP($F5,$Y$8:$Y$17,$V$8:$V$17))</f>
        <v>#NUM!</v>
      </c>
      <c r="E5" s="79"/>
      <c r="F5" s="79" t="e">
        <f ca="1">IF($H$4=1,LARGE($X$8:$X$17,B5),LARGE($Y$8:$Y$17,B5))</f>
        <v>#NUM!</v>
      </c>
      <c r="G5" s="437"/>
      <c r="H5" s="437"/>
      <c r="I5" s="2"/>
      <c r="J5" s="2"/>
      <c r="K5" s="2"/>
      <c r="L5" s="2"/>
      <c r="M5" s="2"/>
      <c r="N5" s="2"/>
      <c r="O5" s="2"/>
      <c r="P5" s="2"/>
    </row>
    <row r="6" spans="2:28" x14ac:dyDescent="0.25">
      <c r="B6" s="76"/>
      <c r="C6" s="3"/>
      <c r="D6" s="3"/>
      <c r="E6" s="3"/>
      <c r="F6" s="3"/>
      <c r="G6" s="267" t="s">
        <v>5</v>
      </c>
      <c r="H6" s="268"/>
      <c r="I6" s="2"/>
      <c r="J6" s="76"/>
      <c r="K6" s="3"/>
      <c r="L6" s="3"/>
      <c r="M6" s="3"/>
      <c r="N6" s="3"/>
      <c r="O6" s="267" t="s">
        <v>5</v>
      </c>
      <c r="P6" s="268"/>
      <c r="U6" s="81"/>
      <c r="V6" s="81"/>
      <c r="W6" s="81"/>
      <c r="X6" s="436" t="s">
        <v>6</v>
      </c>
      <c r="Y6" s="436"/>
    </row>
    <row r="7" spans="2:28" x14ac:dyDescent="0.25">
      <c r="B7" s="67"/>
      <c r="C7" s="70" t="s">
        <v>7</v>
      </c>
      <c r="D7" s="68" t="s">
        <v>8</v>
      </c>
      <c r="F7" s="70" t="s">
        <v>9</v>
      </c>
      <c r="G7" s="70" t="s">
        <v>10</v>
      </c>
      <c r="H7" s="75" t="s">
        <v>11</v>
      </c>
      <c r="I7" s="70"/>
      <c r="J7" s="67"/>
      <c r="K7" s="70" t="s">
        <v>7</v>
      </c>
      <c r="L7" s="68" t="s">
        <v>8</v>
      </c>
      <c r="N7" s="70" t="s">
        <v>9</v>
      </c>
      <c r="O7" s="70" t="s">
        <v>10</v>
      </c>
      <c r="P7" s="75" t="s">
        <v>11</v>
      </c>
      <c r="U7" s="81" t="s">
        <v>8</v>
      </c>
      <c r="V7" s="81" t="s">
        <v>12</v>
      </c>
      <c r="W7" s="82" t="s">
        <v>7</v>
      </c>
      <c r="X7" s="83" t="s">
        <v>13</v>
      </c>
      <c r="Y7" s="82" t="s">
        <v>14</v>
      </c>
      <c r="Z7" s="6" t="s">
        <v>15</v>
      </c>
    </row>
    <row r="8" spans="2:28" x14ac:dyDescent="0.25">
      <c r="B8" s="66">
        <v>1</v>
      </c>
      <c r="C8" s="8">
        <f t="shared" ref="C8:C15" ca="1" si="0">IF($H$4="Preseason","",IF($H$4=1,_xlfn.XLOOKUP($D8,$V$8:$V$18,$W$8:$W$18),_xlfn.XLOOKUP($D8,$V$8:$V$18,$W$8:$W$18)))</f>
        <v>28</v>
      </c>
      <c r="D8" s="48" t="str" cm="1">
        <f t="array" aca="1" ref="D8:D15" ca="1">IF($H$4="Preseason",$V18,_xlfn.SORTBY($V$8:$V$15,$Y$8:$Y$15,-1,$Z$8:$Z$15,-1))</f>
        <v>Blind Draw</v>
      </c>
      <c r="E8" s="362"/>
      <c r="F8" s="8">
        <f t="shared" ref="F8:F15" ca="1" si="1">IF($H$4="Preseason","",IF($H$4="","",IF($H$4=1,_xlfn.XLOOKUP($D8,$V$8:$V$18,$Y$8:$Y$18),_xlfn.XLOOKUP($D8,$V$8:$V$18,$Y$8:$Y$18))))</f>
        <v>693</v>
      </c>
      <c r="G8" s="8"/>
      <c r="H8" s="327"/>
      <c r="I8" s="71"/>
      <c r="J8" s="66">
        <v>1</v>
      </c>
      <c r="K8" s="8">
        <v>31</v>
      </c>
      <c r="L8" s="48" t="s">
        <v>30</v>
      </c>
      <c r="M8" s="362"/>
      <c r="N8" s="8">
        <v>665</v>
      </c>
      <c r="O8" s="8"/>
      <c r="P8" s="327"/>
      <c r="U8" s="81" t="s">
        <v>17</v>
      </c>
      <c r="V8" s="81" t="str">
        <f t="shared" ref="V8:V15" ca="1" si="2">INDEX(INDIRECT($U8),3,1)</f>
        <v>Aceholes</v>
      </c>
      <c r="W8" s="81" cm="1">
        <f t="array" aca="1" ref="W8" ca="1">IF($H$4="","",INDEX(INDIRECT($U8),3,$H$4+2))</f>
        <v>45</v>
      </c>
      <c r="X8" s="81">
        <f t="shared" ref="X8:X15" ca="1" si="3">_xlfn.XLOOKUP($V8,$L$8:$L$15,$M$8:$M$15)+$W8</f>
        <v>45</v>
      </c>
      <c r="Y8" s="81">
        <f t="shared" ref="Y8:Y15" ca="1" si="4">_xlfn.XLOOKUP($V8,$L$8:$L$15,$N$8:$N$15)+$W8</f>
        <v>679</v>
      </c>
      <c r="Z8">
        <f ca="1">VLOOKUP($V8,$L$8:$N$15,3,FALSE)</f>
        <v>634</v>
      </c>
      <c r="AA8">
        <f t="shared" ref="AA8:AA15" ca="1" si="5">_xlfn.RANK.EQ($Z8,$Z$8:$Z$18)</f>
        <v>2</v>
      </c>
      <c r="AB8" t="str" cm="1">
        <f t="array" aca="1" ref="AB8:AB18" ca="1">IF($H$4="Preseason",$V18,_xlfn.SORTBY($V$8:$V$18,$Y$8:$Y$18,-1,$Z$8:$Z$18,-1))</f>
        <v>Blind Draw</v>
      </c>
    </row>
    <row r="9" spans="2:28" x14ac:dyDescent="0.25">
      <c r="B9" s="66">
        <v>2</v>
      </c>
      <c r="C9" s="310">
        <f t="shared" ca="1" si="0"/>
        <v>45</v>
      </c>
      <c r="D9" s="72" t="str">
        <f ca="1"/>
        <v>Aceholes</v>
      </c>
      <c r="E9" s="290"/>
      <c r="F9" s="310">
        <f t="shared" ca="1" si="1"/>
        <v>679</v>
      </c>
      <c r="G9" s="310">
        <f ca="1">IFERROR($F$9-F9,"")</f>
        <v>0</v>
      </c>
      <c r="H9" s="326"/>
      <c r="I9" s="71"/>
      <c r="J9" s="66">
        <v>2</v>
      </c>
      <c r="K9" s="310">
        <v>31</v>
      </c>
      <c r="L9" s="72" t="s">
        <v>26</v>
      </c>
      <c r="M9" s="290"/>
      <c r="N9" s="310">
        <v>634</v>
      </c>
      <c r="O9" s="310">
        <v>0</v>
      </c>
      <c r="P9" s="326"/>
      <c r="U9" s="81" t="s">
        <v>19</v>
      </c>
      <c r="V9" s="81" t="str">
        <f t="shared" ca="1" si="2"/>
        <v>Metheads</v>
      </c>
      <c r="W9" s="81" cm="1">
        <f t="array" aca="1" ref="W9" ca="1">IF($H$4="","",INDEX(INDIRECT($U9),3,$H$4+2))</f>
        <v>35</v>
      </c>
      <c r="X9" s="81">
        <f t="shared" ca="1" si="3"/>
        <v>35</v>
      </c>
      <c r="Y9" s="81">
        <f t="shared" ca="1" si="4"/>
        <v>661</v>
      </c>
      <c r="Z9">
        <f t="shared" ref="Z9:Z15" ca="1" si="6">VLOOKUP($V9,$L$8:$N$15,3,FALSE)</f>
        <v>626</v>
      </c>
      <c r="AA9">
        <f t="shared" ca="1" si="5"/>
        <v>4</v>
      </c>
      <c r="AB9" t="str">
        <f ca="1"/>
        <v>Aceholes</v>
      </c>
    </row>
    <row r="10" spans="2:28" x14ac:dyDescent="0.25">
      <c r="B10" s="66">
        <v>3</v>
      </c>
      <c r="C10" s="310">
        <f t="shared" ca="1" si="0"/>
        <v>39</v>
      </c>
      <c r="D10" s="72" t="str">
        <f ca="1"/>
        <v>Stymies</v>
      </c>
      <c r="E10" s="290"/>
      <c r="F10" s="310">
        <f t="shared" ca="1" si="1"/>
        <v>667</v>
      </c>
      <c r="G10" s="310">
        <f t="shared" ref="G10:G15" ca="1" si="7">IFERROR($F$9-F10,"")</f>
        <v>12</v>
      </c>
      <c r="H10" s="326"/>
      <c r="I10" s="2"/>
      <c r="J10" s="66">
        <v>3</v>
      </c>
      <c r="K10" s="310">
        <v>47</v>
      </c>
      <c r="L10" s="72" t="s">
        <v>18</v>
      </c>
      <c r="M10" s="290"/>
      <c r="N10" s="310">
        <v>628</v>
      </c>
      <c r="O10" s="310">
        <v>6</v>
      </c>
      <c r="P10" s="326"/>
      <c r="U10" s="81" t="s">
        <v>21</v>
      </c>
      <c r="V10" s="81" t="str">
        <f t="shared" ca="1" si="2"/>
        <v>Mickey Mouse Club</v>
      </c>
      <c r="W10" s="81" cm="1">
        <f t="array" aca="1" ref="W10" ca="1">IF($H$4="","",INDEX(INDIRECT($U10),3,$H$4+2))</f>
        <v>49</v>
      </c>
      <c r="X10" s="81">
        <f t="shared" ca="1" si="3"/>
        <v>49</v>
      </c>
      <c r="Y10" s="81">
        <f t="shared" ca="1" si="4"/>
        <v>628</v>
      </c>
      <c r="Z10">
        <f t="shared" ca="1" si="6"/>
        <v>579</v>
      </c>
      <c r="AA10">
        <f t="shared" ca="1" si="5"/>
        <v>5</v>
      </c>
      <c r="AB10" t="str">
        <f ca="1"/>
        <v>Stymies</v>
      </c>
    </row>
    <row r="11" spans="2:28" x14ac:dyDescent="0.25">
      <c r="B11" s="66">
        <v>4</v>
      </c>
      <c r="C11" s="310">
        <f t="shared" ca="1" si="0"/>
        <v>35</v>
      </c>
      <c r="D11" s="72" t="str">
        <f ca="1"/>
        <v>Metheads</v>
      </c>
      <c r="E11" s="290"/>
      <c r="F11" s="310">
        <f t="shared" ca="1" si="1"/>
        <v>661</v>
      </c>
      <c r="G11" s="310">
        <f t="shared" ca="1" si="7"/>
        <v>18</v>
      </c>
      <c r="H11" s="326"/>
      <c r="I11" s="71"/>
      <c r="J11" s="66">
        <v>4</v>
      </c>
      <c r="K11" s="310">
        <v>53</v>
      </c>
      <c r="L11" s="72" t="s">
        <v>20</v>
      </c>
      <c r="M11" s="290"/>
      <c r="N11" s="310">
        <v>626</v>
      </c>
      <c r="O11" s="310">
        <v>8</v>
      </c>
      <c r="P11" s="326"/>
      <c r="U11" s="81" t="s">
        <v>23</v>
      </c>
      <c r="V11" s="81" t="str">
        <f t="shared" ca="1" si="2"/>
        <v>Stymies</v>
      </c>
      <c r="W11" s="81" cm="1">
        <f t="array" aca="1" ref="W11" ca="1">IF($H$4="","",INDEX(INDIRECT($U11),3,$H$4+2))</f>
        <v>39</v>
      </c>
      <c r="X11" s="81">
        <f t="shared" ca="1" si="3"/>
        <v>39</v>
      </c>
      <c r="Y11" s="81">
        <f t="shared" ca="1" si="4"/>
        <v>667</v>
      </c>
      <c r="Z11">
        <f t="shared" ca="1" si="6"/>
        <v>628</v>
      </c>
      <c r="AA11">
        <f t="shared" ca="1" si="5"/>
        <v>3</v>
      </c>
      <c r="AB11" t="str">
        <f ca="1"/>
        <v>Metheads</v>
      </c>
    </row>
    <row r="12" spans="2:28" x14ac:dyDescent="0.25">
      <c r="B12" s="66">
        <v>5</v>
      </c>
      <c r="C12" s="310">
        <f t="shared" ca="1" si="0"/>
        <v>49</v>
      </c>
      <c r="D12" s="72" t="str">
        <f ca="1"/>
        <v>Mickey Mouse Club</v>
      </c>
      <c r="E12" s="368"/>
      <c r="F12" s="310">
        <f t="shared" ca="1" si="1"/>
        <v>628</v>
      </c>
      <c r="G12" s="310">
        <f t="shared" ca="1" si="7"/>
        <v>51</v>
      </c>
      <c r="H12" s="369">
        <f ca="1">IFERROR($F$12-F12,"")</f>
        <v>0</v>
      </c>
      <c r="I12" s="71"/>
      <c r="J12" s="66">
        <v>5</v>
      </c>
      <c r="K12" s="310">
        <v>53</v>
      </c>
      <c r="L12" s="72" t="s">
        <v>16</v>
      </c>
      <c r="M12" s="368"/>
      <c r="N12" s="310">
        <v>579</v>
      </c>
      <c r="O12" s="310">
        <v>55</v>
      </c>
      <c r="P12" s="369">
        <v>0</v>
      </c>
      <c r="U12" s="81" t="s">
        <v>25</v>
      </c>
      <c r="V12" s="81" t="str">
        <f t="shared" ca="1" si="2"/>
        <v>The Four Puttz</v>
      </c>
      <c r="W12" s="81" cm="1">
        <f t="array" aca="1" ref="W12" ca="1">IF($H$4="","",INDEX(INDIRECT($U12),3,$H$4+2))</f>
        <v>38</v>
      </c>
      <c r="X12" s="81">
        <f t="shared" ca="1" si="3"/>
        <v>38</v>
      </c>
      <c r="Y12" s="81">
        <f t="shared" ca="1" si="4"/>
        <v>569</v>
      </c>
      <c r="Z12">
        <f t="shared" ca="1" si="6"/>
        <v>531</v>
      </c>
      <c r="AA12">
        <f t="shared" ca="1" si="5"/>
        <v>6</v>
      </c>
      <c r="AB12" t="str">
        <f ca="1"/>
        <v>Mickey Mouse Club</v>
      </c>
    </row>
    <row r="13" spans="2:28" x14ac:dyDescent="0.25">
      <c r="B13" s="66">
        <v>6</v>
      </c>
      <c r="C13" s="8">
        <f t="shared" ca="1" si="0"/>
        <v>38</v>
      </c>
      <c r="D13" s="48" t="str">
        <f ca="1"/>
        <v>The Four Puttz</v>
      </c>
      <c r="E13" s="291"/>
      <c r="F13" s="8">
        <f t="shared" ca="1" si="1"/>
        <v>569</v>
      </c>
      <c r="G13" s="8">
        <f t="shared" ca="1" si="7"/>
        <v>110</v>
      </c>
      <c r="H13" s="327">
        <f ca="1">IFERROR($F$12-F13,"")</f>
        <v>59</v>
      </c>
      <c r="I13" s="71"/>
      <c r="J13" s="66">
        <v>6</v>
      </c>
      <c r="K13" s="8">
        <v>38</v>
      </c>
      <c r="L13" s="48" t="s">
        <v>22</v>
      </c>
      <c r="M13" s="291"/>
      <c r="N13" s="8">
        <v>531</v>
      </c>
      <c r="O13" s="8">
        <v>103</v>
      </c>
      <c r="P13" s="327">
        <v>48</v>
      </c>
      <c r="U13" s="81" t="s">
        <v>27</v>
      </c>
      <c r="V13" s="81" t="str">
        <f t="shared" ca="1" si="2"/>
        <v>Who's Your Caddy?</v>
      </c>
      <c r="W13" s="81" cm="1">
        <f t="array" aca="1" ref="W13" ca="1">IF($H$4="","",INDEX(INDIRECT($U13),3,$H$4+2))</f>
        <v>56</v>
      </c>
      <c r="X13" s="81">
        <f t="shared" ca="1" si="3"/>
        <v>56</v>
      </c>
      <c r="Y13" s="81">
        <f t="shared" ca="1" si="4"/>
        <v>530</v>
      </c>
      <c r="Z13">
        <f t="shared" ca="1" si="6"/>
        <v>474</v>
      </c>
      <c r="AA13">
        <f t="shared" ca="1" si="5"/>
        <v>8</v>
      </c>
      <c r="AB13" t="str">
        <f ca="1"/>
        <v>The Four Puttz</v>
      </c>
    </row>
    <row r="14" spans="2:28" x14ac:dyDescent="0.25">
      <c r="B14" s="66">
        <v>7</v>
      </c>
      <c r="C14" s="8">
        <f t="shared" ca="1" si="0"/>
        <v>46</v>
      </c>
      <c r="D14" s="48" t="str">
        <f ca="1"/>
        <v>Hack Squad</v>
      </c>
      <c r="E14" s="291"/>
      <c r="F14" s="8">
        <f t="shared" ca="1" si="1"/>
        <v>546</v>
      </c>
      <c r="G14" s="8">
        <f t="shared" ca="1" si="7"/>
        <v>133</v>
      </c>
      <c r="H14" s="327">
        <f ca="1">IFERROR($F$12-F14,"")</f>
        <v>82</v>
      </c>
      <c r="J14" s="66">
        <v>7</v>
      </c>
      <c r="K14" s="8">
        <v>37</v>
      </c>
      <c r="L14" s="48" t="s">
        <v>28</v>
      </c>
      <c r="M14" s="291"/>
      <c r="N14" s="8">
        <v>500</v>
      </c>
      <c r="O14" s="8">
        <v>134</v>
      </c>
      <c r="P14" s="327">
        <v>79</v>
      </c>
      <c r="U14" s="81" t="s">
        <v>29</v>
      </c>
      <c r="V14" s="81" t="str">
        <f t="shared" ca="1" si="2"/>
        <v>Hack Squad</v>
      </c>
      <c r="W14" s="81" cm="1">
        <f t="array" aca="1" ref="W14" ca="1">IF($H$4="","",INDEX(INDIRECT($U14),3,$H$4+2))</f>
        <v>46</v>
      </c>
      <c r="X14" s="81">
        <f t="shared" ca="1" si="3"/>
        <v>46</v>
      </c>
      <c r="Y14" s="81">
        <f t="shared" ca="1" si="4"/>
        <v>546</v>
      </c>
      <c r="Z14">
        <f t="shared" ca="1" si="6"/>
        <v>500</v>
      </c>
      <c r="AA14">
        <f t="shared" ca="1" si="5"/>
        <v>7</v>
      </c>
      <c r="AB14" t="str">
        <f ca="1"/>
        <v>Hack Squad</v>
      </c>
    </row>
    <row r="15" spans="2:28" ht="13.8" thickBot="1" x14ac:dyDescent="0.3">
      <c r="B15" s="74">
        <v>8</v>
      </c>
      <c r="C15" s="16">
        <f t="shared" ca="1" si="0"/>
        <v>56</v>
      </c>
      <c r="D15" s="63" t="str">
        <f ca="1"/>
        <v>Who's Your Caddy?</v>
      </c>
      <c r="E15" s="292"/>
      <c r="F15" s="16">
        <f t="shared" ca="1" si="1"/>
        <v>530</v>
      </c>
      <c r="G15" s="16">
        <f t="shared" ca="1" si="7"/>
        <v>149</v>
      </c>
      <c r="H15" s="328">
        <f ca="1">IFERROR($F$12-F15,"")</f>
        <v>98</v>
      </c>
      <c r="J15" s="74">
        <v>8</v>
      </c>
      <c r="K15" s="16">
        <v>46</v>
      </c>
      <c r="L15" s="63" t="s">
        <v>24</v>
      </c>
      <c r="M15" s="292"/>
      <c r="N15" s="16">
        <v>474</v>
      </c>
      <c r="O15" s="16">
        <v>160</v>
      </c>
      <c r="P15" s="328">
        <v>105</v>
      </c>
      <c r="U15" s="81" t="s">
        <v>31</v>
      </c>
      <c r="V15" s="81" t="str">
        <f t="shared" ca="1" si="2"/>
        <v>Blind Draw</v>
      </c>
      <c r="W15" s="81" cm="1">
        <f t="array" aca="1" ref="W15" ca="1">IF($H$4="","",INDEX(INDIRECT($U15),3,$H$4+2))</f>
        <v>28</v>
      </c>
      <c r="X15" s="81">
        <f t="shared" ca="1" si="3"/>
        <v>28</v>
      </c>
      <c r="Y15" s="81">
        <f t="shared" ca="1" si="4"/>
        <v>693</v>
      </c>
      <c r="Z15">
        <f t="shared" ca="1" si="6"/>
        <v>665</v>
      </c>
      <c r="AA15">
        <f t="shared" ca="1" si="5"/>
        <v>1</v>
      </c>
      <c r="AB15" t="str">
        <f ca="1"/>
        <v>Who's Your Caddy?</v>
      </c>
    </row>
    <row r="16" spans="2:28" x14ac:dyDescent="0.25">
      <c r="B16" s="3"/>
      <c r="C16" s="3"/>
      <c r="D16" s="289"/>
      <c r="E16" s="289"/>
      <c r="F16" s="17"/>
      <c r="G16" s="17"/>
      <c r="H16" s="17"/>
      <c r="J16" s="3"/>
      <c r="K16" s="3"/>
      <c r="U16" s="81"/>
      <c r="V16" s="81"/>
      <c r="W16" s="81"/>
      <c r="X16" s="81"/>
      <c r="Y16" s="81"/>
      <c r="AB16">
        <f ca="1"/>
        <v>0</v>
      </c>
    </row>
    <row r="17" spans="2:28" x14ac:dyDescent="0.25">
      <c r="B17" s="2"/>
      <c r="C17" s="2"/>
      <c r="F17" s="8"/>
      <c r="G17" s="8"/>
      <c r="H17" s="8"/>
      <c r="J17" s="2"/>
      <c r="K17" s="2"/>
      <c r="AB17">
        <f ca="1"/>
        <v>0</v>
      </c>
    </row>
    <row r="18" spans="2:28" x14ac:dyDescent="0.25">
      <c r="B18" s="2"/>
      <c r="C18" s="2"/>
      <c r="D18" s="220" t="s">
        <v>32</v>
      </c>
      <c r="F18" s="8"/>
      <c r="G18" s="435"/>
      <c r="H18" s="435"/>
      <c r="I18" s="435"/>
      <c r="J18" s="435"/>
      <c r="K18" s="435"/>
      <c r="O18">
        <f>$N$9-N9</f>
        <v>0</v>
      </c>
      <c r="AB18">
        <f ca="1"/>
        <v>0</v>
      </c>
    </row>
    <row r="21" spans="2:28" x14ac:dyDescent="0.25">
      <c r="G21" s="253"/>
      <c r="H21" s="253"/>
      <c r="I21" s="253"/>
      <c r="J21" s="253"/>
      <c r="K21" s="253"/>
      <c r="P21" s="370"/>
      <c r="Z21" t="s">
        <v>478</v>
      </c>
    </row>
    <row r="22" spans="2:28" x14ac:dyDescent="0.25">
      <c r="B22" s="2"/>
      <c r="C22" s="8">
        <v>1</v>
      </c>
      <c r="D22" s="48" t="s">
        <v>147</v>
      </c>
      <c r="E22" s="48">
        <v>28</v>
      </c>
      <c r="F22" s="8">
        <f ca="1">F9-E22</f>
        <v>651</v>
      </c>
      <c r="G22" s="8"/>
      <c r="H22" s="8"/>
      <c r="I22" s="265"/>
      <c r="J22" s="265"/>
      <c r="K22" s="265"/>
      <c r="P22" s="370"/>
    </row>
    <row r="23" spans="2:28" x14ac:dyDescent="0.25">
      <c r="B23" s="2"/>
      <c r="C23" s="8">
        <v>2</v>
      </c>
      <c r="D23" s="48" t="s">
        <v>151</v>
      </c>
      <c r="E23" s="48">
        <v>23</v>
      </c>
      <c r="F23" s="8">
        <f ca="1">F15-E23</f>
        <v>507</v>
      </c>
      <c r="G23" s="8"/>
      <c r="H23" s="8"/>
      <c r="P23" s="370"/>
    </row>
    <row r="24" spans="2:28" x14ac:dyDescent="0.25">
      <c r="B24" s="2"/>
      <c r="C24" s="8">
        <v>3</v>
      </c>
      <c r="D24" s="48" t="s">
        <v>337</v>
      </c>
      <c r="E24" s="48">
        <v>23</v>
      </c>
      <c r="F24" s="8">
        <f ca="1">F13-E24</f>
        <v>546</v>
      </c>
      <c r="G24" s="8"/>
      <c r="H24" s="8"/>
      <c r="P24" s="370"/>
    </row>
    <row r="25" spans="2:28" x14ac:dyDescent="0.25">
      <c r="B25" s="2"/>
      <c r="C25" s="8">
        <v>4</v>
      </c>
      <c r="D25" s="48" t="s">
        <v>149</v>
      </c>
      <c r="E25" s="48">
        <v>23</v>
      </c>
      <c r="F25" s="8">
        <f ca="1">F14-E25</f>
        <v>523</v>
      </c>
      <c r="G25" s="8"/>
      <c r="H25" s="8"/>
    </row>
    <row r="26" spans="2:28" x14ac:dyDescent="0.25">
      <c r="B26" s="2"/>
      <c r="C26" s="8">
        <v>5</v>
      </c>
      <c r="D26" s="48" t="s">
        <v>157</v>
      </c>
      <c r="E26" s="48">
        <v>32</v>
      </c>
      <c r="F26" s="8">
        <f ca="1">F11-E26</f>
        <v>629</v>
      </c>
      <c r="G26" s="8"/>
      <c r="H26" s="363"/>
    </row>
    <row r="27" spans="2:28" x14ac:dyDescent="0.25">
      <c r="B27" s="2"/>
      <c r="C27" s="8">
        <v>6</v>
      </c>
      <c r="D27" s="48" t="s">
        <v>154</v>
      </c>
      <c r="E27" s="48">
        <v>38</v>
      </c>
      <c r="F27" s="8">
        <f ca="1">F10-E27</f>
        <v>629</v>
      </c>
      <c r="G27" s="8"/>
      <c r="H27" s="8"/>
    </row>
    <row r="28" spans="2:28" x14ac:dyDescent="0.25">
      <c r="B28" s="2"/>
      <c r="C28" s="8">
        <v>7</v>
      </c>
      <c r="D28" s="48" t="s">
        <v>338</v>
      </c>
      <c r="E28" s="48">
        <v>39</v>
      </c>
      <c r="F28" s="8">
        <f ca="1">F12-E28</f>
        <v>589</v>
      </c>
      <c r="G28" s="8"/>
      <c r="H28" s="8"/>
    </row>
    <row r="29" spans="2:28" x14ac:dyDescent="0.25">
      <c r="B29" s="2"/>
      <c r="C29" s="8">
        <v>8</v>
      </c>
      <c r="D29" s="48" t="s">
        <v>147</v>
      </c>
      <c r="E29" s="48"/>
      <c r="F29" s="8"/>
      <c r="G29" s="8"/>
      <c r="H29" s="8"/>
    </row>
    <row r="30" spans="2:28" x14ac:dyDescent="0.25">
      <c r="C30" s="8">
        <v>9</v>
      </c>
      <c r="E30" s="48"/>
    </row>
  </sheetData>
  <sortState xmlns:xlrd2="http://schemas.microsoft.com/office/spreadsheetml/2017/richdata2" ref="C8:G18">
    <sortCondition descending="1" ref="F8:F18"/>
    <sortCondition descending="1" ref="C8:C18"/>
  </sortState>
  <mergeCells count="9">
    <mergeCell ref="G18:K18"/>
    <mergeCell ref="X6:Y6"/>
    <mergeCell ref="B4:G4"/>
    <mergeCell ref="G5:H5"/>
    <mergeCell ref="B1:P1"/>
    <mergeCell ref="B2:P2"/>
    <mergeCell ref="B3:P3"/>
    <mergeCell ref="U3:Y3"/>
    <mergeCell ref="U4:Y4"/>
  </mergeCells>
  <phoneticPr fontId="28" type="noConversion"/>
  <pageMargins left="0.7" right="0.7" top="0.75" bottom="0.75" header="0.3" footer="0.3"/>
  <pageSetup scale="84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K184"/>
  <sheetViews>
    <sheetView zoomScale="70" zoomScaleNormal="70" workbookViewId="0">
      <selection activeCell="EB2" sqref="EB2:ES2"/>
    </sheetView>
  </sheetViews>
  <sheetFormatPr defaultColWidth="8.88671875" defaultRowHeight="10.199999999999999" outlineLevelCol="1" x14ac:dyDescent="0.2"/>
  <cols>
    <col min="1" max="1" width="6.21875" style="18" customWidth="1"/>
    <col min="2" max="2" width="4.21875" style="19" customWidth="1"/>
    <col min="3" max="3" width="5" style="19" customWidth="1"/>
    <col min="4" max="4" width="21.88671875" style="18" bestFit="1" customWidth="1"/>
    <col min="5" max="5" width="5" style="19" customWidth="1"/>
    <col min="6" max="6" width="5" style="19" customWidth="1" outlineLevel="1"/>
    <col min="7" max="7" width="10.77734375" style="21" customWidth="1" outlineLevel="1"/>
    <col min="8" max="17" width="4.109375" style="19" customWidth="1" outlineLevel="1"/>
    <col min="18" max="18" width="7.5546875" style="19" customWidth="1" outlineLevel="1"/>
    <col min="19" max="25" width="7.109375" style="19" customWidth="1" outlineLevel="1"/>
    <col min="26" max="27" width="8.5546875" style="19" customWidth="1" outlineLevel="1"/>
    <col min="28" max="28" width="7.109375" style="19" customWidth="1" outlineLevel="1"/>
    <col min="29" max="29" width="11.5546875" style="19" customWidth="1" outlineLevel="1"/>
    <col min="30" max="30" width="23.21875" style="18" customWidth="1" outlineLevel="1"/>
    <col min="31" max="31" width="2.88671875" style="18" customWidth="1"/>
    <col min="32" max="41" width="4.21875" style="18" customWidth="1"/>
    <col min="42" max="60" width="4.21875" style="19" customWidth="1" outlineLevel="1"/>
    <col min="61" max="61" width="2.88671875" style="18" customWidth="1"/>
    <col min="62" max="71" width="4.21875" style="18" customWidth="1"/>
    <col min="72" max="90" width="4.21875" style="19" customWidth="1" outlineLevel="1"/>
    <col min="91" max="91" width="2.88671875" style="18" customWidth="1"/>
    <col min="92" max="92" width="4.109375" style="19" customWidth="1" outlineLevel="1"/>
    <col min="93" max="110" width="4.21875" style="19" customWidth="1" outlineLevel="1"/>
    <col min="111" max="111" width="2.88671875" style="18" customWidth="1"/>
    <col min="112" max="130" width="4.21875" style="19" customWidth="1" outlineLevel="1"/>
    <col min="131" max="131" width="2.88671875" style="18" customWidth="1"/>
    <col min="132" max="150" width="4.21875" style="19" customWidth="1" outlineLevel="1"/>
    <col min="151" max="151" width="2.88671875" style="18" customWidth="1"/>
    <col min="152" max="170" width="4.21875" style="19" customWidth="1" outlineLevel="1"/>
    <col min="171" max="171" width="2.88671875" style="18" customWidth="1"/>
    <col min="172" max="190" width="4.21875" style="19" customWidth="1" outlineLevel="1"/>
    <col min="191" max="191" width="2.88671875" style="18" customWidth="1"/>
    <col min="192" max="211" width="4.21875" style="19" customWidth="1" outlineLevel="1"/>
    <col min="212" max="212" width="6.44140625" style="19" customWidth="1" outlineLevel="1"/>
    <col min="213" max="213" width="2.88671875" style="18" customWidth="1"/>
    <col min="214" max="233" width="4.21875" style="19" customWidth="1" outlineLevel="1"/>
    <col min="234" max="234" width="2.88671875" style="18" customWidth="1"/>
    <col min="235" max="235" width="6.5546875" style="18" customWidth="1"/>
    <col min="236" max="239" width="10.77734375" style="18" bestFit="1" customWidth="1"/>
    <col min="240" max="245" width="6.5546875" style="18" customWidth="1"/>
    <col min="246" max="246" width="2.88671875" style="18" customWidth="1"/>
    <col min="247" max="247" width="8.88671875" style="18" customWidth="1"/>
    <col min="248" max="257" width="4.5546875" style="18" customWidth="1"/>
    <col min="258" max="260" width="8.88671875" style="18" customWidth="1"/>
    <col min="261" max="16384" width="8.88671875" style="18"/>
  </cols>
  <sheetData>
    <row r="1" spans="1:271" ht="16.2" customHeight="1" x14ac:dyDescent="0.3">
      <c r="A1" s="217" t="s">
        <v>0</v>
      </c>
      <c r="B1" s="314"/>
      <c r="C1" s="314"/>
      <c r="D1" s="314"/>
      <c r="E1" s="314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D1" s="19"/>
      <c r="AE1" s="441" t="s">
        <v>33</v>
      </c>
      <c r="AF1" s="336"/>
      <c r="AG1" s="336">
        <v>29</v>
      </c>
      <c r="AH1" s="336"/>
      <c r="AI1" s="336"/>
      <c r="AJ1" s="336"/>
      <c r="AK1" s="336"/>
      <c r="AL1" s="336"/>
      <c r="AM1" s="336"/>
      <c r="AN1" s="336"/>
      <c r="AO1" s="336"/>
      <c r="BF1" s="19" t="s">
        <v>502</v>
      </c>
      <c r="BH1" s="19">
        <f ca="1">COUNTIF(AP8:BH88,"&lt;&gt;0")</f>
        <v>612</v>
      </c>
      <c r="BI1" s="441" t="s">
        <v>34</v>
      </c>
      <c r="BJ1" s="336"/>
      <c r="BK1" s="336">
        <v>29</v>
      </c>
      <c r="BL1" s="336"/>
      <c r="BM1" s="336"/>
      <c r="BN1" s="336"/>
      <c r="BO1" s="336"/>
      <c r="BP1" s="336"/>
      <c r="BQ1" s="336"/>
      <c r="BR1" s="336"/>
      <c r="BS1" s="336"/>
      <c r="CM1" s="441" t="s">
        <v>35</v>
      </c>
      <c r="CN1" s="19">
        <f t="shared" ref="CN1:DD1" ca="1" si="0">SUM(CN8:CN83)</f>
        <v>1320</v>
      </c>
      <c r="CO1" s="19">
        <f t="shared" ca="1" si="0"/>
        <v>1259</v>
      </c>
      <c r="CP1" s="19">
        <f t="shared" ca="1" si="0"/>
        <v>1256</v>
      </c>
      <c r="CQ1" s="19">
        <f t="shared" ca="1" si="0"/>
        <v>1262</v>
      </c>
      <c r="CR1" s="19">
        <f t="shared" ca="1" si="0"/>
        <v>1294</v>
      </c>
      <c r="CS1" s="19">
        <f t="shared" ca="1" si="0"/>
        <v>1297</v>
      </c>
      <c r="CT1" s="19">
        <f t="shared" ca="1" si="0"/>
        <v>1233</v>
      </c>
      <c r="CU1" s="19">
        <f t="shared" ca="1" si="0"/>
        <v>0</v>
      </c>
      <c r="CV1" s="19">
        <f t="shared" ca="1" si="0"/>
        <v>1250</v>
      </c>
      <c r="CW1" s="19">
        <f t="shared" ca="1" si="0"/>
        <v>1100</v>
      </c>
      <c r="CX1" s="19">
        <f t="shared" ca="1" si="0"/>
        <v>1144</v>
      </c>
      <c r="CY1" s="19">
        <f t="shared" ca="1" si="0"/>
        <v>0</v>
      </c>
      <c r="CZ1" s="19">
        <f t="shared" ca="1" si="0"/>
        <v>1113</v>
      </c>
      <c r="DA1" s="19">
        <f t="shared" ca="1" si="0"/>
        <v>1186</v>
      </c>
      <c r="DB1" s="19">
        <f t="shared" ca="1" si="0"/>
        <v>302</v>
      </c>
      <c r="DC1" s="19">
        <f t="shared" ca="1" si="0"/>
        <v>1139</v>
      </c>
      <c r="DD1" s="19">
        <f t="shared" ca="1" si="0"/>
        <v>1167</v>
      </c>
      <c r="DF1" s="19">
        <f ca="1">SUM(DF8:DF83)</f>
        <v>546</v>
      </c>
      <c r="DG1" s="441" t="s">
        <v>36</v>
      </c>
      <c r="DM1" s="19" t="e" cm="1">
        <f t="array" ref="DM1">cou</f>
        <v>#NAME?</v>
      </c>
      <c r="EA1" s="441" t="s">
        <v>37</v>
      </c>
      <c r="EU1" s="441" t="s">
        <v>38</v>
      </c>
      <c r="FO1" s="441" t="s">
        <v>39</v>
      </c>
      <c r="GI1" s="441" t="s">
        <v>40</v>
      </c>
      <c r="GJ1" s="19">
        <f ca="1">MIN($GJ$7:$HA$62)</f>
        <v>72</v>
      </c>
      <c r="HE1" s="441" t="s">
        <v>41</v>
      </c>
      <c r="HZ1" s="441" t="s">
        <v>42</v>
      </c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441" t="s">
        <v>496</v>
      </c>
    </row>
    <row r="2" spans="1:271" ht="15.6" x14ac:dyDescent="0.3">
      <c r="A2" s="217" t="s">
        <v>1</v>
      </c>
      <c r="B2" s="314"/>
      <c r="C2" s="314"/>
      <c r="D2" s="314"/>
      <c r="E2" s="314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D2" s="19"/>
      <c r="AE2" s="441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BF2" s="19" t="s">
        <v>503</v>
      </c>
      <c r="BH2" s="19">
        <f ca="1">AVERAGEIF(AP8:BH88,"&lt;&gt;0")</f>
        <v>51.021739130434781</v>
      </c>
      <c r="BI2" s="441"/>
      <c r="BJ2" s="336"/>
      <c r="BK2" s="336"/>
      <c r="BL2" s="336"/>
      <c r="BM2" s="336"/>
      <c r="BN2" s="336"/>
      <c r="BO2" s="336"/>
      <c r="BP2" s="336"/>
      <c r="BQ2" s="336"/>
      <c r="BR2" s="336"/>
      <c r="BS2" s="336"/>
      <c r="CM2" s="441"/>
      <c r="CN2" s="19">
        <f ca="1">CN1/40</f>
        <v>33</v>
      </c>
      <c r="CO2" s="19">
        <f t="shared" ref="CO2:CW2" ca="1" si="1">CO1/40</f>
        <v>31.475000000000001</v>
      </c>
      <c r="CP2" s="19">
        <f t="shared" ca="1" si="1"/>
        <v>31.4</v>
      </c>
      <c r="CQ2" s="19">
        <f t="shared" ca="1" si="1"/>
        <v>31.55</v>
      </c>
      <c r="CR2" s="19">
        <f t="shared" ca="1" si="1"/>
        <v>32.35</v>
      </c>
      <c r="CS2" s="19">
        <f t="shared" ca="1" si="1"/>
        <v>32.424999999999997</v>
      </c>
      <c r="CT2" s="19">
        <f t="shared" ca="1" si="1"/>
        <v>30.824999999999999</v>
      </c>
      <c r="CU2" s="19">
        <f t="shared" ca="1" si="1"/>
        <v>0</v>
      </c>
      <c r="CV2" s="19">
        <f t="shared" ca="1" si="1"/>
        <v>31.25</v>
      </c>
      <c r="CW2" s="19">
        <f t="shared" ca="1" si="1"/>
        <v>27.5</v>
      </c>
      <c r="CX2" s="19">
        <f t="shared" ref="CX2:DD2" ca="1" si="2">CX1/40</f>
        <v>28.6</v>
      </c>
      <c r="CY2" s="19">
        <f t="shared" ca="1" si="2"/>
        <v>0</v>
      </c>
      <c r="CZ2" s="19">
        <f t="shared" ca="1" si="2"/>
        <v>27.824999999999999</v>
      </c>
      <c r="DA2" s="19">
        <f t="shared" ca="1" si="2"/>
        <v>29.65</v>
      </c>
      <c r="DB2" s="19">
        <f t="shared" ca="1" si="2"/>
        <v>7.55</v>
      </c>
      <c r="DC2" s="19">
        <f t="shared" ca="1" si="2"/>
        <v>28.475000000000001</v>
      </c>
      <c r="DD2" s="19">
        <f t="shared" ca="1" si="2"/>
        <v>29.175000000000001</v>
      </c>
      <c r="DF2" s="19">
        <f ca="1">DF1/40</f>
        <v>13.65</v>
      </c>
      <c r="DG2" s="441"/>
      <c r="EA2" s="441"/>
      <c r="EB2" s="19">
        <f ca="1">SUM(EB8:EB55)</f>
        <v>4</v>
      </c>
      <c r="EC2" s="19">
        <f t="shared" ref="EC2:ES2" ca="1" si="3">SUM(EC8:EC55)</f>
        <v>0</v>
      </c>
      <c r="ED2" s="19">
        <f t="shared" ca="1" si="3"/>
        <v>1</v>
      </c>
      <c r="EE2" s="19">
        <f t="shared" ca="1" si="3"/>
        <v>3</v>
      </c>
      <c r="EF2" s="19">
        <f t="shared" ca="1" si="3"/>
        <v>6</v>
      </c>
      <c r="EG2" s="19">
        <f t="shared" ca="1" si="3"/>
        <v>0</v>
      </c>
      <c r="EH2" s="19">
        <f t="shared" ca="1" si="3"/>
        <v>4</v>
      </c>
      <c r="EI2" s="19">
        <f t="shared" ca="1" si="3"/>
        <v>0</v>
      </c>
      <c r="EJ2" s="19">
        <f t="shared" ca="1" si="3"/>
        <v>2</v>
      </c>
      <c r="EK2" s="19">
        <f t="shared" ca="1" si="3"/>
        <v>5</v>
      </c>
      <c r="EL2" s="19">
        <f t="shared" ca="1" si="3"/>
        <v>1</v>
      </c>
      <c r="EM2" s="19">
        <f t="shared" ca="1" si="3"/>
        <v>0</v>
      </c>
      <c r="EN2" s="19">
        <f t="shared" ca="1" si="3"/>
        <v>4</v>
      </c>
      <c r="EO2" s="19">
        <f t="shared" ca="1" si="3"/>
        <v>3</v>
      </c>
      <c r="EP2" s="19">
        <f t="shared" ca="1" si="3"/>
        <v>3</v>
      </c>
      <c r="EQ2" s="19">
        <f t="shared" ca="1" si="3"/>
        <v>3</v>
      </c>
      <c r="ER2" s="19">
        <f t="shared" ca="1" si="3"/>
        <v>5</v>
      </c>
      <c r="ES2" s="19">
        <f t="shared" ca="1" si="3"/>
        <v>1</v>
      </c>
      <c r="EU2" s="441"/>
      <c r="FO2" s="441"/>
      <c r="GI2" s="441"/>
      <c r="HE2" s="441"/>
      <c r="HZ2" s="441"/>
      <c r="IA2" s="117"/>
      <c r="IB2" s="117"/>
      <c r="IC2" s="117"/>
      <c r="ID2" s="117"/>
      <c r="IE2" s="117"/>
      <c r="IF2" s="117"/>
      <c r="IG2" s="117"/>
      <c r="IH2" s="117"/>
      <c r="II2" s="117"/>
      <c r="IJ2" s="117"/>
      <c r="IK2" s="117"/>
      <c r="IL2" s="441"/>
    </row>
    <row r="3" spans="1:271" ht="15.6" x14ac:dyDescent="0.3">
      <c r="A3" s="217">
        <v>2025</v>
      </c>
      <c r="B3" s="314"/>
      <c r="C3" s="314"/>
      <c r="D3" s="314"/>
      <c r="E3" s="314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D3" s="19"/>
      <c r="AE3" s="441"/>
      <c r="AF3" s="217" t="s">
        <v>447</v>
      </c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314"/>
      <c r="AW3" s="314"/>
      <c r="AX3" s="314"/>
      <c r="AY3" s="314"/>
      <c r="AZ3" s="314"/>
      <c r="BA3" s="314"/>
      <c r="BB3" s="314"/>
      <c r="BC3" s="314"/>
      <c r="BD3" s="314"/>
      <c r="BE3" s="314"/>
      <c r="BF3" s="314"/>
      <c r="BG3" s="314"/>
      <c r="BH3" s="314"/>
      <c r="BI3" s="441"/>
      <c r="BJ3" s="217" t="s">
        <v>47</v>
      </c>
      <c r="BK3" s="352"/>
      <c r="BL3" s="352"/>
      <c r="BM3" s="352"/>
      <c r="BN3" s="352"/>
      <c r="BO3" s="352"/>
      <c r="BP3" s="352"/>
      <c r="BQ3" s="352"/>
      <c r="BR3" s="352"/>
      <c r="BS3" s="352"/>
      <c r="BT3" s="314"/>
      <c r="BU3" s="314"/>
      <c r="BV3" s="314"/>
      <c r="BW3" s="314"/>
      <c r="BX3" s="314"/>
      <c r="BY3" s="314"/>
      <c r="BZ3" s="314"/>
      <c r="CA3" s="314"/>
      <c r="CB3" s="314"/>
      <c r="CC3" s="314"/>
      <c r="CD3" s="314"/>
      <c r="CE3" s="314"/>
      <c r="CF3" s="314"/>
      <c r="CG3" s="314"/>
      <c r="CH3" s="314"/>
      <c r="CI3" s="314"/>
      <c r="CJ3" s="314"/>
      <c r="CK3" s="314"/>
      <c r="CL3" s="314"/>
      <c r="CM3" s="441"/>
      <c r="DG3" s="441"/>
      <c r="EA3" s="441"/>
      <c r="EU3" s="441"/>
      <c r="FO3" s="441"/>
      <c r="GI3" s="441"/>
      <c r="HE3" s="441"/>
      <c r="HZ3" s="441"/>
      <c r="IA3" s="117"/>
      <c r="IB3" s="117"/>
      <c r="IC3" s="117"/>
      <c r="ID3" s="117"/>
      <c r="IE3" s="117"/>
      <c r="IF3" s="117"/>
      <c r="IG3" s="117"/>
      <c r="IH3" s="117"/>
      <c r="II3" s="117"/>
      <c r="IJ3" s="117"/>
      <c r="IK3" s="117"/>
      <c r="IL3" s="441"/>
    </row>
    <row r="4" spans="1:271" ht="15.6" x14ac:dyDescent="0.2">
      <c r="A4" s="18" t="s">
        <v>43</v>
      </c>
      <c r="C4" s="19">
        <v>36</v>
      </c>
      <c r="G4" s="19" t="s">
        <v>44</v>
      </c>
      <c r="S4" s="442" t="s">
        <v>45</v>
      </c>
      <c r="T4" s="442"/>
      <c r="U4" s="442"/>
      <c r="V4" s="442"/>
      <c r="W4" s="442"/>
      <c r="X4" s="442"/>
      <c r="Y4" s="442"/>
      <c r="Z4" s="442"/>
      <c r="AA4" s="442"/>
      <c r="AB4" s="442"/>
      <c r="AE4" s="441"/>
      <c r="AF4" s="349" t="s">
        <v>449</v>
      </c>
      <c r="AG4" s="349"/>
      <c r="AH4" s="349"/>
      <c r="AI4" s="349"/>
      <c r="AJ4" s="349"/>
      <c r="AK4" s="349"/>
      <c r="AL4" s="349"/>
      <c r="AM4" s="349"/>
      <c r="AN4" s="349"/>
      <c r="AO4" s="349"/>
      <c r="AP4" s="350" t="s">
        <v>448</v>
      </c>
      <c r="AQ4" s="350"/>
      <c r="AR4" s="350"/>
      <c r="AS4" s="350"/>
      <c r="AT4" s="350"/>
      <c r="AU4" s="350"/>
      <c r="AV4" s="350"/>
      <c r="AW4" s="350"/>
      <c r="AX4" s="350"/>
      <c r="AY4" s="350"/>
      <c r="AZ4" s="350"/>
      <c r="BA4" s="350"/>
      <c r="BB4" s="350"/>
      <c r="BC4" s="350"/>
      <c r="BD4" s="350"/>
      <c r="BE4" s="350"/>
      <c r="BF4" s="350"/>
      <c r="BG4" s="350"/>
      <c r="BH4" s="350"/>
      <c r="BI4" s="441"/>
      <c r="BJ4" s="349" t="s">
        <v>449</v>
      </c>
      <c r="BK4" s="352"/>
      <c r="BL4" s="352"/>
      <c r="BM4" s="352"/>
      <c r="BN4" s="352"/>
      <c r="BO4" s="352"/>
      <c r="BP4" s="352"/>
      <c r="BQ4" s="352"/>
      <c r="BR4" s="352"/>
      <c r="BS4" s="352"/>
      <c r="BT4" s="350" t="s">
        <v>448</v>
      </c>
      <c r="BU4" s="351"/>
      <c r="BV4" s="351"/>
      <c r="BW4" s="351"/>
      <c r="BX4" s="351"/>
      <c r="BY4" s="351"/>
      <c r="BZ4" s="351"/>
      <c r="CA4" s="351"/>
      <c r="CB4" s="351"/>
      <c r="CC4" s="351"/>
      <c r="CD4" s="351"/>
      <c r="CE4" s="351"/>
      <c r="CF4" s="351"/>
      <c r="CG4" s="351"/>
      <c r="CH4" s="351"/>
      <c r="CI4" s="351"/>
      <c r="CJ4" s="351"/>
      <c r="CK4" s="351"/>
      <c r="CL4" s="351"/>
      <c r="CM4" s="441"/>
      <c r="CN4" s="19">
        <v>19</v>
      </c>
      <c r="DG4" s="441"/>
      <c r="DH4" s="19">
        <v>19</v>
      </c>
      <c r="EA4" s="441"/>
      <c r="EB4" s="19">
        <v>19</v>
      </c>
      <c r="EU4" s="441"/>
      <c r="EV4" s="19">
        <v>19</v>
      </c>
      <c r="FO4" s="441"/>
      <c r="FP4" s="19">
        <v>19</v>
      </c>
      <c r="GI4" s="441"/>
      <c r="GJ4" s="19">
        <v>19</v>
      </c>
      <c r="GK4" s="19">
        <v>21</v>
      </c>
      <c r="HE4" s="441"/>
      <c r="HF4" s="19">
        <v>19</v>
      </c>
      <c r="HG4" s="19">
        <v>20</v>
      </c>
      <c r="HZ4" s="441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441"/>
      <c r="IN4" s="18" t="s">
        <v>435</v>
      </c>
    </row>
    <row r="5" spans="1:271" x14ac:dyDescent="0.2">
      <c r="A5" s="34"/>
      <c r="B5" s="31"/>
      <c r="C5" s="31"/>
      <c r="D5" s="43"/>
      <c r="E5" s="31"/>
      <c r="F5" s="31"/>
      <c r="G5" s="31">
        <v>2025</v>
      </c>
      <c r="H5" s="31" t="s">
        <v>439</v>
      </c>
      <c r="I5" s="31"/>
      <c r="J5" s="31"/>
      <c r="K5" s="31"/>
      <c r="L5" s="31"/>
      <c r="M5" s="31"/>
      <c r="N5" s="31"/>
      <c r="O5" s="31"/>
      <c r="P5" s="31"/>
      <c r="Q5" s="31"/>
      <c r="R5" s="31">
        <v>2024</v>
      </c>
      <c r="S5" s="31" t="s">
        <v>434</v>
      </c>
      <c r="T5" s="31">
        <v>2025</v>
      </c>
      <c r="U5" s="31">
        <v>2025</v>
      </c>
      <c r="V5" s="31">
        <v>2025</v>
      </c>
      <c r="W5" s="31">
        <v>2025</v>
      </c>
      <c r="X5" s="31">
        <v>2025</v>
      </c>
      <c r="Y5" s="31">
        <v>2025</v>
      </c>
      <c r="Z5" s="31">
        <v>2025</v>
      </c>
      <c r="AA5" s="31">
        <v>2025</v>
      </c>
      <c r="AB5" s="31">
        <v>2025</v>
      </c>
      <c r="AE5" s="293"/>
      <c r="AF5" s="19">
        <v>1</v>
      </c>
      <c r="AG5" s="19">
        <v>2</v>
      </c>
      <c r="AH5" s="19">
        <v>3</v>
      </c>
      <c r="AI5" s="19">
        <v>4</v>
      </c>
      <c r="AJ5" s="19">
        <v>5</v>
      </c>
      <c r="AK5" s="19">
        <v>6</v>
      </c>
      <c r="AL5" s="19">
        <v>7</v>
      </c>
      <c r="AM5" s="19">
        <v>8</v>
      </c>
      <c r="AN5" s="19">
        <v>9</v>
      </c>
      <c r="AO5" s="19">
        <v>10</v>
      </c>
      <c r="AP5" s="19">
        <v>11</v>
      </c>
      <c r="AQ5" s="19">
        <v>12</v>
      </c>
      <c r="AR5" s="19">
        <v>13</v>
      </c>
      <c r="AS5" s="19">
        <v>14</v>
      </c>
      <c r="AT5" s="19">
        <v>15</v>
      </c>
      <c r="AU5" s="19">
        <v>16</v>
      </c>
      <c r="AV5" s="19">
        <v>17</v>
      </c>
      <c r="AW5" s="19">
        <v>18</v>
      </c>
      <c r="AX5" s="19">
        <v>19</v>
      </c>
      <c r="AY5" s="19">
        <v>20</v>
      </c>
      <c r="AZ5" s="19">
        <v>21</v>
      </c>
      <c r="BA5" s="19">
        <v>22</v>
      </c>
      <c r="BB5" s="19">
        <v>23</v>
      </c>
      <c r="BC5" s="19">
        <v>24</v>
      </c>
      <c r="BD5" s="19">
        <v>25</v>
      </c>
      <c r="BE5" s="19">
        <v>26</v>
      </c>
      <c r="BF5" s="19">
        <v>27</v>
      </c>
      <c r="BG5" s="19">
        <v>28</v>
      </c>
      <c r="BH5" s="19">
        <v>29</v>
      </c>
      <c r="BI5" s="293"/>
      <c r="BJ5" s="19">
        <v>1</v>
      </c>
      <c r="BK5" s="19">
        <v>2</v>
      </c>
      <c r="BL5" s="19">
        <v>3</v>
      </c>
      <c r="BM5" s="19">
        <v>4</v>
      </c>
      <c r="BN5" s="19">
        <v>5</v>
      </c>
      <c r="BO5" s="19">
        <v>6</v>
      </c>
      <c r="BP5" s="19">
        <v>7</v>
      </c>
      <c r="BQ5" s="19">
        <v>8</v>
      </c>
      <c r="BR5" s="19">
        <v>9</v>
      </c>
      <c r="BS5" s="19">
        <v>10</v>
      </c>
      <c r="BT5" s="19">
        <v>11</v>
      </c>
      <c r="BU5" s="19">
        <v>12</v>
      </c>
      <c r="BV5" s="19">
        <v>13</v>
      </c>
      <c r="BW5" s="19">
        <v>14</v>
      </c>
      <c r="BX5" s="19">
        <v>15</v>
      </c>
      <c r="BY5" s="19">
        <v>16</v>
      </c>
      <c r="BZ5" s="19">
        <v>17</v>
      </c>
      <c r="CA5" s="19">
        <v>18</v>
      </c>
      <c r="CB5" s="19">
        <v>19</v>
      </c>
      <c r="CC5" s="19">
        <v>20</v>
      </c>
      <c r="CD5" s="19">
        <v>21</v>
      </c>
      <c r="CE5" s="19">
        <v>22</v>
      </c>
      <c r="CF5" s="19">
        <v>23</v>
      </c>
      <c r="CG5" s="19">
        <v>24</v>
      </c>
      <c r="CH5" s="19">
        <v>25</v>
      </c>
      <c r="CI5" s="19">
        <v>26</v>
      </c>
      <c r="CJ5" s="19">
        <v>27</v>
      </c>
      <c r="CK5" s="19">
        <v>28</v>
      </c>
      <c r="CL5" s="19">
        <v>29</v>
      </c>
      <c r="CM5" s="367"/>
      <c r="CN5" s="349" t="s">
        <v>48</v>
      </c>
      <c r="CO5" s="349"/>
      <c r="CP5" s="349"/>
      <c r="CQ5" s="349"/>
      <c r="CR5" s="349"/>
      <c r="CS5" s="349"/>
      <c r="CT5" s="349"/>
      <c r="CU5" s="349"/>
      <c r="CV5" s="349"/>
      <c r="CW5" s="349"/>
      <c r="CX5" s="349"/>
      <c r="CY5" s="349"/>
      <c r="CZ5" s="349"/>
      <c r="DA5" s="349"/>
      <c r="DB5" s="349"/>
      <c r="DC5" s="349"/>
      <c r="DD5" s="349"/>
      <c r="DE5" s="349"/>
      <c r="DF5" s="349"/>
      <c r="DG5" s="367"/>
      <c r="DH5" s="349" t="s">
        <v>49</v>
      </c>
      <c r="DI5" s="349"/>
      <c r="DJ5" s="349"/>
      <c r="DK5" s="349"/>
      <c r="DL5" s="349"/>
      <c r="DM5" s="349"/>
      <c r="DN5" s="349"/>
      <c r="DO5" s="349"/>
      <c r="DP5" s="349"/>
      <c r="DQ5" s="349"/>
      <c r="DR5" s="349"/>
      <c r="DS5" s="349"/>
      <c r="DT5" s="349"/>
      <c r="DU5" s="349"/>
      <c r="DV5" s="349"/>
      <c r="DW5" s="349"/>
      <c r="DX5" s="349"/>
      <c r="DY5" s="349"/>
      <c r="DZ5" s="349"/>
      <c r="EA5" s="367"/>
      <c r="EB5" s="349" t="s">
        <v>50</v>
      </c>
      <c r="EC5" s="349"/>
      <c r="ED5" s="349"/>
      <c r="EE5" s="349"/>
      <c r="EF5" s="349"/>
      <c r="EG5" s="349"/>
      <c r="EH5" s="349"/>
      <c r="EI5" s="349"/>
      <c r="EJ5" s="349"/>
      <c r="EK5" s="349"/>
      <c r="EL5" s="349"/>
      <c r="EM5" s="349"/>
      <c r="EN5" s="349"/>
      <c r="EO5" s="349"/>
      <c r="EP5" s="349"/>
      <c r="EQ5" s="349"/>
      <c r="ER5" s="349"/>
      <c r="ES5" s="349"/>
      <c r="ET5" s="349"/>
      <c r="EU5" s="367"/>
      <c r="EV5" s="349" t="s">
        <v>51</v>
      </c>
      <c r="EW5" s="314"/>
      <c r="EX5" s="314"/>
      <c r="EY5" s="314"/>
      <c r="EZ5" s="314"/>
      <c r="FA5" s="314"/>
      <c r="FB5" s="314"/>
      <c r="FC5" s="314"/>
      <c r="FD5" s="314"/>
      <c r="FE5" s="314"/>
      <c r="FF5" s="314"/>
      <c r="FG5" s="314"/>
      <c r="FH5" s="314"/>
      <c r="FI5" s="314"/>
      <c r="FJ5" s="314"/>
      <c r="FK5" s="314"/>
      <c r="FL5" s="314"/>
      <c r="FM5" s="314"/>
      <c r="FN5" s="314"/>
      <c r="FO5" s="367"/>
      <c r="FP5" s="349" t="s">
        <v>52</v>
      </c>
      <c r="FQ5" s="349"/>
      <c r="FR5" s="349"/>
      <c r="FS5" s="349"/>
      <c r="FT5" s="349"/>
      <c r="FU5" s="349"/>
      <c r="FV5" s="349"/>
      <c r="FW5" s="349"/>
      <c r="FX5" s="349"/>
      <c r="FY5" s="349"/>
      <c r="FZ5" s="349"/>
      <c r="GA5" s="349"/>
      <c r="GB5" s="349"/>
      <c r="GC5" s="349"/>
      <c r="GD5" s="349"/>
      <c r="GE5" s="349"/>
      <c r="GF5" s="349"/>
      <c r="GG5" s="349"/>
      <c r="GH5" s="349"/>
      <c r="GI5" s="367"/>
      <c r="GJ5" s="349" t="s">
        <v>53</v>
      </c>
      <c r="GK5" s="314"/>
      <c r="GL5" s="314"/>
      <c r="GM5" s="314"/>
      <c r="GN5" s="314"/>
      <c r="GO5" s="314"/>
      <c r="GP5" s="314"/>
      <c r="GQ5" s="314"/>
      <c r="GR5" s="314"/>
      <c r="GS5" s="314"/>
      <c r="GT5" s="314"/>
      <c r="GU5" s="314"/>
      <c r="GV5" s="314"/>
      <c r="GW5" s="314"/>
      <c r="GX5" s="314"/>
      <c r="GY5" s="314"/>
      <c r="GZ5" s="314"/>
      <c r="HA5" s="314"/>
      <c r="HB5" s="314"/>
      <c r="HC5" s="314"/>
      <c r="HD5" s="314"/>
      <c r="HE5" s="367"/>
      <c r="HF5" s="349" t="s">
        <v>54</v>
      </c>
      <c r="HG5" s="349"/>
      <c r="HH5" s="349"/>
      <c r="HI5" s="349"/>
      <c r="HJ5" s="349"/>
      <c r="HK5" s="349"/>
      <c r="HL5" s="349"/>
      <c r="HM5" s="349"/>
      <c r="HN5" s="349"/>
      <c r="HO5" s="349"/>
      <c r="HP5" s="349"/>
      <c r="HQ5" s="349"/>
      <c r="HR5" s="349"/>
      <c r="HS5" s="349"/>
      <c r="HT5" s="349"/>
      <c r="HU5" s="349"/>
      <c r="HV5" s="314"/>
      <c r="HW5" s="314"/>
      <c r="HX5" s="314"/>
      <c r="HY5" s="314"/>
      <c r="HZ5" s="367"/>
      <c r="IA5" s="443" t="s">
        <v>450</v>
      </c>
      <c r="IB5" s="443"/>
      <c r="IC5" s="443"/>
      <c r="ID5" s="443"/>
      <c r="IE5" s="443"/>
      <c r="IF5" s="443"/>
      <c r="IG5" s="443"/>
      <c r="IH5" s="443"/>
      <c r="II5" s="443"/>
      <c r="IJ5" s="443"/>
      <c r="IK5" s="443"/>
      <c r="IL5" s="367"/>
      <c r="IY5" s="18" t="s">
        <v>436</v>
      </c>
      <c r="JG5" s="18">
        <v>2</v>
      </c>
      <c r="JH5" s="18">
        <v>3</v>
      </c>
      <c r="JI5" s="18">
        <v>4</v>
      </c>
      <c r="JJ5" s="18">
        <v>4</v>
      </c>
    </row>
    <row r="6" spans="1:271" ht="40.799999999999997" x14ac:dyDescent="0.2">
      <c r="A6" s="34" t="s">
        <v>55</v>
      </c>
      <c r="B6" s="31" t="s">
        <v>56</v>
      </c>
      <c r="C6" s="31" t="s">
        <v>57</v>
      </c>
      <c r="D6" s="34" t="s">
        <v>58</v>
      </c>
      <c r="E6" s="60" t="s">
        <v>499</v>
      </c>
      <c r="F6" s="60" t="s">
        <v>500</v>
      </c>
      <c r="G6" s="44" t="s">
        <v>59</v>
      </c>
      <c r="H6" s="31" t="s">
        <v>405</v>
      </c>
      <c r="I6" s="31" t="s">
        <v>463</v>
      </c>
      <c r="J6" s="31" t="s">
        <v>464</v>
      </c>
      <c r="K6" s="31" t="s">
        <v>465</v>
      </c>
      <c r="L6" s="31" t="s">
        <v>466</v>
      </c>
      <c r="M6" s="31" t="s">
        <v>467</v>
      </c>
      <c r="N6" s="31" t="s">
        <v>468</v>
      </c>
      <c r="O6" s="31" t="s">
        <v>469</v>
      </c>
      <c r="P6" s="31" t="s">
        <v>470</v>
      </c>
      <c r="Q6" s="31" t="s">
        <v>471</v>
      </c>
      <c r="R6" s="31" t="s">
        <v>60</v>
      </c>
      <c r="S6" s="31" t="s">
        <v>61</v>
      </c>
      <c r="T6" s="31" t="s">
        <v>62</v>
      </c>
      <c r="U6" s="31" t="s">
        <v>63</v>
      </c>
      <c r="V6" s="31" t="s">
        <v>64</v>
      </c>
      <c r="W6" s="31" t="s">
        <v>65</v>
      </c>
      <c r="X6" s="31" t="s">
        <v>66</v>
      </c>
      <c r="Y6" s="31" t="s">
        <v>67</v>
      </c>
      <c r="Z6" s="31" t="s">
        <v>68</v>
      </c>
      <c r="AA6" s="31" t="s">
        <v>69</v>
      </c>
      <c r="AB6" s="31" t="s">
        <v>460</v>
      </c>
      <c r="AC6" s="19" t="s">
        <v>70</v>
      </c>
      <c r="AD6" s="19" t="s">
        <v>71</v>
      </c>
      <c r="AE6" s="293"/>
      <c r="AF6" s="19">
        <v>1</v>
      </c>
      <c r="AG6" s="19">
        <v>2</v>
      </c>
      <c r="AH6" s="19">
        <v>3</v>
      </c>
      <c r="AI6" s="19">
        <v>4</v>
      </c>
      <c r="AJ6" s="19">
        <v>5</v>
      </c>
      <c r="AK6" s="19">
        <v>6</v>
      </c>
      <c r="AL6" s="19">
        <v>7</v>
      </c>
      <c r="AM6" s="19">
        <v>8</v>
      </c>
      <c r="AN6" s="19">
        <v>9</v>
      </c>
      <c r="AO6" s="19">
        <v>10</v>
      </c>
      <c r="AP6" s="19">
        <v>1</v>
      </c>
      <c r="AQ6" s="19">
        <v>2</v>
      </c>
      <c r="AR6" s="19">
        <v>3</v>
      </c>
      <c r="AS6" s="19">
        <v>4</v>
      </c>
      <c r="AT6" s="19">
        <v>5</v>
      </c>
      <c r="AU6" s="19">
        <v>6</v>
      </c>
      <c r="AV6" s="19">
        <v>7</v>
      </c>
      <c r="AW6" s="19">
        <v>8</v>
      </c>
      <c r="AX6" s="19">
        <v>9</v>
      </c>
      <c r="AY6" s="19">
        <v>10</v>
      </c>
      <c r="AZ6" s="19">
        <v>11</v>
      </c>
      <c r="BA6" s="19">
        <v>12</v>
      </c>
      <c r="BB6" s="19">
        <v>13</v>
      </c>
      <c r="BC6" s="19">
        <v>14</v>
      </c>
      <c r="BD6" s="19">
        <v>15</v>
      </c>
      <c r="BE6" s="19">
        <v>16</v>
      </c>
      <c r="BF6" s="19">
        <v>17</v>
      </c>
      <c r="BG6" s="19">
        <v>18</v>
      </c>
      <c r="BH6" s="19">
        <v>19</v>
      </c>
      <c r="BI6" s="293"/>
      <c r="BJ6" s="19">
        <v>1</v>
      </c>
      <c r="BK6" s="19">
        <v>2</v>
      </c>
      <c r="BL6" s="19">
        <v>3</v>
      </c>
      <c r="BM6" s="19">
        <v>4</v>
      </c>
      <c r="BN6" s="19">
        <v>5</v>
      </c>
      <c r="BO6" s="19">
        <v>6</v>
      </c>
      <c r="BP6" s="19">
        <v>7</v>
      </c>
      <c r="BQ6" s="19">
        <v>8</v>
      </c>
      <c r="BR6" s="19">
        <v>9</v>
      </c>
      <c r="BS6" s="19">
        <v>10</v>
      </c>
      <c r="BT6" s="19">
        <v>1</v>
      </c>
      <c r="BU6" s="19">
        <v>2</v>
      </c>
      <c r="BV6" s="19">
        <v>3</v>
      </c>
      <c r="BW6" s="19">
        <v>4</v>
      </c>
      <c r="BX6" s="19">
        <v>5</v>
      </c>
      <c r="BY6" s="19">
        <v>6</v>
      </c>
      <c r="BZ6" s="19">
        <v>7</v>
      </c>
      <c r="CA6" s="19">
        <v>8</v>
      </c>
      <c r="CB6" s="19">
        <v>9</v>
      </c>
      <c r="CC6" s="19">
        <v>10</v>
      </c>
      <c r="CD6" s="19">
        <v>11</v>
      </c>
      <c r="CE6" s="19">
        <v>12</v>
      </c>
      <c r="CF6" s="19">
        <v>13</v>
      </c>
      <c r="CG6" s="19">
        <v>14</v>
      </c>
      <c r="CH6" s="19">
        <v>15</v>
      </c>
      <c r="CI6" s="19">
        <v>16</v>
      </c>
      <c r="CJ6" s="19">
        <v>17</v>
      </c>
      <c r="CK6" s="19">
        <v>18</v>
      </c>
      <c r="CL6" s="19">
        <v>19</v>
      </c>
      <c r="CM6" s="367"/>
      <c r="CN6" s="19">
        <v>1</v>
      </c>
      <c r="CO6" s="19">
        <v>2</v>
      </c>
      <c r="CP6" s="19">
        <v>3</v>
      </c>
      <c r="CQ6" s="19">
        <v>4</v>
      </c>
      <c r="CR6" s="19">
        <v>5</v>
      </c>
      <c r="CS6" s="19">
        <v>6</v>
      </c>
      <c r="CT6" s="19">
        <v>7</v>
      </c>
      <c r="CU6" s="19">
        <v>8</v>
      </c>
      <c r="CV6" s="19">
        <v>9</v>
      </c>
      <c r="CW6" s="19">
        <v>10</v>
      </c>
      <c r="CX6" s="19">
        <v>11</v>
      </c>
      <c r="CY6" s="19">
        <v>12</v>
      </c>
      <c r="CZ6" s="19">
        <v>13</v>
      </c>
      <c r="DA6" s="19">
        <v>14</v>
      </c>
      <c r="DB6" s="19">
        <v>15</v>
      </c>
      <c r="DC6" s="19">
        <v>16</v>
      </c>
      <c r="DD6" s="19">
        <v>17</v>
      </c>
      <c r="DE6" s="19">
        <v>18</v>
      </c>
      <c r="DF6" s="19">
        <v>19</v>
      </c>
      <c r="DG6" s="367"/>
      <c r="DH6" s="19">
        <v>1</v>
      </c>
      <c r="DI6" s="19">
        <v>2</v>
      </c>
      <c r="DJ6" s="19">
        <v>3</v>
      </c>
      <c r="DK6" s="19">
        <v>4</v>
      </c>
      <c r="DL6" s="19">
        <v>5</v>
      </c>
      <c r="DM6" s="19">
        <v>6</v>
      </c>
      <c r="DN6" s="19">
        <v>7</v>
      </c>
      <c r="DO6" s="19">
        <v>8</v>
      </c>
      <c r="DP6" s="19">
        <v>9</v>
      </c>
      <c r="DQ6" s="19">
        <v>10</v>
      </c>
      <c r="DR6" s="19">
        <v>11</v>
      </c>
      <c r="DS6" s="19">
        <v>12</v>
      </c>
      <c r="DT6" s="19">
        <v>13</v>
      </c>
      <c r="DU6" s="19">
        <v>14</v>
      </c>
      <c r="DV6" s="19">
        <v>15</v>
      </c>
      <c r="DW6" s="19">
        <v>16</v>
      </c>
      <c r="DX6" s="19">
        <v>17</v>
      </c>
      <c r="DY6" s="19">
        <v>18</v>
      </c>
      <c r="DZ6" s="19">
        <v>19</v>
      </c>
      <c r="EA6" s="367"/>
      <c r="EB6" s="19">
        <v>1</v>
      </c>
      <c r="EC6" s="19">
        <v>2</v>
      </c>
      <c r="ED6" s="19">
        <v>3</v>
      </c>
      <c r="EE6" s="19">
        <v>4</v>
      </c>
      <c r="EF6" s="19">
        <v>5</v>
      </c>
      <c r="EG6" s="19">
        <v>6</v>
      </c>
      <c r="EH6" s="19">
        <v>7</v>
      </c>
      <c r="EI6" s="19">
        <v>8</v>
      </c>
      <c r="EJ6" s="19">
        <v>9</v>
      </c>
      <c r="EK6" s="19">
        <v>10</v>
      </c>
      <c r="EL6" s="19">
        <v>11</v>
      </c>
      <c r="EM6" s="19">
        <v>12</v>
      </c>
      <c r="EN6" s="19">
        <v>13</v>
      </c>
      <c r="EO6" s="19">
        <v>14</v>
      </c>
      <c r="EP6" s="19">
        <v>15</v>
      </c>
      <c r="EQ6" s="19">
        <v>16</v>
      </c>
      <c r="ER6" s="19">
        <v>17</v>
      </c>
      <c r="ES6" s="19">
        <v>18</v>
      </c>
      <c r="ET6" s="19">
        <v>19</v>
      </c>
      <c r="EU6" s="367"/>
      <c r="EV6" s="19">
        <v>1</v>
      </c>
      <c r="EW6" s="19">
        <v>2</v>
      </c>
      <c r="EX6" s="19">
        <v>3</v>
      </c>
      <c r="EY6" s="19">
        <v>4</v>
      </c>
      <c r="EZ6" s="19">
        <v>5</v>
      </c>
      <c r="FA6" s="19">
        <v>6</v>
      </c>
      <c r="FB6" s="19">
        <v>7</v>
      </c>
      <c r="FC6" s="19">
        <v>8</v>
      </c>
      <c r="FD6" s="19">
        <v>9</v>
      </c>
      <c r="FE6" s="19">
        <v>10</v>
      </c>
      <c r="FF6" s="19">
        <v>11</v>
      </c>
      <c r="FG6" s="19">
        <v>12</v>
      </c>
      <c r="FH6" s="19">
        <v>13</v>
      </c>
      <c r="FI6" s="19">
        <v>14</v>
      </c>
      <c r="FJ6" s="19">
        <v>15</v>
      </c>
      <c r="FK6" s="19">
        <v>16</v>
      </c>
      <c r="FL6" s="19">
        <v>17</v>
      </c>
      <c r="FM6" s="19">
        <v>18</v>
      </c>
      <c r="FN6" s="19">
        <v>19</v>
      </c>
      <c r="FO6" s="367"/>
      <c r="FP6" s="19">
        <v>1</v>
      </c>
      <c r="FQ6" s="19">
        <v>2</v>
      </c>
      <c r="FR6" s="19">
        <v>3</v>
      </c>
      <c r="FS6" s="19">
        <v>4</v>
      </c>
      <c r="FT6" s="19">
        <v>5</v>
      </c>
      <c r="FU6" s="19">
        <v>6</v>
      </c>
      <c r="FV6" s="19">
        <v>7</v>
      </c>
      <c r="FW6" s="19">
        <v>8</v>
      </c>
      <c r="FX6" s="19">
        <v>9</v>
      </c>
      <c r="FY6" s="19">
        <v>10</v>
      </c>
      <c r="FZ6" s="19">
        <v>11</v>
      </c>
      <c r="GA6" s="19">
        <v>12</v>
      </c>
      <c r="GB6" s="19">
        <v>13</v>
      </c>
      <c r="GC6" s="19">
        <v>14</v>
      </c>
      <c r="GD6" s="19">
        <v>15</v>
      </c>
      <c r="GE6" s="19">
        <v>16</v>
      </c>
      <c r="GF6" s="19">
        <v>17</v>
      </c>
      <c r="GG6" s="19">
        <v>18</v>
      </c>
      <c r="GH6" s="19">
        <v>19</v>
      </c>
      <c r="GI6" s="367"/>
      <c r="GJ6" s="19">
        <v>1</v>
      </c>
      <c r="GK6" s="19">
        <v>2</v>
      </c>
      <c r="GL6" s="19">
        <v>3</v>
      </c>
      <c r="GM6" s="19">
        <v>4</v>
      </c>
      <c r="GN6" s="19">
        <v>5</v>
      </c>
      <c r="GO6" s="19">
        <v>6</v>
      </c>
      <c r="GP6" s="19">
        <v>7</v>
      </c>
      <c r="GQ6" s="19">
        <v>8</v>
      </c>
      <c r="GR6" s="19">
        <v>9</v>
      </c>
      <c r="GS6" s="19">
        <v>10</v>
      </c>
      <c r="GT6" s="19">
        <v>11</v>
      </c>
      <c r="GU6" s="19">
        <v>12</v>
      </c>
      <c r="GV6" s="19">
        <v>13</v>
      </c>
      <c r="GW6" s="19">
        <v>14</v>
      </c>
      <c r="GX6" s="19">
        <v>15</v>
      </c>
      <c r="GY6" s="19">
        <v>16</v>
      </c>
      <c r="GZ6" s="19">
        <v>17</v>
      </c>
      <c r="HA6" s="19">
        <v>18</v>
      </c>
      <c r="HB6" s="19">
        <v>19</v>
      </c>
      <c r="HC6" s="19" t="s">
        <v>72</v>
      </c>
      <c r="HD6" s="19" t="s">
        <v>73</v>
      </c>
      <c r="HE6" s="367"/>
      <c r="HF6" s="19">
        <v>1</v>
      </c>
      <c r="HG6" s="19">
        <v>2</v>
      </c>
      <c r="HH6" s="19">
        <v>3</v>
      </c>
      <c r="HI6" s="19">
        <v>4</v>
      </c>
      <c r="HJ6" s="19">
        <v>5</v>
      </c>
      <c r="HK6" s="19">
        <v>6</v>
      </c>
      <c r="HL6" s="19">
        <v>7</v>
      </c>
      <c r="HM6" s="19">
        <v>8</v>
      </c>
      <c r="HN6" s="19">
        <v>9</v>
      </c>
      <c r="HO6" s="19">
        <v>10</v>
      </c>
      <c r="HP6" s="19">
        <v>11</v>
      </c>
      <c r="HQ6" s="19">
        <v>12</v>
      </c>
      <c r="HR6" s="19">
        <v>13</v>
      </c>
      <c r="HS6" s="19">
        <v>14</v>
      </c>
      <c r="HT6" s="19">
        <v>15</v>
      </c>
      <c r="HU6" s="19">
        <v>16</v>
      </c>
      <c r="HV6" s="19">
        <v>17</v>
      </c>
      <c r="HW6" s="19">
        <v>18</v>
      </c>
      <c r="HX6" s="19">
        <v>19</v>
      </c>
      <c r="HY6" s="19" t="s">
        <v>74</v>
      </c>
      <c r="HZ6" s="367"/>
      <c r="IA6" s="19">
        <v>0</v>
      </c>
      <c r="IB6" s="19">
        <v>1</v>
      </c>
      <c r="IC6" s="19">
        <v>2</v>
      </c>
      <c r="ID6" s="19">
        <v>3</v>
      </c>
      <c r="IE6" s="19">
        <v>4</v>
      </c>
      <c r="IF6" s="19">
        <v>5</v>
      </c>
      <c r="IG6" s="19">
        <v>6</v>
      </c>
      <c r="IH6" s="19">
        <v>7</v>
      </c>
      <c r="II6" s="19">
        <v>8</v>
      </c>
      <c r="IJ6" s="19">
        <v>9</v>
      </c>
      <c r="IK6" s="19">
        <v>10</v>
      </c>
      <c r="IL6" s="367"/>
      <c r="IN6" s="18">
        <v>1</v>
      </c>
      <c r="IO6" s="18">
        <v>2</v>
      </c>
      <c r="IP6" s="18">
        <v>3</v>
      </c>
      <c r="IQ6" s="18">
        <v>4</v>
      </c>
      <c r="IR6" s="18">
        <v>5</v>
      </c>
      <c r="IS6" s="18">
        <v>6</v>
      </c>
      <c r="IT6" s="18">
        <v>7</v>
      </c>
      <c r="IU6" s="18">
        <v>8</v>
      </c>
      <c r="IV6" s="18">
        <v>9</v>
      </c>
      <c r="IW6" s="18">
        <v>10</v>
      </c>
      <c r="IX6" s="18" t="s">
        <v>438</v>
      </c>
      <c r="IY6" s="18" t="s">
        <v>437</v>
      </c>
      <c r="JA6" s="18">
        <v>0</v>
      </c>
      <c r="JB6" s="18">
        <v>1</v>
      </c>
      <c r="JC6" s="18">
        <v>2</v>
      </c>
      <c r="JD6" s="18">
        <v>3</v>
      </c>
      <c r="JE6" s="18">
        <v>4</v>
      </c>
      <c r="JF6" s="18">
        <v>5</v>
      </c>
      <c r="JG6" s="18">
        <v>6</v>
      </c>
      <c r="JH6" s="18">
        <v>7</v>
      </c>
      <c r="JI6" s="18">
        <v>8</v>
      </c>
      <c r="JJ6" s="18">
        <v>9</v>
      </c>
      <c r="JK6" s="18">
        <v>10</v>
      </c>
    </row>
    <row r="7" spans="1:271" ht="21" customHeight="1" x14ac:dyDescent="0.2">
      <c r="A7" s="38" t="s">
        <v>17</v>
      </c>
      <c r="B7" s="39" t="s">
        <v>75</v>
      </c>
      <c r="C7" s="40">
        <f ca="1">IFERROR(VLOOKUP(D7, leagueroster, 2, FALSE), 0)</f>
        <v>0.20100000000000001</v>
      </c>
      <c r="D7" s="38" t="str">
        <f ca="1">INDEX(INDIRECT($A7), 3, 1)</f>
        <v>Aceholes</v>
      </c>
      <c r="E7" s="39"/>
      <c r="F7" s="39"/>
      <c r="G7" s="41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41"/>
      <c r="V7" s="39"/>
      <c r="W7" s="39"/>
      <c r="X7" s="39"/>
      <c r="Y7" s="39"/>
      <c r="Z7" s="39"/>
      <c r="AA7" s="39"/>
      <c r="AB7" s="39"/>
      <c r="AE7" s="293"/>
      <c r="AF7" s="336"/>
      <c r="AG7" s="336"/>
      <c r="AH7" s="336"/>
      <c r="AI7" s="336"/>
      <c r="AJ7" s="336"/>
      <c r="AK7" s="336"/>
      <c r="AL7" s="336"/>
      <c r="AM7" s="336"/>
      <c r="AN7" s="336"/>
      <c r="AO7" s="336"/>
      <c r="BI7" s="293"/>
      <c r="BJ7" s="336"/>
      <c r="BK7" s="336"/>
      <c r="BL7" s="336"/>
      <c r="BM7" s="336"/>
      <c r="BN7" s="336"/>
      <c r="BO7" s="336"/>
      <c r="BP7" s="336"/>
      <c r="BQ7" s="336"/>
      <c r="BR7" s="336"/>
      <c r="BS7" s="336"/>
      <c r="CM7" s="367"/>
      <c r="DG7" s="367"/>
      <c r="EA7" s="367"/>
      <c r="EU7" s="367"/>
      <c r="FO7" s="367"/>
      <c r="GI7" s="367"/>
      <c r="GJ7" s="20">
        <f t="shared" ref="GJ7:HB7" ca="1" si="4">IF(INDEX(INDIRECT($A7), 4, GJ$6+2)=0, "", INDEX(INDIRECT($A7), 4, GJ$6+2))</f>
        <v>163</v>
      </c>
      <c r="GK7" s="20">
        <f t="shared" ca="1" si="4"/>
        <v>171</v>
      </c>
      <c r="GL7" s="20">
        <f t="shared" ca="1" si="4"/>
        <v>163</v>
      </c>
      <c r="GM7" s="20">
        <f t="shared" ca="1" si="4"/>
        <v>150</v>
      </c>
      <c r="GN7" s="20">
        <f t="shared" ca="1" si="4"/>
        <v>157</v>
      </c>
      <c r="GO7" s="20">
        <f t="shared" ca="1" si="4"/>
        <v>153</v>
      </c>
      <c r="GP7" s="20">
        <f t="shared" ca="1" si="4"/>
        <v>154</v>
      </c>
      <c r="GQ7" s="20" t="str">
        <f t="shared" ca="1" si="4"/>
        <v/>
      </c>
      <c r="GR7" s="20">
        <f t="shared" ca="1" si="4"/>
        <v>161</v>
      </c>
      <c r="GS7" s="20">
        <f t="shared" ca="1" si="4"/>
        <v>142</v>
      </c>
      <c r="GT7" s="20">
        <f t="shared" ca="1" si="4"/>
        <v>162</v>
      </c>
      <c r="GU7" s="20" t="str">
        <f t="shared" ca="1" si="4"/>
        <v/>
      </c>
      <c r="GV7" s="20">
        <f t="shared" ca="1" si="4"/>
        <v>150</v>
      </c>
      <c r="GW7" s="20">
        <f t="shared" ca="1" si="4"/>
        <v>154</v>
      </c>
      <c r="GX7" s="20" t="str">
        <f t="shared" ca="1" si="4"/>
        <v/>
      </c>
      <c r="GY7" s="20">
        <f t="shared" ca="1" si="4"/>
        <v>152</v>
      </c>
      <c r="GZ7" s="20">
        <f t="shared" ca="1" si="4"/>
        <v>144</v>
      </c>
      <c r="HA7" s="20">
        <f t="shared" ca="1" si="4"/>
        <v>166</v>
      </c>
      <c r="HB7" s="20" t="str">
        <f t="shared" ca="1" si="4"/>
        <v/>
      </c>
      <c r="HC7" s="20" cm="1">
        <f t="array" aca="1" ref="HC7" ca="1">MIN(_xlfn._xlws.FILTER(GJ7:HB7,GJ7:HB7&gt;129))</f>
        <v>142</v>
      </c>
      <c r="HD7" s="42">
        <f ca="1">IF(D7&lt;&gt;"", IFERROR(AVERAGE(GJ7:HA7), "-"), "")</f>
        <v>156.13333333333333</v>
      </c>
      <c r="HE7" s="367"/>
      <c r="HF7" s="20">
        <f t="shared" ref="HF7:HW7" ca="1" si="5">IF(INDEX(INDIRECT($A7), 3, HF$6+2)=0, "", INDEX(INDIRECT($A7), 3, HF$6+2))</f>
        <v>28</v>
      </c>
      <c r="HG7" s="20">
        <f t="shared" ca="1" si="5"/>
        <v>51</v>
      </c>
      <c r="HH7" s="20">
        <f t="shared" ca="1" si="5"/>
        <v>44</v>
      </c>
      <c r="HI7" s="20">
        <f t="shared" ca="1" si="5"/>
        <v>49</v>
      </c>
      <c r="HJ7" s="20">
        <f t="shared" ca="1" si="5"/>
        <v>46</v>
      </c>
      <c r="HK7" s="20">
        <f t="shared" ca="1" si="5"/>
        <v>58</v>
      </c>
      <c r="HL7" s="20">
        <f t="shared" ca="1" si="5"/>
        <v>55</v>
      </c>
      <c r="HM7" s="20" t="str">
        <f t="shared" ca="1" si="5"/>
        <v/>
      </c>
      <c r="HN7" s="20">
        <f t="shared" ca="1" si="5"/>
        <v>35</v>
      </c>
      <c r="HO7" s="20">
        <f t="shared" ca="1" si="5"/>
        <v>54</v>
      </c>
      <c r="HP7" s="20">
        <f t="shared" ca="1" si="5"/>
        <v>36</v>
      </c>
      <c r="HQ7" s="20" t="str">
        <f t="shared" ca="1" si="5"/>
        <v/>
      </c>
      <c r="HR7" s="20">
        <f t="shared" ca="1" si="5"/>
        <v>52</v>
      </c>
      <c r="HS7" s="20">
        <f t="shared" ca="1" si="5"/>
        <v>37</v>
      </c>
      <c r="HT7" s="20">
        <f t="shared" ca="1" si="5"/>
        <v>58</v>
      </c>
      <c r="HU7" s="20">
        <f t="shared" ca="1" si="5"/>
        <v>31</v>
      </c>
      <c r="HV7" s="20">
        <f t="shared" ca="1" si="5"/>
        <v>45</v>
      </c>
      <c r="HW7" s="20">
        <f t="shared" ca="1" si="5"/>
        <v>30</v>
      </c>
      <c r="HX7" s="20"/>
      <c r="HY7" s="20">
        <f ca="1">MAX(HF7:HX7)</f>
        <v>58</v>
      </c>
      <c r="HZ7" s="367"/>
      <c r="IA7" s="118"/>
      <c r="IB7" s="118"/>
      <c r="IC7" s="118"/>
      <c r="ID7" s="118"/>
      <c r="IE7" s="118"/>
      <c r="IF7" s="118"/>
      <c r="IG7" s="118"/>
      <c r="IH7" s="118"/>
      <c r="II7" s="118"/>
      <c r="IJ7" s="118"/>
      <c r="IK7" s="118"/>
      <c r="IL7" s="367"/>
    </row>
    <row r="8" spans="1:271" x14ac:dyDescent="0.2">
      <c r="A8" s="18" t="s">
        <v>17</v>
      </c>
      <c r="B8" s="19">
        <v>5</v>
      </c>
      <c r="C8" s="22">
        <f t="shared" ref="C8:C13" ca="1" si="6">IFERROR(VLOOKUP($D8, leagueroster, 2, FALSE), 0)</f>
        <v>6.0000000000000001E-3</v>
      </c>
      <c r="D8" s="18" t="str">
        <f t="shared" ref="D8:D13" ca="1" si="7">INDEX(INDIRECT($A8), $B8, 1)</f>
        <v>Kish, Jeff - C</v>
      </c>
      <c r="E8" s="19">
        <f t="shared" ref="E8:E13" ca="1" si="8">IF($D8&lt;&gt;"", COUNTIF($AP8:$BH8,"&lt;&gt;0"), "")</f>
        <v>11</v>
      </c>
      <c r="F8" s="19">
        <f ca="1">IF(D8&lt;&gt;"",COUNT($H8:$Q8),"")</f>
        <v>10</v>
      </c>
      <c r="G8" s="21">
        <f ca="1">IF($D8&lt;&gt;"",INDEX($IA8:$IK8,1,MATCH($F8,$IA$6:$IK$6,0)), "")</f>
        <v>2.5</v>
      </c>
      <c r="H8" s="337" cm="1">
        <f t="array" aca="1" ref="H8" ca="1">IFERROR(_xlfn.SINGLE(INDEX($AF8:$BH8, , SUMPRODUCT(LARGE((($AF8:$BH8&lt;&gt;0)*($BJ8:$CL8&lt;&gt;1)*($AF$5:$BH$5)), H$6)))), "")</f>
        <v>37</v>
      </c>
      <c r="I8" s="338" cm="1">
        <f t="array" aca="1" ref="I8" ca="1">IFERROR(_xlfn.SINGLE(INDEX($AF8:$BH8, , SUMPRODUCT(LARGE((($AF8:$BH8&lt;&gt;0)*($BJ8:$CL8&lt;&gt;1)*($AF$5:$BH$5)), I$6)))), "")</f>
        <v>37</v>
      </c>
      <c r="J8" s="338" cm="1">
        <f t="array" aca="1" ref="J8" ca="1">IFERROR(_xlfn.SINGLE(INDEX($AF8:$BH8, , SUMPRODUCT(LARGE((($AF8:$BH8&lt;&gt;0)*($BJ8:$CL8&lt;&gt;1)*($AF$5:$BH$5)), J$6)))), "")</f>
        <v>40</v>
      </c>
      <c r="K8" s="338" cm="1">
        <f t="array" aca="1" ref="K8" ca="1">IFERROR(_xlfn.SINGLE(INDEX($AF8:$BH8, , SUMPRODUCT(LARGE((($AF8:$BH8&lt;&gt;0)*($BJ8:$CL8&lt;&gt;1)*($AF$5:$BH$5)), K$6)))), "")</f>
        <v>42</v>
      </c>
      <c r="L8" s="338" cm="1">
        <f t="array" aca="1" ref="L8" ca="1">IFERROR(_xlfn.SINGLE(INDEX($AF8:$BH8, , SUMPRODUCT(LARGE((($AF8:$BH8&lt;&gt;0)*($BJ8:$CL8&lt;&gt;1)*($AF$5:$BH$5)), L$6)))), "")</f>
        <v>41</v>
      </c>
      <c r="M8" s="338" cm="1">
        <f t="array" aca="1" ref="M8" ca="1">IFERROR(_xlfn.SINGLE(INDEX($AF8:$BH8, , SUMPRODUCT(LARGE((($AF8:$BH8&lt;&gt;0)*($BJ8:$CL8&lt;&gt;1)*($AF$5:$BH$5)), M$6)))), "")</f>
        <v>42</v>
      </c>
      <c r="N8" s="338" cm="1">
        <f t="array" aca="1" ref="N8" ca="1">IFERROR(_xlfn.SINGLE(INDEX($AF8:$BH8, , SUMPRODUCT(LARGE((($AF8:$BH8&lt;&gt;0)*($BJ8:$CL8&lt;&gt;1)*($AF$5:$BH$5)), N$6)))), "")</f>
        <v>40</v>
      </c>
      <c r="O8" s="338" cm="1">
        <f t="array" aca="1" ref="O8" ca="1">IFERROR(_xlfn.SINGLE(INDEX($AF8:$BH8, , SUMPRODUCT(LARGE((($AF8:$BH8&lt;&gt;0)*($BJ8:$CL8&lt;&gt;1)*($AF$5:$BH$5)), O$6)))), "")</f>
        <v>39</v>
      </c>
      <c r="P8" s="338" cm="1">
        <f t="array" aca="1" ref="P8" ca="1">IFERROR(_xlfn.SINGLE(INDEX($AF8:$BH8, , SUMPRODUCT(LARGE((($AF8:$BH8&lt;&gt;0)*($BJ8:$CL8&lt;&gt;1)*($AF$5:$BH$5)), P$6)))), "")</f>
        <v>41</v>
      </c>
      <c r="Q8" s="339" cm="1">
        <f t="array" aca="1" ref="Q8" ca="1">IFERROR(_xlfn.SINGLE(INDEX($AF8:$BH8, , SUMPRODUCT(LARGE((($AF8:$BH8&lt;&gt;0)*($BJ8:$CL8&lt;&gt;1)*($AF$5:$BH$5)), Q$6)))), "")</f>
        <v>40</v>
      </c>
      <c r="R8" s="21">
        <v>41.533333333333331</v>
      </c>
      <c r="S8" s="47">
        <f t="shared" ref="S8:S13" ca="1" si="9">IF(COUNT($H8:$Q8)&lt;5,"-",AVERAGE(SMALL($H8:$Q8,1),SMALL($H8:$Q8,2),SMALL($H8:$Q8,3),SMALL($H8:$Q8,4),SMALL($H8:$Q8,5)))</f>
        <v>38.6</v>
      </c>
      <c r="T8" s="21">
        <f ca="1">IF($D8&lt;&gt;"", IFERROR(IF($E8&gt;=qualifier, SUMIF($BT8:$CL8,0,$AP8:$BH8)/$E8, TEXT(SUMIF($BT8:$CL8,0,$AP8:$BH8)/$E8, "0.00")&amp;"*"), "-"), "")</f>
        <v>40.363636363636367</v>
      </c>
      <c r="U8" s="21">
        <f ca="1">IF($D8&lt;&gt;"", IFERROR(IF($E8&gt;=qualifier, SUMIF($BT8:$CL8,0,$CN8:$DF8)/$E8, TEXT(SUMIF($BT8:$CL8,0,$CN8:$DF8)/$E8, "0.00")&amp;"*"), "-"), "")</f>
        <v>37.090909090909093</v>
      </c>
      <c r="V8" s="45">
        <f ca="1">IF(AND($D8&lt;&gt;"", $E8&lt;&gt;0), _xlfn.MINIFS($AP8:$BH8,$BT8:$CL8,0,$AP8:$BH8,"&lt;&gt;0"), "")</f>
        <v>37</v>
      </c>
      <c r="W8" s="62">
        <f ca="1">IF(AND($D8&lt;&gt;"", $E8&lt;&gt;0), _xlfn.MINIFS($CN8:$DF8,$BT8:$CL8,0), "")</f>
        <v>33</v>
      </c>
      <c r="X8" s="45">
        <f ca="1">IF($D8&lt;&gt;"", SUM($DH8:$DZ8),  "")</f>
        <v>128</v>
      </c>
      <c r="Y8" s="21">
        <f ca="1">IF($D8&lt;&gt;"", IFERROR(IF($E8&gt;=qualifier, AVERAGE($DH8:$DZ8), TEXT(AVERAGE($DH8:$DZ8), "0.00")&amp;"*"), "-"), "")</f>
        <v>11.636363636363637</v>
      </c>
      <c r="Z8" s="19">
        <f ca="1">IF($D8&lt;&gt;"", SUM($EB8:$ET8),  "")</f>
        <v>5</v>
      </c>
      <c r="AA8" s="19">
        <f ca="1">IF($D8&lt;&gt;"", SUM($EV8:$FN8),  "")</f>
        <v>0</v>
      </c>
      <c r="AB8" s="45" t="str">
        <f t="shared" ref="AB8:AB13" ca="1" si="10">IF($D8&lt;&gt;"", COUNTIF($FP8:$GH8, "w")&amp;"-"&amp;COUNTIF($FP8:$GH8, "l")&amp;"-"&amp;COUNTIF($FP8:$GH8, "t"),  "")</f>
        <v>8-2-2</v>
      </c>
      <c r="AC8" s="218">
        <f t="shared" ref="AC8:AC13" ca="1" si="11">IF($D8&lt;&gt;"", INDEX(INDIRECT($A8), $B8+1, 1), "")</f>
        <v>3302842638</v>
      </c>
      <c r="AD8" s="57" t="str">
        <f t="shared" ref="AD8:AD13" ca="1" si="12">IF($D8&lt;&gt;"", INDEX(INDIRECT($A8), $B8+2, 1), "")</f>
        <v>jpkish62@gmail.com</v>
      </c>
      <c r="AE8" s="293"/>
      <c r="AF8" s="341">
        <f ca="1">INDEX(PriorScores[],MATCH($D8,PriorScores[Team / Player],0),2)</f>
        <v>42</v>
      </c>
      <c r="AG8" s="341">
        <f ca="1">INDEX(PriorScores[],MATCH($D8,PriorScores[Team / Player],0),3)</f>
        <v>41</v>
      </c>
      <c r="AH8" s="341">
        <f ca="1">INDEX(PriorScores[],MATCH($D8,PriorScores[Team / Player],0),4)</f>
        <v>43</v>
      </c>
      <c r="AI8" s="341">
        <f ca="1">INDEX(PriorScores[],MATCH($D8,PriorScores[Team / Player],0),5)</f>
        <v>42</v>
      </c>
      <c r="AJ8" s="341">
        <f ca="1">INDEX(PriorScores[],MATCH($D8,PriorScores[Team / Player],0),6)</f>
        <v>40</v>
      </c>
      <c r="AK8" s="341">
        <f ca="1">INDEX(PriorScores[],MATCH($D8,PriorScores[Team / Player],0),7)</f>
        <v>43</v>
      </c>
      <c r="AL8" s="341">
        <f ca="1">INDEX(PriorScores[],MATCH($D8,PriorScores[Team / Player],0),8)</f>
        <v>37</v>
      </c>
      <c r="AM8" s="341">
        <f ca="1">INDEX(PriorScores[],MATCH($D8,PriorScores[Team / Player],0),9)</f>
        <v>40</v>
      </c>
      <c r="AN8" s="341">
        <f ca="1">INDEX(PriorScores[],MATCH($D8,PriorScores[Team / Player],0),10)</f>
        <v>41</v>
      </c>
      <c r="AO8" s="341">
        <f ca="1">INDEX(PriorScores[],MATCH($D8,PriorScores[Team / Player],0),11)</f>
        <v>40</v>
      </c>
      <c r="AP8" s="20">
        <f t="shared" ref="AP8:AY13" ca="1" si="13">IF(OR(INDEX(INDIRECT($A8), $B8, AP$6+2)="",INDEX(INDIRECT($A8),$B8+5,AP$6+2)=1), 0, INDEX(INDIRECT($A8), $B8, AP$6+2))</f>
        <v>45</v>
      </c>
      <c r="AQ8" s="20">
        <f t="shared" ca="1" si="13"/>
        <v>0</v>
      </c>
      <c r="AR8" s="20">
        <f t="shared" ca="1" si="13"/>
        <v>0</v>
      </c>
      <c r="AS8" s="20">
        <f t="shared" ca="1" si="13"/>
        <v>0</v>
      </c>
      <c r="AT8" s="20">
        <f t="shared" ca="1" si="13"/>
        <v>40</v>
      </c>
      <c r="AU8" s="20">
        <f t="shared" ca="1" si="13"/>
        <v>41</v>
      </c>
      <c r="AV8" s="20">
        <f t="shared" ca="1" si="13"/>
        <v>39</v>
      </c>
      <c r="AW8" s="20">
        <f t="shared" ca="1" si="13"/>
        <v>0</v>
      </c>
      <c r="AX8" s="20">
        <f t="shared" ca="1" si="13"/>
        <v>40</v>
      </c>
      <c r="AY8" s="20">
        <f t="shared" ca="1" si="13"/>
        <v>42</v>
      </c>
      <c r="AZ8" s="20">
        <f t="shared" ref="AZ8:BH13" ca="1" si="14">IF(OR(INDEX(INDIRECT($A8), $B8, AZ$6+2)="",INDEX(INDIRECT($A8),$B8+5,AZ$6+2)=1), 0, INDEX(INDIRECT($A8), $B8, AZ$6+2))</f>
        <v>41</v>
      </c>
      <c r="BA8" s="20">
        <f t="shared" ca="1" si="14"/>
        <v>0</v>
      </c>
      <c r="BB8" s="20">
        <f t="shared" ca="1" si="14"/>
        <v>0</v>
      </c>
      <c r="BC8" s="20">
        <f t="shared" ca="1" si="14"/>
        <v>42</v>
      </c>
      <c r="BD8" s="20">
        <f t="shared" ca="1" si="14"/>
        <v>0</v>
      </c>
      <c r="BE8" s="20">
        <f t="shared" ca="1" si="14"/>
        <v>40</v>
      </c>
      <c r="BF8" s="20">
        <f t="shared" ca="1" si="14"/>
        <v>37</v>
      </c>
      <c r="BG8" s="20">
        <f t="shared" ca="1" si="14"/>
        <v>0</v>
      </c>
      <c r="BH8" s="20">
        <f t="shared" ca="1" si="14"/>
        <v>37</v>
      </c>
      <c r="BI8" s="293"/>
      <c r="BJ8" s="341">
        <v>0</v>
      </c>
      <c r="BK8" s="341">
        <v>0</v>
      </c>
      <c r="BL8" s="341">
        <v>0</v>
      </c>
      <c r="BM8" s="341">
        <v>0</v>
      </c>
      <c r="BN8" s="341">
        <v>0</v>
      </c>
      <c r="BO8" s="341">
        <v>0</v>
      </c>
      <c r="BP8" s="341">
        <v>0</v>
      </c>
      <c r="BQ8" s="341">
        <v>0</v>
      </c>
      <c r="BR8" s="341">
        <v>0</v>
      </c>
      <c r="BS8" s="341">
        <v>0</v>
      </c>
      <c r="BT8" s="20">
        <f t="shared" ref="BT8:CC13" ca="1" si="15">IF(INDEX(INDIRECT($A8), $B8+5, BT$6+2)="", 0, INDEX(INDIRECT($A8), $B8+5, BT$6+2))</f>
        <v>0</v>
      </c>
      <c r="BU8" s="20">
        <f t="shared" ca="1" si="15"/>
        <v>0</v>
      </c>
      <c r="BV8" s="20">
        <f t="shared" ca="1" si="15"/>
        <v>0</v>
      </c>
      <c r="BW8" s="20">
        <f t="shared" ca="1" si="15"/>
        <v>0</v>
      </c>
      <c r="BX8" s="20">
        <f t="shared" ca="1" si="15"/>
        <v>0</v>
      </c>
      <c r="BY8" s="20">
        <f t="shared" ca="1" si="15"/>
        <v>0</v>
      </c>
      <c r="BZ8" s="20">
        <f t="shared" ca="1" si="15"/>
        <v>0</v>
      </c>
      <c r="CA8" s="20">
        <f t="shared" ca="1" si="15"/>
        <v>0</v>
      </c>
      <c r="CB8" s="20">
        <f t="shared" ca="1" si="15"/>
        <v>0</v>
      </c>
      <c r="CC8" s="20">
        <f t="shared" ca="1" si="15"/>
        <v>0</v>
      </c>
      <c r="CD8" s="20">
        <f t="shared" ref="CD8:CL13" ca="1" si="16">IF(INDEX(INDIRECT($A8), $B8+5, CD$6+2)="", 0, INDEX(INDIRECT($A8), $B8+5, CD$6+2))</f>
        <v>0</v>
      </c>
      <c r="CE8" s="20">
        <f t="shared" ca="1" si="16"/>
        <v>0</v>
      </c>
      <c r="CF8" s="20">
        <f t="shared" ca="1" si="16"/>
        <v>0</v>
      </c>
      <c r="CG8" s="20">
        <f t="shared" ca="1" si="16"/>
        <v>0</v>
      </c>
      <c r="CH8" s="20">
        <f t="shared" ca="1" si="16"/>
        <v>1</v>
      </c>
      <c r="CI8" s="20">
        <f t="shared" ca="1" si="16"/>
        <v>0</v>
      </c>
      <c r="CJ8" s="20">
        <f t="shared" ca="1" si="16"/>
        <v>0</v>
      </c>
      <c r="CK8" s="20">
        <f t="shared" ca="1" si="16"/>
        <v>0</v>
      </c>
      <c r="CL8" s="20">
        <f t="shared" ca="1" si="16"/>
        <v>0</v>
      </c>
      <c r="CM8" s="367"/>
      <c r="CN8" s="20">
        <f t="shared" ref="CN8:CW13" ca="1" si="17">IF(OR(INDEX(INDIRECT($A8), $B8+1, CN$6+2)=0,INDEX(INDIRECT($A8),$B8+5,CN$6+2)=1), "", INDEX(INDIRECT($A8), $B8+1, CN$6+2))</f>
        <v>42</v>
      </c>
      <c r="CO8" s="20" t="str">
        <f t="shared" ca="1" si="17"/>
        <v/>
      </c>
      <c r="CP8" s="20" t="str">
        <f t="shared" ca="1" si="17"/>
        <v/>
      </c>
      <c r="CQ8" s="20" t="str">
        <f t="shared" ca="1" si="17"/>
        <v/>
      </c>
      <c r="CR8" s="20">
        <f t="shared" ca="1" si="17"/>
        <v>37</v>
      </c>
      <c r="CS8" s="20">
        <f t="shared" ca="1" si="17"/>
        <v>38</v>
      </c>
      <c r="CT8" s="20">
        <f t="shared" ca="1" si="17"/>
        <v>36</v>
      </c>
      <c r="CU8" s="20" t="str">
        <f t="shared" ca="1" si="17"/>
        <v/>
      </c>
      <c r="CV8" s="20">
        <f t="shared" ca="1" si="17"/>
        <v>37</v>
      </c>
      <c r="CW8" s="20">
        <f t="shared" ca="1" si="17"/>
        <v>39</v>
      </c>
      <c r="CX8" s="20">
        <f t="shared" ref="CX8:DF13" ca="1" si="18">IF(OR(INDEX(INDIRECT($A8), $B8+1, CX$6+2)=0,INDEX(INDIRECT($A8),$B8+5,CX$6+2)=1), "", INDEX(INDIRECT($A8), $B8+1, CX$6+2))</f>
        <v>38</v>
      </c>
      <c r="CY8" s="20" t="str">
        <f t="shared" ca="1" si="18"/>
        <v/>
      </c>
      <c r="CZ8" s="20" t="str">
        <f t="shared" ca="1" si="18"/>
        <v/>
      </c>
      <c r="DA8" s="20">
        <f t="shared" ca="1" si="18"/>
        <v>38</v>
      </c>
      <c r="DB8" s="20" t="str">
        <f t="shared" ca="1" si="18"/>
        <v/>
      </c>
      <c r="DC8" s="20">
        <f t="shared" ca="1" si="18"/>
        <v>36</v>
      </c>
      <c r="DD8" s="20">
        <f t="shared" ca="1" si="18"/>
        <v>33</v>
      </c>
      <c r="DE8" s="20" t="str">
        <f t="shared" ca="1" si="18"/>
        <v/>
      </c>
      <c r="DF8" s="20">
        <f t="shared" ca="1" si="18"/>
        <v>34</v>
      </c>
      <c r="DG8" s="367"/>
      <c r="DH8" s="20">
        <f t="shared" ref="DH8:DQ13" ca="1" si="19">IF(INDEX(INDIRECT($A8), $B8+2, DH$6+2)=0, "", INDEX(INDIRECT($A8), $B8+2, DH$6+2))</f>
        <v>6</v>
      </c>
      <c r="DI8" s="20" t="str">
        <f t="shared" ca="1" si="19"/>
        <v/>
      </c>
      <c r="DJ8" s="20" t="str">
        <f t="shared" ca="1" si="19"/>
        <v/>
      </c>
      <c r="DK8" s="20" t="str">
        <f t="shared" ca="1" si="19"/>
        <v/>
      </c>
      <c r="DL8" s="20">
        <f t="shared" ca="1" si="19"/>
        <v>10</v>
      </c>
      <c r="DM8" s="20">
        <f t="shared" ca="1" si="19"/>
        <v>17</v>
      </c>
      <c r="DN8" s="20">
        <f t="shared" ca="1" si="19"/>
        <v>12</v>
      </c>
      <c r="DO8" s="20" t="str">
        <f t="shared" ca="1" si="19"/>
        <v/>
      </c>
      <c r="DP8" s="20">
        <f t="shared" ca="1" si="19"/>
        <v>12</v>
      </c>
      <c r="DQ8" s="20">
        <f t="shared" ca="1" si="19"/>
        <v>8</v>
      </c>
      <c r="DR8" s="20">
        <f t="shared" ref="DR8:DZ13" ca="1" si="20">IF(INDEX(INDIRECT($A8), $B8+2, DR$6+2)=0, "", INDEX(INDIRECT($A8), $B8+2, DR$6+2))</f>
        <v>15</v>
      </c>
      <c r="DS8" s="20" t="str">
        <f t="shared" ca="1" si="20"/>
        <v/>
      </c>
      <c r="DT8" s="20" t="str">
        <f t="shared" ca="1" si="20"/>
        <v/>
      </c>
      <c r="DU8" s="20">
        <f t="shared" ca="1" si="20"/>
        <v>13</v>
      </c>
      <c r="DV8" s="20">
        <f t="shared" ca="1" si="20"/>
        <v>14</v>
      </c>
      <c r="DW8" s="20">
        <f t="shared" ca="1" si="20"/>
        <v>11</v>
      </c>
      <c r="DX8" s="20">
        <f t="shared" ca="1" si="20"/>
        <v>10</v>
      </c>
      <c r="DY8" s="20" t="str">
        <f t="shared" ca="1" si="20"/>
        <v/>
      </c>
      <c r="DZ8" s="20" t="str">
        <f t="shared" ca="1" si="20"/>
        <v/>
      </c>
      <c r="EA8" s="367"/>
      <c r="EB8" s="20" t="str">
        <f t="shared" ref="EB8:EK13" ca="1" si="21">IF(INDEX(INDIRECT($A8), $B8+3, EB$6+2)=0, "", INDEX(INDIRECT($A8), $B8+3, EB$6+2))</f>
        <v/>
      </c>
      <c r="EC8" s="20" t="str">
        <f t="shared" ca="1" si="21"/>
        <v/>
      </c>
      <c r="ED8" s="20" t="str">
        <f t="shared" ca="1" si="21"/>
        <v/>
      </c>
      <c r="EE8" s="20" t="str">
        <f t="shared" ca="1" si="21"/>
        <v/>
      </c>
      <c r="EF8" s="20">
        <f t="shared" ca="1" si="21"/>
        <v>2</v>
      </c>
      <c r="EG8" s="20" t="str">
        <f t="shared" ca="1" si="21"/>
        <v/>
      </c>
      <c r="EH8" s="20">
        <f t="shared" ca="1" si="21"/>
        <v>1</v>
      </c>
      <c r="EI8" s="20" t="str">
        <f t="shared" ca="1" si="21"/>
        <v/>
      </c>
      <c r="EJ8" s="20" t="str">
        <f t="shared" ca="1" si="21"/>
        <v/>
      </c>
      <c r="EK8" s="20" t="str">
        <f t="shared" ca="1" si="21"/>
        <v/>
      </c>
      <c r="EL8" s="20" t="str">
        <f t="shared" ref="EL8:ET13" ca="1" si="22">IF(INDEX(INDIRECT($A8), $B8+3, EL$6+2)=0, "", INDEX(INDIRECT($A8), $B8+3, EL$6+2))</f>
        <v/>
      </c>
      <c r="EM8" s="20" t="str">
        <f t="shared" ca="1" si="22"/>
        <v/>
      </c>
      <c r="EN8" s="20" t="str">
        <f t="shared" ca="1" si="22"/>
        <v/>
      </c>
      <c r="EO8" s="20" t="str">
        <f t="shared" ca="1" si="22"/>
        <v/>
      </c>
      <c r="EP8" s="20" t="str">
        <f t="shared" ca="1" si="22"/>
        <v/>
      </c>
      <c r="EQ8" s="20">
        <f t="shared" ca="1" si="22"/>
        <v>2</v>
      </c>
      <c r="ER8" s="20" t="str">
        <f t="shared" ca="1" si="22"/>
        <v/>
      </c>
      <c r="ES8" s="20" t="str">
        <f t="shared" ca="1" si="22"/>
        <v/>
      </c>
      <c r="ET8" s="20" t="str">
        <f t="shared" ca="1" si="22"/>
        <v/>
      </c>
      <c r="EU8" s="367"/>
      <c r="EV8" s="20" t="str">
        <f t="shared" ref="EV8:FE13" ca="1" si="23">IF(INDEX(INDIRECT($A8), $B8+4, EV$6+2)=0, "", INDEX(INDIRECT($A8), $B8+4, EV$6+2))</f>
        <v/>
      </c>
      <c r="EW8" s="20" t="str">
        <f t="shared" ca="1" si="23"/>
        <v/>
      </c>
      <c r="EX8" s="20" t="str">
        <f t="shared" ca="1" si="23"/>
        <v/>
      </c>
      <c r="EY8" s="20" t="str">
        <f t="shared" ca="1" si="23"/>
        <v/>
      </c>
      <c r="EZ8" s="20" t="str">
        <f t="shared" ca="1" si="23"/>
        <v/>
      </c>
      <c r="FA8" s="20" t="str">
        <f t="shared" ca="1" si="23"/>
        <v/>
      </c>
      <c r="FB8" s="20" t="str">
        <f t="shared" ca="1" si="23"/>
        <v/>
      </c>
      <c r="FC8" s="20" t="str">
        <f t="shared" ca="1" si="23"/>
        <v/>
      </c>
      <c r="FD8" s="20" t="str">
        <f t="shared" ca="1" si="23"/>
        <v/>
      </c>
      <c r="FE8" s="20" t="str">
        <f t="shared" ca="1" si="23"/>
        <v/>
      </c>
      <c r="FF8" s="20" t="str">
        <f t="shared" ref="FF8:FN13" ca="1" si="24">IF(INDEX(INDIRECT($A8), $B8+4, FF$6+2)=0, "", INDEX(INDIRECT($A8), $B8+4, FF$6+2))</f>
        <v/>
      </c>
      <c r="FG8" s="20" t="str">
        <f t="shared" ca="1" si="24"/>
        <v/>
      </c>
      <c r="FH8" s="20" t="str">
        <f t="shared" ca="1" si="24"/>
        <v/>
      </c>
      <c r="FI8" s="20" t="str">
        <f t="shared" ca="1" si="24"/>
        <v/>
      </c>
      <c r="FJ8" s="20" t="str">
        <f t="shared" ca="1" si="24"/>
        <v/>
      </c>
      <c r="FK8" s="20" t="str">
        <f t="shared" ca="1" si="24"/>
        <v/>
      </c>
      <c r="FL8" s="20" t="str">
        <f t="shared" ca="1" si="24"/>
        <v/>
      </c>
      <c r="FM8" s="20" t="str">
        <f t="shared" ca="1" si="24"/>
        <v/>
      </c>
      <c r="FN8" s="20" t="str">
        <f t="shared" ca="1" si="24"/>
        <v/>
      </c>
      <c r="FO8" s="367"/>
      <c r="FP8" s="20" t="str">
        <f t="shared" ref="FP8:FY13" ca="1" si="25">IF(INDEX(INDIRECT($A8), $B8+6, FP$6+2)=0, "", INDEX(INDIRECT($A8), $B8+6, FP$6+2))</f>
        <v>l</v>
      </c>
      <c r="FQ8" s="20" t="str">
        <f t="shared" ca="1" si="25"/>
        <v/>
      </c>
      <c r="FR8" s="20" t="str">
        <f t="shared" ca="1" si="25"/>
        <v/>
      </c>
      <c r="FS8" s="20" t="str">
        <f t="shared" ca="1" si="25"/>
        <v/>
      </c>
      <c r="FT8" s="20" t="str">
        <f t="shared" ca="1" si="25"/>
        <v>t</v>
      </c>
      <c r="FU8" s="20" t="str">
        <f t="shared" ca="1" si="25"/>
        <v>w</v>
      </c>
      <c r="FV8" s="20" t="str">
        <f t="shared" ca="1" si="25"/>
        <v>w</v>
      </c>
      <c r="FW8" s="20" t="str">
        <f t="shared" ca="1" si="25"/>
        <v/>
      </c>
      <c r="FX8" s="20" t="str">
        <f t="shared" ca="1" si="25"/>
        <v>w</v>
      </c>
      <c r="FY8" s="20" t="str">
        <f t="shared" ca="1" si="25"/>
        <v>l</v>
      </c>
      <c r="FZ8" s="20" t="str">
        <f t="shared" ref="FZ8:GH13" ca="1" si="26">IF(INDEX(INDIRECT($A8), $B8+6, FZ$6+2)=0, "", INDEX(INDIRECT($A8), $B8+6, FZ$6+2))</f>
        <v>w</v>
      </c>
      <c r="GA8" s="20" t="str">
        <f t="shared" ca="1" si="26"/>
        <v/>
      </c>
      <c r="GB8" s="20" t="str">
        <f t="shared" ca="1" si="26"/>
        <v/>
      </c>
      <c r="GC8" s="20" t="str">
        <f t="shared" ca="1" si="26"/>
        <v>w</v>
      </c>
      <c r="GD8" s="20" t="str">
        <f t="shared" ca="1" si="26"/>
        <v>w</v>
      </c>
      <c r="GE8" s="20" t="str">
        <f t="shared" ca="1" si="26"/>
        <v>w</v>
      </c>
      <c r="GF8" s="20" t="str">
        <f t="shared" ca="1" si="26"/>
        <v>t</v>
      </c>
      <c r="GG8" s="20" t="str">
        <f t="shared" ca="1" si="26"/>
        <v/>
      </c>
      <c r="GH8" s="20" t="str">
        <f t="shared" ca="1" si="26"/>
        <v>w</v>
      </c>
      <c r="GI8" s="367"/>
      <c r="HE8" s="367"/>
      <c r="HZ8" s="367"/>
      <c r="IA8" s="19" t="str">
        <f t="shared" ref="IA8:IA13" ca="1" si="27">IF(D8&lt;&gt;"","No Hdcp","")</f>
        <v>No Hdcp</v>
      </c>
      <c r="IB8" s="19" t="str">
        <f ca="1">IF($D8&lt;&gt;"","Low of score &amp; "&amp;MIN($H8:$H8),"")</f>
        <v>Low of score &amp; 37</v>
      </c>
      <c r="IC8" s="19" t="str">
        <f ca="1">IF($D8&lt;&gt;"","Low of score &amp; "&amp;MIN($H8:$I8),"")</f>
        <v>Low of score &amp; 37</v>
      </c>
      <c r="ID8" s="18" t="str">
        <f ca="1">IF($D8&lt;&gt;"","Low of score &amp; "&amp;MIN($H8:$J8),"")</f>
        <v>Low of score &amp; 37</v>
      </c>
      <c r="IE8" s="18" t="str">
        <f ca="1">IF($D8&lt;&gt;"","Low of score &amp; "&amp;MIN($H8:$K8),"")</f>
        <v>Low of score &amp; 37</v>
      </c>
      <c r="IF8" s="18">
        <f ca="1">IF($D8&lt;&gt;"",ROUND(MIN((MIN($H8:$L8)-36)*0.96,20),2),"")</f>
        <v>0.96</v>
      </c>
      <c r="IG8" s="353">
        <f ca="1">IF($D8&lt;&gt;"",ROUND(MIN((AVERAGE(SMALL($H8:$M8,1),SMALL($H8:$M8,2))-36)*0.96,20),2),"")</f>
        <v>0.96</v>
      </c>
      <c r="IH8" s="18">
        <f ca="1">IF($D8&lt;&gt;"",ROUND(MIN((AVERAGE(SMALL($H8:$N8,1),SMALL($H8:$N8,2),SMALL($H8:$N8,3))-36)*0.96,20),2),"")</f>
        <v>1.92</v>
      </c>
      <c r="II8" s="18">
        <f ca="1">IF($D8&lt;&gt;"",ROUND(MIN((AVERAGE(SMALL($H8:$O8,1),SMALL($H8:$O8,2),SMALL($H8:$O8,3),SMALL($H8:$O8,4))-36)*0.96,20),2),"")</f>
        <v>2.16</v>
      </c>
      <c r="IJ8" s="18">
        <f ca="1">IF($D8&lt;&gt;"",ROUND(MIN((AVERAGE(SMALL($H8:$P8,1),SMALL($H8:$P8,2),SMALL($H8:$P8,3),SMALL($H8:$P8,4))-36)*0.96,20),2),"")</f>
        <v>2.16</v>
      </c>
      <c r="IK8" s="18">
        <f ca="1">IF($D8&lt;&gt;"",ROUND(MIN((AVERAGE(SMALL($H8:$Q8,1),SMALL($H8:$Q8,2),SMALL($H8:$Q8,3),SMALL($H8:$Q8,4),SMALL($H8:$Q8,5))-36)*0.96,20),2),"")</f>
        <v>2.5</v>
      </c>
      <c r="IL8" s="367"/>
      <c r="IN8" s="335">
        <f ca="1">AO8</f>
        <v>40</v>
      </c>
      <c r="IO8" s="335">
        <f ca="1">AN8</f>
        <v>41</v>
      </c>
      <c r="IP8" s="335">
        <f ca="1">AM8</f>
        <v>40</v>
      </c>
      <c r="IQ8" s="335">
        <f ca="1">AL8</f>
        <v>37</v>
      </c>
      <c r="IR8" s="335">
        <f ca="1">AK8</f>
        <v>43</v>
      </c>
      <c r="IS8" s="335">
        <f ca="1">AJ8</f>
        <v>40</v>
      </c>
      <c r="IT8" s="335">
        <f ca="1">AI8</f>
        <v>42</v>
      </c>
      <c r="IU8" s="335">
        <f ca="1">AH8</f>
        <v>43</v>
      </c>
      <c r="IV8" s="335">
        <f ca="1">AG8</f>
        <v>41</v>
      </c>
      <c r="IW8" s="335">
        <f ca="1">AF8</f>
        <v>42</v>
      </c>
      <c r="IX8" s="19">
        <f ca="1">IF(D8&lt;&gt;"",COUNT(IN8:IW8),"")</f>
        <v>10</v>
      </c>
      <c r="IY8" s="21">
        <f ca="1">IF(D8&lt;&gt;"",INDEX($JA8:$JK8,1,MATCH($IX8,$JA$6:$JK$6,0)), "")</f>
        <v>3.4560000000000013</v>
      </c>
      <c r="JA8" s="18" t="str">
        <f ca="1">IF(D8&lt;&gt;"","No Hdcp","")</f>
        <v>No Hdcp</v>
      </c>
      <c r="JB8" s="18" t="str">
        <f ca="1">IF(D8&lt;&gt;"","Low of score &amp; "&amp;MIN($IN8:$IN8),"")</f>
        <v>Low of score &amp; 40</v>
      </c>
      <c r="JC8" s="18" t="str">
        <f ca="1">IF(D8&lt;&gt;"","Low of score &amp; "&amp;MIN($IN8:$IO8),"")</f>
        <v>Low of score &amp; 40</v>
      </c>
      <c r="JD8" s="18" t="str">
        <f ca="1">IF(D8&lt;&gt;"","Low of score &amp; "&amp;MIN($IN8:$IP8),"")</f>
        <v>Low of score &amp; 40</v>
      </c>
      <c r="JE8" s="18" t="str">
        <f ca="1">IF(D8&lt;&gt;"","Low of score &amp; "&amp;MIN($IN8:$IQ8),"")</f>
        <v>Low of score &amp; 37</v>
      </c>
      <c r="JF8" s="18">
        <f ca="1">IF(D8&lt;&gt;"",MIN((MIN($IN8:$IR8)-36)*0.96,20),"")</f>
        <v>0.96</v>
      </c>
      <c r="JG8" s="18">
        <f ca="1">IF(D8&lt;&gt;"",MIN((AVERAGE(SMALL($IN8:$IS8,1),SMALL($IN8:$IS8,2))-36)*0.96,20),"")</f>
        <v>2.4</v>
      </c>
      <c r="JH8" s="18">
        <f ca="1">IF(D8&lt;&gt;"",MIN((AVERAGE(SMALL($IN8:$IT8,1),SMALL($IN8:$IT8,2),SMALL($IN8:$IT8,3))-36)*0.96,20),"")</f>
        <v>2.88</v>
      </c>
      <c r="JI8" s="18">
        <f ca="1">IF(D8&lt;&gt;"",MIN((AVERAGE(SMALL($IN8:$IU8,1),SMALL($IN8:$IU8,2),SMALL($IN8:$IU8,3),SMALL($IN8:$IU8,4))-36)*0.96,20),"")</f>
        <v>3.12</v>
      </c>
      <c r="JJ8" s="18">
        <f ca="1">IF(D8&lt;&gt;"",MIN((AVERAGE(SMALL($IN8:$IV8,1),SMALL($IN8:$IV8,2),SMALL($IN8:$IV8,3),SMALL($IN8:$IV8,4))-36)*0.96,20),"")</f>
        <v>3.12</v>
      </c>
      <c r="JK8" s="18">
        <f ca="1">IF(D8&lt;&gt;"",MIN((AVERAGE(SMALL($IN8:$IW8,1),SMALL($IN8:$IW8,2),SMALL($IN8:$IW8,3),SMALL($IN8:$IW8,4),SMALL($IN8:$IW8,5))-36)*0.96,20),"")</f>
        <v>3.4560000000000013</v>
      </c>
    </row>
    <row r="9" spans="1:271" x14ac:dyDescent="0.2">
      <c r="A9" s="18" t="s">
        <v>17</v>
      </c>
      <c r="B9" s="19">
        <f>B8+7</f>
        <v>12</v>
      </c>
      <c r="C9" s="22">
        <f t="shared" ca="1" si="6"/>
        <v>7.4999999999999997E-3</v>
      </c>
      <c r="D9" s="18" t="str">
        <f t="shared" ca="1" si="7"/>
        <v>Parrish, Charlie</v>
      </c>
      <c r="E9" s="19">
        <f t="shared" ca="1" si="8"/>
        <v>12</v>
      </c>
      <c r="F9" s="19">
        <f ca="1">IF(D9&lt;&gt;"",COUNT($H9:$Q9),"")</f>
        <v>10</v>
      </c>
      <c r="G9" s="21">
        <f ca="1">IF($D9&lt;&gt;"",INDEX($IA9:$IK9,1,MATCH($F9,$IA$6:$IK$6,0)), "")</f>
        <v>4.42</v>
      </c>
      <c r="H9" s="337">
        <f ca="1">IFERROR(INDEX($AF9:$BH9, , SUMPRODUCT(LARGE((($AF9:$BH9&lt;&gt;0)*($BJ9:$CL9&lt;&gt;1)*($AF$5:$BH$5)), H$6))), "")</f>
        <v>41</v>
      </c>
      <c r="I9" s="338" cm="1">
        <f t="array" aca="1" ref="I9" ca="1">IFERROR(_xlfn.SINGLE(INDEX($AF9:$BH9, , SUMPRODUCT(LARGE((($AF9:$BH9&lt;&gt;0)*($BJ9:$CL9&lt;&gt;1)*($AF$5:$BH$5)), I$6)))), "")</f>
        <v>40</v>
      </c>
      <c r="J9" s="338" cm="1">
        <f t="array" aca="1" ref="J9" ca="1">IFERROR(_xlfn.SINGLE(INDEX($AF9:$BH9, , SUMPRODUCT(LARGE((($AF9:$BH9&lt;&gt;0)*($BJ9:$CL9&lt;&gt;1)*($AF$5:$BH$5)), J$6)))), "")</f>
        <v>48</v>
      </c>
      <c r="K9" s="338" cm="1">
        <f t="array" aca="1" ref="K9" ca="1">IFERROR(_xlfn.SINGLE(INDEX($AF9:$BH9, , SUMPRODUCT(LARGE((($AF9:$BH9&lt;&gt;0)*($BJ9:$CL9&lt;&gt;1)*($AF$5:$BH$5)), K$6)))), "")</f>
        <v>45</v>
      </c>
      <c r="L9" s="338" cm="1">
        <f t="array" aca="1" ref="L9" ca="1">IFERROR(_xlfn.SINGLE(INDEX($AF9:$BH9, , SUMPRODUCT(LARGE((($AF9:$BH9&lt;&gt;0)*($BJ9:$CL9&lt;&gt;1)*($AF$5:$BH$5)), L$6)))), "")</f>
        <v>44</v>
      </c>
      <c r="M9" s="338" cm="1">
        <f t="array" aca="1" ref="M9" ca="1">IFERROR(_xlfn.SINGLE(INDEX($AF9:$BH9, , SUMPRODUCT(LARGE((($AF9:$BH9&lt;&gt;0)*($BJ9:$CL9&lt;&gt;1)*($AF$5:$BH$5)), M$6)))), "")</f>
        <v>39</v>
      </c>
      <c r="N9" s="338" cm="1">
        <f t="array" aca="1" ref="N9" ca="1">IFERROR(_xlfn.SINGLE(INDEX($AF9:$BH9, , SUMPRODUCT(LARGE((($AF9:$BH9&lt;&gt;0)*($BJ9:$CL9&lt;&gt;1)*($AF$5:$BH$5)), N$6)))), "")</f>
        <v>47</v>
      </c>
      <c r="O9" s="338" cm="1">
        <f t="array" aca="1" ref="O9" ca="1">IFERROR(_xlfn.SINGLE(INDEX($AF9:$BH9, , SUMPRODUCT(LARGE((($AF9:$BH9&lt;&gt;0)*($BJ9:$CL9&lt;&gt;1)*($AF$5:$BH$5)), O$6)))), "")</f>
        <v>46</v>
      </c>
      <c r="P9" s="338" cm="1">
        <f t="array" aca="1" ref="P9" ca="1">IFERROR(_xlfn.SINGLE(INDEX($AF9:$BH9, , SUMPRODUCT(LARGE((($AF9:$BH9&lt;&gt;0)*($BJ9:$CL9&lt;&gt;1)*($AF$5:$BH$5)), P$6)))), "")</f>
        <v>51</v>
      </c>
      <c r="Q9" s="339" cm="1">
        <f t="array" aca="1" ref="Q9" ca="1">IFERROR(_xlfn.SINGLE(INDEX($AF9:$BH9, , SUMPRODUCT(LARGE((($AF9:$BH9&lt;&gt;0)*($BJ9:$CL9&lt;&gt;1)*($AF$5:$BH$5)), Q$6)))), "")</f>
        <v>39</v>
      </c>
      <c r="R9" s="21">
        <v>44.846153846153847</v>
      </c>
      <c r="S9" s="47">
        <f t="shared" ca="1" si="9"/>
        <v>40.6</v>
      </c>
      <c r="T9" s="21">
        <f ca="1">IF($D9&lt;&gt;"", IFERROR(IF($E9&gt;=qualifier, SUMIF($BT9:$CL9,0,$AP9:$BH9)/$E9, TEXT(SUMIF($BT9:$CL9,0,$AP9:$BH9)/$E9, "0.00")&amp;"*"), "-"), "")</f>
        <v>44.166666666666664</v>
      </c>
      <c r="U9" s="21">
        <f ca="1">IF($D9&lt;&gt;"", IFERROR(IF($E9&gt;=qualifier, SUMIF($BT9:$CL9,0,$CN9:$DF9)/$E9, TEXT(SUMIF($BT9:$CL9,0,$CN9:$DF9)/$E9, "0.00")&amp;"*"), "-"), "")</f>
        <v>38.666666666666664</v>
      </c>
      <c r="V9" s="46">
        <f ca="1">IF(AND($D9&lt;&gt;"", $E9&lt;&gt;0), _xlfn.MINIFS($AP9:$BH9,$BT9:$CL9,0,$AP9:$BH9,"&lt;&gt;0"), "")</f>
        <v>39</v>
      </c>
      <c r="W9" s="19">
        <f ca="1">IF(AND($D9&lt;&gt;"", $E9&lt;&gt;0), _xlfn.MINIFS($CN9:$DF9,$BT9:$CL9,0), "")</f>
        <v>32</v>
      </c>
      <c r="X9" s="46">
        <f ca="1">IF($D9&lt;&gt;"", SUM($DH9:$DZ9),  "")</f>
        <v>122</v>
      </c>
      <c r="Y9" s="21">
        <f ca="1">IF($D9&lt;&gt;"", IFERROR(IF($E9&gt;=qualifier, AVERAGE($DH9:$DZ9), TEXT(AVERAGE($DH9:$DZ9), "0.00")&amp;"*"), "-"), "")</f>
        <v>9.384615384615385</v>
      </c>
      <c r="Z9" s="19">
        <f ca="1">IF($D9&lt;&gt;"", SUM($EB9:$ET9),  "")</f>
        <v>5</v>
      </c>
      <c r="AA9" s="19">
        <f ca="1">IF($D9&lt;&gt;"", SUM($EV9:$FN9),  "")</f>
        <v>0</v>
      </c>
      <c r="AB9" s="46" t="str">
        <f t="shared" ca="1" si="10"/>
        <v>7-7-0</v>
      </c>
      <c r="AC9" s="218">
        <f t="shared" ca="1" si="11"/>
        <v>3303216062</v>
      </c>
      <c r="AD9" s="57" t="str">
        <f t="shared" ca="1" si="12"/>
        <v>charles.parrish@metallus.com</v>
      </c>
      <c r="AE9" s="293"/>
      <c r="AF9" s="341">
        <f ca="1">INDEX(PriorScores[],MATCH($D9,PriorScores[Team / Player],0),2)</f>
        <v>39</v>
      </c>
      <c r="AG9" s="341">
        <f ca="1">INDEX(PriorScores[],MATCH($D9,PriorScores[Team / Player],0),3)</f>
        <v>48</v>
      </c>
      <c r="AH9" s="341">
        <f ca="1">INDEX(PriorScores[],MATCH($D9,PriorScores[Team / Player],0),4)</f>
        <v>49</v>
      </c>
      <c r="AI9" s="341">
        <f ca="1">INDEX(PriorScores[],MATCH($D9,PriorScores[Team / Player],0),5)</f>
        <v>48</v>
      </c>
      <c r="AJ9" s="341">
        <f ca="1">INDEX(PriorScores[],MATCH($D9,PriorScores[Team / Player],0),6)</f>
        <v>45</v>
      </c>
      <c r="AK9" s="341">
        <f ca="1">INDEX(PriorScores[],MATCH($D9,PriorScores[Team / Player],0),7)</f>
        <v>46</v>
      </c>
      <c r="AL9" s="341">
        <f ca="1">INDEX(PriorScores[],MATCH($D9,PriorScores[Team / Player],0),8)</f>
        <v>48</v>
      </c>
      <c r="AM9" s="341">
        <f ca="1">INDEX(PriorScores[],MATCH($D9,PriorScores[Team / Player],0),9)</f>
        <v>47</v>
      </c>
      <c r="AN9" s="341">
        <f ca="1">INDEX(PriorScores[],MATCH($D9,PriorScores[Team / Player],0),10)</f>
        <v>42</v>
      </c>
      <c r="AO9" s="341">
        <f ca="1">INDEX(PriorScores[],MATCH($D9,PriorScores[Team / Player],0),11)</f>
        <v>38</v>
      </c>
      <c r="AP9" s="20">
        <f t="shared" ca="1" si="13"/>
        <v>46</v>
      </c>
      <c r="AQ9" s="20">
        <f t="shared" ca="1" si="13"/>
        <v>0</v>
      </c>
      <c r="AR9" s="20">
        <f t="shared" ca="1" si="13"/>
        <v>44</v>
      </c>
      <c r="AS9" s="20">
        <f t="shared" ca="1" si="13"/>
        <v>39</v>
      </c>
      <c r="AT9" s="20">
        <f t="shared" ca="1" si="13"/>
        <v>0</v>
      </c>
      <c r="AU9" s="20">
        <f t="shared" ca="1" si="13"/>
        <v>51</v>
      </c>
      <c r="AV9" s="20">
        <f t="shared" ca="1" si="13"/>
        <v>46</v>
      </c>
      <c r="AW9" s="20">
        <f t="shared" ca="1" si="13"/>
        <v>0</v>
      </c>
      <c r="AX9" s="20">
        <f t="shared" ca="1" si="13"/>
        <v>47</v>
      </c>
      <c r="AY9" s="20">
        <f t="shared" ca="1" si="13"/>
        <v>39</v>
      </c>
      <c r="AZ9" s="20">
        <f t="shared" ca="1" si="14"/>
        <v>44</v>
      </c>
      <c r="BA9" s="20">
        <f t="shared" ca="1" si="14"/>
        <v>0</v>
      </c>
      <c r="BB9" s="20">
        <f t="shared" ca="1" si="14"/>
        <v>45</v>
      </c>
      <c r="BC9" s="20">
        <f t="shared" ca="1" si="14"/>
        <v>0</v>
      </c>
      <c r="BD9" s="20">
        <f t="shared" ca="1" si="14"/>
        <v>0</v>
      </c>
      <c r="BE9" s="20">
        <f t="shared" ca="1" si="14"/>
        <v>48</v>
      </c>
      <c r="BF9" s="20">
        <f t="shared" ca="1" si="14"/>
        <v>40</v>
      </c>
      <c r="BG9" s="20">
        <f t="shared" ca="1" si="14"/>
        <v>0</v>
      </c>
      <c r="BH9" s="20">
        <f t="shared" ca="1" si="14"/>
        <v>41</v>
      </c>
      <c r="BI9" s="293"/>
      <c r="BJ9" s="341">
        <v>0</v>
      </c>
      <c r="BK9" s="341">
        <v>0</v>
      </c>
      <c r="BL9" s="341">
        <v>0</v>
      </c>
      <c r="BM9" s="341">
        <v>0</v>
      </c>
      <c r="BN9" s="341">
        <v>0</v>
      </c>
      <c r="BO9" s="341">
        <v>0</v>
      </c>
      <c r="BP9" s="341">
        <v>0</v>
      </c>
      <c r="BQ9" s="341">
        <v>0</v>
      </c>
      <c r="BR9" s="341">
        <v>0</v>
      </c>
      <c r="BS9" s="341">
        <v>0</v>
      </c>
      <c r="BT9" s="20">
        <f t="shared" ca="1" si="15"/>
        <v>0</v>
      </c>
      <c r="BU9" s="20">
        <f t="shared" ca="1" si="15"/>
        <v>0</v>
      </c>
      <c r="BV9" s="20">
        <f t="shared" ca="1" si="15"/>
        <v>0</v>
      </c>
      <c r="BW9" s="20">
        <f t="shared" ca="1" si="15"/>
        <v>0</v>
      </c>
      <c r="BX9" s="20">
        <f t="shared" ca="1" si="15"/>
        <v>0</v>
      </c>
      <c r="BY9" s="20">
        <f t="shared" ca="1" si="15"/>
        <v>0</v>
      </c>
      <c r="BZ9" s="20">
        <f t="shared" ca="1" si="15"/>
        <v>0</v>
      </c>
      <c r="CA9" s="20">
        <f t="shared" ca="1" si="15"/>
        <v>0</v>
      </c>
      <c r="CB9" s="20">
        <f t="shared" ca="1" si="15"/>
        <v>0</v>
      </c>
      <c r="CC9" s="20">
        <f t="shared" ca="1" si="15"/>
        <v>0</v>
      </c>
      <c r="CD9" s="20">
        <f t="shared" ca="1" si="16"/>
        <v>0</v>
      </c>
      <c r="CE9" s="20">
        <f t="shared" ca="1" si="16"/>
        <v>0</v>
      </c>
      <c r="CF9" s="20">
        <f t="shared" ca="1" si="16"/>
        <v>0</v>
      </c>
      <c r="CG9" s="20">
        <f t="shared" ca="1" si="16"/>
        <v>0</v>
      </c>
      <c r="CH9" s="20">
        <f t="shared" ca="1" si="16"/>
        <v>1</v>
      </c>
      <c r="CI9" s="20">
        <f t="shared" ca="1" si="16"/>
        <v>0</v>
      </c>
      <c r="CJ9" s="20">
        <f t="shared" ca="1" si="16"/>
        <v>0</v>
      </c>
      <c r="CK9" s="20">
        <f t="shared" ca="1" si="16"/>
        <v>1</v>
      </c>
      <c r="CL9" s="20">
        <f t="shared" ca="1" si="16"/>
        <v>0</v>
      </c>
      <c r="CM9" s="367"/>
      <c r="CN9" s="20">
        <f t="shared" ca="1" si="17"/>
        <v>40</v>
      </c>
      <c r="CO9" s="20" t="str">
        <f t="shared" ca="1" si="17"/>
        <v/>
      </c>
      <c r="CP9" s="20">
        <f t="shared" ca="1" si="17"/>
        <v>37</v>
      </c>
      <c r="CQ9" s="20">
        <f t="shared" ca="1" si="17"/>
        <v>32</v>
      </c>
      <c r="CR9" s="20" t="str">
        <f t="shared" ca="1" si="17"/>
        <v/>
      </c>
      <c r="CS9" s="20">
        <f t="shared" ca="1" si="17"/>
        <v>46</v>
      </c>
      <c r="CT9" s="20">
        <f t="shared" ca="1" si="17"/>
        <v>41</v>
      </c>
      <c r="CU9" s="20" t="str">
        <f t="shared" ca="1" si="17"/>
        <v/>
      </c>
      <c r="CV9" s="20">
        <f t="shared" ca="1" si="17"/>
        <v>41</v>
      </c>
      <c r="CW9" s="20">
        <f t="shared" ca="1" si="17"/>
        <v>33</v>
      </c>
      <c r="CX9" s="20">
        <f t="shared" ca="1" si="18"/>
        <v>40</v>
      </c>
      <c r="CY9" s="20" t="str">
        <f t="shared" ca="1" si="18"/>
        <v/>
      </c>
      <c r="CZ9" s="20">
        <f t="shared" ca="1" si="18"/>
        <v>41</v>
      </c>
      <c r="DA9" s="20" t="str">
        <f t="shared" ca="1" si="18"/>
        <v/>
      </c>
      <c r="DB9" s="20" t="str">
        <f t="shared" ca="1" si="18"/>
        <v/>
      </c>
      <c r="DC9" s="20">
        <f t="shared" ca="1" si="18"/>
        <v>43</v>
      </c>
      <c r="DD9" s="20">
        <f t="shared" ca="1" si="18"/>
        <v>34</v>
      </c>
      <c r="DE9" s="20" t="str">
        <f t="shared" ca="1" si="18"/>
        <v/>
      </c>
      <c r="DF9" s="20">
        <f t="shared" ca="1" si="18"/>
        <v>36</v>
      </c>
      <c r="DG9" s="367"/>
      <c r="DH9" s="20">
        <f t="shared" ca="1" si="19"/>
        <v>9</v>
      </c>
      <c r="DI9" s="20" t="str">
        <f t="shared" ca="1" si="19"/>
        <v/>
      </c>
      <c r="DJ9" s="20">
        <f t="shared" ca="1" si="19"/>
        <v>17</v>
      </c>
      <c r="DK9" s="20">
        <f t="shared" ca="1" si="19"/>
        <v>12</v>
      </c>
      <c r="DL9" s="20" t="str">
        <f t="shared" ca="1" si="19"/>
        <v/>
      </c>
      <c r="DM9" s="20">
        <f t="shared" ca="1" si="19"/>
        <v>6</v>
      </c>
      <c r="DN9" s="20">
        <f t="shared" ca="1" si="19"/>
        <v>11</v>
      </c>
      <c r="DO9" s="20" t="str">
        <f t="shared" ca="1" si="19"/>
        <v/>
      </c>
      <c r="DP9" s="20">
        <f t="shared" ca="1" si="19"/>
        <v>6</v>
      </c>
      <c r="DQ9" s="20">
        <f t="shared" ca="1" si="19"/>
        <v>12</v>
      </c>
      <c r="DR9" s="20">
        <f t="shared" ca="1" si="20"/>
        <v>7</v>
      </c>
      <c r="DS9" s="20" t="str">
        <f t="shared" ca="1" si="20"/>
        <v/>
      </c>
      <c r="DT9" s="20">
        <f t="shared" ca="1" si="20"/>
        <v>11</v>
      </c>
      <c r="DU9" s="20" t="str">
        <f t="shared" ca="1" si="20"/>
        <v/>
      </c>
      <c r="DV9" s="20">
        <f t="shared" ca="1" si="20"/>
        <v>13</v>
      </c>
      <c r="DW9" s="20">
        <f t="shared" ca="1" si="20"/>
        <v>2</v>
      </c>
      <c r="DX9" s="20">
        <f t="shared" ca="1" si="20"/>
        <v>8</v>
      </c>
      <c r="DY9" s="20">
        <f t="shared" ca="1" si="20"/>
        <v>8</v>
      </c>
      <c r="DZ9" s="20" t="str">
        <f t="shared" ca="1" si="20"/>
        <v/>
      </c>
      <c r="EA9" s="367"/>
      <c r="EB9" s="20" t="str">
        <f t="shared" ca="1" si="21"/>
        <v/>
      </c>
      <c r="EC9" s="20" t="str">
        <f t="shared" ca="1" si="21"/>
        <v/>
      </c>
      <c r="ED9" s="20" t="str">
        <f t="shared" ca="1" si="21"/>
        <v/>
      </c>
      <c r="EE9" s="20" t="str">
        <f t="shared" ca="1" si="21"/>
        <v/>
      </c>
      <c r="EF9" s="20" t="str">
        <f t="shared" ca="1" si="21"/>
        <v/>
      </c>
      <c r="EG9" s="20" t="str">
        <f t="shared" ca="1" si="21"/>
        <v/>
      </c>
      <c r="EH9" s="20" t="str">
        <f t="shared" ca="1" si="21"/>
        <v/>
      </c>
      <c r="EI9" s="20" t="str">
        <f t="shared" ca="1" si="21"/>
        <v/>
      </c>
      <c r="EJ9" s="20" t="str">
        <f t="shared" ca="1" si="21"/>
        <v/>
      </c>
      <c r="EK9" s="20">
        <f t="shared" ca="1" si="21"/>
        <v>2</v>
      </c>
      <c r="EL9" s="20" t="str">
        <f t="shared" ca="1" si="22"/>
        <v/>
      </c>
      <c r="EM9" s="20" t="str">
        <f t="shared" ca="1" si="22"/>
        <v/>
      </c>
      <c r="EN9" s="20" t="str">
        <f t="shared" ca="1" si="22"/>
        <v/>
      </c>
      <c r="EO9" s="20" t="str">
        <f t="shared" ca="1" si="22"/>
        <v/>
      </c>
      <c r="EP9" s="20">
        <f t="shared" ca="1" si="22"/>
        <v>1</v>
      </c>
      <c r="EQ9" s="20" t="str">
        <f t="shared" ca="1" si="22"/>
        <v/>
      </c>
      <c r="ER9" s="20">
        <f t="shared" ca="1" si="22"/>
        <v>1</v>
      </c>
      <c r="ES9" s="20" t="str">
        <f t="shared" ca="1" si="22"/>
        <v/>
      </c>
      <c r="ET9" s="20">
        <f t="shared" ca="1" si="22"/>
        <v>1</v>
      </c>
      <c r="EU9" s="367"/>
      <c r="EV9" s="20" t="str">
        <f t="shared" ca="1" si="23"/>
        <v/>
      </c>
      <c r="EW9" s="20" t="str">
        <f t="shared" ca="1" si="23"/>
        <v/>
      </c>
      <c r="EX9" s="20" t="str">
        <f t="shared" ca="1" si="23"/>
        <v/>
      </c>
      <c r="EY9" s="20" t="str">
        <f t="shared" ca="1" si="23"/>
        <v/>
      </c>
      <c r="EZ9" s="20" t="str">
        <f t="shared" ca="1" si="23"/>
        <v/>
      </c>
      <c r="FA9" s="20" t="str">
        <f t="shared" ca="1" si="23"/>
        <v/>
      </c>
      <c r="FB9" s="20" t="str">
        <f t="shared" ca="1" si="23"/>
        <v/>
      </c>
      <c r="FC9" s="20" t="str">
        <f t="shared" ca="1" si="23"/>
        <v/>
      </c>
      <c r="FD9" s="20" t="str">
        <f t="shared" ca="1" si="23"/>
        <v/>
      </c>
      <c r="FE9" s="20" t="str">
        <f t="shared" ca="1" si="23"/>
        <v/>
      </c>
      <c r="FF9" s="20" t="str">
        <f t="shared" ca="1" si="24"/>
        <v/>
      </c>
      <c r="FG9" s="20" t="str">
        <f t="shared" ca="1" si="24"/>
        <v/>
      </c>
      <c r="FH9" s="20" t="str">
        <f t="shared" ca="1" si="24"/>
        <v/>
      </c>
      <c r="FI9" s="20" t="str">
        <f t="shared" ca="1" si="24"/>
        <v/>
      </c>
      <c r="FJ9" s="20" t="str">
        <f t="shared" ca="1" si="24"/>
        <v/>
      </c>
      <c r="FK9" s="20" t="str">
        <f t="shared" ca="1" si="24"/>
        <v/>
      </c>
      <c r="FL9" s="20" t="str">
        <f t="shared" ca="1" si="24"/>
        <v/>
      </c>
      <c r="FM9" s="20" t="str">
        <f t="shared" ca="1" si="24"/>
        <v/>
      </c>
      <c r="FN9" s="20" t="str">
        <f t="shared" ca="1" si="24"/>
        <v/>
      </c>
      <c r="FO9" s="367"/>
      <c r="FP9" s="20" t="str">
        <f t="shared" ca="1" si="25"/>
        <v>l</v>
      </c>
      <c r="FQ9" s="20" t="str">
        <f t="shared" ca="1" si="25"/>
        <v/>
      </c>
      <c r="FR9" s="20" t="str">
        <f t="shared" ca="1" si="25"/>
        <v>w</v>
      </c>
      <c r="FS9" s="20" t="str">
        <f t="shared" ca="1" si="25"/>
        <v>w</v>
      </c>
      <c r="FT9" s="20" t="str">
        <f t="shared" ca="1" si="25"/>
        <v/>
      </c>
      <c r="FU9" s="20" t="str">
        <f t="shared" ca="1" si="25"/>
        <v>l</v>
      </c>
      <c r="FV9" s="20" t="str">
        <f t="shared" ca="1" si="25"/>
        <v>w</v>
      </c>
      <c r="FW9" s="20" t="str">
        <f t="shared" ca="1" si="25"/>
        <v/>
      </c>
      <c r="FX9" s="20" t="str">
        <f t="shared" ca="1" si="25"/>
        <v>l</v>
      </c>
      <c r="FY9" s="20" t="str">
        <f t="shared" ca="1" si="25"/>
        <v>w</v>
      </c>
      <c r="FZ9" s="20" t="str">
        <f t="shared" ca="1" si="26"/>
        <v>l</v>
      </c>
      <c r="GA9" s="20" t="str">
        <f t="shared" ca="1" si="26"/>
        <v/>
      </c>
      <c r="GB9" s="20" t="str">
        <f t="shared" ca="1" si="26"/>
        <v>w</v>
      </c>
      <c r="GC9" s="20" t="str">
        <f t="shared" ca="1" si="26"/>
        <v/>
      </c>
      <c r="GD9" s="20" t="str">
        <f t="shared" ca="1" si="26"/>
        <v>w</v>
      </c>
      <c r="GE9" s="20" t="str">
        <f t="shared" ca="1" si="26"/>
        <v>l</v>
      </c>
      <c r="GF9" s="20" t="str">
        <f t="shared" ca="1" si="26"/>
        <v>l</v>
      </c>
      <c r="GG9" s="20" t="str">
        <f t="shared" ca="1" si="26"/>
        <v>l</v>
      </c>
      <c r="GH9" s="20" t="str">
        <f t="shared" ca="1" si="26"/>
        <v>w</v>
      </c>
      <c r="GI9" s="367"/>
      <c r="HE9" s="367"/>
      <c r="HZ9" s="367"/>
      <c r="IA9" s="19" t="str">
        <f t="shared" ca="1" si="27"/>
        <v>No Hdcp</v>
      </c>
      <c r="IB9" s="19" t="str">
        <f ca="1">IF($D9&lt;&gt;"","Low of score &amp; "&amp;MIN($H9:$H9),"")</f>
        <v>Low of score &amp; 41</v>
      </c>
      <c r="IC9" s="19" t="str">
        <f ca="1">IF($D9&lt;&gt;"","Low of score &amp; "&amp;MIN($H9:$I9),"")</f>
        <v>Low of score &amp; 40</v>
      </c>
      <c r="ID9" s="18" t="str">
        <f ca="1">IF($D9&lt;&gt;"","Low of score &amp; "&amp;MIN($H9:$J9),"")</f>
        <v>Low of score &amp; 40</v>
      </c>
      <c r="IE9" s="18" t="str">
        <f ca="1">IF($D9&lt;&gt;"","Low of score &amp; "&amp;MIN($H9:$K9),"")</f>
        <v>Low of score &amp; 40</v>
      </c>
      <c r="IF9" s="18">
        <f ca="1">IF($D9&lt;&gt;"",ROUND(MIN((MIN($H9:$L9)-36)*0.96,20),2),"")</f>
        <v>3.84</v>
      </c>
      <c r="IG9" s="353">
        <f ca="1">IF($D9&lt;&gt;"",ROUND(MIN((AVERAGE(SMALL($H9:$M9,1),SMALL($H9:$M9,2))-36)*0.96,20),2),"")</f>
        <v>3.36</v>
      </c>
      <c r="IH9" s="18">
        <f ca="1">IF($D9&lt;&gt;"",ROUND(MIN((AVERAGE(SMALL($H9:$N9,1),SMALL($H9:$N9,2),SMALL($H9:$N9,3))-36)*0.96,20),2),"")</f>
        <v>3.84</v>
      </c>
      <c r="II9" s="18">
        <f ca="1">IF($D9&lt;&gt;"",ROUND(MIN((AVERAGE(SMALL($H9:$O9,1),SMALL($H9:$O9,2),SMALL($H9:$O9,3),SMALL($H9:$O9,4))-36)*0.96,20),2),"")</f>
        <v>4.8</v>
      </c>
      <c r="IJ9" s="18">
        <f ca="1">IF($D9&lt;&gt;"",ROUND(MIN((AVERAGE(SMALL($H9:$P9,1),SMALL($H9:$P9,2),SMALL($H9:$P9,3),SMALL($H9:$P9,4))-36)*0.96,20),2),"")</f>
        <v>4.8</v>
      </c>
      <c r="IK9" s="18">
        <f ca="1">IF($D9&lt;&gt;"",ROUND(MIN((AVERAGE(SMALL($H9:$Q9,1),SMALL($H9:$Q9,2),SMALL($H9:$Q9,3),SMALL($H9:$Q9,4),SMALL($H9:$Q9,5))-36)*0.96,20),2),"")</f>
        <v>4.42</v>
      </c>
      <c r="IL9" s="367"/>
      <c r="IN9" s="335">
        <f ca="1">AO9</f>
        <v>38</v>
      </c>
      <c r="IO9" s="335">
        <f ca="1">AN9</f>
        <v>42</v>
      </c>
      <c r="IP9" s="335">
        <f ca="1">AM9</f>
        <v>47</v>
      </c>
      <c r="IQ9" s="335">
        <f ca="1">AL9</f>
        <v>48</v>
      </c>
      <c r="IR9" s="335">
        <f ca="1">AK9</f>
        <v>46</v>
      </c>
      <c r="IS9" s="335">
        <f ca="1">AJ9</f>
        <v>45</v>
      </c>
      <c r="IT9" s="335">
        <f ca="1">AI9</f>
        <v>48</v>
      </c>
      <c r="IU9" s="335">
        <f ca="1">AH9</f>
        <v>49</v>
      </c>
      <c r="IV9" s="335">
        <f ca="1">AG9</f>
        <v>48</v>
      </c>
      <c r="IW9" s="335">
        <f ca="1">AF9</f>
        <v>39</v>
      </c>
      <c r="IX9" s="19">
        <f ca="1">IF(D9&lt;&gt;"",COUNT(IN9:IW9),"")</f>
        <v>10</v>
      </c>
      <c r="IY9" s="21">
        <f ca="1">IF(D9&lt;&gt;"",INDEX($JA9:$JK9,1,MATCH($IX9,$JA$6:$JK$6,0)), "")</f>
        <v>5.76</v>
      </c>
      <c r="JA9" s="18" t="str">
        <f ca="1">IF(D9&lt;&gt;"","No Hdcp","")</f>
        <v>No Hdcp</v>
      </c>
      <c r="JB9" s="18" t="str">
        <f ca="1">IF(D9&lt;&gt;"","Low of score &amp; "&amp;MIN($IN9:$IN9),"")</f>
        <v>Low of score &amp; 38</v>
      </c>
      <c r="JC9" s="18" t="str">
        <f ca="1">IF(D9&lt;&gt;"","Low of score &amp; "&amp;MIN($IN9:$IO9),"")</f>
        <v>Low of score &amp; 38</v>
      </c>
      <c r="JD9" s="18" t="str">
        <f ca="1">IF(D9&lt;&gt;"","Low of score &amp; "&amp;MIN($IN9:$IP9),"")</f>
        <v>Low of score &amp; 38</v>
      </c>
      <c r="JE9" s="18" t="str">
        <f ca="1">IF(D9&lt;&gt;"","Low of score &amp; "&amp;MIN($IN9:$IQ9),"")</f>
        <v>Low of score &amp; 38</v>
      </c>
      <c r="JF9" s="18">
        <f ca="1">IF(D9&lt;&gt;"",MIN((MIN($IN9:$IR9)-36)*0.96,20),"")</f>
        <v>1.92</v>
      </c>
      <c r="JG9" s="18">
        <f ca="1">IF(D9&lt;&gt;"",MIN((AVERAGE(SMALL($IN9:$IS9,1),SMALL($IN9:$IS9,2))-36)*0.96,20),"")</f>
        <v>3.84</v>
      </c>
      <c r="JH9" s="18">
        <f ca="1">IF(D9&lt;&gt;"",MIN((AVERAGE(SMALL($IN9:$IT9,1),SMALL($IN9:$IT9,2),SMALL($IN9:$IT9,3))-36)*0.96,20),"")</f>
        <v>5.4399999999999977</v>
      </c>
      <c r="JI9" s="18">
        <f ca="1">IF(D9&lt;&gt;"",MIN((AVERAGE(SMALL($IN9:$IU9,1),SMALL($IN9:$IU9,2),SMALL($IN9:$IU9,3),SMALL($IN9:$IU9,4))-36)*0.96,20),"")</f>
        <v>6.4799999999999995</v>
      </c>
      <c r="JJ9" s="18">
        <f ca="1">IF(D9&lt;&gt;"",MIN((AVERAGE(SMALL($IN9:$IV9,1),SMALL($IN9:$IV9,2),SMALL($IN9:$IV9,3),SMALL($IN9:$IV9,4))-36)*0.96,20),"")</f>
        <v>6.4799999999999995</v>
      </c>
      <c r="JK9" s="18">
        <f ca="1">IF(D9&lt;&gt;"",MIN((AVERAGE(SMALL($IN9:$IW9,1),SMALL($IN9:$IW9,2),SMALL($IN9:$IW9,3),SMALL($IN9:$IW9,4),SMALL($IN9:$IW9,5))-36)*0.96,20),"")</f>
        <v>5.76</v>
      </c>
    </row>
    <row r="10" spans="1:271" x14ac:dyDescent="0.2">
      <c r="A10" s="18" t="s">
        <v>17</v>
      </c>
      <c r="B10" s="19">
        <f>B9+7</f>
        <v>19</v>
      </c>
      <c r="C10" s="22">
        <f t="shared" ca="1" si="6"/>
        <v>2.9999999999999997E-4</v>
      </c>
      <c r="D10" s="18" t="str">
        <f t="shared" ca="1" si="7"/>
        <v>Avery, Mike - gold tees</v>
      </c>
      <c r="E10" s="19">
        <f t="shared" ca="1" si="8"/>
        <v>15</v>
      </c>
      <c r="F10" s="19">
        <f ca="1">IF(D10&lt;&gt;"",COUNT($H10:$Q10),"")</f>
        <v>10</v>
      </c>
      <c r="G10" s="21">
        <f ca="1">IF($D10&lt;&gt;"",INDEX($IA10:$IK10,1,MATCH($F10,$IA$6:$IK$6,0)), "")</f>
        <v>13.25</v>
      </c>
      <c r="H10" s="337" cm="1">
        <f t="array" aca="1" ref="H10" ca="1">IFERROR(_xlfn.SINGLE(INDEX($AF10:$BH10, , SUMPRODUCT(LARGE((($AF10:$BH10&lt;&gt;0)*($BJ10:$CL10&lt;&gt;1)*($AF$5:$BH$5)), H$6)))), "")</f>
        <v>50</v>
      </c>
      <c r="I10" s="338" cm="1">
        <f t="array" aca="1" ref="I10" ca="1">IFERROR(_xlfn.SINGLE(INDEX($AF10:$BH10, , SUMPRODUCT(LARGE((($AF10:$BH10&lt;&gt;0)*($BJ10:$CL10&lt;&gt;1)*($AF$5:$BH$5)), I$6)))), "")</f>
        <v>52</v>
      </c>
      <c r="J10" s="338" cm="1">
        <f t="array" aca="1" ref="J10" ca="1">IFERROR(_xlfn.SINGLE(INDEX($AF10:$BH10, , SUMPRODUCT(LARGE((($AF10:$BH10&lt;&gt;0)*($BJ10:$CL10&lt;&gt;1)*($AF$5:$BH$5)), J$6)))), "")</f>
        <v>50</v>
      </c>
      <c r="K10" s="338" cm="1">
        <f t="array" aca="1" ref="K10" ca="1">IFERROR(_xlfn.SINGLE(INDEX($AF10:$BH10, , SUMPRODUCT(LARGE((($AF10:$BH10&lt;&gt;0)*($BJ10:$CL10&lt;&gt;1)*($AF$5:$BH$5)), K$6)))), "")</f>
        <v>54</v>
      </c>
      <c r="L10" s="338" cm="1">
        <f t="array" aca="1" ref="L10" ca="1">IFERROR(_xlfn.SINGLE(INDEX($AF10:$BH10, , SUMPRODUCT(LARGE((($AF10:$BH10&lt;&gt;0)*($BJ10:$CL10&lt;&gt;1)*($AF$5:$BH$5)), L$6)))), "")</f>
        <v>50</v>
      </c>
      <c r="M10" s="338" cm="1">
        <f t="array" aca="1" ref="M10" ca="1">IFERROR(_xlfn.SINGLE(INDEX($AF10:$BH10, , SUMPRODUCT(LARGE((($AF10:$BH10&lt;&gt;0)*($BJ10:$CL10&lt;&gt;1)*($AF$5:$BH$5)), M$6)))), "")</f>
        <v>53</v>
      </c>
      <c r="N10" s="338" cm="1">
        <f t="array" aca="1" ref="N10" ca="1">IFERROR(_xlfn.SINGLE(INDEX($AF10:$BH10, , SUMPRODUCT(LARGE((($AF10:$BH10&lt;&gt;0)*($BJ10:$CL10&lt;&gt;1)*($AF$5:$BH$5)), N$6)))), "")</f>
        <v>50</v>
      </c>
      <c r="O10" s="338" cm="1">
        <f t="array" aca="1" ref="O10" ca="1">IFERROR(_xlfn.SINGLE(INDEX($AF10:$BH10, , SUMPRODUCT(LARGE((($AF10:$BH10&lt;&gt;0)*($BJ10:$CL10&lt;&gt;1)*($AF$5:$BH$5)), O$6)))), "")</f>
        <v>61</v>
      </c>
      <c r="P10" s="338" cm="1">
        <f t="array" aca="1" ref="P10" ca="1">IFERROR(_xlfn.SINGLE(INDEX($AF10:$BH10, , SUMPRODUCT(LARGE((($AF10:$BH10&lt;&gt;0)*($BJ10:$CL10&lt;&gt;1)*($AF$5:$BH$5)), P$6)))), "")</f>
        <v>55</v>
      </c>
      <c r="Q10" s="339" cm="1">
        <f t="array" aca="1" ref="Q10" ca="1">IFERROR(_xlfn.SINGLE(INDEX($AF10:$BH10, , SUMPRODUCT(LARGE((($AF10:$BH10&lt;&gt;0)*($BJ10:$CL10&lt;&gt;1)*($AF$5:$BH$5)), Q$6)))), "")</f>
        <v>49</v>
      </c>
      <c r="R10" s="21">
        <v>52.928571428571431</v>
      </c>
      <c r="S10" s="47">
        <f t="shared" ca="1" si="9"/>
        <v>49.8</v>
      </c>
      <c r="T10" s="21">
        <f ca="1">IF($D10&lt;&gt;"", IFERROR(IF($E10&gt;=qualifier, SUMIF($BT10:$CL10,0,$AP10:$BH10)/$E10, TEXT(SUMIF($BT10:$CL10,0,$AP10:$BH10)/$E10, "0.00")&amp;"*"), "-"), "")</f>
        <v>54.133333333333333</v>
      </c>
      <c r="U10" s="21">
        <f ca="1">IF($D10&lt;&gt;"", IFERROR(IF($E10&gt;=qualifier, SUMIF($BT10:$CL10,0,$CN10:$DF10)/$E10, TEXT(SUMIF($BT10:$CL10,0,$CN10:$DF10)/$E10, "0.00")&amp;"*"), "-"), "")</f>
        <v>39.4</v>
      </c>
      <c r="V10" s="46">
        <f ca="1">IF(AND($D10&lt;&gt;"", $E10&lt;&gt;0), _xlfn.MINIFS($AP10:$BH10,$BT10:$CL10,0,$AP10:$BH10,"&lt;&gt;0"), "")</f>
        <v>49</v>
      </c>
      <c r="W10" s="19">
        <f ca="1">IF(AND($D10&lt;&gt;"", $E10&lt;&gt;0), _xlfn.MINIFS($CN10:$DF10,$BT10:$CL10,0), "")</f>
        <v>33</v>
      </c>
      <c r="X10" s="46">
        <f ca="1">IF($D10&lt;&gt;"", SUM($DH10:$DZ10),  "")</f>
        <v>166</v>
      </c>
      <c r="Y10" s="21">
        <f ca="1">IF($D10&lt;&gt;"", IFERROR(IF($E10&gt;=qualifier, AVERAGE($DH10:$DZ10), TEXT(AVERAGE($DH10:$DZ10), "0.00")&amp;"*"), "-"), "")</f>
        <v>10.375</v>
      </c>
      <c r="Z10" s="19">
        <f ca="1">IF($D10&lt;&gt;"", SUM($EB10:$ET10),  "")</f>
        <v>1</v>
      </c>
      <c r="AA10" s="19">
        <f ca="1">IF($D10&lt;&gt;"", SUM($EV10:$FN10),  "")</f>
        <v>0</v>
      </c>
      <c r="AB10" s="46" t="str">
        <f t="shared" ca="1" si="10"/>
        <v>9-8-0</v>
      </c>
      <c r="AC10" s="218">
        <f t="shared" ca="1" si="11"/>
        <v>3308261720</v>
      </c>
      <c r="AD10" s="57" t="str">
        <f t="shared" ca="1" si="12"/>
        <v>mavery1763@gmail.com</v>
      </c>
      <c r="AE10" s="293"/>
      <c r="AF10" s="341">
        <f ca="1">INDEX(PriorScores[],MATCH($D10,PriorScores[Team / Player],0),2)</f>
        <v>63</v>
      </c>
      <c r="AG10" s="341">
        <f ca="1">INDEX(PriorScores[],MATCH($D10,PriorScores[Team / Player],0),3)</f>
        <v>51</v>
      </c>
      <c r="AH10" s="341">
        <f ca="1">INDEX(PriorScores[],MATCH($D10,PriorScores[Team / Player],0),4)</f>
        <v>53</v>
      </c>
      <c r="AI10" s="341">
        <f ca="1">INDEX(PriorScores[],MATCH($D10,PriorScores[Team / Player],0),5)</f>
        <v>48</v>
      </c>
      <c r="AJ10" s="341">
        <f ca="1">INDEX(PriorScores[],MATCH($D10,PriorScores[Team / Player],0),6)</f>
        <v>48</v>
      </c>
      <c r="AK10" s="341">
        <f ca="1">INDEX(PriorScores[],MATCH($D10,PriorScores[Team / Player],0),7)</f>
        <v>53</v>
      </c>
      <c r="AL10" s="341">
        <f ca="1">INDEX(PriorScores[],MATCH($D10,PriorScores[Team / Player],0),8)</f>
        <v>50</v>
      </c>
      <c r="AM10" s="341">
        <f ca="1">INDEX(PriorScores[],MATCH($D10,PriorScores[Team / Player],0),9)</f>
        <v>55</v>
      </c>
      <c r="AN10" s="341">
        <f ca="1">INDEX(PriorScores[],MATCH($D10,PriorScores[Team / Player],0),10)</f>
        <v>53</v>
      </c>
      <c r="AO10" s="341">
        <f ca="1">INDEX(PriorScores[],MATCH($D10,PriorScores[Team / Player],0),11)</f>
        <v>52</v>
      </c>
      <c r="AP10" s="20">
        <f t="shared" ca="1" si="13"/>
        <v>54</v>
      </c>
      <c r="AQ10" s="20">
        <f t="shared" ca="1" si="13"/>
        <v>62</v>
      </c>
      <c r="AR10" s="20">
        <f t="shared" ca="1" si="13"/>
        <v>57</v>
      </c>
      <c r="AS10" s="20">
        <f t="shared" ca="1" si="13"/>
        <v>59</v>
      </c>
      <c r="AT10" s="20">
        <f t="shared" ca="1" si="13"/>
        <v>56</v>
      </c>
      <c r="AU10" s="20">
        <f t="shared" ca="1" si="13"/>
        <v>49</v>
      </c>
      <c r="AV10" s="20">
        <f t="shared" ca="1" si="13"/>
        <v>55</v>
      </c>
      <c r="AW10" s="20">
        <f t="shared" ca="1" si="13"/>
        <v>0</v>
      </c>
      <c r="AX10" s="20">
        <f t="shared" ca="1" si="13"/>
        <v>61</v>
      </c>
      <c r="AY10" s="20">
        <f t="shared" ca="1" si="13"/>
        <v>50</v>
      </c>
      <c r="AZ10" s="20">
        <f t="shared" ca="1" si="14"/>
        <v>53</v>
      </c>
      <c r="BA10" s="20">
        <f t="shared" ca="1" si="14"/>
        <v>0</v>
      </c>
      <c r="BB10" s="20">
        <f t="shared" ca="1" si="14"/>
        <v>50</v>
      </c>
      <c r="BC10" s="20">
        <f t="shared" ca="1" si="14"/>
        <v>54</v>
      </c>
      <c r="BD10" s="20">
        <f t="shared" ca="1" si="14"/>
        <v>0</v>
      </c>
      <c r="BE10" s="20">
        <f t="shared" ca="1" si="14"/>
        <v>50</v>
      </c>
      <c r="BF10" s="20">
        <f t="shared" ca="1" si="14"/>
        <v>52</v>
      </c>
      <c r="BG10" s="20">
        <f t="shared" ca="1" si="14"/>
        <v>0</v>
      </c>
      <c r="BH10" s="20">
        <f t="shared" ca="1" si="14"/>
        <v>50</v>
      </c>
      <c r="BI10" s="293"/>
      <c r="BJ10" s="341">
        <v>0</v>
      </c>
      <c r="BK10" s="341">
        <v>0</v>
      </c>
      <c r="BL10" s="341">
        <v>0</v>
      </c>
      <c r="BM10" s="341">
        <v>0</v>
      </c>
      <c r="BN10" s="341">
        <v>0</v>
      </c>
      <c r="BO10" s="341">
        <v>0</v>
      </c>
      <c r="BP10" s="341">
        <v>0</v>
      </c>
      <c r="BQ10" s="341">
        <v>0</v>
      </c>
      <c r="BR10" s="341">
        <v>0</v>
      </c>
      <c r="BS10" s="341">
        <v>0</v>
      </c>
      <c r="BT10" s="20">
        <f t="shared" ca="1" si="15"/>
        <v>0</v>
      </c>
      <c r="BU10" s="20">
        <f t="shared" ca="1" si="15"/>
        <v>0</v>
      </c>
      <c r="BV10" s="20">
        <f t="shared" ca="1" si="15"/>
        <v>0</v>
      </c>
      <c r="BW10" s="20">
        <f t="shared" ca="1" si="15"/>
        <v>0</v>
      </c>
      <c r="BX10" s="20">
        <f t="shared" ca="1" si="15"/>
        <v>0</v>
      </c>
      <c r="BY10" s="20">
        <f t="shared" ca="1" si="15"/>
        <v>0</v>
      </c>
      <c r="BZ10" s="20">
        <f t="shared" ca="1" si="15"/>
        <v>0</v>
      </c>
      <c r="CA10" s="20">
        <f t="shared" ca="1" si="15"/>
        <v>0</v>
      </c>
      <c r="CB10" s="20">
        <f t="shared" ca="1" si="15"/>
        <v>0</v>
      </c>
      <c r="CC10" s="20">
        <f t="shared" ca="1" si="15"/>
        <v>0</v>
      </c>
      <c r="CD10" s="20">
        <f t="shared" ca="1" si="16"/>
        <v>0</v>
      </c>
      <c r="CE10" s="20">
        <f t="shared" ca="1" si="16"/>
        <v>0</v>
      </c>
      <c r="CF10" s="20">
        <f t="shared" ca="1" si="16"/>
        <v>0</v>
      </c>
      <c r="CG10" s="20">
        <f t="shared" ca="1" si="16"/>
        <v>0</v>
      </c>
      <c r="CH10" s="20">
        <f t="shared" ca="1" si="16"/>
        <v>1</v>
      </c>
      <c r="CI10" s="20">
        <f t="shared" ca="1" si="16"/>
        <v>0</v>
      </c>
      <c r="CJ10" s="20">
        <f t="shared" ca="1" si="16"/>
        <v>0</v>
      </c>
      <c r="CK10" s="20">
        <f t="shared" ca="1" si="16"/>
        <v>1</v>
      </c>
      <c r="CL10" s="20">
        <f t="shared" ca="1" si="16"/>
        <v>0</v>
      </c>
      <c r="CM10" s="367"/>
      <c r="CN10" s="20">
        <f t="shared" ca="1" si="17"/>
        <v>41</v>
      </c>
      <c r="CO10" s="20">
        <f t="shared" ca="1" si="17"/>
        <v>49</v>
      </c>
      <c r="CP10" s="20">
        <f t="shared" ca="1" si="17"/>
        <v>43</v>
      </c>
      <c r="CQ10" s="20">
        <f t="shared" ca="1" si="17"/>
        <v>45</v>
      </c>
      <c r="CR10" s="20">
        <f t="shared" ca="1" si="17"/>
        <v>41</v>
      </c>
      <c r="CS10" s="20">
        <f t="shared" ca="1" si="17"/>
        <v>33</v>
      </c>
      <c r="CT10" s="20">
        <f t="shared" ca="1" si="17"/>
        <v>40</v>
      </c>
      <c r="CU10" s="20" t="str">
        <f t="shared" ca="1" si="17"/>
        <v/>
      </c>
      <c r="CV10" s="20">
        <f t="shared" ca="1" si="17"/>
        <v>45</v>
      </c>
      <c r="CW10" s="20">
        <f t="shared" ca="1" si="17"/>
        <v>34</v>
      </c>
      <c r="CX10" s="20">
        <f t="shared" ca="1" si="18"/>
        <v>38</v>
      </c>
      <c r="CY10" s="20" t="str">
        <f t="shared" ca="1" si="18"/>
        <v/>
      </c>
      <c r="CZ10" s="20">
        <f t="shared" ca="1" si="18"/>
        <v>34</v>
      </c>
      <c r="DA10" s="20">
        <f t="shared" ca="1" si="18"/>
        <v>39</v>
      </c>
      <c r="DB10" s="20" t="str">
        <f t="shared" ca="1" si="18"/>
        <v/>
      </c>
      <c r="DC10" s="20">
        <f t="shared" ca="1" si="18"/>
        <v>35</v>
      </c>
      <c r="DD10" s="20">
        <f t="shared" ca="1" si="18"/>
        <v>38</v>
      </c>
      <c r="DE10" s="20" t="str">
        <f t="shared" ca="1" si="18"/>
        <v/>
      </c>
      <c r="DF10" s="20">
        <f t="shared" ca="1" si="18"/>
        <v>36</v>
      </c>
      <c r="DG10" s="367"/>
      <c r="DH10" s="20">
        <f t="shared" ca="1" si="19"/>
        <v>6</v>
      </c>
      <c r="DI10" s="20">
        <f t="shared" ca="1" si="19"/>
        <v>12</v>
      </c>
      <c r="DJ10" s="20">
        <f t="shared" ca="1" si="19"/>
        <v>5</v>
      </c>
      <c r="DK10" s="20">
        <f t="shared" ca="1" si="19"/>
        <v>7</v>
      </c>
      <c r="DL10" s="20">
        <f t="shared" ca="1" si="19"/>
        <v>6</v>
      </c>
      <c r="DM10" s="20">
        <f t="shared" ca="1" si="19"/>
        <v>16</v>
      </c>
      <c r="DN10" s="20">
        <f t="shared" ca="1" si="19"/>
        <v>20</v>
      </c>
      <c r="DO10" s="20" t="str">
        <f t="shared" ca="1" si="19"/>
        <v/>
      </c>
      <c r="DP10" s="20">
        <f t="shared" ca="1" si="19"/>
        <v>7</v>
      </c>
      <c r="DQ10" s="20">
        <f t="shared" ca="1" si="19"/>
        <v>18</v>
      </c>
      <c r="DR10" s="20">
        <f t="shared" ca="1" si="20"/>
        <v>8</v>
      </c>
      <c r="DS10" s="20" t="str">
        <f t="shared" ca="1" si="20"/>
        <v/>
      </c>
      <c r="DT10" s="20">
        <f t="shared" ca="1" si="20"/>
        <v>11</v>
      </c>
      <c r="DU10" s="20">
        <f t="shared" ca="1" si="20"/>
        <v>5</v>
      </c>
      <c r="DV10" s="20">
        <f t="shared" ca="1" si="20"/>
        <v>14</v>
      </c>
      <c r="DW10" s="20">
        <f t="shared" ca="1" si="20"/>
        <v>12</v>
      </c>
      <c r="DX10" s="20">
        <f t="shared" ca="1" si="20"/>
        <v>13</v>
      </c>
      <c r="DY10" s="20">
        <f t="shared" ca="1" si="20"/>
        <v>6</v>
      </c>
      <c r="DZ10" s="20" t="str">
        <f t="shared" ca="1" si="20"/>
        <v/>
      </c>
      <c r="EA10" s="367"/>
      <c r="EB10" s="20" t="str">
        <f t="shared" ca="1" si="21"/>
        <v/>
      </c>
      <c r="EC10" s="20" t="str">
        <f t="shared" ca="1" si="21"/>
        <v/>
      </c>
      <c r="ED10" s="20" t="str">
        <f t="shared" ca="1" si="21"/>
        <v/>
      </c>
      <c r="EE10" s="20" t="str">
        <f t="shared" ca="1" si="21"/>
        <v/>
      </c>
      <c r="EF10" s="20" t="str">
        <f t="shared" ca="1" si="21"/>
        <v/>
      </c>
      <c r="EG10" s="20" t="str">
        <f t="shared" ca="1" si="21"/>
        <v/>
      </c>
      <c r="EH10" s="20" t="str">
        <f t="shared" ca="1" si="21"/>
        <v/>
      </c>
      <c r="EI10" s="20" t="str">
        <f t="shared" ca="1" si="21"/>
        <v/>
      </c>
      <c r="EJ10" s="20" t="str">
        <f t="shared" ca="1" si="21"/>
        <v/>
      </c>
      <c r="EK10" s="20" t="str">
        <f t="shared" ca="1" si="21"/>
        <v/>
      </c>
      <c r="EL10" s="20" t="str">
        <f t="shared" ca="1" si="22"/>
        <v/>
      </c>
      <c r="EM10" s="20" t="str">
        <f t="shared" ca="1" si="22"/>
        <v/>
      </c>
      <c r="EN10" s="20">
        <f t="shared" ca="1" si="22"/>
        <v>1</v>
      </c>
      <c r="EO10" s="20" t="str">
        <f t="shared" ca="1" si="22"/>
        <v/>
      </c>
      <c r="EP10" s="20" t="str">
        <f t="shared" ca="1" si="22"/>
        <v/>
      </c>
      <c r="EQ10" s="20" t="str">
        <f t="shared" ca="1" si="22"/>
        <v/>
      </c>
      <c r="ER10" s="20" t="str">
        <f t="shared" ca="1" si="22"/>
        <v/>
      </c>
      <c r="ES10" s="20" t="str">
        <f t="shared" ca="1" si="22"/>
        <v/>
      </c>
      <c r="ET10" s="20" t="str">
        <f t="shared" ca="1" si="22"/>
        <v/>
      </c>
      <c r="EU10" s="367"/>
      <c r="EV10" s="20" t="str">
        <f t="shared" ca="1" si="23"/>
        <v/>
      </c>
      <c r="EW10" s="20" t="str">
        <f t="shared" ca="1" si="23"/>
        <v/>
      </c>
      <c r="EX10" s="20" t="str">
        <f t="shared" ca="1" si="23"/>
        <v/>
      </c>
      <c r="EY10" s="20" t="str">
        <f t="shared" ca="1" si="23"/>
        <v/>
      </c>
      <c r="EZ10" s="20" t="str">
        <f t="shared" ca="1" si="23"/>
        <v/>
      </c>
      <c r="FA10" s="20" t="str">
        <f t="shared" ca="1" si="23"/>
        <v/>
      </c>
      <c r="FB10" s="20" t="str">
        <f t="shared" ca="1" si="23"/>
        <v/>
      </c>
      <c r="FC10" s="20" t="str">
        <f t="shared" ca="1" si="23"/>
        <v/>
      </c>
      <c r="FD10" s="20" t="str">
        <f t="shared" ca="1" si="23"/>
        <v/>
      </c>
      <c r="FE10" s="20" t="str">
        <f t="shared" ca="1" si="23"/>
        <v/>
      </c>
      <c r="FF10" s="20" t="str">
        <f t="shared" ca="1" si="24"/>
        <v/>
      </c>
      <c r="FG10" s="20" t="str">
        <f t="shared" ca="1" si="24"/>
        <v/>
      </c>
      <c r="FH10" s="20" t="str">
        <f t="shared" ca="1" si="24"/>
        <v/>
      </c>
      <c r="FI10" s="20" t="str">
        <f t="shared" ca="1" si="24"/>
        <v/>
      </c>
      <c r="FJ10" s="20" t="str">
        <f t="shared" ca="1" si="24"/>
        <v/>
      </c>
      <c r="FK10" s="20" t="str">
        <f t="shared" ca="1" si="24"/>
        <v/>
      </c>
      <c r="FL10" s="20" t="str">
        <f t="shared" ca="1" si="24"/>
        <v/>
      </c>
      <c r="FM10" s="20" t="str">
        <f t="shared" ca="1" si="24"/>
        <v/>
      </c>
      <c r="FN10" s="20" t="str">
        <f t="shared" ca="1" si="24"/>
        <v/>
      </c>
      <c r="FO10" s="367"/>
      <c r="FP10" s="20" t="str">
        <f t="shared" ca="1" si="25"/>
        <v>l</v>
      </c>
      <c r="FQ10" s="20" t="str">
        <f t="shared" ca="1" si="25"/>
        <v>w</v>
      </c>
      <c r="FR10" s="20" t="str">
        <f t="shared" ca="1" si="25"/>
        <v>l</v>
      </c>
      <c r="FS10" s="20" t="str">
        <f t="shared" ca="1" si="25"/>
        <v>l</v>
      </c>
      <c r="FT10" s="20" t="str">
        <f t="shared" ca="1" si="25"/>
        <v>l</v>
      </c>
      <c r="FU10" s="20" t="str">
        <f t="shared" ca="1" si="25"/>
        <v>w</v>
      </c>
      <c r="FV10" s="20" t="str">
        <f t="shared" ca="1" si="25"/>
        <v>w</v>
      </c>
      <c r="FW10" s="20" t="str">
        <f t="shared" ca="1" si="25"/>
        <v/>
      </c>
      <c r="FX10" s="20" t="str">
        <f t="shared" ca="1" si="25"/>
        <v>l</v>
      </c>
      <c r="FY10" s="20" t="str">
        <f t="shared" ca="1" si="25"/>
        <v>w</v>
      </c>
      <c r="FZ10" s="20" t="str">
        <f t="shared" ca="1" si="26"/>
        <v>l</v>
      </c>
      <c r="GA10" s="20" t="str">
        <f t="shared" ca="1" si="26"/>
        <v/>
      </c>
      <c r="GB10" s="20" t="str">
        <f t="shared" ca="1" si="26"/>
        <v>w</v>
      </c>
      <c r="GC10" s="20" t="str">
        <f t="shared" ca="1" si="26"/>
        <v>l</v>
      </c>
      <c r="GD10" s="20" t="str">
        <f t="shared" ca="1" si="26"/>
        <v>w</v>
      </c>
      <c r="GE10" s="20" t="str">
        <f t="shared" ca="1" si="26"/>
        <v>w</v>
      </c>
      <c r="GF10" s="20" t="str">
        <f t="shared" ca="1" si="26"/>
        <v>w</v>
      </c>
      <c r="GG10" s="20" t="str">
        <f t="shared" ca="1" si="26"/>
        <v>l</v>
      </c>
      <c r="GH10" s="20" t="str">
        <f t="shared" ca="1" si="26"/>
        <v>w</v>
      </c>
      <c r="GI10" s="367"/>
      <c r="HE10" s="367"/>
      <c r="HZ10" s="367"/>
      <c r="IA10" s="19" t="str">
        <f t="shared" ca="1" si="27"/>
        <v>No Hdcp</v>
      </c>
      <c r="IB10" s="19" t="str">
        <f ca="1">IF($D10&lt;&gt;"","Low of score &amp; "&amp;MIN($H10:$H10),"")</f>
        <v>Low of score &amp; 50</v>
      </c>
      <c r="IC10" s="19" t="str">
        <f ca="1">IF($D10&lt;&gt;"","Low of score &amp; "&amp;MIN($H10:$I10),"")</f>
        <v>Low of score &amp; 50</v>
      </c>
      <c r="ID10" s="18" t="str">
        <f ca="1">IF($D10&lt;&gt;"","Low of score &amp; "&amp;MIN($H10:$J10),"")</f>
        <v>Low of score &amp; 50</v>
      </c>
      <c r="IE10" s="18" t="str">
        <f ca="1">IF($D10&lt;&gt;"","Low of score &amp; "&amp;MIN($H10:$K10),"")</f>
        <v>Low of score &amp; 50</v>
      </c>
      <c r="IF10" s="18">
        <f ca="1">IF($D10&lt;&gt;"",ROUND(MIN((MIN($H10:$L10)-36)*0.96,20),2),"")</f>
        <v>13.44</v>
      </c>
      <c r="IG10" s="353">
        <f ca="1">IF($D10&lt;&gt;"",ROUND(MIN((AVERAGE(SMALL($H10:$M10,1),SMALL($H10:$M10,2))-36)*0.96,20),2),"")</f>
        <v>13.44</v>
      </c>
      <c r="IH10" s="18">
        <f ca="1">IF($D10&lt;&gt;"",ROUND(MIN((AVERAGE(SMALL($H10:$N10,1),SMALL($H10:$N10,2),SMALL($H10:$N10,3))-36)*0.96,20),2),"")</f>
        <v>13.44</v>
      </c>
      <c r="II10" s="18">
        <f ca="1">IF($D10&lt;&gt;"",ROUND(MIN((AVERAGE(SMALL($H10:$O10,1),SMALL($H10:$O10,2),SMALL($H10:$O10,3),SMALL($H10:$O10,4))-36)*0.96,20),2),"")</f>
        <v>13.44</v>
      </c>
      <c r="IJ10" s="18">
        <f ca="1">IF($D10&lt;&gt;"",ROUND(MIN((AVERAGE(SMALL($H10:$P10,1),SMALL($H10:$P10,2),SMALL($H10:$P10,3),SMALL($H10:$P10,4))-36)*0.96,20),2),"")</f>
        <v>13.44</v>
      </c>
      <c r="IK10" s="18">
        <f ca="1">IF($D10&lt;&gt;"",ROUND(MIN((AVERAGE(SMALL($H10:$Q10,1),SMALL($H10:$Q10,2),SMALL($H10:$Q10,3),SMALL($H10:$Q10,4),SMALL($H10:$Q10,5))-36)*0.96,20),2),"")</f>
        <v>13.25</v>
      </c>
      <c r="IL10" s="367"/>
      <c r="IN10" s="335">
        <f ca="1">AO10</f>
        <v>52</v>
      </c>
      <c r="IO10" s="335">
        <f ca="1">AN10</f>
        <v>53</v>
      </c>
      <c r="IP10" s="335">
        <f ca="1">AM10</f>
        <v>55</v>
      </c>
      <c r="IQ10" s="335">
        <f ca="1">AL10</f>
        <v>50</v>
      </c>
      <c r="IR10" s="335">
        <f ca="1">AK10</f>
        <v>53</v>
      </c>
      <c r="IS10" s="335">
        <f ca="1">AJ10</f>
        <v>48</v>
      </c>
      <c r="IT10" s="335">
        <f ca="1">AI10</f>
        <v>48</v>
      </c>
      <c r="IU10" s="335">
        <f ca="1">AH10</f>
        <v>53</v>
      </c>
      <c r="IV10" s="335">
        <f ca="1">AG10</f>
        <v>51</v>
      </c>
      <c r="IW10" s="335">
        <f ca="1">AF10</f>
        <v>63</v>
      </c>
      <c r="IX10" s="19">
        <f ca="1">IF(D10&lt;&gt;"",COUNT(IN10:IW10),"")</f>
        <v>10</v>
      </c>
      <c r="IY10" s="21">
        <f ca="1">IF(D10&lt;&gt;"",INDEX($JA10:$JK10,1,MATCH($IX10,$JA$6:$JK$6,0)), "")</f>
        <v>13.247999999999998</v>
      </c>
      <c r="JA10" s="18" t="str">
        <f ca="1">IF(D10&lt;&gt;"","No Hdcp","")</f>
        <v>No Hdcp</v>
      </c>
      <c r="JB10" s="18" t="str">
        <f ca="1">IF(D10&lt;&gt;"","Low of score &amp; "&amp;MIN($IN10:$IN10),"")</f>
        <v>Low of score &amp; 52</v>
      </c>
      <c r="JC10" s="18" t="str">
        <f ca="1">IF(D10&lt;&gt;"","Low of score &amp; "&amp;MIN($IN10:$IO10),"")</f>
        <v>Low of score &amp; 52</v>
      </c>
      <c r="JD10" s="18" t="str">
        <f ca="1">IF(D10&lt;&gt;"","Low of score &amp; "&amp;MIN($IN10:$IP10),"")</f>
        <v>Low of score &amp; 52</v>
      </c>
      <c r="JE10" s="18" t="str">
        <f ca="1">IF(D10&lt;&gt;"","Low of score &amp; "&amp;MIN($IN10:$IQ10),"")</f>
        <v>Low of score &amp; 50</v>
      </c>
      <c r="JF10" s="18">
        <f ca="1">IF(D10&lt;&gt;"",MIN((MIN($IN10:$IR10)-36)*0.96,20),"")</f>
        <v>13.44</v>
      </c>
      <c r="JG10" s="18">
        <f ca="1">IF(D10&lt;&gt;"",MIN((AVERAGE(SMALL($IN10:$IS10,1),SMALL($IN10:$IS10,2))-36)*0.96,20),"")</f>
        <v>12.48</v>
      </c>
      <c r="JH10" s="18">
        <f ca="1">IF(D10&lt;&gt;"",MIN((AVERAGE(SMALL($IN10:$IT10,1),SMALL($IN10:$IT10,2),SMALL($IN10:$IT10,3))-36)*0.96,20),"")</f>
        <v>12.159999999999997</v>
      </c>
      <c r="JI10" s="18">
        <f ca="1">IF(D10&lt;&gt;"",MIN((AVERAGE(SMALL($IN10:$IU10,1),SMALL($IN10:$IU10,2),SMALL($IN10:$IU10,3),SMALL($IN10:$IU10,4))-36)*0.96,20),"")</f>
        <v>12.959999999999999</v>
      </c>
      <c r="JJ10" s="18">
        <f ca="1">IF(D10&lt;&gt;"",MIN((AVERAGE(SMALL($IN10:$IV10,1),SMALL($IN10:$IV10,2),SMALL($IN10:$IV10,3),SMALL($IN10:$IV10,4))-36)*0.96,20),"")</f>
        <v>12.719999999999999</v>
      </c>
      <c r="JK10" s="18">
        <f ca="1">IF(D10&lt;&gt;"",MIN((AVERAGE(SMALL($IN10:$IW10,1),SMALL($IN10:$IW10,2),SMALL($IN10:$IW10,3),SMALL($IN10:$IW10,4),SMALL($IN10:$IW10,5))-36)*0.96,20),"")</f>
        <v>13.247999999999998</v>
      </c>
    </row>
    <row r="11" spans="1:271" x14ac:dyDescent="0.2">
      <c r="A11" s="18" t="s">
        <v>17</v>
      </c>
      <c r="B11" s="19">
        <f>B10+7</f>
        <v>26</v>
      </c>
      <c r="C11" s="22">
        <f t="shared" ca="1" si="6"/>
        <v>5.9999999999999995E-4</v>
      </c>
      <c r="D11" s="18" t="str">
        <f t="shared" ca="1" si="7"/>
        <v>Bates, Jim</v>
      </c>
      <c r="E11" s="19">
        <f t="shared" ca="1" si="8"/>
        <v>15</v>
      </c>
      <c r="F11" s="19">
        <f ca="1">IF(D11&lt;&gt;"",COUNT($H11:$Q11),"")</f>
        <v>10</v>
      </c>
      <c r="G11" s="21">
        <f ca="1">IF($D11&lt;&gt;"",INDEX($IA11:$IK11,1,MATCH($F11,$IA$6:$IK$6,0)), "")</f>
        <v>3.84</v>
      </c>
      <c r="H11" s="337" cm="1">
        <f t="array" aca="1" ref="H11" ca="1">IFERROR(_xlfn.SINGLE(INDEX($AF11:$BH11, , SUMPRODUCT(LARGE((($AF11:$BH11&lt;&gt;0)*($BJ11:$CL11&lt;&gt;1)*($AF$5:$BH$5)), H$6)))), "")</f>
        <v>38</v>
      </c>
      <c r="I11" s="338" cm="1">
        <f t="array" aca="1" ref="I11" ca="1">IFERROR(_xlfn.SINGLE(INDEX($AF11:$BH11, , SUMPRODUCT(LARGE((($AF11:$BH11&lt;&gt;0)*($BJ11:$CL11&lt;&gt;1)*($AF$5:$BH$5)), I$6)))), "")</f>
        <v>43</v>
      </c>
      <c r="J11" s="338" cm="1">
        <f t="array" aca="1" ref="J11" ca="1">IFERROR(_xlfn.SINGLE(INDEX($AF11:$BH11, , SUMPRODUCT(LARGE((($AF11:$BH11&lt;&gt;0)*($BJ11:$CL11&lt;&gt;1)*($AF$5:$BH$5)), J$6)))), "")</f>
        <v>42</v>
      </c>
      <c r="K11" s="338" cm="1">
        <f t="array" aca="1" ref="K11" ca="1">IFERROR(_xlfn.SINGLE(INDEX($AF11:$BH11, , SUMPRODUCT(LARGE((($AF11:$BH11&lt;&gt;0)*($BJ11:$CL11&lt;&gt;1)*($AF$5:$BH$5)), K$6)))), "")</f>
        <v>42</v>
      </c>
      <c r="L11" s="338" cm="1">
        <f t="array" aca="1" ref="L11" ca="1">IFERROR(_xlfn.SINGLE(INDEX($AF11:$BH11, , SUMPRODUCT(LARGE((($AF11:$BH11&lt;&gt;0)*($BJ11:$CL11&lt;&gt;1)*($AF$5:$BH$5)), L$6)))), "")</f>
        <v>41</v>
      </c>
      <c r="M11" s="338" cm="1">
        <f t="array" aca="1" ref="M11" ca="1">IFERROR(_xlfn.SINGLE(INDEX($AF11:$BH11, , SUMPRODUCT(LARGE((($AF11:$BH11&lt;&gt;0)*($BJ11:$CL11&lt;&gt;1)*($AF$5:$BH$5)), M$6)))), "")</f>
        <v>50</v>
      </c>
      <c r="N11" s="338" cm="1">
        <f t="array" aca="1" ref="N11" ca="1">IFERROR(_xlfn.SINGLE(INDEX($AF11:$BH11, , SUMPRODUCT(LARGE((($AF11:$BH11&lt;&gt;0)*($BJ11:$CL11&lt;&gt;1)*($AF$5:$BH$5)), N$6)))), "")</f>
        <v>40</v>
      </c>
      <c r="O11" s="338" cm="1">
        <f t="array" aca="1" ref="O11" ca="1">IFERROR(_xlfn.SINGLE(INDEX($AF11:$BH11, , SUMPRODUCT(LARGE((($AF11:$BH11&lt;&gt;0)*($BJ11:$CL11&lt;&gt;1)*($AF$5:$BH$5)), O$6)))), "")</f>
        <v>42</v>
      </c>
      <c r="P11" s="338" cm="1">
        <f t="array" aca="1" ref="P11" ca="1">IFERROR(_xlfn.SINGLE(INDEX($AF11:$BH11, , SUMPRODUCT(LARGE((($AF11:$BH11&lt;&gt;0)*($BJ11:$CL11&lt;&gt;1)*($AF$5:$BH$5)), P$6)))), "")</f>
        <v>41</v>
      </c>
      <c r="Q11" s="339" cm="1">
        <f t="array" aca="1" ref="Q11" ca="1">IFERROR(_xlfn.SINGLE(INDEX($AF11:$BH11, , SUMPRODUCT(LARGE((($AF11:$BH11&lt;&gt;0)*($BJ11:$CL11&lt;&gt;1)*($AF$5:$BH$5)), Q$6)))), "")</f>
        <v>40</v>
      </c>
      <c r="R11" s="21">
        <v>42.4</v>
      </c>
      <c r="S11" s="47">
        <f t="shared" ca="1" si="9"/>
        <v>40</v>
      </c>
      <c r="T11" s="21">
        <f ca="1">IF($D11&lt;&gt;"", IFERROR(IF($E11&gt;=qualifier, SUMIF($BT11:$CL11,0,$AP11:$BH11)/$E11, TEXT(SUMIF($BT11:$CL11,0,$AP11:$BH11)/$E11, "0.00")&amp;"*"), "-"), "")</f>
        <v>42</v>
      </c>
      <c r="U11" s="21">
        <f ca="1">IF($D11&lt;&gt;"", IFERROR(IF($E11&gt;=qualifier, SUMIF($BT11:$CL11,0,$CN11:$DF11)/$E11, TEXT(SUMIF($BT11:$CL11,0,$CN11:$DF11)/$E11, "0.00")&amp;"*"), "-"), "")</f>
        <v>37.666666666666664</v>
      </c>
      <c r="V11" s="46">
        <f ca="1">IF(AND($D11&lt;&gt;"", $E11&lt;&gt;0), _xlfn.MINIFS($AP11:$BH11,$BT11:$CL11,0,$AP11:$BH11,"&lt;&gt;0"), "")</f>
        <v>38</v>
      </c>
      <c r="W11" s="19">
        <f ca="1">IF(AND($D11&lt;&gt;"", $E11&lt;&gt;0), _xlfn.MINIFS($CN11:$DF11,$BT11:$CL11,0), "")</f>
        <v>33</v>
      </c>
      <c r="X11" s="46">
        <f ca="1">IF($D11&lt;&gt;"", SUM($DH11:$DZ11),  "")</f>
        <v>153</v>
      </c>
      <c r="Y11" s="21">
        <f ca="1">IF($D11&lt;&gt;"", IFERROR(IF($E11&gt;=qualifier, AVERAGE($DH11:$DZ11), TEXT(AVERAGE($DH11:$DZ11), "0.00")&amp;"*"), "-"), "")</f>
        <v>10.928571428571429</v>
      </c>
      <c r="Z11" s="19">
        <f ca="1">IF($D11&lt;&gt;"", SUM($EB11:$ET11),  "")</f>
        <v>8</v>
      </c>
      <c r="AA11" s="19">
        <f ca="1">IF($D11&lt;&gt;"", SUM($EV11:$FN11),  "")</f>
        <v>0</v>
      </c>
      <c r="AB11" s="46" t="str">
        <f t="shared" ca="1" si="10"/>
        <v>8-5-2</v>
      </c>
      <c r="AC11" s="218">
        <f t="shared" ca="1" si="11"/>
        <v>3303126140</v>
      </c>
      <c r="AD11" s="57" t="str">
        <f t="shared" ca="1" si="12"/>
        <v>jim.bates@metallus.com</v>
      </c>
      <c r="AE11" s="293"/>
      <c r="AF11" s="341">
        <f ca="1">INDEX(PriorScores[],MATCH($D11,PriorScores[Team / Player],0),2)</f>
        <v>42</v>
      </c>
      <c r="AG11" s="341">
        <f ca="1">INDEX(PriorScores[],MATCH($D11,PriorScores[Team / Player],0),3)</f>
        <v>44</v>
      </c>
      <c r="AH11" s="341">
        <f ca="1">INDEX(PriorScores[],MATCH($D11,PriorScores[Team / Player],0),4)</f>
        <v>44</v>
      </c>
      <c r="AI11" s="341">
        <f ca="1">INDEX(PriorScores[],MATCH($D11,PriorScores[Team / Player],0),5)</f>
        <v>41</v>
      </c>
      <c r="AJ11" s="341">
        <f ca="1">INDEX(PriorScores[],MATCH($D11,PriorScores[Team / Player],0),6)</f>
        <v>46</v>
      </c>
      <c r="AK11" s="341">
        <f ca="1">INDEX(PriorScores[],MATCH($D11,PriorScores[Team / Player],0),7)</f>
        <v>43</v>
      </c>
      <c r="AL11" s="341">
        <f ca="1">INDEX(PriorScores[],MATCH($D11,PriorScores[Team / Player],0),8)</f>
        <v>42</v>
      </c>
      <c r="AM11" s="341">
        <f ca="1">INDEX(PriorScores[],MATCH($D11,PriorScores[Team / Player],0),9)</f>
        <v>45</v>
      </c>
      <c r="AN11" s="341">
        <f ca="1">INDEX(PriorScores[],MATCH($D11,PriorScores[Team / Player],0),10)</f>
        <v>41</v>
      </c>
      <c r="AO11" s="341">
        <f ca="1">INDEX(PriorScores[],MATCH($D11,PriorScores[Team / Player],0),11)</f>
        <v>39</v>
      </c>
      <c r="AP11" s="20">
        <f t="shared" ca="1" si="13"/>
        <v>45</v>
      </c>
      <c r="AQ11" s="20">
        <f t="shared" ca="1" si="13"/>
        <v>43</v>
      </c>
      <c r="AR11" s="20">
        <f t="shared" ca="1" si="13"/>
        <v>42</v>
      </c>
      <c r="AS11" s="20">
        <f t="shared" ca="1" si="13"/>
        <v>39</v>
      </c>
      <c r="AT11" s="20">
        <f t="shared" ca="1" si="13"/>
        <v>42</v>
      </c>
      <c r="AU11" s="20">
        <f t="shared" ca="1" si="13"/>
        <v>40</v>
      </c>
      <c r="AV11" s="20">
        <f t="shared" ca="1" si="13"/>
        <v>41</v>
      </c>
      <c r="AW11" s="20">
        <f t="shared" ca="1" si="13"/>
        <v>0</v>
      </c>
      <c r="AX11" s="20">
        <f t="shared" ca="1" si="13"/>
        <v>42</v>
      </c>
      <c r="AY11" s="20">
        <f t="shared" ca="1" si="13"/>
        <v>40</v>
      </c>
      <c r="AZ11" s="20">
        <f t="shared" ca="1" si="14"/>
        <v>50</v>
      </c>
      <c r="BA11" s="20">
        <f t="shared" ca="1" si="14"/>
        <v>0</v>
      </c>
      <c r="BB11" s="20">
        <f t="shared" ca="1" si="14"/>
        <v>41</v>
      </c>
      <c r="BC11" s="20">
        <f t="shared" ca="1" si="14"/>
        <v>42</v>
      </c>
      <c r="BD11" s="20">
        <f t="shared" ca="1" si="14"/>
        <v>0</v>
      </c>
      <c r="BE11" s="20">
        <f t="shared" ca="1" si="14"/>
        <v>42</v>
      </c>
      <c r="BF11" s="20">
        <f t="shared" ca="1" si="14"/>
        <v>43</v>
      </c>
      <c r="BG11" s="20">
        <f t="shared" ca="1" si="14"/>
        <v>0</v>
      </c>
      <c r="BH11" s="20">
        <f t="shared" ca="1" si="14"/>
        <v>38</v>
      </c>
      <c r="BI11" s="293"/>
      <c r="BJ11" s="341">
        <v>0</v>
      </c>
      <c r="BK11" s="341">
        <v>0</v>
      </c>
      <c r="BL11" s="341">
        <v>0</v>
      </c>
      <c r="BM11" s="341">
        <v>0</v>
      </c>
      <c r="BN11" s="341">
        <v>0</v>
      </c>
      <c r="BO11" s="341">
        <v>0</v>
      </c>
      <c r="BP11" s="341">
        <v>0</v>
      </c>
      <c r="BQ11" s="341">
        <v>0</v>
      </c>
      <c r="BR11" s="341">
        <v>0</v>
      </c>
      <c r="BS11" s="341">
        <v>0</v>
      </c>
      <c r="BT11" s="20">
        <f t="shared" ca="1" si="15"/>
        <v>0</v>
      </c>
      <c r="BU11" s="20">
        <f t="shared" ca="1" si="15"/>
        <v>0</v>
      </c>
      <c r="BV11" s="20">
        <f t="shared" ca="1" si="15"/>
        <v>0</v>
      </c>
      <c r="BW11" s="20">
        <f t="shared" ca="1" si="15"/>
        <v>0</v>
      </c>
      <c r="BX11" s="20">
        <f t="shared" ca="1" si="15"/>
        <v>0</v>
      </c>
      <c r="BY11" s="20">
        <f t="shared" ca="1" si="15"/>
        <v>0</v>
      </c>
      <c r="BZ11" s="20">
        <f t="shared" ca="1" si="15"/>
        <v>0</v>
      </c>
      <c r="CA11" s="20">
        <f t="shared" ca="1" si="15"/>
        <v>0</v>
      </c>
      <c r="CB11" s="20">
        <f t="shared" ca="1" si="15"/>
        <v>0</v>
      </c>
      <c r="CC11" s="20">
        <f t="shared" ca="1" si="15"/>
        <v>0</v>
      </c>
      <c r="CD11" s="20">
        <f t="shared" ca="1" si="16"/>
        <v>0</v>
      </c>
      <c r="CE11" s="20">
        <f t="shared" ca="1" si="16"/>
        <v>0</v>
      </c>
      <c r="CF11" s="20">
        <f t="shared" ca="1" si="16"/>
        <v>0</v>
      </c>
      <c r="CG11" s="20">
        <f t="shared" ca="1" si="16"/>
        <v>0</v>
      </c>
      <c r="CH11" s="20">
        <f t="shared" ca="1" si="16"/>
        <v>0</v>
      </c>
      <c r="CI11" s="20">
        <f t="shared" ca="1" si="16"/>
        <v>0</v>
      </c>
      <c r="CJ11" s="20">
        <f t="shared" ca="1" si="16"/>
        <v>0</v>
      </c>
      <c r="CK11" s="20">
        <f t="shared" ca="1" si="16"/>
        <v>0</v>
      </c>
      <c r="CL11" s="20">
        <f t="shared" ca="1" si="16"/>
        <v>0</v>
      </c>
      <c r="CM11" s="367"/>
      <c r="CN11" s="20">
        <f t="shared" ca="1" si="17"/>
        <v>40</v>
      </c>
      <c r="CO11" s="20">
        <f t="shared" ca="1" si="17"/>
        <v>38</v>
      </c>
      <c r="CP11" s="20">
        <f t="shared" ca="1" si="17"/>
        <v>37</v>
      </c>
      <c r="CQ11" s="20">
        <f t="shared" ca="1" si="17"/>
        <v>34</v>
      </c>
      <c r="CR11" s="20">
        <f t="shared" ca="1" si="17"/>
        <v>38</v>
      </c>
      <c r="CS11" s="20">
        <f t="shared" ca="1" si="17"/>
        <v>36</v>
      </c>
      <c r="CT11" s="20">
        <f t="shared" ca="1" si="17"/>
        <v>37</v>
      </c>
      <c r="CU11" s="20" t="str">
        <f t="shared" ca="1" si="17"/>
        <v/>
      </c>
      <c r="CV11" s="20">
        <f t="shared" ca="1" si="17"/>
        <v>38</v>
      </c>
      <c r="CW11" s="20">
        <f t="shared" ca="1" si="17"/>
        <v>36</v>
      </c>
      <c r="CX11" s="20">
        <f t="shared" ca="1" si="18"/>
        <v>46</v>
      </c>
      <c r="CY11" s="20" t="str">
        <f t="shared" ca="1" si="18"/>
        <v/>
      </c>
      <c r="CZ11" s="20">
        <f t="shared" ca="1" si="18"/>
        <v>37</v>
      </c>
      <c r="DA11" s="20">
        <f t="shared" ca="1" si="18"/>
        <v>38</v>
      </c>
      <c r="DB11" s="20" t="str">
        <f t="shared" ca="1" si="18"/>
        <v/>
      </c>
      <c r="DC11" s="20">
        <f t="shared" ca="1" si="18"/>
        <v>38</v>
      </c>
      <c r="DD11" s="20">
        <f t="shared" ca="1" si="18"/>
        <v>39</v>
      </c>
      <c r="DE11" s="20" t="str">
        <f t="shared" ca="1" si="18"/>
        <v/>
      </c>
      <c r="DF11" s="20">
        <f t="shared" ca="1" si="18"/>
        <v>33</v>
      </c>
      <c r="DG11" s="367"/>
      <c r="DH11" s="20">
        <f t="shared" ca="1" si="19"/>
        <v>7</v>
      </c>
      <c r="DI11" s="20">
        <f t="shared" ca="1" si="19"/>
        <v>14</v>
      </c>
      <c r="DJ11" s="20">
        <f t="shared" ca="1" si="19"/>
        <v>14</v>
      </c>
      <c r="DK11" s="20">
        <f t="shared" ca="1" si="19"/>
        <v>15</v>
      </c>
      <c r="DL11" s="20">
        <f t="shared" ca="1" si="19"/>
        <v>15</v>
      </c>
      <c r="DM11" s="20">
        <f t="shared" ca="1" si="19"/>
        <v>15</v>
      </c>
      <c r="DN11" s="20">
        <f t="shared" ca="1" si="19"/>
        <v>8</v>
      </c>
      <c r="DO11" s="20" t="str">
        <f t="shared" ca="1" si="19"/>
        <v/>
      </c>
      <c r="DP11" s="20">
        <f t="shared" ca="1" si="19"/>
        <v>10</v>
      </c>
      <c r="DQ11" s="20">
        <f t="shared" ca="1" si="19"/>
        <v>12</v>
      </c>
      <c r="DR11" s="20">
        <f t="shared" ca="1" si="20"/>
        <v>6</v>
      </c>
      <c r="DS11" s="20" t="str">
        <f t="shared" ca="1" si="20"/>
        <v/>
      </c>
      <c r="DT11" s="20">
        <f t="shared" ca="1" si="20"/>
        <v>13</v>
      </c>
      <c r="DU11" s="20">
        <f t="shared" ca="1" si="20"/>
        <v>8</v>
      </c>
      <c r="DV11" s="20" t="str">
        <f t="shared" ca="1" si="20"/>
        <v/>
      </c>
      <c r="DW11" s="20">
        <f t="shared" ca="1" si="20"/>
        <v>6</v>
      </c>
      <c r="DX11" s="20">
        <f t="shared" ca="1" si="20"/>
        <v>10</v>
      </c>
      <c r="DY11" s="20" t="str">
        <f t="shared" ca="1" si="20"/>
        <v/>
      </c>
      <c r="DZ11" s="20" t="str">
        <f t="shared" ca="1" si="20"/>
        <v/>
      </c>
      <c r="EA11" s="367"/>
      <c r="EB11" s="20" t="str">
        <f t="shared" ca="1" si="21"/>
        <v/>
      </c>
      <c r="EC11" s="20" t="str">
        <f t="shared" ca="1" si="21"/>
        <v/>
      </c>
      <c r="ED11" s="20">
        <f t="shared" ca="1" si="21"/>
        <v>1</v>
      </c>
      <c r="EE11" s="20" t="str">
        <f t="shared" ca="1" si="21"/>
        <v/>
      </c>
      <c r="EF11" s="20">
        <f t="shared" ca="1" si="21"/>
        <v>1</v>
      </c>
      <c r="EG11" s="20" t="str">
        <f t="shared" ca="1" si="21"/>
        <v/>
      </c>
      <c r="EH11" s="20">
        <f t="shared" ca="1" si="21"/>
        <v>1</v>
      </c>
      <c r="EI11" s="20" t="str">
        <f t="shared" ca="1" si="21"/>
        <v/>
      </c>
      <c r="EJ11" s="20">
        <f t="shared" ca="1" si="21"/>
        <v>1</v>
      </c>
      <c r="EK11" s="20">
        <f t="shared" ca="1" si="21"/>
        <v>1</v>
      </c>
      <c r="EL11" s="20" t="str">
        <f t="shared" ca="1" si="22"/>
        <v/>
      </c>
      <c r="EM11" s="20" t="str">
        <f t="shared" ca="1" si="22"/>
        <v/>
      </c>
      <c r="EN11" s="20">
        <f t="shared" ca="1" si="22"/>
        <v>1</v>
      </c>
      <c r="EO11" s="20" t="str">
        <f t="shared" ca="1" si="22"/>
        <v/>
      </c>
      <c r="EP11" s="20" t="str">
        <f t="shared" ca="1" si="22"/>
        <v/>
      </c>
      <c r="EQ11" s="20" t="str">
        <f t="shared" ca="1" si="22"/>
        <v/>
      </c>
      <c r="ER11" s="20">
        <f t="shared" ca="1" si="22"/>
        <v>1</v>
      </c>
      <c r="ES11" s="20" t="str">
        <f t="shared" ca="1" si="22"/>
        <v/>
      </c>
      <c r="ET11" s="20">
        <f t="shared" ca="1" si="22"/>
        <v>1</v>
      </c>
      <c r="EU11" s="367"/>
      <c r="EV11" s="20" t="str">
        <f t="shared" ca="1" si="23"/>
        <v/>
      </c>
      <c r="EW11" s="20" t="str">
        <f t="shared" ca="1" si="23"/>
        <v/>
      </c>
      <c r="EX11" s="20" t="str">
        <f t="shared" ca="1" si="23"/>
        <v/>
      </c>
      <c r="EY11" s="20" t="str">
        <f t="shared" ca="1" si="23"/>
        <v/>
      </c>
      <c r="EZ11" s="20" t="str">
        <f t="shared" ca="1" si="23"/>
        <v/>
      </c>
      <c r="FA11" s="20" t="str">
        <f t="shared" ca="1" si="23"/>
        <v/>
      </c>
      <c r="FB11" s="20" t="str">
        <f t="shared" ca="1" si="23"/>
        <v/>
      </c>
      <c r="FC11" s="20" t="str">
        <f t="shared" ca="1" si="23"/>
        <v/>
      </c>
      <c r="FD11" s="20" t="str">
        <f t="shared" ca="1" si="23"/>
        <v/>
      </c>
      <c r="FE11" s="20" t="str">
        <f t="shared" ca="1" si="23"/>
        <v/>
      </c>
      <c r="FF11" s="20" t="str">
        <f t="shared" ca="1" si="24"/>
        <v/>
      </c>
      <c r="FG11" s="20" t="str">
        <f t="shared" ca="1" si="24"/>
        <v/>
      </c>
      <c r="FH11" s="20" t="str">
        <f t="shared" ca="1" si="24"/>
        <v/>
      </c>
      <c r="FI11" s="20" t="str">
        <f t="shared" ca="1" si="24"/>
        <v/>
      </c>
      <c r="FJ11" s="20" t="str">
        <f t="shared" ca="1" si="24"/>
        <v/>
      </c>
      <c r="FK11" s="20" t="str">
        <f t="shared" ca="1" si="24"/>
        <v/>
      </c>
      <c r="FL11" s="20" t="str">
        <f t="shared" ca="1" si="24"/>
        <v/>
      </c>
      <c r="FM11" s="20" t="str">
        <f t="shared" ca="1" si="24"/>
        <v/>
      </c>
      <c r="FN11" s="20" t="str">
        <f t="shared" ca="1" si="24"/>
        <v/>
      </c>
      <c r="FO11" s="367"/>
      <c r="FP11" s="20" t="str">
        <f t="shared" ca="1" si="25"/>
        <v>l</v>
      </c>
      <c r="FQ11" s="20" t="str">
        <f t="shared" ca="1" si="25"/>
        <v>w</v>
      </c>
      <c r="FR11" s="20" t="str">
        <f t="shared" ca="1" si="25"/>
        <v>w</v>
      </c>
      <c r="FS11" s="20" t="str">
        <f t="shared" ca="1" si="25"/>
        <v>w</v>
      </c>
      <c r="FT11" s="20" t="str">
        <f t="shared" ca="1" si="25"/>
        <v>w</v>
      </c>
      <c r="FU11" s="20" t="str">
        <f t="shared" ca="1" si="25"/>
        <v>w</v>
      </c>
      <c r="FV11" s="20" t="str">
        <f t="shared" ca="1" si="25"/>
        <v>l</v>
      </c>
      <c r="FW11" s="20" t="str">
        <f t="shared" ca="1" si="25"/>
        <v/>
      </c>
      <c r="FX11" s="20" t="str">
        <f t="shared" ca="1" si="25"/>
        <v>t</v>
      </c>
      <c r="FY11" s="20" t="str">
        <f t="shared" ca="1" si="25"/>
        <v>w</v>
      </c>
      <c r="FZ11" s="20" t="str">
        <f t="shared" ca="1" si="26"/>
        <v>l</v>
      </c>
      <c r="GA11" s="20" t="str">
        <f t="shared" ca="1" si="26"/>
        <v/>
      </c>
      <c r="GB11" s="20" t="str">
        <f t="shared" ca="1" si="26"/>
        <v>w</v>
      </c>
      <c r="GC11" s="20" t="str">
        <f t="shared" ca="1" si="26"/>
        <v>l</v>
      </c>
      <c r="GD11" s="20" t="str">
        <f t="shared" ca="1" si="26"/>
        <v/>
      </c>
      <c r="GE11" s="20" t="str">
        <f t="shared" ca="1" si="26"/>
        <v>l</v>
      </c>
      <c r="GF11" s="20" t="str">
        <f t="shared" ca="1" si="26"/>
        <v>t</v>
      </c>
      <c r="GG11" s="20" t="str">
        <f t="shared" ca="1" si="26"/>
        <v/>
      </c>
      <c r="GH11" s="20" t="str">
        <f t="shared" ca="1" si="26"/>
        <v>w</v>
      </c>
      <c r="GI11" s="367"/>
      <c r="HE11" s="367"/>
      <c r="HZ11" s="367"/>
      <c r="IA11" s="19" t="str">
        <f t="shared" ca="1" si="27"/>
        <v>No Hdcp</v>
      </c>
      <c r="IB11" s="19" t="str">
        <f ca="1">IF($D11&lt;&gt;"","Low of score &amp; "&amp;MIN($H11:$H11),"")</f>
        <v>Low of score &amp; 38</v>
      </c>
      <c r="IC11" s="19" t="str">
        <f ca="1">IF($D11&lt;&gt;"","Low of score &amp; "&amp;MIN($H11:$I11),"")</f>
        <v>Low of score &amp; 38</v>
      </c>
      <c r="ID11" s="18" t="str">
        <f ca="1">IF($D11&lt;&gt;"","Low of score &amp; "&amp;MIN($H11:$J11),"")</f>
        <v>Low of score &amp; 38</v>
      </c>
      <c r="IE11" s="18" t="str">
        <f ca="1">IF($D11&lt;&gt;"","Low of score &amp; "&amp;MIN($H11:$K11),"")</f>
        <v>Low of score &amp; 38</v>
      </c>
      <c r="IF11" s="18">
        <f ca="1">IF($D11&lt;&gt;"",ROUND(MIN((MIN($H11:$L11)-36)*0.96,20),2),"")</f>
        <v>1.92</v>
      </c>
      <c r="IG11" s="353">
        <f ca="1">IF($D11&lt;&gt;"",ROUND(MIN((AVERAGE(SMALL($H11:$M11,1),SMALL($H11:$M11,2))-36)*0.96,20),2),"")</f>
        <v>3.36</v>
      </c>
      <c r="IH11" s="18">
        <f ca="1">IF($D11&lt;&gt;"",ROUND(MIN((AVERAGE(SMALL($H11:$N11,1),SMALL($H11:$N11,2),SMALL($H11:$N11,3))-36)*0.96,20),2),"")</f>
        <v>3.52</v>
      </c>
      <c r="II11" s="18">
        <f ca="1">IF($D11&lt;&gt;"",ROUND(MIN((AVERAGE(SMALL($H11:$O11,1),SMALL($H11:$O11,2),SMALL($H11:$O11,3),SMALL($H11:$O11,4))-36)*0.96,20),2),"")</f>
        <v>4.08</v>
      </c>
      <c r="IJ11" s="18">
        <f ca="1">IF($D11&lt;&gt;"",ROUND(MIN((AVERAGE(SMALL($H11:$P11,1),SMALL($H11:$P11,2),SMALL($H11:$P11,3),SMALL($H11:$P11,4))-36)*0.96,20),2),"")</f>
        <v>3.84</v>
      </c>
      <c r="IK11" s="18">
        <f ca="1">IF($D11&lt;&gt;"",ROUND(MIN((AVERAGE(SMALL($H11:$Q11,1),SMALL($H11:$Q11,2),SMALL($H11:$Q11,3),SMALL($H11:$Q11,4),SMALL($H11:$Q11,5))-36)*0.96,20),2),"")</f>
        <v>3.84</v>
      </c>
      <c r="IL11" s="367"/>
      <c r="IN11" s="335">
        <f ca="1">AO11</f>
        <v>39</v>
      </c>
      <c r="IO11" s="335">
        <f ca="1">AN11</f>
        <v>41</v>
      </c>
      <c r="IP11" s="335">
        <f ca="1">AM11</f>
        <v>45</v>
      </c>
      <c r="IQ11" s="335">
        <f ca="1">AL11</f>
        <v>42</v>
      </c>
      <c r="IR11" s="335">
        <f ca="1">AK11</f>
        <v>43</v>
      </c>
      <c r="IS11" s="335">
        <f ca="1">AJ11</f>
        <v>46</v>
      </c>
      <c r="IT11" s="335">
        <f ca="1">AI11</f>
        <v>41</v>
      </c>
      <c r="IU11" s="335">
        <f ca="1">AH11</f>
        <v>44</v>
      </c>
      <c r="IV11" s="335">
        <f ca="1">AG11</f>
        <v>44</v>
      </c>
      <c r="IW11" s="335">
        <f ca="1">AF11</f>
        <v>42</v>
      </c>
      <c r="IX11" s="19">
        <f ca="1">IF(D11&lt;&gt;"",COUNT(IN11:IW11),"")</f>
        <v>10</v>
      </c>
      <c r="IY11" s="21">
        <f ca="1">IF(D11&lt;&gt;"",INDEX($JA11:$JK11,1,MATCH($IX11,$JA$6:$JK$6,0)), "")</f>
        <v>4.8</v>
      </c>
      <c r="JA11" s="18" t="str">
        <f ca="1">IF(D11&lt;&gt;"","No Hdcp","")</f>
        <v>No Hdcp</v>
      </c>
      <c r="JB11" s="18" t="str">
        <f ca="1">IF(D11&lt;&gt;"","Low of score &amp; "&amp;MIN($IN11:$IN11),"")</f>
        <v>Low of score &amp; 39</v>
      </c>
      <c r="JC11" s="18" t="str">
        <f ca="1">IF(D11&lt;&gt;"","Low of score &amp; "&amp;MIN($IN11:$IO11),"")</f>
        <v>Low of score &amp; 39</v>
      </c>
      <c r="JD11" s="18" t="str">
        <f ca="1">IF(D11&lt;&gt;"","Low of score &amp; "&amp;MIN($IN11:$IP11),"")</f>
        <v>Low of score &amp; 39</v>
      </c>
      <c r="JE11" s="18" t="str">
        <f ca="1">IF(D11&lt;&gt;"","Low of score &amp; "&amp;MIN($IN11:$IQ11),"")</f>
        <v>Low of score &amp; 39</v>
      </c>
      <c r="JF11" s="18">
        <f ca="1">IF(D11&lt;&gt;"",MIN((MIN($IN11:$IR11)-36)*0.96,20),"")</f>
        <v>2.88</v>
      </c>
      <c r="JG11" s="18">
        <f ca="1">IF(D11&lt;&gt;"",MIN((AVERAGE(SMALL($IN11:$IS11,1),SMALL($IN11:$IS11,2))-36)*0.96,20),"")</f>
        <v>3.84</v>
      </c>
      <c r="JH11" s="18">
        <f ca="1">IF(D11&lt;&gt;"",MIN((AVERAGE(SMALL($IN11:$IT11,1),SMALL($IN11:$IT11,2),SMALL($IN11:$IT11,3))-36)*0.96,20),"")</f>
        <v>4.1600000000000019</v>
      </c>
      <c r="JI11" s="18">
        <f ca="1">IF(D11&lt;&gt;"",MIN((AVERAGE(SMALL($IN11:$IU11,1),SMALL($IN11:$IU11,2),SMALL($IN11:$IU11,3),SMALL($IN11:$IU11,4))-36)*0.96,20),"")</f>
        <v>4.5599999999999996</v>
      </c>
      <c r="JJ11" s="18">
        <f ca="1">IF(D11&lt;&gt;"",MIN((AVERAGE(SMALL($IN11:$IV11,1),SMALL($IN11:$IV11,2),SMALL($IN11:$IV11,3),SMALL($IN11:$IV11,4))-36)*0.96,20),"")</f>
        <v>4.5599999999999996</v>
      </c>
      <c r="JK11" s="18">
        <f ca="1">IF(D11&lt;&gt;"",MIN((AVERAGE(SMALL($IN11:$IW11,1),SMALL($IN11:$IW11,2),SMALL($IN11:$IW11,3),SMALL($IN11:$IW11,4),SMALL($IN11:$IW11,5))-36)*0.96,20),"")</f>
        <v>4.8</v>
      </c>
    </row>
    <row r="12" spans="1:271" x14ac:dyDescent="0.2">
      <c r="A12" s="18" t="s">
        <v>17</v>
      </c>
      <c r="B12" s="19">
        <f>B11+7</f>
        <v>33</v>
      </c>
      <c r="C12" s="22">
        <f t="shared" ca="1" si="6"/>
        <v>4.1999999999999997E-3</v>
      </c>
      <c r="D12" s="18" t="str">
        <f t="shared" ca="1" si="7"/>
        <v>Fitch, Dennis - gold tees</v>
      </c>
      <c r="E12" s="19">
        <f t="shared" ca="1" si="8"/>
        <v>5</v>
      </c>
      <c r="F12" s="19">
        <f ca="1">IF(D12&lt;&gt;"",COUNT($H12:$Q12),"")</f>
        <v>5</v>
      </c>
      <c r="G12" s="21">
        <f ca="1">IF($D12&lt;&gt;"",INDEX($IA12:$IK12,1,MATCH($F12,$IA$6:$IK$6,0)), "")</f>
        <v>19.2</v>
      </c>
      <c r="H12" s="337" cm="1">
        <f t="array" aca="1" ref="H12" ca="1">IFERROR(_xlfn.SINGLE(INDEX($AF12:$BH12, , SUMPRODUCT(LARGE((($AF12:$BH12&lt;&gt;0)*($BJ12:$CL12&lt;&gt;1)*($AF$5:$BH$5)), H$6)))), "")</f>
        <v>57</v>
      </c>
      <c r="I12" s="338" cm="1">
        <f t="array" aca="1" ref="I12" ca="1">IFERROR(_xlfn.SINGLE(INDEX($AF12:$BH12, , SUMPRODUCT(LARGE((($AF12:$BH12&lt;&gt;0)*($BJ12:$CL12&lt;&gt;1)*($AF$5:$BH$5)), I$6)))), "")</f>
        <v>56</v>
      </c>
      <c r="J12" s="338" cm="1">
        <f t="array" aca="1" ref="J12" ca="1">IFERROR(_xlfn.SINGLE(INDEX($AF12:$BH12, , SUMPRODUCT(LARGE((($AF12:$BH12&lt;&gt;0)*($BJ12:$CL12&lt;&gt;1)*($AF$5:$BH$5)), J$6)))), "")</f>
        <v>59</v>
      </c>
      <c r="K12" s="338" cm="1">
        <f t="array" aca="1" ref="K12" ca="1">IFERROR(_xlfn.SINGLE(INDEX($AF12:$BH12, , SUMPRODUCT(LARGE((($AF12:$BH12&lt;&gt;0)*($BJ12:$CL12&lt;&gt;1)*($AF$5:$BH$5)), K$6)))), "")</f>
        <v>56</v>
      </c>
      <c r="L12" s="338" cm="1">
        <f t="array" aca="1" ref="L12" ca="1">IFERROR(_xlfn.SINGLE(INDEX($AF12:$BH12, , SUMPRODUCT(LARGE((($AF12:$BH12&lt;&gt;0)*($BJ12:$CL12&lt;&gt;1)*($AF$5:$BH$5)), L$6)))), "")</f>
        <v>57</v>
      </c>
      <c r="M12" s="338" t="str" cm="1">
        <f t="array" aca="1" ref="M12" ca="1">IFERROR(_xlfn.SINGLE(INDEX($AF12:$BH12, , SUMPRODUCT(LARGE((($AF12:$BH12&lt;&gt;0)*($BJ12:$CL12&lt;&gt;1)*($AF$5:$BH$5)), M$6)))), "")</f>
        <v/>
      </c>
      <c r="N12" s="338" t="str" cm="1">
        <f t="array" aca="1" ref="N12" ca="1">IFERROR(_xlfn.SINGLE(INDEX($AF12:$BH12, , SUMPRODUCT(LARGE((($AF12:$BH12&lt;&gt;0)*($BJ12:$CL12&lt;&gt;1)*($AF$5:$BH$5)), N$6)))), "")</f>
        <v/>
      </c>
      <c r="O12" s="338" t="str" cm="1">
        <f t="array" aca="1" ref="O12" ca="1">IFERROR(_xlfn.SINGLE(INDEX($AF12:$BH12, , SUMPRODUCT(LARGE((($AF12:$BH12&lt;&gt;0)*($BJ12:$CL12&lt;&gt;1)*($AF$5:$BH$5)), O$6)))), "")</f>
        <v/>
      </c>
      <c r="P12" s="338" t="str" cm="1">
        <f t="array" aca="1" ref="P12" ca="1">IFERROR(_xlfn.SINGLE(INDEX($AF12:$BH12, , SUMPRODUCT(LARGE((($AF12:$BH12&lt;&gt;0)*($BJ12:$CL12&lt;&gt;1)*($AF$5:$BH$5)), P$6)))), "")</f>
        <v/>
      </c>
      <c r="Q12" s="339" t="str" cm="1">
        <f t="array" aca="1" ref="Q12" ca="1">IFERROR(_xlfn.SINGLE(INDEX($AF12:$BH12, , SUMPRODUCT(LARGE((($AF12:$BH12&lt;&gt;0)*($BJ12:$CL12&lt;&gt;1)*($AF$5:$BH$5)), Q$6)))), "")</f>
        <v/>
      </c>
      <c r="R12" s="21">
        <v>57</v>
      </c>
      <c r="S12" s="47">
        <f t="shared" ca="1" si="9"/>
        <v>57</v>
      </c>
      <c r="T12" s="21">
        <f ca="1">IF($D12&lt;&gt;"", IFERROR(IF($E12&gt;=qualifier, SUMIF($BT12:$CL12,0,$AP12:$BH12)/$E12, TEXT(SUMIF($BT12:$CL12,0,$AP12:$BH12)/$E12, "0.00")&amp;"*"), "-"), "")</f>
        <v>57</v>
      </c>
      <c r="U12" s="21">
        <f ca="1">IF($D12&lt;&gt;"", IFERROR(IF($E12&gt;=qualifier, SUMIF($BT12:$CL12,0,$CN12:$DF12)/$E12, TEXT(SUMIF($BT12:$CL12,0,$CN12:$DF12)/$E12, "0.00")&amp;"*"), "-"), "")</f>
        <v>39.799999999999997</v>
      </c>
      <c r="V12" s="46">
        <f ca="1">IF(AND($D12&lt;&gt;"", $E12&lt;&gt;0), _xlfn.MINIFS($AP12:$BH12,$BT12:$CL12,0,$AP12:$BH12,"&lt;&gt;0"), "")</f>
        <v>56</v>
      </c>
      <c r="W12" s="19">
        <f ca="1">IF(AND($D12&lt;&gt;"", $E12&lt;&gt;0), _xlfn.MINIFS($CN12:$DF12,$BT12:$CL12,0), "")</f>
        <v>38</v>
      </c>
      <c r="X12" s="46">
        <f ca="1">IF($D12&lt;&gt;"", SUM($DH12:$DZ12),  "")</f>
        <v>80</v>
      </c>
      <c r="Y12" s="21">
        <f ca="1">IF($D12&lt;&gt;"", IFERROR(IF($E12&gt;=qualifier, AVERAGE($DH12:$DZ12), TEXT(AVERAGE($DH12:$DZ12), "0.00")&amp;"*"), "-"), "")</f>
        <v>11.428571428571429</v>
      </c>
      <c r="Z12" s="19">
        <f ca="1">IF($D12&lt;&gt;"", SUM($EB12:$ET12),  "")</f>
        <v>0</v>
      </c>
      <c r="AA12" s="19">
        <f ca="1">IF($D12&lt;&gt;"", SUM($EV12:$FN12),  "")</f>
        <v>0</v>
      </c>
      <c r="AB12" s="46" t="str">
        <f t="shared" ca="1" si="10"/>
        <v>5-1-1</v>
      </c>
      <c r="AC12" s="218">
        <f t="shared" ca="1" si="11"/>
        <v>3302803266</v>
      </c>
      <c r="AD12" s="57" t="str">
        <f t="shared" ca="1" si="12"/>
        <v>fitchdcbj@gmail.com</v>
      </c>
      <c r="AE12" s="293"/>
      <c r="AF12" s="341">
        <f ca="1">INDEX(PriorScores[],MATCH($D12,PriorScores[Team / Player],0),2)</f>
        <v>0</v>
      </c>
      <c r="AG12" s="341">
        <f ca="1">INDEX(PriorScores[],MATCH($D12,PriorScores[Team / Player],0),3)</f>
        <v>0</v>
      </c>
      <c r="AH12" s="341">
        <f ca="1">INDEX(PriorScores[],MATCH($D12,PriorScores[Team / Player],0),4)</f>
        <v>0</v>
      </c>
      <c r="AI12" s="341">
        <f ca="1">INDEX(PriorScores[],MATCH($D12,PriorScores[Team / Player],0),5)</f>
        <v>0</v>
      </c>
      <c r="AJ12" s="341">
        <f ca="1">INDEX(PriorScores[],MATCH($D12,PriorScores[Team / Player],0),6)</f>
        <v>0</v>
      </c>
      <c r="AK12" s="341"/>
      <c r="AL12" s="341"/>
      <c r="AM12" s="341"/>
      <c r="AN12" s="341"/>
      <c r="AO12" s="341"/>
      <c r="AP12" s="20">
        <f t="shared" ca="1" si="13"/>
        <v>0</v>
      </c>
      <c r="AQ12" s="20">
        <f t="shared" ca="1" si="13"/>
        <v>57</v>
      </c>
      <c r="AR12" s="20">
        <f t="shared" ca="1" si="13"/>
        <v>0</v>
      </c>
      <c r="AS12" s="20">
        <f t="shared" ca="1" si="13"/>
        <v>56</v>
      </c>
      <c r="AT12" s="20">
        <f t="shared" ca="1" si="13"/>
        <v>59</v>
      </c>
      <c r="AU12" s="20">
        <f t="shared" ca="1" si="13"/>
        <v>0</v>
      </c>
      <c r="AV12" s="20">
        <f t="shared" ca="1" si="13"/>
        <v>0</v>
      </c>
      <c r="AW12" s="20">
        <f t="shared" ca="1" si="13"/>
        <v>0</v>
      </c>
      <c r="AX12" s="20">
        <f t="shared" ca="1" si="13"/>
        <v>0</v>
      </c>
      <c r="AY12" s="20">
        <f t="shared" ca="1" si="13"/>
        <v>0</v>
      </c>
      <c r="AZ12" s="20">
        <f t="shared" ca="1" si="14"/>
        <v>0</v>
      </c>
      <c r="BA12" s="20">
        <f t="shared" ca="1" si="14"/>
        <v>0</v>
      </c>
      <c r="BB12" s="20">
        <f t="shared" ca="1" si="14"/>
        <v>56</v>
      </c>
      <c r="BC12" s="20">
        <f t="shared" ca="1" si="14"/>
        <v>57</v>
      </c>
      <c r="BD12" s="20">
        <f t="shared" ca="1" si="14"/>
        <v>0</v>
      </c>
      <c r="BE12" s="20">
        <f t="shared" ca="1" si="14"/>
        <v>0</v>
      </c>
      <c r="BF12" s="20">
        <f t="shared" ca="1" si="14"/>
        <v>0</v>
      </c>
      <c r="BG12" s="20">
        <f t="shared" ca="1" si="14"/>
        <v>0</v>
      </c>
      <c r="BH12" s="20">
        <f t="shared" ca="1" si="14"/>
        <v>0</v>
      </c>
      <c r="BI12" s="293"/>
      <c r="BJ12" s="341">
        <v>0</v>
      </c>
      <c r="BK12" s="341">
        <v>0</v>
      </c>
      <c r="BL12" s="341">
        <v>0</v>
      </c>
      <c r="BM12" s="341">
        <v>0</v>
      </c>
      <c r="BN12" s="341">
        <v>0</v>
      </c>
      <c r="BO12" s="341">
        <v>0</v>
      </c>
      <c r="BP12" s="341">
        <v>0</v>
      </c>
      <c r="BQ12" s="341">
        <v>0</v>
      </c>
      <c r="BR12" s="341">
        <v>0</v>
      </c>
      <c r="BS12" s="341">
        <v>0</v>
      </c>
      <c r="BT12" s="20">
        <f t="shared" ca="1" si="15"/>
        <v>0</v>
      </c>
      <c r="BU12" s="20">
        <f t="shared" ca="1" si="15"/>
        <v>0</v>
      </c>
      <c r="BV12" s="20">
        <f t="shared" ca="1" si="15"/>
        <v>0</v>
      </c>
      <c r="BW12" s="20">
        <f t="shared" ca="1" si="15"/>
        <v>0</v>
      </c>
      <c r="BX12" s="20">
        <f t="shared" ca="1" si="15"/>
        <v>0</v>
      </c>
      <c r="BY12" s="20">
        <f t="shared" ca="1" si="15"/>
        <v>0</v>
      </c>
      <c r="BZ12" s="20">
        <f t="shared" ca="1" si="15"/>
        <v>0</v>
      </c>
      <c r="CA12" s="20">
        <f t="shared" ca="1" si="15"/>
        <v>0</v>
      </c>
      <c r="CB12" s="20">
        <f t="shared" ca="1" si="15"/>
        <v>0</v>
      </c>
      <c r="CC12" s="20">
        <f t="shared" ca="1" si="15"/>
        <v>0</v>
      </c>
      <c r="CD12" s="20">
        <f t="shared" ca="1" si="16"/>
        <v>0</v>
      </c>
      <c r="CE12" s="20">
        <f t="shared" ca="1" si="16"/>
        <v>0</v>
      </c>
      <c r="CF12" s="20">
        <f t="shared" ca="1" si="16"/>
        <v>0</v>
      </c>
      <c r="CG12" s="20">
        <f t="shared" ca="1" si="16"/>
        <v>0</v>
      </c>
      <c r="CH12" s="20">
        <f t="shared" ca="1" si="16"/>
        <v>1</v>
      </c>
      <c r="CI12" s="20">
        <f t="shared" ca="1" si="16"/>
        <v>0</v>
      </c>
      <c r="CJ12" s="20">
        <f t="shared" ca="1" si="16"/>
        <v>0</v>
      </c>
      <c r="CK12" s="20">
        <f t="shared" ca="1" si="16"/>
        <v>1</v>
      </c>
      <c r="CL12" s="20">
        <f t="shared" ca="1" si="16"/>
        <v>0</v>
      </c>
      <c r="CM12" s="367"/>
      <c r="CN12" s="20" t="str">
        <f t="shared" ca="1" si="17"/>
        <v/>
      </c>
      <c r="CO12" s="20">
        <f t="shared" ca="1" si="17"/>
        <v>42</v>
      </c>
      <c r="CP12" s="20" t="str">
        <f t="shared" ca="1" si="17"/>
        <v/>
      </c>
      <c r="CQ12" s="20">
        <f t="shared" ca="1" si="17"/>
        <v>39</v>
      </c>
      <c r="CR12" s="20">
        <f t="shared" ca="1" si="17"/>
        <v>41</v>
      </c>
      <c r="CS12" s="20" t="str">
        <f t="shared" ca="1" si="17"/>
        <v/>
      </c>
      <c r="CT12" s="20" t="str">
        <f t="shared" ca="1" si="17"/>
        <v/>
      </c>
      <c r="CU12" s="20" t="str">
        <f t="shared" ca="1" si="17"/>
        <v/>
      </c>
      <c r="CV12" s="20" t="str">
        <f t="shared" ca="1" si="17"/>
        <v/>
      </c>
      <c r="CW12" s="20" t="str">
        <f t="shared" ca="1" si="17"/>
        <v/>
      </c>
      <c r="CX12" s="20" t="str">
        <f t="shared" ca="1" si="18"/>
        <v/>
      </c>
      <c r="CY12" s="20" t="str">
        <f t="shared" ca="1" si="18"/>
        <v/>
      </c>
      <c r="CZ12" s="20">
        <f t="shared" ca="1" si="18"/>
        <v>38</v>
      </c>
      <c r="DA12" s="20">
        <f t="shared" ca="1" si="18"/>
        <v>39</v>
      </c>
      <c r="DB12" s="20" t="str">
        <f t="shared" ca="1" si="18"/>
        <v/>
      </c>
      <c r="DC12" s="20" t="str">
        <f t="shared" ca="1" si="18"/>
        <v/>
      </c>
      <c r="DD12" s="20" t="str">
        <f t="shared" ca="1" si="18"/>
        <v/>
      </c>
      <c r="DE12" s="20" t="str">
        <f t="shared" ca="1" si="18"/>
        <v/>
      </c>
      <c r="DF12" s="20" t="str">
        <f t="shared" ca="1" si="18"/>
        <v/>
      </c>
      <c r="DG12" s="367"/>
      <c r="DH12" s="20" t="str">
        <f t="shared" ca="1" si="19"/>
        <v/>
      </c>
      <c r="DI12" s="20">
        <f t="shared" ca="1" si="19"/>
        <v>9</v>
      </c>
      <c r="DJ12" s="20" t="str">
        <f t="shared" ca="1" si="19"/>
        <v/>
      </c>
      <c r="DK12" s="20">
        <f t="shared" ca="1" si="19"/>
        <v>11</v>
      </c>
      <c r="DL12" s="20">
        <f t="shared" ca="1" si="19"/>
        <v>11</v>
      </c>
      <c r="DM12" s="20" t="str">
        <f t="shared" ca="1" si="19"/>
        <v/>
      </c>
      <c r="DN12" s="20" t="str">
        <f t="shared" ca="1" si="19"/>
        <v/>
      </c>
      <c r="DO12" s="20" t="str">
        <f t="shared" ca="1" si="19"/>
        <v/>
      </c>
      <c r="DP12" s="20" t="str">
        <f t="shared" ca="1" si="19"/>
        <v/>
      </c>
      <c r="DQ12" s="20" t="str">
        <f t="shared" ca="1" si="19"/>
        <v/>
      </c>
      <c r="DR12" s="20" t="str">
        <f t="shared" ca="1" si="20"/>
        <v/>
      </c>
      <c r="DS12" s="20" t="str">
        <f t="shared" ca="1" si="20"/>
        <v/>
      </c>
      <c r="DT12" s="20">
        <f t="shared" ca="1" si="20"/>
        <v>13</v>
      </c>
      <c r="DU12" s="20">
        <f t="shared" ca="1" si="20"/>
        <v>11</v>
      </c>
      <c r="DV12" s="20">
        <f t="shared" ca="1" si="20"/>
        <v>15</v>
      </c>
      <c r="DW12" s="20" t="str">
        <f t="shared" ca="1" si="20"/>
        <v/>
      </c>
      <c r="DX12" s="20" t="str">
        <f t="shared" ca="1" si="20"/>
        <v/>
      </c>
      <c r="DY12" s="20">
        <f t="shared" ca="1" si="20"/>
        <v>10</v>
      </c>
      <c r="DZ12" s="20" t="str">
        <f t="shared" ca="1" si="20"/>
        <v/>
      </c>
      <c r="EA12" s="367"/>
      <c r="EB12" s="20" t="str">
        <f t="shared" ca="1" si="21"/>
        <v/>
      </c>
      <c r="EC12" s="20" t="str">
        <f t="shared" ca="1" si="21"/>
        <v/>
      </c>
      <c r="ED12" s="20" t="str">
        <f t="shared" ca="1" si="21"/>
        <v/>
      </c>
      <c r="EE12" s="20" t="str">
        <f t="shared" ca="1" si="21"/>
        <v/>
      </c>
      <c r="EF12" s="20" t="str">
        <f t="shared" ca="1" si="21"/>
        <v/>
      </c>
      <c r="EG12" s="20" t="str">
        <f t="shared" ca="1" si="21"/>
        <v/>
      </c>
      <c r="EH12" s="20" t="str">
        <f t="shared" ca="1" si="21"/>
        <v/>
      </c>
      <c r="EI12" s="20" t="str">
        <f t="shared" ca="1" si="21"/>
        <v/>
      </c>
      <c r="EJ12" s="20" t="str">
        <f t="shared" ca="1" si="21"/>
        <v/>
      </c>
      <c r="EK12" s="20" t="str">
        <f t="shared" ca="1" si="21"/>
        <v/>
      </c>
      <c r="EL12" s="20" t="str">
        <f t="shared" ca="1" si="22"/>
        <v/>
      </c>
      <c r="EM12" s="20" t="str">
        <f t="shared" ca="1" si="22"/>
        <v/>
      </c>
      <c r="EN12" s="20" t="str">
        <f t="shared" ca="1" si="22"/>
        <v/>
      </c>
      <c r="EO12" s="20" t="str">
        <f t="shared" ca="1" si="22"/>
        <v/>
      </c>
      <c r="EP12" s="20" t="str">
        <f t="shared" ca="1" si="22"/>
        <v/>
      </c>
      <c r="EQ12" s="20" t="str">
        <f t="shared" ca="1" si="22"/>
        <v/>
      </c>
      <c r="ER12" s="20" t="str">
        <f t="shared" ca="1" si="22"/>
        <v/>
      </c>
      <c r="ES12" s="20" t="str">
        <f t="shared" ca="1" si="22"/>
        <v/>
      </c>
      <c r="ET12" s="20" t="str">
        <f t="shared" ca="1" si="22"/>
        <v/>
      </c>
      <c r="EU12" s="367"/>
      <c r="EV12" s="20" t="str">
        <f t="shared" ca="1" si="23"/>
        <v/>
      </c>
      <c r="EW12" s="20" t="str">
        <f t="shared" ca="1" si="23"/>
        <v/>
      </c>
      <c r="EX12" s="20" t="str">
        <f t="shared" ca="1" si="23"/>
        <v/>
      </c>
      <c r="EY12" s="20" t="str">
        <f t="shared" ca="1" si="23"/>
        <v/>
      </c>
      <c r="EZ12" s="20" t="str">
        <f t="shared" ca="1" si="23"/>
        <v/>
      </c>
      <c r="FA12" s="20" t="str">
        <f t="shared" ca="1" si="23"/>
        <v/>
      </c>
      <c r="FB12" s="20" t="str">
        <f t="shared" ca="1" si="23"/>
        <v/>
      </c>
      <c r="FC12" s="20" t="str">
        <f t="shared" ca="1" si="23"/>
        <v/>
      </c>
      <c r="FD12" s="20" t="str">
        <f t="shared" ca="1" si="23"/>
        <v/>
      </c>
      <c r="FE12" s="20" t="str">
        <f t="shared" ca="1" si="23"/>
        <v/>
      </c>
      <c r="FF12" s="20" t="str">
        <f t="shared" ca="1" si="24"/>
        <v/>
      </c>
      <c r="FG12" s="20" t="str">
        <f t="shared" ca="1" si="24"/>
        <v/>
      </c>
      <c r="FH12" s="20" t="str">
        <f t="shared" ca="1" si="24"/>
        <v/>
      </c>
      <c r="FI12" s="20" t="str">
        <f t="shared" ca="1" si="24"/>
        <v/>
      </c>
      <c r="FJ12" s="20" t="str">
        <f t="shared" ca="1" si="24"/>
        <v/>
      </c>
      <c r="FK12" s="20" t="str">
        <f t="shared" ca="1" si="24"/>
        <v/>
      </c>
      <c r="FL12" s="20" t="str">
        <f t="shared" ca="1" si="24"/>
        <v/>
      </c>
      <c r="FM12" s="20" t="str">
        <f t="shared" ca="1" si="24"/>
        <v/>
      </c>
      <c r="FN12" s="20" t="str">
        <f t="shared" ca="1" si="24"/>
        <v/>
      </c>
      <c r="FO12" s="367"/>
      <c r="FP12" s="20" t="str">
        <f t="shared" ca="1" si="25"/>
        <v/>
      </c>
      <c r="FQ12" s="20" t="str">
        <f t="shared" ca="1" si="25"/>
        <v>l</v>
      </c>
      <c r="FR12" s="20" t="str">
        <f t="shared" ca="1" si="25"/>
        <v/>
      </c>
      <c r="FS12" s="20" t="str">
        <f t="shared" ca="1" si="25"/>
        <v>w</v>
      </c>
      <c r="FT12" s="20" t="str">
        <f t="shared" ca="1" si="25"/>
        <v>w</v>
      </c>
      <c r="FU12" s="20" t="str">
        <f t="shared" ca="1" si="25"/>
        <v/>
      </c>
      <c r="FV12" s="20" t="str">
        <f t="shared" ca="1" si="25"/>
        <v/>
      </c>
      <c r="FW12" s="20" t="str">
        <f t="shared" ca="1" si="25"/>
        <v/>
      </c>
      <c r="FX12" s="20" t="str">
        <f t="shared" ca="1" si="25"/>
        <v/>
      </c>
      <c r="FY12" s="20" t="str">
        <f t="shared" ca="1" si="25"/>
        <v/>
      </c>
      <c r="FZ12" s="20" t="str">
        <f t="shared" ca="1" si="26"/>
        <v/>
      </c>
      <c r="GA12" s="20" t="str">
        <f t="shared" ca="1" si="26"/>
        <v/>
      </c>
      <c r="GB12" s="20" t="str">
        <f t="shared" ca="1" si="26"/>
        <v>w</v>
      </c>
      <c r="GC12" s="20" t="str">
        <f t="shared" ca="1" si="26"/>
        <v>w</v>
      </c>
      <c r="GD12" s="20" t="str">
        <f t="shared" ca="1" si="26"/>
        <v>w</v>
      </c>
      <c r="GE12" s="20" t="str">
        <f t="shared" ca="1" si="26"/>
        <v/>
      </c>
      <c r="GF12" s="20" t="str">
        <f t="shared" ca="1" si="26"/>
        <v/>
      </c>
      <c r="GG12" s="20" t="str">
        <f t="shared" ca="1" si="26"/>
        <v>t</v>
      </c>
      <c r="GH12" s="20" t="str">
        <f t="shared" ca="1" si="26"/>
        <v/>
      </c>
      <c r="GI12" s="367"/>
      <c r="HE12" s="367"/>
      <c r="HZ12" s="367"/>
      <c r="IA12" s="19" t="str">
        <f t="shared" ca="1" si="27"/>
        <v>No Hdcp</v>
      </c>
      <c r="IB12" s="19" t="str">
        <f ca="1">IF($D12&lt;&gt;"","Low of score &amp; "&amp;MIN($H12:$H12),"")</f>
        <v>Low of score &amp; 57</v>
      </c>
      <c r="IC12" s="19" t="str">
        <f ca="1">IF($D12&lt;&gt;"","Low of score &amp; "&amp;MIN($H12:$I12),"")</f>
        <v>Low of score &amp; 56</v>
      </c>
      <c r="ID12" s="18" t="str">
        <f ca="1">IF($D12&lt;&gt;"","Low of score &amp; "&amp;MIN($H12:$J12),"")</f>
        <v>Low of score &amp; 56</v>
      </c>
      <c r="IE12" s="18" t="str">
        <f ca="1">IF($D12&lt;&gt;"","Low of score &amp; "&amp;MIN($H12:$K12),"")</f>
        <v>Low of score &amp; 56</v>
      </c>
      <c r="IF12" s="18">
        <f ca="1">IF($D12&lt;&gt;"",ROUND(MIN((MIN($H12:$L12)-36)*0.96,20),2),"")</f>
        <v>19.2</v>
      </c>
      <c r="IG12" s="353">
        <f ca="1">IF($D12&lt;&gt;"",ROUND(MIN((AVERAGE(SMALL($H12:$M12,1),SMALL($H12:$M12,2))-36)*0.96,20),2),"")</f>
        <v>19.2</v>
      </c>
      <c r="IH12" s="18">
        <f ca="1">IF($D12&lt;&gt;"",ROUND(MIN((AVERAGE(SMALL($H12:$N12,1),SMALL($H12:$N12,2),SMALL($H12:$N12,3))-36)*0.96,20),2),"")</f>
        <v>19.52</v>
      </c>
      <c r="II12" s="18">
        <f ca="1">IF($D12&lt;&gt;"",ROUND(MIN((AVERAGE(SMALL($H12:$O12,1),SMALL($H12:$O12,2),SMALL($H12:$O12,3),SMALL($H12:$O12,4))-36)*0.96,20),2),"")</f>
        <v>19.68</v>
      </c>
      <c r="IJ12" s="18">
        <f ca="1">IF($D12&lt;&gt;"",ROUND(MIN((AVERAGE(SMALL($H12:$P12,1),SMALL($H12:$P12,2),SMALL($H12:$P12,3),SMALL($H12:$P12,4))-36)*0.96,20),2),"")</f>
        <v>19.68</v>
      </c>
      <c r="IK12" s="18">
        <f ca="1">IF($D12&lt;&gt;"",ROUND(MIN((AVERAGE(SMALL($H12:$Q12,1),SMALL($H12:$Q12,2),SMALL($H12:$Q12,3),SMALL($H12:$Q12,4),SMALL($H12:$Q12,5))-36)*0.96,20),2),"")</f>
        <v>20</v>
      </c>
      <c r="IL12" s="367"/>
      <c r="IN12" s="335">
        <f>AO12</f>
        <v>0</v>
      </c>
      <c r="IO12" s="335">
        <f>AN12</f>
        <v>0</v>
      </c>
      <c r="IP12" s="335">
        <f>AM12</f>
        <v>0</v>
      </c>
      <c r="IQ12" s="335">
        <f>AL12</f>
        <v>0</v>
      </c>
      <c r="IR12" s="335">
        <f>AK12</f>
        <v>0</v>
      </c>
      <c r="IS12" s="335">
        <f ca="1">AJ12</f>
        <v>0</v>
      </c>
      <c r="IT12" s="335">
        <f ca="1">AI12</f>
        <v>0</v>
      </c>
      <c r="IU12" s="335">
        <f ca="1">AH12</f>
        <v>0</v>
      </c>
      <c r="IV12" s="335">
        <f ca="1">AG12</f>
        <v>0</v>
      </c>
      <c r="IW12" s="335">
        <f ca="1">AF12</f>
        <v>0</v>
      </c>
      <c r="IX12" s="19">
        <f ca="1">IF(D12&lt;&gt;"",COUNT(IN12:IW12),"")</f>
        <v>10</v>
      </c>
      <c r="IY12" s="21">
        <f ca="1">IF(D12&lt;&gt;"",INDEX($JA12:$JK12,1,MATCH($IX12,$JA$6:$JK$6,0)), "")</f>
        <v>-34.56</v>
      </c>
      <c r="JA12" s="18" t="str">
        <f ca="1">IF(D12&lt;&gt;"","No Hdcp","")</f>
        <v>No Hdcp</v>
      </c>
      <c r="JB12" s="18" t="str">
        <f ca="1">IF(D12&lt;&gt;"","Low of score &amp; "&amp;MIN($IN12:$IN12),"")</f>
        <v>Low of score &amp; 0</v>
      </c>
      <c r="JC12" s="18" t="str">
        <f ca="1">IF(D12&lt;&gt;"","Low of score &amp; "&amp;MIN($IN12:$IO12),"")</f>
        <v>Low of score &amp; 0</v>
      </c>
      <c r="JD12" s="18" t="str">
        <f ca="1">IF(D12&lt;&gt;"","Low of score &amp; "&amp;MIN($IN12:$IP12),"")</f>
        <v>Low of score &amp; 0</v>
      </c>
      <c r="JE12" s="18" t="str">
        <f ca="1">IF(D12&lt;&gt;"","Low of score &amp; "&amp;MIN($IN12:$IQ12),"")</f>
        <v>Low of score &amp; 0</v>
      </c>
      <c r="JF12" s="18">
        <f ca="1">IF(D12&lt;&gt;"",MIN((MIN($IN12:$IR12)-36)*0.96,20),"")</f>
        <v>-34.56</v>
      </c>
      <c r="JG12" s="18">
        <f ca="1">IF(D12&lt;&gt;"",MIN((AVERAGE(SMALL($IN12:$IS12,1),SMALL($IN12:$IS12,2))-36)*0.96,20),"")</f>
        <v>-34.56</v>
      </c>
      <c r="JH12" s="18">
        <f ca="1">IF(D12&lt;&gt;"",MIN((AVERAGE(SMALL($IN12:$IT12,1),SMALL($IN12:$IT12,2),SMALL($IN12:$IT12,3))-36)*0.96,20),"")</f>
        <v>-34.56</v>
      </c>
      <c r="JI12" s="18">
        <f ca="1">IF(D12&lt;&gt;"",MIN((AVERAGE(SMALL($IN12:$IU12,1),SMALL($IN12:$IU12,2),SMALL($IN12:$IU12,3),SMALL($IN12:$IU12,4))-36)*0.96,20),"")</f>
        <v>-34.56</v>
      </c>
      <c r="JJ12" s="18">
        <f ca="1">IF(D12&lt;&gt;"",MIN((AVERAGE(SMALL($IN12:$IV12,1),SMALL($IN12:$IV12,2),SMALL($IN12:$IV12,3),SMALL($IN12:$IV12,4))-36)*0.96,20),"")</f>
        <v>-34.56</v>
      </c>
      <c r="JK12" s="18">
        <f ca="1">IF(D12&lt;&gt;"",MIN((AVERAGE(SMALL($IN12:$IW12,1),SMALL($IN12:$IW12,2),SMALL($IN12:$IW12,3),SMALL($IN12:$IW12,4),SMALL($IN12:$IW12,5))-36)*0.96,20),"")</f>
        <v>-34.56</v>
      </c>
    </row>
    <row r="13" spans="1:271" x14ac:dyDescent="0.2">
      <c r="A13" s="18" t="s">
        <v>17</v>
      </c>
      <c r="B13" s="19">
        <f>B12+7</f>
        <v>40</v>
      </c>
      <c r="C13" s="22">
        <f t="shared" ca="1" si="6"/>
        <v>1.1999999999999999E-3</v>
      </c>
      <c r="D13" s="18" t="str">
        <f t="shared" ca="1" si="7"/>
        <v>Blind Draw Aceholes</v>
      </c>
      <c r="E13" s="19">
        <f t="shared" ca="1" si="8"/>
        <v>0</v>
      </c>
      <c r="F13" s="19">
        <f ca="1">IF($D13&lt;&gt;"", COUNT($AP13:$BH13)-COUNTIF($AP13:$BH13,0), "")</f>
        <v>0</v>
      </c>
      <c r="G13" s="21">
        <v>0</v>
      </c>
      <c r="H13" s="46" t="str" cm="1">
        <f t="array" aca="1" ref="H13" ca="1">IFERROR(_xlfn.SINGLE(INDEX($AP13:$BH13, , SUMPRODUCT(LARGE((($AP13:$BH13&lt;&gt;0)*($BT13:$CL13&lt;&gt;1)*(weeks)), H$6)))), "")</f>
        <v/>
      </c>
      <c r="I13" s="19" t="str" cm="1">
        <f t="array" aca="1" ref="I13" ca="1">IFERROR(_xlfn.SINGLE(INDEX($AP13:$BH13, , SUMPRODUCT(LARGE((($AP13:$BH13&lt;&gt;0)*($BT13:$CL13&lt;&gt;1)*(weeks)), I$6)))), "")</f>
        <v/>
      </c>
      <c r="J13" s="19" t="str" cm="1">
        <f t="array" aca="1" ref="J13" ca="1">IFERROR(_xlfn.SINGLE(INDEX($AP13:$BH13, , SUMPRODUCT(LARGE((($AP13:$BH13&lt;&gt;0)*($BT13:$CL13&lt;&gt;1)*(weeks)), J$6)))), "")</f>
        <v/>
      </c>
      <c r="K13" s="19" t="str" cm="1">
        <f t="array" aca="1" ref="K13" ca="1">IFERROR(_xlfn.SINGLE(INDEX($AP13:$BH13, , SUMPRODUCT(LARGE((($AP13:$BH13&lt;&gt;0)*($BT13:$CL13&lt;&gt;1)*(weeks)), K$6)))), "")</f>
        <v/>
      </c>
      <c r="Q13" s="86" t="str" cm="1">
        <f t="array" aca="1" ref="Q13" ca="1">IFERROR(_xlfn.SINGLE(INDEX($AP13:$BH13, , SUMPRODUCT(LARGE((($AP13:$BH13&lt;&gt;0)*($BT13:$CL13&lt;&gt;1)*(weeks)), Q$6)))), "")</f>
        <v/>
      </c>
      <c r="R13" s="21" t="str">
        <f ca="1">IF($D13&lt;&gt;"", INDEX(INDIRECT($A13), $B13+1, 21), "")</f>
        <v/>
      </c>
      <c r="S13" s="47" t="str">
        <f t="shared" ca="1" si="9"/>
        <v>-</v>
      </c>
      <c r="T13" s="59"/>
      <c r="U13" s="59"/>
      <c r="V13" s="46"/>
      <c r="X13" s="46"/>
      <c r="Y13" s="21"/>
      <c r="AB13" s="46" t="str">
        <f t="shared" ca="1" si="10"/>
        <v>0-0-0</v>
      </c>
      <c r="AC13" s="218">
        <f t="shared" ca="1" si="11"/>
        <v>0</v>
      </c>
      <c r="AD13" s="57">
        <f t="shared" ca="1" si="12"/>
        <v>0</v>
      </c>
      <c r="AE13" s="293"/>
      <c r="AF13" s="341">
        <f ca="1">INDEX(PriorScores[],MATCH($D13,PriorScores[Team / Player],0),2)</f>
        <v>0</v>
      </c>
      <c r="AG13" s="341">
        <f ca="1">INDEX(PriorScores[],MATCH($D13,PriorScores[Team / Player],0),3)</f>
        <v>0</v>
      </c>
      <c r="AH13" s="341">
        <f ca="1">INDEX(PriorScores[],MATCH($D13,PriorScores[Team / Player],0),4)</f>
        <v>0</v>
      </c>
      <c r="AI13" s="341">
        <f ca="1">INDEX(PriorScores[],MATCH($D13,PriorScores[Team / Player],0),5)</f>
        <v>0</v>
      </c>
      <c r="AJ13" s="341">
        <f ca="1">INDEX(PriorScores[],MATCH($D13,PriorScores[Team / Player],0),6)</f>
        <v>0</v>
      </c>
      <c r="AK13" s="341">
        <f ca="1">INDEX(PriorScores[],MATCH($D13,PriorScores[Team / Player],0),7)</f>
        <v>0</v>
      </c>
      <c r="AL13" s="341">
        <f ca="1">INDEX(PriorScores[],MATCH($D13,PriorScores[Team / Player],0),8)</f>
        <v>0</v>
      </c>
      <c r="AM13" s="341">
        <f ca="1">INDEX(PriorScores[],MATCH($D13,PriorScores[Team / Player],0),9)</f>
        <v>0</v>
      </c>
      <c r="AN13" s="341">
        <f ca="1">INDEX(PriorScores[],MATCH($D13,PriorScores[Team / Player],0),10)</f>
        <v>0</v>
      </c>
      <c r="AO13" s="341">
        <f ca="1">INDEX(PriorScores[],MATCH($D13,PriorScores[Team / Player],0),11)</f>
        <v>0</v>
      </c>
      <c r="AP13" s="20">
        <f t="shared" ca="1" si="13"/>
        <v>0</v>
      </c>
      <c r="AQ13" s="20">
        <f t="shared" ca="1" si="13"/>
        <v>0</v>
      </c>
      <c r="AR13" s="20">
        <f t="shared" ca="1" si="13"/>
        <v>0</v>
      </c>
      <c r="AS13" s="20">
        <f t="shared" ca="1" si="13"/>
        <v>0</v>
      </c>
      <c r="AT13" s="20">
        <f t="shared" ca="1" si="13"/>
        <v>0</v>
      </c>
      <c r="AU13" s="20">
        <f t="shared" ca="1" si="13"/>
        <v>0</v>
      </c>
      <c r="AV13" s="20">
        <f t="shared" ca="1" si="13"/>
        <v>0</v>
      </c>
      <c r="AW13" s="20">
        <f t="shared" ca="1" si="13"/>
        <v>0</v>
      </c>
      <c r="AX13" s="20">
        <f t="shared" ca="1" si="13"/>
        <v>0</v>
      </c>
      <c r="AY13" s="20">
        <f t="shared" ca="1" si="13"/>
        <v>0</v>
      </c>
      <c r="AZ13" s="20">
        <f t="shared" ca="1" si="14"/>
        <v>0</v>
      </c>
      <c r="BA13" s="20">
        <f t="shared" ca="1" si="14"/>
        <v>0</v>
      </c>
      <c r="BB13" s="20">
        <f t="shared" ca="1" si="14"/>
        <v>0</v>
      </c>
      <c r="BC13" s="20">
        <f t="shared" ca="1" si="14"/>
        <v>0</v>
      </c>
      <c r="BD13" s="20">
        <f t="shared" ca="1" si="14"/>
        <v>0</v>
      </c>
      <c r="BE13" s="20">
        <f t="shared" ca="1" si="14"/>
        <v>0</v>
      </c>
      <c r="BF13" s="20">
        <f t="shared" ca="1" si="14"/>
        <v>0</v>
      </c>
      <c r="BG13" s="20">
        <f t="shared" ca="1" si="14"/>
        <v>0</v>
      </c>
      <c r="BH13" s="20">
        <f t="shared" ca="1" si="14"/>
        <v>0</v>
      </c>
      <c r="BI13" s="293"/>
      <c r="BJ13" s="341">
        <v>0</v>
      </c>
      <c r="BK13" s="341">
        <v>0</v>
      </c>
      <c r="BL13" s="341">
        <v>0</v>
      </c>
      <c r="BM13" s="341">
        <v>0</v>
      </c>
      <c r="BN13" s="341">
        <v>0</v>
      </c>
      <c r="BO13" s="341">
        <v>0</v>
      </c>
      <c r="BP13" s="341">
        <v>0</v>
      </c>
      <c r="BQ13" s="341">
        <v>0</v>
      </c>
      <c r="BR13" s="341">
        <v>0</v>
      </c>
      <c r="BS13" s="341">
        <v>0</v>
      </c>
      <c r="BT13" s="20">
        <f t="shared" ca="1" si="15"/>
        <v>0</v>
      </c>
      <c r="BU13" s="20">
        <f t="shared" ca="1" si="15"/>
        <v>0</v>
      </c>
      <c r="BV13" s="20">
        <f t="shared" ca="1" si="15"/>
        <v>0</v>
      </c>
      <c r="BW13" s="20">
        <f t="shared" ca="1" si="15"/>
        <v>0</v>
      </c>
      <c r="BX13" s="20">
        <f t="shared" ca="1" si="15"/>
        <v>0</v>
      </c>
      <c r="BY13" s="20">
        <f t="shared" ca="1" si="15"/>
        <v>0</v>
      </c>
      <c r="BZ13" s="20">
        <f t="shared" ca="1" si="15"/>
        <v>0</v>
      </c>
      <c r="CA13" s="20">
        <f t="shared" ca="1" si="15"/>
        <v>0</v>
      </c>
      <c r="CB13" s="20">
        <f t="shared" ca="1" si="15"/>
        <v>0</v>
      </c>
      <c r="CC13" s="20">
        <f t="shared" ca="1" si="15"/>
        <v>0</v>
      </c>
      <c r="CD13" s="20">
        <f t="shared" ca="1" si="16"/>
        <v>0</v>
      </c>
      <c r="CE13" s="20">
        <f t="shared" ca="1" si="16"/>
        <v>0</v>
      </c>
      <c r="CF13" s="20">
        <f t="shared" ca="1" si="16"/>
        <v>0</v>
      </c>
      <c r="CG13" s="20">
        <f t="shared" ca="1" si="16"/>
        <v>0</v>
      </c>
      <c r="CH13" s="20">
        <f t="shared" ca="1" si="16"/>
        <v>0</v>
      </c>
      <c r="CI13" s="20">
        <f t="shared" ca="1" si="16"/>
        <v>0</v>
      </c>
      <c r="CJ13" s="20">
        <f t="shared" ca="1" si="16"/>
        <v>0</v>
      </c>
      <c r="CK13" s="20">
        <f t="shared" ca="1" si="16"/>
        <v>0</v>
      </c>
      <c r="CL13" s="20">
        <f t="shared" ca="1" si="16"/>
        <v>0</v>
      </c>
      <c r="CM13" s="293"/>
      <c r="CN13" s="20" t="str">
        <f t="shared" ca="1" si="17"/>
        <v/>
      </c>
      <c r="CO13" s="20" t="str">
        <f t="shared" ca="1" si="17"/>
        <v/>
      </c>
      <c r="CP13" s="20" t="str">
        <f t="shared" ca="1" si="17"/>
        <v/>
      </c>
      <c r="CQ13" s="20" t="str">
        <f t="shared" ca="1" si="17"/>
        <v/>
      </c>
      <c r="CR13" s="20" t="str">
        <f t="shared" ca="1" si="17"/>
        <v/>
      </c>
      <c r="CS13" s="20" t="str">
        <f t="shared" ca="1" si="17"/>
        <v/>
      </c>
      <c r="CT13" s="20" t="str">
        <f t="shared" ca="1" si="17"/>
        <v/>
      </c>
      <c r="CU13" s="20" t="str">
        <f t="shared" ca="1" si="17"/>
        <v/>
      </c>
      <c r="CV13" s="20" t="str">
        <f t="shared" ca="1" si="17"/>
        <v/>
      </c>
      <c r="CW13" s="20" t="str">
        <f t="shared" ca="1" si="17"/>
        <v/>
      </c>
      <c r="CX13" s="20" t="str">
        <f t="shared" ca="1" si="18"/>
        <v/>
      </c>
      <c r="CY13" s="20" t="str">
        <f t="shared" ca="1" si="18"/>
        <v/>
      </c>
      <c r="CZ13" s="20" t="str">
        <f t="shared" ca="1" si="18"/>
        <v/>
      </c>
      <c r="DA13" s="20" t="str">
        <f t="shared" ca="1" si="18"/>
        <v/>
      </c>
      <c r="DB13" s="20" t="str">
        <f t="shared" ca="1" si="18"/>
        <v/>
      </c>
      <c r="DC13" s="20" t="str">
        <f t="shared" ca="1" si="18"/>
        <v/>
      </c>
      <c r="DD13" s="20" t="str">
        <f t="shared" ca="1" si="18"/>
        <v/>
      </c>
      <c r="DE13" s="20" t="str">
        <f t="shared" ca="1" si="18"/>
        <v/>
      </c>
      <c r="DF13" s="20" t="str">
        <f t="shared" ca="1" si="18"/>
        <v/>
      </c>
      <c r="DG13" s="293"/>
      <c r="DH13" s="20" t="str">
        <f t="shared" ca="1" si="19"/>
        <v/>
      </c>
      <c r="DI13" s="20" t="str">
        <f t="shared" ca="1" si="19"/>
        <v/>
      </c>
      <c r="DJ13" s="20" t="str">
        <f t="shared" ca="1" si="19"/>
        <v/>
      </c>
      <c r="DK13" s="20" t="str">
        <f t="shared" ca="1" si="19"/>
        <v/>
      </c>
      <c r="DL13" s="20" t="str">
        <f t="shared" ca="1" si="19"/>
        <v/>
      </c>
      <c r="DM13" s="20" t="str">
        <f t="shared" ca="1" si="19"/>
        <v/>
      </c>
      <c r="DN13" s="20" t="str">
        <f t="shared" ca="1" si="19"/>
        <v/>
      </c>
      <c r="DO13" s="20" t="str">
        <f t="shared" ca="1" si="19"/>
        <v/>
      </c>
      <c r="DP13" s="20" t="str">
        <f t="shared" ca="1" si="19"/>
        <v/>
      </c>
      <c r="DQ13" s="20" t="str">
        <f t="shared" ca="1" si="19"/>
        <v/>
      </c>
      <c r="DR13" s="20" t="str">
        <f t="shared" ca="1" si="20"/>
        <v/>
      </c>
      <c r="DS13" s="20" t="str">
        <f t="shared" ca="1" si="20"/>
        <v/>
      </c>
      <c r="DT13" s="20" t="str">
        <f t="shared" ca="1" si="20"/>
        <v/>
      </c>
      <c r="DU13" s="20" t="str">
        <f t="shared" ca="1" si="20"/>
        <v/>
      </c>
      <c r="DV13" s="20" t="str">
        <f t="shared" ca="1" si="20"/>
        <v/>
      </c>
      <c r="DW13" s="20" t="str">
        <f t="shared" ca="1" si="20"/>
        <v/>
      </c>
      <c r="DX13" s="20" t="str">
        <f t="shared" ca="1" si="20"/>
        <v/>
      </c>
      <c r="DY13" s="20" t="str">
        <f t="shared" ca="1" si="20"/>
        <v/>
      </c>
      <c r="DZ13" s="20" t="str">
        <f t="shared" ca="1" si="20"/>
        <v/>
      </c>
      <c r="EA13" s="293"/>
      <c r="EB13" s="20" t="str">
        <f t="shared" ca="1" si="21"/>
        <v/>
      </c>
      <c r="EC13" s="20" t="str">
        <f t="shared" ca="1" si="21"/>
        <v/>
      </c>
      <c r="ED13" s="20" t="str">
        <f t="shared" ca="1" si="21"/>
        <v/>
      </c>
      <c r="EE13" s="20" t="str">
        <f t="shared" ca="1" si="21"/>
        <v/>
      </c>
      <c r="EF13" s="20" t="str">
        <f t="shared" ca="1" si="21"/>
        <v/>
      </c>
      <c r="EG13" s="20" t="str">
        <f t="shared" ca="1" si="21"/>
        <v/>
      </c>
      <c r="EH13" s="20" t="str">
        <f t="shared" ca="1" si="21"/>
        <v/>
      </c>
      <c r="EI13" s="20" t="str">
        <f t="shared" ca="1" si="21"/>
        <v/>
      </c>
      <c r="EJ13" s="20" t="str">
        <f t="shared" ca="1" si="21"/>
        <v/>
      </c>
      <c r="EK13" s="20" t="str">
        <f t="shared" ca="1" si="21"/>
        <v/>
      </c>
      <c r="EL13" s="20" t="str">
        <f t="shared" ca="1" si="22"/>
        <v/>
      </c>
      <c r="EM13" s="20" t="str">
        <f t="shared" ca="1" si="22"/>
        <v/>
      </c>
      <c r="EN13" s="20" t="str">
        <f t="shared" ca="1" si="22"/>
        <v/>
      </c>
      <c r="EO13" s="20" t="str">
        <f t="shared" ca="1" si="22"/>
        <v/>
      </c>
      <c r="EP13" s="20" t="str">
        <f t="shared" ca="1" si="22"/>
        <v/>
      </c>
      <c r="EQ13" s="20" t="str">
        <f t="shared" ca="1" si="22"/>
        <v/>
      </c>
      <c r="ER13" s="20" t="str">
        <f t="shared" ca="1" si="22"/>
        <v/>
      </c>
      <c r="ES13" s="20" t="str">
        <f t="shared" ca="1" si="22"/>
        <v/>
      </c>
      <c r="ET13" s="20" t="str">
        <f t="shared" ca="1" si="22"/>
        <v/>
      </c>
      <c r="EU13" s="293"/>
      <c r="EV13" s="20" t="str">
        <f t="shared" ca="1" si="23"/>
        <v/>
      </c>
      <c r="EW13" s="20" t="str">
        <f t="shared" ca="1" si="23"/>
        <v/>
      </c>
      <c r="EX13" s="20" t="str">
        <f t="shared" ca="1" si="23"/>
        <v/>
      </c>
      <c r="EY13" s="20" t="str">
        <f t="shared" ca="1" si="23"/>
        <v/>
      </c>
      <c r="EZ13" s="20" t="str">
        <f t="shared" ca="1" si="23"/>
        <v/>
      </c>
      <c r="FA13" s="20" t="str">
        <f t="shared" ca="1" si="23"/>
        <v/>
      </c>
      <c r="FB13" s="20" t="str">
        <f t="shared" ca="1" si="23"/>
        <v/>
      </c>
      <c r="FC13" s="20" t="str">
        <f t="shared" ca="1" si="23"/>
        <v/>
      </c>
      <c r="FD13" s="20" t="str">
        <f t="shared" ca="1" si="23"/>
        <v/>
      </c>
      <c r="FE13" s="20" t="str">
        <f t="shared" ca="1" si="23"/>
        <v/>
      </c>
      <c r="FF13" s="20" t="str">
        <f t="shared" ca="1" si="24"/>
        <v/>
      </c>
      <c r="FG13" s="20" t="str">
        <f t="shared" ca="1" si="24"/>
        <v/>
      </c>
      <c r="FH13" s="20" t="str">
        <f t="shared" ca="1" si="24"/>
        <v/>
      </c>
      <c r="FI13" s="20" t="str">
        <f t="shared" ca="1" si="24"/>
        <v/>
      </c>
      <c r="FJ13" s="20" t="str">
        <f t="shared" ca="1" si="24"/>
        <v/>
      </c>
      <c r="FK13" s="20" t="str">
        <f t="shared" ca="1" si="24"/>
        <v/>
      </c>
      <c r="FL13" s="20" t="str">
        <f t="shared" ca="1" si="24"/>
        <v/>
      </c>
      <c r="FM13" s="20" t="str">
        <f t="shared" ca="1" si="24"/>
        <v/>
      </c>
      <c r="FN13" s="20" t="str">
        <f t="shared" ca="1" si="24"/>
        <v/>
      </c>
      <c r="FO13" s="293"/>
      <c r="FP13" s="20" t="str">
        <f t="shared" ca="1" si="25"/>
        <v/>
      </c>
      <c r="FQ13" s="20" t="str">
        <f t="shared" ca="1" si="25"/>
        <v/>
      </c>
      <c r="FR13" s="20" t="str">
        <f t="shared" ca="1" si="25"/>
        <v/>
      </c>
      <c r="FS13" s="20" t="str">
        <f t="shared" ca="1" si="25"/>
        <v/>
      </c>
      <c r="FT13" s="20" t="str">
        <f t="shared" ca="1" si="25"/>
        <v/>
      </c>
      <c r="FU13" s="20" t="str">
        <f t="shared" ca="1" si="25"/>
        <v/>
      </c>
      <c r="FV13" s="20" t="str">
        <f t="shared" ca="1" si="25"/>
        <v/>
      </c>
      <c r="FW13" s="20" t="str">
        <f t="shared" ca="1" si="25"/>
        <v/>
      </c>
      <c r="FX13" s="20" t="str">
        <f t="shared" ca="1" si="25"/>
        <v/>
      </c>
      <c r="FY13" s="20" t="str">
        <f t="shared" ca="1" si="25"/>
        <v/>
      </c>
      <c r="FZ13" s="20" t="str">
        <f t="shared" ca="1" si="26"/>
        <v/>
      </c>
      <c r="GA13" s="20" t="str">
        <f t="shared" ca="1" si="26"/>
        <v/>
      </c>
      <c r="GB13" s="20" t="str">
        <f t="shared" ca="1" si="26"/>
        <v/>
      </c>
      <c r="GC13" s="20" t="str">
        <f t="shared" ca="1" si="26"/>
        <v/>
      </c>
      <c r="GD13" s="20" t="str">
        <f t="shared" ca="1" si="26"/>
        <v/>
      </c>
      <c r="GE13" s="20" t="str">
        <f t="shared" ca="1" si="26"/>
        <v/>
      </c>
      <c r="GF13" s="20" t="str">
        <f t="shared" ca="1" si="26"/>
        <v/>
      </c>
      <c r="GG13" s="20" t="str">
        <f t="shared" ca="1" si="26"/>
        <v/>
      </c>
      <c r="GH13" s="20" t="str">
        <f t="shared" ca="1" si="26"/>
        <v/>
      </c>
      <c r="GI13" s="293"/>
      <c r="HE13" s="293"/>
      <c r="HZ13" s="293"/>
      <c r="IA13" s="19" t="str">
        <f t="shared" ca="1" si="27"/>
        <v>No Hdcp</v>
      </c>
      <c r="IB13" s="19" t="str">
        <f ca="1">IF(D13&lt;&gt;"","1@"&amp;$H13,"")</f>
        <v>1@</v>
      </c>
      <c r="IC13" s="19" t="str">
        <f ca="1">IF(D13&lt;&gt;"","2@"&amp;$I13&amp;","&amp;$H13,"")</f>
        <v>2@,</v>
      </c>
      <c r="ID13" s="19" t="str">
        <f ca="1">IF(D13&lt;&gt;"","3@"&amp;$J13&amp;","&amp;$I13&amp;","&amp;$H13,"")</f>
        <v>3@,,</v>
      </c>
      <c r="IE13" s="19" t="str">
        <f ca="1">IF(D13&lt;&gt;"","4@"&amp;$K13&amp;","&amp;$J13&amp;","&amp;$I13&amp;","&amp;$H13,"")</f>
        <v>4@,,,</v>
      </c>
      <c r="IF13" s="19"/>
      <c r="IG13" s="19"/>
      <c r="IH13" s="19"/>
      <c r="II13" s="19"/>
      <c r="IJ13" s="19"/>
      <c r="IK13" s="263" t="e">
        <f ca="1">IF(D13&lt;&gt;"",MIN(ROUND((AVERAGE($H13:$Q13)-$C$4)*0.9,2),20),"")</f>
        <v>#DIV/0!</v>
      </c>
      <c r="IL13" s="293"/>
      <c r="IN13" s="18" t="str" cm="1">
        <f t="array" aca="1" ref="IN13" ca="1">IFERROR(_xlfn.SINGLE(INDEX($AP13:$BH13, , SUMPRODUCT(LARGE((($AP13:$BH13&lt;&gt;0)*($BT13:$CL13&lt;&gt;1)*(weeks)), IN$6)))), "")</f>
        <v/>
      </c>
    </row>
    <row r="14" spans="1:271" ht="21" customHeight="1" x14ac:dyDescent="0.2">
      <c r="A14" s="38" t="s">
        <v>19</v>
      </c>
      <c r="B14" s="39" t="s">
        <v>75</v>
      </c>
      <c r="C14" s="40">
        <f ca="1">IFERROR(VLOOKUP(D14, leagueroster, 2, FALSE), 0)</f>
        <v>0.20200000000000001</v>
      </c>
      <c r="D14" s="38" t="str">
        <f ca="1">INDEX(INDIRECT($A14), 3, 1)</f>
        <v>Metheads</v>
      </c>
      <c r="E14" s="39"/>
      <c r="F14" s="39"/>
      <c r="G14" s="41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41"/>
      <c r="V14" s="39"/>
      <c r="W14" s="39"/>
      <c r="X14" s="39"/>
      <c r="Y14" s="39"/>
      <c r="Z14" s="39"/>
      <c r="AA14" s="39"/>
      <c r="AB14" s="39"/>
      <c r="AE14" s="34"/>
      <c r="AF14" s="341"/>
      <c r="AG14" s="341"/>
      <c r="AH14" s="341"/>
      <c r="AI14" s="341"/>
      <c r="AJ14" s="341"/>
      <c r="AK14" s="341"/>
      <c r="AL14" s="341"/>
      <c r="AM14" s="341"/>
      <c r="AN14" s="341"/>
      <c r="AO14" s="341"/>
      <c r="BI14" s="34"/>
      <c r="BJ14" s="340"/>
      <c r="BK14" s="340"/>
      <c r="BL14" s="340"/>
      <c r="BM14" s="340"/>
      <c r="BN14" s="340"/>
      <c r="BO14" s="340"/>
      <c r="BP14" s="340"/>
      <c r="BQ14" s="340"/>
      <c r="BR14" s="340"/>
      <c r="BS14" s="340"/>
      <c r="CM14" s="34"/>
      <c r="DG14" s="34"/>
      <c r="EA14" s="34"/>
      <c r="EU14" s="34"/>
      <c r="FO14" s="34"/>
      <c r="GI14" s="34"/>
      <c r="GJ14" s="20">
        <f t="shared" ref="GJ14:HB14" ca="1" si="28">IF(INDEX(INDIRECT($A14), 4, GJ$6+2)=0, "", INDEX(INDIRECT($A14), 4, GJ$6+2))</f>
        <v>164</v>
      </c>
      <c r="GK14" s="20">
        <f t="shared" ca="1" si="28"/>
        <v>159</v>
      </c>
      <c r="GL14" s="20">
        <f t="shared" ca="1" si="28"/>
        <v>160</v>
      </c>
      <c r="GM14" s="20">
        <f t="shared" ca="1" si="28"/>
        <v>160</v>
      </c>
      <c r="GN14" s="20">
        <f t="shared" ca="1" si="28"/>
        <v>163</v>
      </c>
      <c r="GO14" s="20">
        <f t="shared" ca="1" si="28"/>
        <v>155</v>
      </c>
      <c r="GP14" s="20">
        <f t="shared" ca="1" si="28"/>
        <v>159</v>
      </c>
      <c r="GQ14" s="20" t="str">
        <f t="shared" ca="1" si="28"/>
        <v/>
      </c>
      <c r="GR14" s="20">
        <f t="shared" ca="1" si="28"/>
        <v>151</v>
      </c>
      <c r="GS14" s="20">
        <f t="shared" ca="1" si="28"/>
        <v>154</v>
      </c>
      <c r="GT14" s="20">
        <f t="shared" ca="1" si="28"/>
        <v>153</v>
      </c>
      <c r="GU14" s="20" t="str">
        <f t="shared" ca="1" si="28"/>
        <v/>
      </c>
      <c r="GV14" s="20">
        <f t="shared" ca="1" si="28"/>
        <v>155</v>
      </c>
      <c r="GW14" s="20">
        <f t="shared" ca="1" si="28"/>
        <v>150</v>
      </c>
      <c r="GX14" s="20" t="str">
        <f t="shared" ca="1" si="28"/>
        <v/>
      </c>
      <c r="GY14" s="20">
        <f t="shared" ca="1" si="28"/>
        <v>139</v>
      </c>
      <c r="GZ14" s="20">
        <f t="shared" ca="1" si="28"/>
        <v>157</v>
      </c>
      <c r="HA14" s="20">
        <f t="shared" ca="1" si="28"/>
        <v>150</v>
      </c>
      <c r="HB14" s="20" t="str">
        <f t="shared" ca="1" si="28"/>
        <v/>
      </c>
      <c r="HC14" s="20" cm="1">
        <f t="array" aca="1" ref="HC14" ca="1">MIN(_xlfn._xlws.FILTER(GJ14:HB14,GJ14:HB14&gt;129))</f>
        <v>139</v>
      </c>
      <c r="HD14" s="42">
        <f ca="1">IF(D14&lt;&gt;"", IFERROR(AVERAGE(GJ14:HA14), "-"), "")</f>
        <v>155.26666666666668</v>
      </c>
      <c r="HE14" s="34"/>
      <c r="HF14" s="20">
        <f t="shared" ref="HF14:HW14" ca="1" si="29">IF(INDEX(INDIRECT($A14), 3, HF$6+2)=0, "", INDEX(INDIRECT($A14), 3, HF$6+2))</f>
        <v>48</v>
      </c>
      <c r="HG14" s="20">
        <f t="shared" ca="1" si="29"/>
        <v>54</v>
      </c>
      <c r="HH14" s="20">
        <f t="shared" ca="1" si="29"/>
        <v>50</v>
      </c>
      <c r="HI14" s="20">
        <f t="shared" ca="1" si="29"/>
        <v>50</v>
      </c>
      <c r="HJ14" s="20">
        <f t="shared" ca="1" si="29"/>
        <v>38</v>
      </c>
      <c r="HK14" s="20">
        <f t="shared" ca="1" si="29"/>
        <v>38</v>
      </c>
      <c r="HL14" s="20">
        <f t="shared" ca="1" si="29"/>
        <v>37</v>
      </c>
      <c r="HM14" s="20" t="str">
        <f t="shared" ca="1" si="29"/>
        <v/>
      </c>
      <c r="HN14" s="20">
        <f t="shared" ca="1" si="29"/>
        <v>53</v>
      </c>
      <c r="HO14" s="20">
        <f t="shared" ca="1" si="29"/>
        <v>32</v>
      </c>
      <c r="HP14" s="20">
        <f t="shared" ca="1" si="29"/>
        <v>49</v>
      </c>
      <c r="HQ14" s="20" t="str">
        <f t="shared" ca="1" si="29"/>
        <v/>
      </c>
      <c r="HR14" s="20">
        <f t="shared" ca="1" si="29"/>
        <v>40</v>
      </c>
      <c r="HS14" s="20">
        <f t="shared" ca="1" si="29"/>
        <v>51</v>
      </c>
      <c r="HT14" s="20">
        <f t="shared" ca="1" si="29"/>
        <v>33</v>
      </c>
      <c r="HU14" s="20">
        <f t="shared" ca="1" si="29"/>
        <v>53</v>
      </c>
      <c r="HV14" s="20">
        <f t="shared" ca="1" si="29"/>
        <v>35</v>
      </c>
      <c r="HW14" s="20">
        <f t="shared" ca="1" si="29"/>
        <v>4</v>
      </c>
      <c r="HX14" s="20"/>
      <c r="HY14" s="20">
        <f ca="1">MAX(HF14:HX14)</f>
        <v>54</v>
      </c>
      <c r="HZ14" s="34"/>
      <c r="IA14" s="118"/>
      <c r="IB14" s="118"/>
      <c r="IC14" s="118"/>
      <c r="ID14" s="118"/>
      <c r="IE14" s="118"/>
      <c r="IF14" s="118"/>
      <c r="IG14" s="118"/>
      <c r="IH14" s="118"/>
      <c r="II14" s="118"/>
      <c r="IJ14" s="118"/>
      <c r="IK14" s="118"/>
      <c r="IL14" s="34"/>
    </row>
    <row r="15" spans="1:271" x14ac:dyDescent="0.2">
      <c r="A15" s="18" t="s">
        <v>19</v>
      </c>
      <c r="B15" s="19">
        <v>5</v>
      </c>
      <c r="C15" s="22">
        <f t="shared" ref="C15:C20" ca="1" si="30">IFERROR(VLOOKUP($D15, leagueroster, 2, FALSE), 0)</f>
        <v>3.3E-3</v>
      </c>
      <c r="D15" s="18" t="str">
        <f t="shared" ref="D15:D20" ca="1" si="31">INDEX(INDIRECT($A15), $B15, 1)</f>
        <v>Culver, Chuck</v>
      </c>
      <c r="E15" s="19">
        <f t="shared" ref="E15:E20" ca="1" si="32">IF($D15&lt;&gt;"", COUNTIF($AP15:$BH15,"&lt;&gt;0"), "")</f>
        <v>14</v>
      </c>
      <c r="F15" s="19">
        <f ca="1">IF(D15&lt;&gt;"",COUNT($H15:$Q15),"")</f>
        <v>10</v>
      </c>
      <c r="G15" s="21">
        <f ca="1">IF($D15&lt;&gt;"",INDEX($IA15:$IK15,1,MATCH($F15,$IA$6:$IK$6,0)), "")</f>
        <v>6.14</v>
      </c>
      <c r="H15" s="337" cm="1">
        <f t="array" aca="1" ref="H15" ca="1">IFERROR(_xlfn.SINGLE(INDEX($AF15:$BH15, , SUMPRODUCT(LARGE((($AF15:$BH15&lt;&gt;0)*($BJ15:$CL15&lt;&gt;1)*($AF$5:$BH$5)), H$6)))), "")</f>
        <v>43</v>
      </c>
      <c r="I15" s="338" cm="1">
        <f t="array" aca="1" ref="I15" ca="1">IFERROR(_xlfn.SINGLE(INDEX($AF15:$BH15, , SUMPRODUCT(LARGE((($AF15:$BH15&lt;&gt;0)*($BJ15:$CL15&lt;&gt;1)*($AF$5:$BH$5)), I$6)))), "")</f>
        <v>38</v>
      </c>
      <c r="J15" s="338" cm="1">
        <f t="array" aca="1" ref="J15" ca="1">IFERROR(_xlfn.SINGLE(INDEX($AF15:$BH15, , SUMPRODUCT(LARGE((($AF15:$BH15&lt;&gt;0)*($BJ15:$CL15&lt;&gt;1)*($AF$5:$BH$5)), J$6)))), "")</f>
        <v>44</v>
      </c>
      <c r="K15" s="338" cm="1">
        <f t="array" aca="1" ref="K15" ca="1">IFERROR(_xlfn.SINGLE(INDEX($AF15:$BH15, , SUMPRODUCT(LARGE((($AF15:$BH15&lt;&gt;0)*($BJ15:$CL15&lt;&gt;1)*($AF$5:$BH$5)), K$6)))), "")</f>
        <v>44</v>
      </c>
      <c r="L15" s="338" cm="1">
        <f t="array" aca="1" ref="L15" ca="1">IFERROR(_xlfn.SINGLE(INDEX($AF15:$BH15, , SUMPRODUCT(LARGE((($AF15:$BH15&lt;&gt;0)*($BJ15:$CL15&lt;&gt;1)*($AF$5:$BH$5)), L$6)))), "")</f>
        <v>49</v>
      </c>
      <c r="M15" s="338" cm="1">
        <f t="array" aca="1" ref="M15" ca="1">IFERROR(_xlfn.SINGLE(INDEX($AF15:$BH15, , SUMPRODUCT(LARGE((($AF15:$BH15&lt;&gt;0)*($BJ15:$CL15&lt;&gt;1)*($AF$5:$BH$5)), M$6)))), "")</f>
        <v>49</v>
      </c>
      <c r="N15" s="338" cm="1">
        <f t="array" aca="1" ref="N15" ca="1">IFERROR(_xlfn.SINGLE(INDEX($AF15:$BH15, , SUMPRODUCT(LARGE((($AF15:$BH15&lt;&gt;0)*($BJ15:$CL15&lt;&gt;1)*($AF$5:$BH$5)), N$6)))), "")</f>
        <v>46</v>
      </c>
      <c r="O15" s="338" cm="1">
        <f t="array" aca="1" ref="O15" ca="1">IFERROR(_xlfn.SINGLE(INDEX($AF15:$BH15, , SUMPRODUCT(LARGE((($AF15:$BH15&lt;&gt;0)*($BJ15:$CL15&lt;&gt;1)*($AF$5:$BH$5)), O$6)))), "")</f>
        <v>44</v>
      </c>
      <c r="P15" s="338" cm="1">
        <f t="array" aca="1" ref="P15" ca="1">IFERROR(_xlfn.SINGLE(INDEX($AF15:$BH15, , SUMPRODUCT(LARGE((($AF15:$BH15&lt;&gt;0)*($BJ15:$CL15&lt;&gt;1)*($AF$5:$BH$5)), P$6)))), "")</f>
        <v>45</v>
      </c>
      <c r="Q15" s="339" cm="1">
        <f t="array" aca="1" ref="Q15" ca="1">IFERROR(_xlfn.SINGLE(INDEX($AF15:$BH15, , SUMPRODUCT(LARGE((($AF15:$BH15&lt;&gt;0)*($BJ15:$CL15&lt;&gt;1)*($AF$5:$BH$5)), Q$6)))), "")</f>
        <v>43</v>
      </c>
      <c r="R15" s="21">
        <v>43.785714285714285</v>
      </c>
      <c r="S15" s="47">
        <f t="shared" ref="S15:S20" ca="1" si="33">IF(COUNT($H15:$Q15)&lt;5,"-",AVERAGE(SMALL($H15:$Q15,1),SMALL($H15:$Q15,2),SMALL($H15:$Q15,3),SMALL($H15:$Q15,4),SMALL($H15:$Q15,5)))</f>
        <v>42.4</v>
      </c>
      <c r="T15" s="21">
        <f ca="1">IF($D15&lt;&gt;"", IFERROR(IF($E15&gt;=qualifier, SUMIF($BT15:$CL15,0,$AP15:$BH15)/$E15, TEXT(SUMIF($BT15:$CL15,0,$AP15:$BH15)/$E15, "0.00")&amp;"*"), "-"), "")</f>
        <v>45.071428571428569</v>
      </c>
      <c r="U15" s="21">
        <f ca="1">IF($D15&lt;&gt;"", IFERROR(IF($E15&gt;=qualifier, SUMIF($BT15:$CL15,0,$CN15:$DF15)/$E15, TEXT(SUMIF($BT15:$CL15,0,$CN15:$DF15)/$E15, "0.00")&amp;"*"), "-"), "")</f>
        <v>38.714285714285715</v>
      </c>
      <c r="V15" s="45">
        <f ca="1">IF(AND($D15&lt;&gt;"", $E15&lt;&gt;0), _xlfn.MINIFS($AP15:$BH15,$BT15:$CL15,0,$AP15:$BH15,"&lt;&gt;0"), "")</f>
        <v>38</v>
      </c>
      <c r="W15" s="62">
        <f ca="1">IF(AND($D15&lt;&gt;"", $E15&lt;&gt;0), _xlfn.MINIFS($CN15:$DF15,$BT15:$CL15,0), "")</f>
        <v>30</v>
      </c>
      <c r="X15" s="45">
        <f ca="1">IF($D15&lt;&gt;"", SUM($DH15:$DZ15),  "")</f>
        <v>129</v>
      </c>
      <c r="Y15" s="21">
        <f ca="1">IF($D15&lt;&gt;"", IFERROR(IF($E15&gt;=qualifier, AVERAGE($DH15:$DZ15), TEXT(AVERAGE($DH15:$DZ15), "0.00")&amp;"*"), "-"), "")</f>
        <v>9.9230769230769234</v>
      </c>
      <c r="Z15" s="19">
        <f ca="1">IF($D15&lt;&gt;"", SUM($EB15:$ET15),  "")</f>
        <v>1</v>
      </c>
      <c r="AA15" s="19">
        <f ca="1">IF($D15&lt;&gt;"", SUM($EV15:$FN15),  "")</f>
        <v>1</v>
      </c>
      <c r="AB15" s="45" t="str">
        <f t="shared" ref="AB15:AB20" ca="1" si="34">IF($D15&lt;&gt;"", COUNTIF($FP15:$GH15, "w")&amp;"-"&amp;COUNTIF($FP15:$GH15, "l")&amp;"-"&amp;COUNTIF($FP15:$GH15, "t"),  "")</f>
        <v>6-8-1</v>
      </c>
      <c r="AC15" s="218">
        <f t="shared" ref="AC15:AC20" ca="1" si="35">IF($D15&lt;&gt;"", INDEX(INDIRECT($A15), $B15+1, 1), "")</f>
        <v>2342627349</v>
      </c>
      <c r="AD15" s="57" t="str">
        <f t="shared" ref="AD15:AD20" ca="1" si="36">IF($D15&lt;&gt;"", INDEX(INDIRECT($A15), $B15+2, 1), "")</f>
        <v>chuck.culver@timken.com</v>
      </c>
      <c r="AE15" s="34"/>
      <c r="AF15" s="341">
        <f ca="1">INDEX(PriorScores[],MATCH($D15,PriorScores[Team / Player],0),2)</f>
        <v>46</v>
      </c>
      <c r="AG15" s="341">
        <f ca="1">INDEX(PriorScores[],MATCH($D15,PriorScores[Team / Player],0),3)</f>
        <v>46</v>
      </c>
      <c r="AH15" s="341">
        <f ca="1">INDEX(PriorScores[],MATCH($D15,PriorScores[Team / Player],0),4)</f>
        <v>45</v>
      </c>
      <c r="AI15" s="341">
        <f ca="1">INDEX(PriorScores[],MATCH($D15,PriorScores[Team / Player],0),5)</f>
        <v>38</v>
      </c>
      <c r="AJ15" s="341">
        <f ca="1">INDEX(PriorScores[],MATCH($D15,PriorScores[Team / Player],0),6)</f>
        <v>41</v>
      </c>
      <c r="AK15" s="341">
        <f ca="1">INDEX(PriorScores[],MATCH($D15,PriorScores[Team / Player],0),7)</f>
        <v>41</v>
      </c>
      <c r="AL15" s="341">
        <f ca="1">INDEX(PriorScores[],MATCH($D15,PriorScores[Team / Player],0),8)</f>
        <v>38</v>
      </c>
      <c r="AM15" s="341">
        <f ca="1">INDEX(PriorScores[],MATCH($D15,PriorScores[Team / Player],0),9)</f>
        <v>43</v>
      </c>
      <c r="AN15" s="341">
        <f ca="1">INDEX(PriorScores[],MATCH($D15,PriorScores[Team / Player],0),10)</f>
        <v>47</v>
      </c>
      <c r="AO15" s="341">
        <f ca="1">INDEX(PriorScores[],MATCH($D15,PriorScores[Team / Player],0),11)</f>
        <v>48</v>
      </c>
      <c r="AP15" s="20">
        <f t="shared" ref="AP15:AY20" ca="1" si="37">IF(OR(INDEX(INDIRECT($A15), $B15, AP$6+2)="",INDEX(INDIRECT($A15),$B15+5,AP$6+2)=1), 0, INDEX(INDIRECT($A15), $B15, AP$6+2))</f>
        <v>47</v>
      </c>
      <c r="AQ15" s="20">
        <f t="shared" ca="1" si="37"/>
        <v>46</v>
      </c>
      <c r="AR15" s="20">
        <f t="shared" ca="1" si="37"/>
        <v>46</v>
      </c>
      <c r="AS15" s="20">
        <f t="shared" ca="1" si="37"/>
        <v>47</v>
      </c>
      <c r="AT15" s="20">
        <f t="shared" ca="1" si="37"/>
        <v>43</v>
      </c>
      <c r="AU15" s="20">
        <f t="shared" ca="1" si="37"/>
        <v>45</v>
      </c>
      <c r="AV15" s="20">
        <f t="shared" ca="1" si="37"/>
        <v>44</v>
      </c>
      <c r="AW15" s="20">
        <f t="shared" ca="1" si="37"/>
        <v>0</v>
      </c>
      <c r="AX15" s="20">
        <f t="shared" ca="1" si="37"/>
        <v>46</v>
      </c>
      <c r="AY15" s="20">
        <f t="shared" ca="1" si="37"/>
        <v>49</v>
      </c>
      <c r="AZ15" s="20">
        <f t="shared" ref="AZ15:BH20" ca="1" si="38">IF(OR(INDEX(INDIRECT($A15), $B15, AZ$6+2)="",INDEX(INDIRECT($A15),$B15+5,AZ$6+2)=1), 0, INDEX(INDIRECT($A15), $B15, AZ$6+2))</f>
        <v>0</v>
      </c>
      <c r="BA15" s="20">
        <f t="shared" ca="1" si="38"/>
        <v>0</v>
      </c>
      <c r="BB15" s="20">
        <f t="shared" ca="1" si="38"/>
        <v>49</v>
      </c>
      <c r="BC15" s="20">
        <f t="shared" ca="1" si="38"/>
        <v>44</v>
      </c>
      <c r="BD15" s="20">
        <f t="shared" ca="1" si="38"/>
        <v>0</v>
      </c>
      <c r="BE15" s="20">
        <f t="shared" ca="1" si="38"/>
        <v>44</v>
      </c>
      <c r="BF15" s="20">
        <f t="shared" ca="1" si="38"/>
        <v>38</v>
      </c>
      <c r="BG15" s="20">
        <f t="shared" ca="1" si="38"/>
        <v>0</v>
      </c>
      <c r="BH15" s="20">
        <f t="shared" ca="1" si="38"/>
        <v>43</v>
      </c>
      <c r="BI15" s="34"/>
      <c r="BJ15" s="341">
        <v>0</v>
      </c>
      <c r="BK15" s="341">
        <v>0</v>
      </c>
      <c r="BL15" s="341">
        <v>0</v>
      </c>
      <c r="BM15" s="341">
        <v>0</v>
      </c>
      <c r="BN15" s="341">
        <v>0</v>
      </c>
      <c r="BO15" s="341">
        <v>0</v>
      </c>
      <c r="BP15" s="341">
        <v>0</v>
      </c>
      <c r="BQ15" s="341">
        <v>0</v>
      </c>
      <c r="BR15" s="341">
        <v>0</v>
      </c>
      <c r="BS15" s="341">
        <v>0</v>
      </c>
      <c r="BT15" s="20">
        <f t="shared" ref="BT15:CC20" ca="1" si="39">IF(INDEX(INDIRECT($A15), $B15+5, BT$6+2)="", 0, INDEX(INDIRECT($A15), $B15+5, BT$6+2))</f>
        <v>0</v>
      </c>
      <c r="BU15" s="20">
        <f t="shared" ca="1" si="39"/>
        <v>0</v>
      </c>
      <c r="BV15" s="20">
        <f t="shared" ca="1" si="39"/>
        <v>0</v>
      </c>
      <c r="BW15" s="20">
        <f t="shared" ca="1" si="39"/>
        <v>0</v>
      </c>
      <c r="BX15" s="20">
        <f t="shared" ca="1" si="39"/>
        <v>0</v>
      </c>
      <c r="BY15" s="20">
        <f t="shared" ca="1" si="39"/>
        <v>0</v>
      </c>
      <c r="BZ15" s="20">
        <f t="shared" ca="1" si="39"/>
        <v>0</v>
      </c>
      <c r="CA15" s="20">
        <f t="shared" ca="1" si="39"/>
        <v>0</v>
      </c>
      <c r="CB15" s="20">
        <f t="shared" ca="1" si="39"/>
        <v>0</v>
      </c>
      <c r="CC15" s="20">
        <f t="shared" ca="1" si="39"/>
        <v>0</v>
      </c>
      <c r="CD15" s="20">
        <f t="shared" ref="CD15:CL20" ca="1" si="40">IF(INDEX(INDIRECT($A15), $B15+5, CD$6+2)="", 0, INDEX(INDIRECT($A15), $B15+5, CD$6+2))</f>
        <v>0</v>
      </c>
      <c r="CE15" s="20">
        <f t="shared" ca="1" si="40"/>
        <v>0</v>
      </c>
      <c r="CF15" s="20">
        <f t="shared" ca="1" si="40"/>
        <v>0</v>
      </c>
      <c r="CG15" s="20">
        <f t="shared" ca="1" si="40"/>
        <v>0</v>
      </c>
      <c r="CH15" s="20">
        <f t="shared" ca="1" si="40"/>
        <v>1</v>
      </c>
      <c r="CI15" s="20">
        <f t="shared" ca="1" si="40"/>
        <v>0</v>
      </c>
      <c r="CJ15" s="20">
        <f t="shared" ca="1" si="40"/>
        <v>0</v>
      </c>
      <c r="CK15" s="20">
        <f t="shared" ca="1" si="40"/>
        <v>1</v>
      </c>
      <c r="CL15" s="20">
        <f t="shared" ca="1" si="40"/>
        <v>0</v>
      </c>
      <c r="CM15" s="34"/>
      <c r="CN15" s="20">
        <f t="shared" ref="CN15:CW20" ca="1" si="41">IF(OR(INDEX(INDIRECT($A15), $B15+1, CN$6+2)=0,INDEX(INDIRECT($A15),$B15+5,CN$6+2)=1), "", INDEX(INDIRECT($A15), $B15+1, CN$6+2))</f>
        <v>43</v>
      </c>
      <c r="CO15" s="20">
        <f t="shared" ca="1" si="41"/>
        <v>42</v>
      </c>
      <c r="CP15" s="20">
        <f t="shared" ca="1" si="41"/>
        <v>42</v>
      </c>
      <c r="CQ15" s="20">
        <f t="shared" ca="1" si="41"/>
        <v>43</v>
      </c>
      <c r="CR15" s="20">
        <f t="shared" ca="1" si="41"/>
        <v>37</v>
      </c>
      <c r="CS15" s="20">
        <f t="shared" ca="1" si="41"/>
        <v>39</v>
      </c>
      <c r="CT15" s="20">
        <f t="shared" ca="1" si="41"/>
        <v>37</v>
      </c>
      <c r="CU15" s="20" t="str">
        <f t="shared" ca="1" si="41"/>
        <v/>
      </c>
      <c r="CV15" s="20">
        <f t="shared" ca="1" si="41"/>
        <v>38</v>
      </c>
      <c r="CW15" s="20">
        <f t="shared" ca="1" si="41"/>
        <v>41</v>
      </c>
      <c r="CX15" s="20" t="str">
        <f t="shared" ref="CX15:DF20" ca="1" si="42">IF(OR(INDEX(INDIRECT($A15), $B15+1, CX$6+2)=0,INDEX(INDIRECT($A15),$B15+5,CX$6+2)=1), "", INDEX(INDIRECT($A15), $B15+1, CX$6+2))</f>
        <v/>
      </c>
      <c r="CY15" s="20" t="str">
        <f t="shared" ca="1" si="42"/>
        <v/>
      </c>
      <c r="CZ15" s="20">
        <f t="shared" ca="1" si="42"/>
        <v>41</v>
      </c>
      <c r="DA15" s="20">
        <f t="shared" ca="1" si="42"/>
        <v>36</v>
      </c>
      <c r="DB15" s="20" t="str">
        <f t="shared" ca="1" si="42"/>
        <v/>
      </c>
      <c r="DC15" s="20">
        <f t="shared" ca="1" si="42"/>
        <v>36</v>
      </c>
      <c r="DD15" s="20">
        <f t="shared" ca="1" si="42"/>
        <v>30</v>
      </c>
      <c r="DE15" s="20" t="str">
        <f t="shared" ca="1" si="42"/>
        <v/>
      </c>
      <c r="DF15" s="20">
        <f t="shared" ca="1" si="42"/>
        <v>37</v>
      </c>
      <c r="DG15" s="34"/>
      <c r="DH15" s="20" t="str">
        <f t="shared" ref="DH15:DQ20" ca="1" si="43">IF(INDEX(INDIRECT($A15), $B15+2, DH$6+2)=0, "", INDEX(INDIRECT($A15), $B15+2, DH$6+2))</f>
        <v/>
      </c>
      <c r="DI15" s="20">
        <f t="shared" ca="1" si="43"/>
        <v>14</v>
      </c>
      <c r="DJ15" s="20">
        <f t="shared" ca="1" si="43"/>
        <v>8</v>
      </c>
      <c r="DK15" s="20">
        <f t="shared" ca="1" si="43"/>
        <v>11</v>
      </c>
      <c r="DL15" s="20">
        <f t="shared" ca="1" si="43"/>
        <v>10</v>
      </c>
      <c r="DM15" s="20">
        <f t="shared" ca="1" si="43"/>
        <v>9</v>
      </c>
      <c r="DN15" s="20">
        <f t="shared" ca="1" si="43"/>
        <v>8</v>
      </c>
      <c r="DO15" s="20" t="str">
        <f t="shared" ca="1" si="43"/>
        <v/>
      </c>
      <c r="DP15" s="20">
        <f t="shared" ca="1" si="43"/>
        <v>13</v>
      </c>
      <c r="DQ15" s="20">
        <f t="shared" ca="1" si="43"/>
        <v>7</v>
      </c>
      <c r="DR15" s="20" t="str">
        <f t="shared" ref="DR15:DZ20" ca="1" si="44">IF(INDEX(INDIRECT($A15), $B15+2, DR$6+2)=0, "", INDEX(INDIRECT($A15), $B15+2, DR$6+2))</f>
        <v/>
      </c>
      <c r="DS15" s="20" t="str">
        <f t="shared" ca="1" si="44"/>
        <v/>
      </c>
      <c r="DT15" s="20">
        <f t="shared" ca="1" si="44"/>
        <v>7</v>
      </c>
      <c r="DU15" s="20">
        <f t="shared" ca="1" si="44"/>
        <v>11</v>
      </c>
      <c r="DV15" s="20">
        <f t="shared" ca="1" si="44"/>
        <v>8</v>
      </c>
      <c r="DW15" s="20">
        <f t="shared" ca="1" si="44"/>
        <v>9</v>
      </c>
      <c r="DX15" s="20">
        <f t="shared" ca="1" si="44"/>
        <v>14</v>
      </c>
      <c r="DY15" s="20" t="str">
        <f t="shared" ca="1" si="44"/>
        <v/>
      </c>
      <c r="DZ15" s="20" t="str">
        <f t="shared" ca="1" si="44"/>
        <v/>
      </c>
      <c r="EA15" s="34"/>
      <c r="EB15" s="20" t="str">
        <f t="shared" ref="EB15:EK20" ca="1" si="45">IF(INDEX(INDIRECT($A15), $B15+3, EB$6+2)=0, "", INDEX(INDIRECT($A15), $B15+3, EB$6+2))</f>
        <v/>
      </c>
      <c r="EC15" s="20" t="str">
        <f t="shared" ca="1" si="45"/>
        <v/>
      </c>
      <c r="ED15" s="20" t="str">
        <f t="shared" ca="1" si="45"/>
        <v/>
      </c>
      <c r="EE15" s="20" t="str">
        <f t="shared" ca="1" si="45"/>
        <v/>
      </c>
      <c r="EF15" s="20" t="str">
        <f t="shared" ca="1" si="45"/>
        <v/>
      </c>
      <c r="EG15" s="20" t="str">
        <f t="shared" ca="1" si="45"/>
        <v/>
      </c>
      <c r="EH15" s="20">
        <f t="shared" ca="1" si="45"/>
        <v>1</v>
      </c>
      <c r="EI15" s="20" t="str">
        <f t="shared" ca="1" si="45"/>
        <v/>
      </c>
      <c r="EJ15" s="20" t="str">
        <f t="shared" ca="1" si="45"/>
        <v/>
      </c>
      <c r="EK15" s="20" t="str">
        <f t="shared" ca="1" si="45"/>
        <v/>
      </c>
      <c r="EL15" s="20" t="str">
        <f t="shared" ref="EL15:ET20" ca="1" si="46">IF(INDEX(INDIRECT($A15), $B15+3, EL$6+2)=0, "", INDEX(INDIRECT($A15), $B15+3, EL$6+2))</f>
        <v/>
      </c>
      <c r="EM15" s="20" t="str">
        <f t="shared" ca="1" si="46"/>
        <v/>
      </c>
      <c r="EN15" s="20" t="str">
        <f t="shared" ca="1" si="46"/>
        <v/>
      </c>
      <c r="EO15" s="20" t="str">
        <f t="shared" ca="1" si="46"/>
        <v/>
      </c>
      <c r="EP15" s="20" t="str">
        <f t="shared" ca="1" si="46"/>
        <v/>
      </c>
      <c r="EQ15" s="20" t="str">
        <f t="shared" ca="1" si="46"/>
        <v/>
      </c>
      <c r="ER15" s="20" t="str">
        <f t="shared" ca="1" si="46"/>
        <v/>
      </c>
      <c r="ES15" s="20" t="str">
        <f t="shared" ca="1" si="46"/>
        <v/>
      </c>
      <c r="ET15" s="20" t="str">
        <f t="shared" ca="1" si="46"/>
        <v/>
      </c>
      <c r="EU15" s="34"/>
      <c r="EV15" s="20" t="str">
        <f t="shared" ref="EV15:FE20" ca="1" si="47">IF(INDEX(INDIRECT($A15), $B15+4, EV$6+2)=0, "", INDEX(INDIRECT($A15), $B15+4, EV$6+2))</f>
        <v/>
      </c>
      <c r="EW15" s="20" t="str">
        <f t="shared" ca="1" si="47"/>
        <v/>
      </c>
      <c r="EX15" s="20" t="str">
        <f t="shared" ca="1" si="47"/>
        <v/>
      </c>
      <c r="EY15" s="20" t="str">
        <f t="shared" ca="1" si="47"/>
        <v/>
      </c>
      <c r="EZ15" s="20" t="str">
        <f t="shared" ca="1" si="47"/>
        <v/>
      </c>
      <c r="FA15" s="20" t="str">
        <f t="shared" ca="1" si="47"/>
        <v/>
      </c>
      <c r="FB15" s="20" t="str">
        <f t="shared" ca="1" si="47"/>
        <v/>
      </c>
      <c r="FC15" s="20" t="str">
        <f t="shared" ca="1" si="47"/>
        <v/>
      </c>
      <c r="FD15" s="20" t="str">
        <f t="shared" ca="1" si="47"/>
        <v/>
      </c>
      <c r="FE15" s="20" t="str">
        <f t="shared" ca="1" si="47"/>
        <v/>
      </c>
      <c r="FF15" s="20" t="str">
        <f t="shared" ref="FF15:FN20" ca="1" si="48">IF(INDEX(INDIRECT($A15), $B15+4, FF$6+2)=0, "", INDEX(INDIRECT($A15), $B15+4, FF$6+2))</f>
        <v/>
      </c>
      <c r="FG15" s="20" t="str">
        <f t="shared" ca="1" si="48"/>
        <v/>
      </c>
      <c r="FH15" s="20" t="str">
        <f t="shared" ca="1" si="48"/>
        <v/>
      </c>
      <c r="FI15" s="20" t="str">
        <f t="shared" ca="1" si="48"/>
        <v/>
      </c>
      <c r="FJ15" s="20" t="str">
        <f t="shared" ca="1" si="48"/>
        <v/>
      </c>
      <c r="FK15" s="20" t="str">
        <f t="shared" ca="1" si="48"/>
        <v/>
      </c>
      <c r="FL15" s="20">
        <f t="shared" ca="1" si="48"/>
        <v>1</v>
      </c>
      <c r="FM15" s="20" t="str">
        <f t="shared" ca="1" si="48"/>
        <v/>
      </c>
      <c r="FN15" s="20" t="str">
        <f t="shared" ca="1" si="48"/>
        <v/>
      </c>
      <c r="FO15" s="34"/>
      <c r="FP15" s="20" t="str">
        <f t="shared" ref="FP15:FY20" ca="1" si="49">IF(INDEX(INDIRECT($A15), $B15+6, FP$6+2)=0, "", INDEX(INDIRECT($A15), $B15+6, FP$6+2))</f>
        <v>l</v>
      </c>
      <c r="FQ15" s="20" t="str">
        <f t="shared" ca="1" si="49"/>
        <v>w</v>
      </c>
      <c r="FR15" s="20" t="str">
        <f t="shared" ca="1" si="49"/>
        <v>l</v>
      </c>
      <c r="FS15" s="20" t="str">
        <f t="shared" ca="1" si="49"/>
        <v>w</v>
      </c>
      <c r="FT15" s="20" t="str">
        <f t="shared" ca="1" si="49"/>
        <v>t</v>
      </c>
      <c r="FU15" s="20" t="str">
        <f t="shared" ca="1" si="49"/>
        <v>l</v>
      </c>
      <c r="FV15" s="20" t="str">
        <f t="shared" ca="1" si="49"/>
        <v>l</v>
      </c>
      <c r="FW15" s="20" t="str">
        <f t="shared" ca="1" si="49"/>
        <v/>
      </c>
      <c r="FX15" s="20" t="str">
        <f t="shared" ca="1" si="49"/>
        <v>w</v>
      </c>
      <c r="FY15" s="20" t="str">
        <f t="shared" ca="1" si="49"/>
        <v>l</v>
      </c>
      <c r="FZ15" s="20" t="str">
        <f t="shared" ref="FZ15:GH20" ca="1" si="50">IF(INDEX(INDIRECT($A15), $B15+6, FZ$6+2)=0, "", INDEX(INDIRECT($A15), $B15+6, FZ$6+2))</f>
        <v/>
      </c>
      <c r="GA15" s="20" t="str">
        <f t="shared" ca="1" si="50"/>
        <v/>
      </c>
      <c r="GB15" s="20" t="str">
        <f t="shared" ca="1" si="50"/>
        <v>l</v>
      </c>
      <c r="GC15" s="20" t="str">
        <f t="shared" ca="1" si="50"/>
        <v>w</v>
      </c>
      <c r="GD15" s="20" t="str">
        <f t="shared" ca="1" si="50"/>
        <v>l</v>
      </c>
      <c r="GE15" s="20" t="str">
        <f t="shared" ca="1" si="50"/>
        <v>l</v>
      </c>
      <c r="GF15" s="20" t="str">
        <f t="shared" ca="1" si="50"/>
        <v>w</v>
      </c>
      <c r="GG15" s="20" t="str">
        <f t="shared" ca="1" si="50"/>
        <v/>
      </c>
      <c r="GH15" s="20" t="str">
        <f t="shared" ca="1" si="50"/>
        <v>w</v>
      </c>
      <c r="GI15" s="34"/>
      <c r="HE15" s="34"/>
      <c r="HZ15" s="34"/>
      <c r="IA15" s="19" t="str">
        <f t="shared" ref="IA15:IA20" ca="1" si="51">IF(D15&lt;&gt;"","No Hdcp","")</f>
        <v>No Hdcp</v>
      </c>
      <c r="IB15" s="19" t="str">
        <f ca="1">IF($D15&lt;&gt;"","Low of score &amp; "&amp;MIN($H15:$H15),"")</f>
        <v>Low of score &amp; 43</v>
      </c>
      <c r="IC15" s="19" t="str">
        <f ca="1">IF($D15&lt;&gt;"","Low of score &amp; "&amp;MIN($H15:$I15),"")</f>
        <v>Low of score &amp; 38</v>
      </c>
      <c r="ID15" s="18" t="str">
        <f ca="1">IF($D15&lt;&gt;"","Low of score &amp; "&amp;MIN($H15:$J15),"")</f>
        <v>Low of score &amp; 38</v>
      </c>
      <c r="IE15" s="18" t="str">
        <f ca="1">IF($D15&lt;&gt;"","Low of score &amp; "&amp;MIN($H15:$K15),"")</f>
        <v>Low of score &amp; 38</v>
      </c>
      <c r="IF15" s="18">
        <f ca="1">IF($D15&lt;&gt;"",ROUND(MIN((MIN($H15:$L15)-36)*0.96,20),2),"")</f>
        <v>1.92</v>
      </c>
      <c r="IG15" s="353">
        <f ca="1">IF($D15&lt;&gt;"",ROUND(MIN((AVERAGE(SMALL($H15:$M15,1),SMALL($H15:$M15,2))-36)*0.96,20),2),"")</f>
        <v>4.32</v>
      </c>
      <c r="IH15" s="18">
        <f ca="1">IF($D15&lt;&gt;"",ROUND(MIN((AVERAGE(SMALL($H15:$N15,1),SMALL($H15:$N15,2),SMALL($H15:$N15,3))-36)*0.96,20),2),"")</f>
        <v>5.44</v>
      </c>
      <c r="II15" s="18">
        <f ca="1">IF($D15&lt;&gt;"",ROUND(MIN((AVERAGE(SMALL($H15:$O15,1),SMALL($H15:$O15,2),SMALL($H15:$O15,3),SMALL($H15:$O15,4))-36)*0.96,20),2),"")</f>
        <v>6</v>
      </c>
      <c r="IJ15" s="18">
        <f ca="1">IF($D15&lt;&gt;"",ROUND(MIN((AVERAGE(SMALL($H15:$P15,1),SMALL($H15:$P15,2),SMALL($H15:$P15,3),SMALL($H15:$P15,4))-36)*0.96,20),2),"")</f>
        <v>6</v>
      </c>
      <c r="IK15" s="18">
        <f ca="1">IF($D15&lt;&gt;"",ROUND(MIN((AVERAGE(SMALL($H15:$Q15,1),SMALL($H15:$Q15,2),SMALL($H15:$Q15,3),SMALL($H15:$Q15,4),SMALL($H15:$Q15,5))-36)*0.96,20),2),"")</f>
        <v>6.14</v>
      </c>
      <c r="IL15" s="34"/>
      <c r="IN15" s="18">
        <f ca="1">AO15</f>
        <v>48</v>
      </c>
      <c r="IO15" s="18">
        <f ca="1">AN15</f>
        <v>47</v>
      </c>
      <c r="IP15" s="18">
        <f ca="1">AM15</f>
        <v>43</v>
      </c>
      <c r="IQ15" s="18">
        <f ca="1">AL15</f>
        <v>38</v>
      </c>
      <c r="IR15" s="18">
        <f ca="1">AK15</f>
        <v>41</v>
      </c>
      <c r="IS15" s="18">
        <f ca="1">AJ15</f>
        <v>41</v>
      </c>
      <c r="IT15" s="18">
        <f ca="1">AI15</f>
        <v>38</v>
      </c>
      <c r="IU15" s="18">
        <f ca="1">AH15</f>
        <v>45</v>
      </c>
      <c r="IV15" s="18">
        <f ca="1">AG15</f>
        <v>46</v>
      </c>
      <c r="IW15" s="18">
        <f ca="1">AF15</f>
        <v>46</v>
      </c>
      <c r="IX15" s="19">
        <f ca="1">IF(D15&lt;&gt;"",COUNT(IN15:IW15),"")</f>
        <v>10</v>
      </c>
      <c r="IY15" s="21">
        <f ca="1">IF(D15&lt;&gt;"",INDEX($JA15:$JK15,1,MATCH($IX15,$JA$6:$JK$6,0)), "")</f>
        <v>4.0320000000000027</v>
      </c>
      <c r="JA15" s="18" t="str">
        <f ca="1">IF(D15&lt;&gt;"","No Hdcp","")</f>
        <v>No Hdcp</v>
      </c>
      <c r="JB15" s="18" t="str">
        <f ca="1">IF(D15&lt;&gt;"","Low of score &amp; "&amp;MIN($IN15:$IN15),"")</f>
        <v>Low of score &amp; 48</v>
      </c>
      <c r="JC15" s="18" t="str">
        <f ca="1">IF(D15&lt;&gt;"","Low of score &amp; "&amp;MIN($IN15:$IO15),"")</f>
        <v>Low of score &amp; 47</v>
      </c>
      <c r="JD15" s="18" t="str">
        <f ca="1">IF(D15&lt;&gt;"","Low of score &amp; "&amp;MIN($IN15:$IP15),"")</f>
        <v>Low of score &amp; 43</v>
      </c>
      <c r="JE15" s="18" t="str">
        <f ca="1">IF(D15&lt;&gt;"","Low of score &amp; "&amp;MIN($IN15:$IQ15),"")</f>
        <v>Low of score &amp; 38</v>
      </c>
      <c r="JF15" s="18">
        <f ca="1">IF(D15&lt;&gt;"",MIN((MIN($IN15:$IR15)-36)*0.96,20),"")</f>
        <v>1.92</v>
      </c>
      <c r="JG15" s="18">
        <f ca="1">IF(D15&lt;&gt;"",MIN((AVERAGE(SMALL($IN15:$IS15,1),SMALL($IN15:$IS15,2))-36)*0.96,20),"")</f>
        <v>3.36</v>
      </c>
      <c r="JH15" s="18">
        <f ca="1">IF(D15&lt;&gt;"",MIN((AVERAGE(SMALL($IN15:$IT15,1),SMALL($IN15:$IT15,2),SMALL($IN15:$IT15,3))-36)*0.96,20),"")</f>
        <v>2.88</v>
      </c>
      <c r="JI15" s="18">
        <f ca="1">IF(D15&lt;&gt;"",MIN((AVERAGE(SMALL($IN15:$IU15,1),SMALL($IN15:$IU15,2),SMALL($IN15:$IU15,3),SMALL($IN15:$IU15,4))-36)*0.96,20),"")</f>
        <v>3.36</v>
      </c>
      <c r="JJ15" s="18">
        <f ca="1">IF(D15&lt;&gt;"",MIN((AVERAGE(SMALL($IN15:$IV15,1),SMALL($IN15:$IV15,2),SMALL($IN15:$IV15,3),SMALL($IN15:$IV15,4))-36)*0.96,20),"")</f>
        <v>3.36</v>
      </c>
      <c r="JK15" s="18">
        <f ca="1">IF(D15&lt;&gt;"",MIN((AVERAGE(SMALL($IN15:$IW15,1),SMALL($IN15:$IW15,2),SMALL($IN15:$IW15,3),SMALL($IN15:$IW15,4),SMALL($IN15:$IW15,5))-36)*0.96,20),"")</f>
        <v>4.0320000000000027</v>
      </c>
    </row>
    <row r="16" spans="1:271" x14ac:dyDescent="0.2">
      <c r="A16" s="18" t="s">
        <v>19</v>
      </c>
      <c r="B16" s="19">
        <f>B15+7</f>
        <v>12</v>
      </c>
      <c r="C16" s="22">
        <f t="shared" ca="1" si="30"/>
        <v>5.4999999999999997E-3</v>
      </c>
      <c r="D16" s="18" t="str">
        <f t="shared" ca="1" si="31"/>
        <v>Hyde, Scott</v>
      </c>
      <c r="E16" s="19">
        <f t="shared" ca="1" si="32"/>
        <v>14</v>
      </c>
      <c r="F16" s="19">
        <f ca="1">IF(D16&lt;&gt;"",COUNT($H16:$Q16),"")</f>
        <v>10</v>
      </c>
      <c r="G16" s="21">
        <f ca="1">IF($D16&lt;&gt;"",INDEX($IA16:$IK16,1,MATCH($F16,$IA$6:$IK$6,0)), "")</f>
        <v>6.72</v>
      </c>
      <c r="H16" s="337">
        <f ca="1">IFERROR(INDEX($AF16:$BH16, , SUMPRODUCT(LARGE((($AF16:$BH16&lt;&gt;0)*($BJ16:$CL16&lt;&gt;1)*($AF$5:$BH$5)), H$6))), "")</f>
        <v>39</v>
      </c>
      <c r="I16" s="338" cm="1">
        <f t="array" aca="1" ref="I16" ca="1">IFERROR(_xlfn.SINGLE(INDEX($AF16:$BH16, , SUMPRODUCT(LARGE((($AF16:$BH16&lt;&gt;0)*($BJ16:$CL16&lt;&gt;1)*($AF$5:$BH$5)), I$6)))), "")</f>
        <v>47</v>
      </c>
      <c r="J16" s="338" cm="1">
        <f t="array" aca="1" ref="J16" ca="1">IFERROR(_xlfn.SINGLE(INDEX($AF16:$BH16, , SUMPRODUCT(LARGE((($AF16:$BH16&lt;&gt;0)*($BJ16:$CL16&lt;&gt;1)*($AF$5:$BH$5)), J$6)))), "")</f>
        <v>43</v>
      </c>
      <c r="K16" s="338" cm="1">
        <f t="array" aca="1" ref="K16" ca="1">IFERROR(_xlfn.SINGLE(INDEX($AF16:$BH16, , SUMPRODUCT(LARGE((($AF16:$BH16&lt;&gt;0)*($BJ16:$CL16&lt;&gt;1)*($AF$5:$BH$5)), K$6)))), "")</f>
        <v>45</v>
      </c>
      <c r="L16" s="338" cm="1">
        <f t="array" aca="1" ref="L16" ca="1">IFERROR(_xlfn.SINGLE(INDEX($AF16:$BH16, , SUMPRODUCT(LARGE((($AF16:$BH16&lt;&gt;0)*($BJ16:$CL16&lt;&gt;1)*($AF$5:$BH$5)), L$6)))), "")</f>
        <v>43</v>
      </c>
      <c r="M16" s="338" cm="1">
        <f t="array" aca="1" ref="M16" ca="1">IFERROR(_xlfn.SINGLE(INDEX($AF16:$BH16, , SUMPRODUCT(LARGE((($AF16:$BH16&lt;&gt;0)*($BJ16:$CL16&lt;&gt;1)*($AF$5:$BH$5)), M$6)))), "")</f>
        <v>46</v>
      </c>
      <c r="N16" s="338" cm="1">
        <f t="array" aca="1" ref="N16" ca="1">IFERROR(_xlfn.SINGLE(INDEX($AF16:$BH16, , SUMPRODUCT(LARGE((($AF16:$BH16&lt;&gt;0)*($BJ16:$CL16&lt;&gt;1)*($AF$5:$BH$5)), N$6)))), "")</f>
        <v>45</v>
      </c>
      <c r="O16" s="338" cm="1">
        <f t="array" aca="1" ref="O16" ca="1">IFERROR(_xlfn.SINGLE(INDEX($AF16:$BH16, , SUMPRODUCT(LARGE((($AF16:$BH16&lt;&gt;0)*($BJ16:$CL16&lt;&gt;1)*($AF$5:$BH$5)), O$6)))), "")</f>
        <v>46</v>
      </c>
      <c r="P16" s="338" cm="1">
        <f t="array" aca="1" ref="P16" ca="1">IFERROR(_xlfn.SINGLE(INDEX($AF16:$BH16, , SUMPRODUCT(LARGE((($AF16:$BH16&lt;&gt;0)*($BJ16:$CL16&lt;&gt;1)*($AF$5:$BH$5)), P$6)))), "")</f>
        <v>47</v>
      </c>
      <c r="Q16" s="339" cm="1">
        <f t="array" aca="1" ref="Q16" ca="1">IFERROR(_xlfn.SINGLE(INDEX($AF16:$BH16, , SUMPRODUCT(LARGE((($AF16:$BH16&lt;&gt;0)*($BJ16:$CL16&lt;&gt;1)*($AF$5:$BH$5)), Q$6)))), "")</f>
        <v>53</v>
      </c>
      <c r="R16" s="21">
        <v>43.5</v>
      </c>
      <c r="S16" s="47">
        <f t="shared" ca="1" si="33"/>
        <v>43</v>
      </c>
      <c r="T16" s="21">
        <f ca="1">IF($D16&lt;&gt;"", IFERROR(IF($E16&gt;=qualifier, SUMIF($BT16:$CL16,0,$AP16:$BH16)/$E16, TEXT(SUMIF($BT16:$CL16,0,$AP16:$BH16)/$E16, "0.00")&amp;"*"), "-"), "")</f>
        <v>45.785714285714285</v>
      </c>
      <c r="U16" s="21">
        <f ca="1">IF($D16&lt;&gt;"", IFERROR(IF($E16&gt;=qualifier, SUMIF($BT16:$CL16,0,$CN16:$DF16)/$E16, TEXT(SUMIF($BT16:$CL16,0,$CN16:$DF16)/$E16, "0.00")&amp;"*"), "-"), "")</f>
        <v>38.857142857142854</v>
      </c>
      <c r="V16" s="46">
        <f ca="1">IF(AND($D16&lt;&gt;"", $E16&lt;&gt;0), _xlfn.MINIFS($AP16:$BH16,$BT16:$CL16,0,$AP16:$BH16,"&lt;&gt;0"), "")</f>
        <v>39</v>
      </c>
      <c r="W16" s="19">
        <f ca="1">IF(AND($D16&lt;&gt;"", $E16&lt;&gt;0), _xlfn.MINIFS($CN16:$DF16,$BT16:$CL16,0), "")</f>
        <v>31</v>
      </c>
      <c r="X16" s="46">
        <f ca="1">IF($D16&lt;&gt;"", SUM($DH16:$DZ16),  "")</f>
        <v>141</v>
      </c>
      <c r="Y16" s="21">
        <f ca="1">IF($D16&lt;&gt;"", IFERROR(IF($E16&gt;=qualifier, AVERAGE($DH16:$DZ16), TEXT(AVERAGE($DH16:$DZ16), "0.00")&amp;"*"), "-"), "")</f>
        <v>10.071428571428571</v>
      </c>
      <c r="Z16" s="19">
        <f ca="1">IF($D16&lt;&gt;"", SUM($EB16:$ET16),  "")</f>
        <v>1</v>
      </c>
      <c r="AA16" s="19">
        <f ca="1">IF($D16&lt;&gt;"", SUM($EV16:$FN16),  "")</f>
        <v>0</v>
      </c>
      <c r="AB16" s="46" t="str">
        <f t="shared" ca="1" si="34"/>
        <v>7-7-1</v>
      </c>
      <c r="AC16" s="218">
        <f t="shared" ca="1" si="35"/>
        <v>2342622677</v>
      </c>
      <c r="AD16" s="57" t="str">
        <f t="shared" ca="1" si="36"/>
        <v>scott.hyde@timken.com</v>
      </c>
      <c r="AE16" s="34"/>
      <c r="AF16" s="341">
        <f ca="1">INDEX(PriorScores[],MATCH($D16,PriorScores[Team / Player],0),2)</f>
        <v>0</v>
      </c>
      <c r="AG16" s="341">
        <f ca="1">INDEX(PriorScores[],MATCH($D16,PriorScores[Team / Player],0),3)</f>
        <v>0</v>
      </c>
      <c r="AH16" s="341">
        <f ca="1">INDEX(PriorScores[],MATCH($D16,PriorScores[Team / Player],0),4)</f>
        <v>0</v>
      </c>
      <c r="AI16" s="341">
        <f ca="1">INDEX(PriorScores[],MATCH($D16,PriorScores[Team / Player],0),5)</f>
        <v>0</v>
      </c>
      <c r="AJ16" s="341">
        <f ca="1">INDEX(PriorScores[],MATCH($D16,PriorScores[Team / Player],0),6)</f>
        <v>45</v>
      </c>
      <c r="AK16" s="341">
        <f ca="1">INDEX(PriorScores[],MATCH($D16,PriorScores[Team / Player],0),7)</f>
        <v>45</v>
      </c>
      <c r="AL16" s="341">
        <f ca="1">INDEX(PriorScores[],MATCH($D16,PriorScores[Team / Player],0),8)</f>
        <v>45</v>
      </c>
      <c r="AM16" s="341">
        <f ca="1">INDEX(PriorScores[],MATCH($D16,PriorScores[Team / Player],0),9)</f>
        <v>42</v>
      </c>
      <c r="AN16" s="341">
        <f ca="1">INDEX(PriorScores[],MATCH($D16,PriorScores[Team / Player],0),10)</f>
        <v>44</v>
      </c>
      <c r="AO16" s="341">
        <f ca="1">INDEX(PriorScores[],MATCH($D16,PriorScores[Team / Player],0),11)</f>
        <v>40</v>
      </c>
      <c r="AP16" s="20">
        <f t="shared" ca="1" si="37"/>
        <v>47</v>
      </c>
      <c r="AQ16" s="20">
        <f t="shared" ca="1" si="37"/>
        <v>48</v>
      </c>
      <c r="AR16" s="20">
        <f t="shared" ca="1" si="37"/>
        <v>43</v>
      </c>
      <c r="AS16" s="20">
        <f t="shared" ca="1" si="37"/>
        <v>49</v>
      </c>
      <c r="AT16" s="20">
        <f t="shared" ca="1" si="37"/>
        <v>53</v>
      </c>
      <c r="AU16" s="20">
        <f t="shared" ca="1" si="37"/>
        <v>47</v>
      </c>
      <c r="AV16" s="20">
        <f t="shared" ca="1" si="37"/>
        <v>46</v>
      </c>
      <c r="AW16" s="20">
        <f t="shared" ca="1" si="37"/>
        <v>0</v>
      </c>
      <c r="AX16" s="20">
        <f t="shared" ca="1" si="37"/>
        <v>45</v>
      </c>
      <c r="AY16" s="20">
        <f t="shared" ca="1" si="37"/>
        <v>46</v>
      </c>
      <c r="AZ16" s="20">
        <f t="shared" ca="1" si="38"/>
        <v>0</v>
      </c>
      <c r="BA16" s="20">
        <f t="shared" ca="1" si="38"/>
        <v>0</v>
      </c>
      <c r="BB16" s="20">
        <f t="shared" ca="1" si="38"/>
        <v>43</v>
      </c>
      <c r="BC16" s="20">
        <f t="shared" ca="1" si="38"/>
        <v>45</v>
      </c>
      <c r="BD16" s="20">
        <f t="shared" ca="1" si="38"/>
        <v>0</v>
      </c>
      <c r="BE16" s="20">
        <f t="shared" ca="1" si="38"/>
        <v>43</v>
      </c>
      <c r="BF16" s="20">
        <f t="shared" ca="1" si="38"/>
        <v>47</v>
      </c>
      <c r="BG16" s="20">
        <f t="shared" ca="1" si="38"/>
        <v>0</v>
      </c>
      <c r="BH16" s="20">
        <f t="shared" ca="1" si="38"/>
        <v>39</v>
      </c>
      <c r="BI16" s="34"/>
      <c r="BJ16" s="341">
        <v>0</v>
      </c>
      <c r="BK16" s="341">
        <v>0</v>
      </c>
      <c r="BL16" s="341">
        <v>0</v>
      </c>
      <c r="BM16" s="341">
        <v>0</v>
      </c>
      <c r="BN16" s="341">
        <v>0</v>
      </c>
      <c r="BO16" s="341">
        <v>0</v>
      </c>
      <c r="BP16" s="341">
        <v>0</v>
      </c>
      <c r="BQ16" s="341">
        <v>0</v>
      </c>
      <c r="BR16" s="341">
        <v>0</v>
      </c>
      <c r="BS16" s="341">
        <v>0</v>
      </c>
      <c r="BT16" s="20">
        <f t="shared" ca="1" si="39"/>
        <v>0</v>
      </c>
      <c r="BU16" s="20">
        <f t="shared" ca="1" si="39"/>
        <v>0</v>
      </c>
      <c r="BV16" s="20">
        <f t="shared" ca="1" si="39"/>
        <v>0</v>
      </c>
      <c r="BW16" s="20">
        <f t="shared" ca="1" si="39"/>
        <v>0</v>
      </c>
      <c r="BX16" s="20">
        <f t="shared" ca="1" si="39"/>
        <v>0</v>
      </c>
      <c r="BY16" s="20">
        <f t="shared" ca="1" si="39"/>
        <v>0</v>
      </c>
      <c r="BZ16" s="20">
        <f t="shared" ca="1" si="39"/>
        <v>0</v>
      </c>
      <c r="CA16" s="20">
        <f t="shared" ca="1" si="39"/>
        <v>0</v>
      </c>
      <c r="CB16" s="20">
        <f t="shared" ca="1" si="39"/>
        <v>0</v>
      </c>
      <c r="CC16" s="20">
        <f t="shared" ca="1" si="39"/>
        <v>0</v>
      </c>
      <c r="CD16" s="20">
        <f t="shared" ca="1" si="40"/>
        <v>0</v>
      </c>
      <c r="CE16" s="20">
        <f t="shared" ca="1" si="40"/>
        <v>0</v>
      </c>
      <c r="CF16" s="20">
        <f t="shared" ca="1" si="40"/>
        <v>0</v>
      </c>
      <c r="CG16" s="20">
        <f t="shared" ca="1" si="40"/>
        <v>0</v>
      </c>
      <c r="CH16" s="20">
        <f t="shared" ca="1" si="40"/>
        <v>1</v>
      </c>
      <c r="CI16" s="20">
        <f t="shared" ca="1" si="40"/>
        <v>0</v>
      </c>
      <c r="CJ16" s="20">
        <f t="shared" ca="1" si="40"/>
        <v>0</v>
      </c>
      <c r="CK16" s="20">
        <f t="shared" ca="1" si="40"/>
        <v>1</v>
      </c>
      <c r="CL16" s="20">
        <f t="shared" ca="1" si="40"/>
        <v>0</v>
      </c>
      <c r="CM16" s="34"/>
      <c r="CN16" s="20">
        <f t="shared" ca="1" si="41"/>
        <v>42</v>
      </c>
      <c r="CO16" s="20">
        <f t="shared" ca="1" si="41"/>
        <v>42</v>
      </c>
      <c r="CP16" s="20">
        <f t="shared" ca="1" si="41"/>
        <v>37</v>
      </c>
      <c r="CQ16" s="20">
        <f t="shared" ca="1" si="41"/>
        <v>43</v>
      </c>
      <c r="CR16" s="20">
        <f t="shared" ca="1" si="41"/>
        <v>46</v>
      </c>
      <c r="CS16" s="20">
        <f t="shared" ca="1" si="41"/>
        <v>40</v>
      </c>
      <c r="CT16" s="20">
        <f t="shared" ca="1" si="41"/>
        <v>39</v>
      </c>
      <c r="CU16" s="20" t="str">
        <f t="shared" ca="1" si="41"/>
        <v/>
      </c>
      <c r="CV16" s="20">
        <f t="shared" ca="1" si="41"/>
        <v>38</v>
      </c>
      <c r="CW16" s="20">
        <f t="shared" ca="1" si="41"/>
        <v>39</v>
      </c>
      <c r="CX16" s="20" t="str">
        <f t="shared" ca="1" si="42"/>
        <v/>
      </c>
      <c r="CY16" s="20" t="str">
        <f t="shared" ca="1" si="42"/>
        <v/>
      </c>
      <c r="CZ16" s="20">
        <f t="shared" ca="1" si="42"/>
        <v>35</v>
      </c>
      <c r="DA16" s="20">
        <f t="shared" ca="1" si="42"/>
        <v>37</v>
      </c>
      <c r="DB16" s="20" t="str">
        <f t="shared" ca="1" si="42"/>
        <v/>
      </c>
      <c r="DC16" s="20">
        <f t="shared" ca="1" si="42"/>
        <v>35</v>
      </c>
      <c r="DD16" s="20">
        <f t="shared" ca="1" si="42"/>
        <v>40</v>
      </c>
      <c r="DE16" s="20" t="str">
        <f t="shared" ca="1" si="42"/>
        <v/>
      </c>
      <c r="DF16" s="20">
        <f t="shared" ca="1" si="42"/>
        <v>31</v>
      </c>
      <c r="DG16" s="34"/>
      <c r="DH16" s="20">
        <f t="shared" ca="1" si="43"/>
        <v>9</v>
      </c>
      <c r="DI16" s="20">
        <f t="shared" ca="1" si="43"/>
        <v>6</v>
      </c>
      <c r="DJ16" s="20">
        <f t="shared" ca="1" si="43"/>
        <v>14</v>
      </c>
      <c r="DK16" s="20">
        <f t="shared" ca="1" si="43"/>
        <v>5</v>
      </c>
      <c r="DL16" s="20">
        <f t="shared" ca="1" si="43"/>
        <v>5</v>
      </c>
      <c r="DM16" s="20">
        <f t="shared" ca="1" si="43"/>
        <v>8</v>
      </c>
      <c r="DN16" s="20">
        <f t="shared" ca="1" si="43"/>
        <v>17</v>
      </c>
      <c r="DO16" s="20" t="str">
        <f t="shared" ca="1" si="43"/>
        <v/>
      </c>
      <c r="DP16" s="20">
        <f t="shared" ca="1" si="43"/>
        <v>12</v>
      </c>
      <c r="DQ16" s="20">
        <f t="shared" ca="1" si="43"/>
        <v>8</v>
      </c>
      <c r="DR16" s="20" t="str">
        <f t="shared" ca="1" si="44"/>
        <v/>
      </c>
      <c r="DS16" s="20" t="str">
        <f t="shared" ca="1" si="44"/>
        <v/>
      </c>
      <c r="DT16" s="20">
        <f t="shared" ca="1" si="44"/>
        <v>14</v>
      </c>
      <c r="DU16" s="20">
        <f t="shared" ca="1" si="44"/>
        <v>13</v>
      </c>
      <c r="DV16" s="20">
        <f t="shared" ca="1" si="44"/>
        <v>6</v>
      </c>
      <c r="DW16" s="20">
        <f t="shared" ca="1" si="44"/>
        <v>14</v>
      </c>
      <c r="DX16" s="20">
        <f t="shared" ca="1" si="44"/>
        <v>10</v>
      </c>
      <c r="DY16" s="20" t="str">
        <f t="shared" ca="1" si="44"/>
        <v/>
      </c>
      <c r="DZ16" s="20" t="str">
        <f t="shared" ca="1" si="44"/>
        <v/>
      </c>
      <c r="EA16" s="34"/>
      <c r="EB16" s="20" t="str">
        <f t="shared" ca="1" si="45"/>
        <v/>
      </c>
      <c r="EC16" s="20" t="str">
        <f t="shared" ca="1" si="45"/>
        <v/>
      </c>
      <c r="ED16" s="20" t="str">
        <f t="shared" ca="1" si="45"/>
        <v/>
      </c>
      <c r="EE16" s="20" t="str">
        <f t="shared" ca="1" si="45"/>
        <v/>
      </c>
      <c r="EF16" s="20" t="str">
        <f t="shared" ca="1" si="45"/>
        <v/>
      </c>
      <c r="EG16" s="20" t="str">
        <f t="shared" ca="1" si="45"/>
        <v/>
      </c>
      <c r="EH16" s="20" t="str">
        <f t="shared" ca="1" si="45"/>
        <v/>
      </c>
      <c r="EI16" s="20" t="str">
        <f t="shared" ca="1" si="45"/>
        <v/>
      </c>
      <c r="EJ16" s="20" t="str">
        <f t="shared" ca="1" si="45"/>
        <v/>
      </c>
      <c r="EK16" s="20" t="str">
        <f t="shared" ca="1" si="45"/>
        <v/>
      </c>
      <c r="EL16" s="20" t="str">
        <f t="shared" ca="1" si="46"/>
        <v/>
      </c>
      <c r="EM16" s="20" t="str">
        <f t="shared" ca="1" si="46"/>
        <v/>
      </c>
      <c r="EN16" s="20" t="str">
        <f t="shared" ca="1" si="46"/>
        <v/>
      </c>
      <c r="EO16" s="20" t="str">
        <f t="shared" ca="1" si="46"/>
        <v/>
      </c>
      <c r="EP16" s="20" t="str">
        <f t="shared" ca="1" si="46"/>
        <v/>
      </c>
      <c r="EQ16" s="20" t="str">
        <f t="shared" ca="1" si="46"/>
        <v/>
      </c>
      <c r="ER16" s="20" t="str">
        <f t="shared" ca="1" si="46"/>
        <v/>
      </c>
      <c r="ES16" s="20" t="str">
        <f t="shared" ca="1" si="46"/>
        <v/>
      </c>
      <c r="ET16" s="20">
        <f t="shared" ca="1" si="46"/>
        <v>1</v>
      </c>
      <c r="EU16" s="34"/>
      <c r="EV16" s="20" t="str">
        <f t="shared" ca="1" si="47"/>
        <v/>
      </c>
      <c r="EW16" s="20" t="str">
        <f t="shared" ca="1" si="47"/>
        <v/>
      </c>
      <c r="EX16" s="20" t="str">
        <f t="shared" ca="1" si="47"/>
        <v/>
      </c>
      <c r="EY16" s="20" t="str">
        <f t="shared" ca="1" si="47"/>
        <v/>
      </c>
      <c r="EZ16" s="20" t="str">
        <f t="shared" ca="1" si="47"/>
        <v/>
      </c>
      <c r="FA16" s="20" t="str">
        <f t="shared" ca="1" si="47"/>
        <v/>
      </c>
      <c r="FB16" s="20" t="str">
        <f t="shared" ca="1" si="47"/>
        <v/>
      </c>
      <c r="FC16" s="20" t="str">
        <f t="shared" ca="1" si="47"/>
        <v/>
      </c>
      <c r="FD16" s="20" t="str">
        <f t="shared" ca="1" si="47"/>
        <v/>
      </c>
      <c r="FE16" s="20" t="str">
        <f t="shared" ca="1" si="47"/>
        <v/>
      </c>
      <c r="FF16" s="20" t="str">
        <f t="shared" ca="1" si="48"/>
        <v/>
      </c>
      <c r="FG16" s="20" t="str">
        <f t="shared" ca="1" si="48"/>
        <v/>
      </c>
      <c r="FH16" s="20" t="str">
        <f t="shared" ca="1" si="48"/>
        <v/>
      </c>
      <c r="FI16" s="20" t="str">
        <f t="shared" ca="1" si="48"/>
        <v/>
      </c>
      <c r="FJ16" s="20" t="str">
        <f t="shared" ca="1" si="48"/>
        <v/>
      </c>
      <c r="FK16" s="20" t="str">
        <f t="shared" ca="1" si="48"/>
        <v/>
      </c>
      <c r="FL16" s="20" t="str">
        <f t="shared" ca="1" si="48"/>
        <v/>
      </c>
      <c r="FM16" s="20" t="str">
        <f t="shared" ca="1" si="48"/>
        <v/>
      </c>
      <c r="FN16" s="20" t="str">
        <f t="shared" ca="1" si="48"/>
        <v/>
      </c>
      <c r="FO16" s="34"/>
      <c r="FP16" s="20" t="str">
        <f t="shared" ca="1" si="49"/>
        <v>l</v>
      </c>
      <c r="FQ16" s="20" t="str">
        <f t="shared" ca="1" si="49"/>
        <v>l</v>
      </c>
      <c r="FR16" s="20" t="str">
        <f t="shared" ca="1" si="49"/>
        <v>w</v>
      </c>
      <c r="FS16" s="20" t="str">
        <f t="shared" ca="1" si="49"/>
        <v>l</v>
      </c>
      <c r="FT16" s="20" t="str">
        <f t="shared" ca="1" si="49"/>
        <v>l</v>
      </c>
      <c r="FU16" s="20" t="str">
        <f t="shared" ca="1" si="49"/>
        <v>l</v>
      </c>
      <c r="FV16" s="20" t="str">
        <f t="shared" ca="1" si="49"/>
        <v>w</v>
      </c>
      <c r="FW16" s="20" t="str">
        <f t="shared" ca="1" si="49"/>
        <v/>
      </c>
      <c r="FX16" s="20" t="str">
        <f t="shared" ca="1" si="49"/>
        <v>w</v>
      </c>
      <c r="FY16" s="20" t="str">
        <f t="shared" ca="1" si="49"/>
        <v>l</v>
      </c>
      <c r="FZ16" s="20" t="str">
        <f t="shared" ca="1" si="50"/>
        <v/>
      </c>
      <c r="GA16" s="20" t="str">
        <f t="shared" ca="1" si="50"/>
        <v/>
      </c>
      <c r="GB16" s="20" t="str">
        <f t="shared" ca="1" si="50"/>
        <v>w</v>
      </c>
      <c r="GC16" s="20" t="str">
        <f t="shared" ca="1" si="50"/>
        <v>w</v>
      </c>
      <c r="GD16" s="20" t="str">
        <f t="shared" ca="1" si="50"/>
        <v>l</v>
      </c>
      <c r="GE16" s="20" t="str">
        <f t="shared" ca="1" si="50"/>
        <v>w</v>
      </c>
      <c r="GF16" s="20" t="str">
        <f t="shared" ca="1" si="50"/>
        <v>t</v>
      </c>
      <c r="GG16" s="20" t="str">
        <f t="shared" ca="1" si="50"/>
        <v/>
      </c>
      <c r="GH16" s="20" t="str">
        <f t="shared" ca="1" si="50"/>
        <v>w</v>
      </c>
      <c r="GI16" s="34"/>
      <c r="HE16" s="34"/>
      <c r="HZ16" s="34"/>
      <c r="IA16" s="19" t="str">
        <f t="shared" ca="1" si="51"/>
        <v>No Hdcp</v>
      </c>
      <c r="IB16" s="19" t="str">
        <f ca="1">IF($D16&lt;&gt;"","Low of score &amp; "&amp;MIN($H16:$H16),"")</f>
        <v>Low of score &amp; 39</v>
      </c>
      <c r="IC16" s="19" t="str">
        <f ca="1">IF($D16&lt;&gt;"","Low of score &amp; "&amp;MIN($H16:$I16),"")</f>
        <v>Low of score &amp; 39</v>
      </c>
      <c r="ID16" s="18" t="str">
        <f ca="1">IF($D16&lt;&gt;"","Low of score &amp; "&amp;MIN($H16:$J16),"")</f>
        <v>Low of score &amp; 39</v>
      </c>
      <c r="IE16" s="18" t="str">
        <f ca="1">IF($D16&lt;&gt;"","Low of score &amp; "&amp;MIN($H16:$K16),"")</f>
        <v>Low of score &amp; 39</v>
      </c>
      <c r="IF16" s="18">
        <f ca="1">IF($D16&lt;&gt;"",ROUND(MIN((MIN($H16:$L16)-36)*0.96,20),2),"")</f>
        <v>2.88</v>
      </c>
      <c r="IG16" s="353">
        <f ca="1">IF($D16&lt;&gt;"",ROUND(MIN((AVERAGE(SMALL($H16:$M16,1),SMALL($H16:$M16,2))-36)*0.96,20),2),"")</f>
        <v>4.8</v>
      </c>
      <c r="IH16" s="18">
        <f ca="1">IF($D16&lt;&gt;"",ROUND(MIN((AVERAGE(SMALL($H16:$N16,1),SMALL($H16:$N16,2),SMALL($H16:$N16,3))-36)*0.96,20),2),"")</f>
        <v>5.44</v>
      </c>
      <c r="II16" s="18">
        <f ca="1">IF($D16&lt;&gt;"",ROUND(MIN((AVERAGE(SMALL($H16:$O16,1),SMALL($H16:$O16,2),SMALL($H16:$O16,3),SMALL($H16:$O16,4))-36)*0.96,20),2),"")</f>
        <v>6.24</v>
      </c>
      <c r="IJ16" s="18">
        <f ca="1">IF($D16&lt;&gt;"",ROUND(MIN((AVERAGE(SMALL($H16:$P16,1),SMALL($H16:$P16,2),SMALL($H16:$P16,3),SMALL($H16:$P16,4))-36)*0.96,20),2),"")</f>
        <v>6.24</v>
      </c>
      <c r="IK16" s="18">
        <f ca="1">IF($D16&lt;&gt;"",ROUND(MIN((AVERAGE(SMALL($H16:$Q16,1),SMALL($H16:$Q16,2),SMALL($H16:$Q16,3),SMALL($H16:$Q16,4),SMALL($H16:$Q16,5))-36)*0.96,20),2),"")</f>
        <v>6.72</v>
      </c>
      <c r="IL16" s="34"/>
      <c r="IN16" s="18">
        <f ca="1">AO16</f>
        <v>40</v>
      </c>
      <c r="IO16" s="18">
        <f ca="1">AN16</f>
        <v>44</v>
      </c>
      <c r="IP16" s="18">
        <f ca="1">AM16</f>
        <v>42</v>
      </c>
      <c r="IQ16" s="18">
        <f ca="1">AL16</f>
        <v>45</v>
      </c>
      <c r="IR16" s="18">
        <f ca="1">AK16</f>
        <v>45</v>
      </c>
      <c r="IS16" s="18">
        <f ca="1">AJ16</f>
        <v>45</v>
      </c>
      <c r="IT16" s="18">
        <f ca="1">AI16</f>
        <v>0</v>
      </c>
      <c r="IU16" s="18">
        <f ca="1">AH16</f>
        <v>0</v>
      </c>
      <c r="IV16" s="18">
        <f ca="1">AG16</f>
        <v>0</v>
      </c>
      <c r="IW16" s="18">
        <f ca="1">AF16</f>
        <v>0</v>
      </c>
      <c r="IX16" s="19">
        <f ca="1">IF(D16&lt;&gt;"",COUNT(IN16:IW16),"")</f>
        <v>10</v>
      </c>
      <c r="IY16" s="21">
        <f ca="1">IF(D16&lt;&gt;"",INDEX($JA16:$JK16,1,MATCH($IX16,$JA$6:$JK$6,0)), "")</f>
        <v>-26.88</v>
      </c>
      <c r="JA16" s="18" t="str">
        <f ca="1">IF(D16&lt;&gt;"","No Hdcp","")</f>
        <v>No Hdcp</v>
      </c>
      <c r="JB16" s="18" t="str">
        <f ca="1">IF(D16&lt;&gt;"","Low of score &amp; "&amp;MIN($IN16:$IN16),"")</f>
        <v>Low of score &amp; 40</v>
      </c>
      <c r="JC16" s="18" t="str">
        <f ca="1">IF(D16&lt;&gt;"","Low of score &amp; "&amp;MIN($IN16:$IO16),"")</f>
        <v>Low of score &amp; 40</v>
      </c>
      <c r="JD16" s="18" t="str">
        <f ca="1">IF(D16&lt;&gt;"","Low of score &amp; "&amp;MIN($IN16:$IP16),"")</f>
        <v>Low of score &amp; 40</v>
      </c>
      <c r="JE16" s="18" t="str">
        <f ca="1">IF(D16&lt;&gt;"","Low of score &amp; "&amp;MIN($IN16:$IQ16),"")</f>
        <v>Low of score &amp; 40</v>
      </c>
      <c r="JF16" s="18">
        <f ca="1">IF(D16&lt;&gt;"",MIN((MIN($IN16:$IR16)-36)*0.96,20),"")</f>
        <v>3.84</v>
      </c>
      <c r="JG16" s="18">
        <f ca="1">IF(D16&lt;&gt;"",MIN((AVERAGE(SMALL($IN16:$IS16,1),SMALL($IN16:$IS16,2))-36)*0.96,20),"")</f>
        <v>4.8</v>
      </c>
      <c r="JH16" s="18">
        <f ca="1">IF(D16&lt;&gt;"",MIN((AVERAGE(SMALL($IN16:$IT16,1),SMALL($IN16:$IT16,2),SMALL($IN16:$IT16,3))-36)*0.96,20),"")</f>
        <v>-8.32</v>
      </c>
      <c r="JI16" s="18">
        <f ca="1">IF(D16&lt;&gt;"",MIN((AVERAGE(SMALL($IN16:$IU16,1),SMALL($IN16:$IU16,2),SMALL($IN16:$IU16,3),SMALL($IN16:$IU16,4))-36)*0.96,20),"")</f>
        <v>-14.879999999999999</v>
      </c>
      <c r="JJ16" s="18">
        <f ca="1">IF(D16&lt;&gt;"",MIN((AVERAGE(SMALL($IN16:$IV16,1),SMALL($IN16:$IV16,2),SMALL($IN16:$IV16,3),SMALL($IN16:$IV16,4))-36)*0.96,20),"")</f>
        <v>-24.96</v>
      </c>
      <c r="JK16" s="18">
        <f ca="1">IF(D16&lt;&gt;"",MIN((AVERAGE(SMALL($IN16:$IW16,1),SMALL($IN16:$IW16,2),SMALL($IN16:$IW16,3),SMALL($IN16:$IW16,4),SMALL($IN16:$IW16,5))-36)*0.96,20),"")</f>
        <v>-26.88</v>
      </c>
    </row>
    <row r="17" spans="1:271" x14ac:dyDescent="0.2">
      <c r="A17" s="18" t="s">
        <v>19</v>
      </c>
      <c r="B17" s="19">
        <f>B16+7</f>
        <v>19</v>
      </c>
      <c r="C17" s="22">
        <f t="shared" ca="1" si="30"/>
        <v>2E-3</v>
      </c>
      <c r="D17" s="18" t="str">
        <f t="shared" ca="1" si="31"/>
        <v>Boyd, Steve</v>
      </c>
      <c r="E17" s="19">
        <f t="shared" ca="1" si="32"/>
        <v>13</v>
      </c>
      <c r="F17" s="19">
        <f ca="1">IF(D17&lt;&gt;"",COUNT($H17:$Q17),"")</f>
        <v>10</v>
      </c>
      <c r="G17" s="21">
        <f ca="1">IF($D17&lt;&gt;"",INDEX($IA17:$IK17,1,MATCH($F17,$IA$6:$IK$6,0)), "")</f>
        <v>7.3</v>
      </c>
      <c r="H17" s="337" cm="1">
        <f t="array" aca="1" ref="H17" ca="1">IFERROR(_xlfn.SINGLE(INDEX($AF17:$BH17, , SUMPRODUCT(LARGE((($AF17:$BH17&lt;&gt;0)*($BJ17:$CL17&lt;&gt;1)*($AF$5:$BH$5)), H$6)))), "")</f>
        <v>41</v>
      </c>
      <c r="I17" s="338" cm="1">
        <f t="array" aca="1" ref="I17" ca="1">IFERROR(_xlfn.SINGLE(INDEX($AF17:$BH17, , SUMPRODUCT(LARGE((($AF17:$BH17&lt;&gt;0)*($BJ17:$CL17&lt;&gt;1)*($AF$5:$BH$5)), I$6)))), "")</f>
        <v>48</v>
      </c>
      <c r="J17" s="338" cm="1">
        <f t="array" aca="1" ref="J17" ca="1">IFERROR(_xlfn.SINGLE(INDEX($AF17:$BH17, , SUMPRODUCT(LARGE((($AF17:$BH17&lt;&gt;0)*($BJ17:$CL17&lt;&gt;1)*($AF$5:$BH$5)), J$6)))), "")</f>
        <v>41</v>
      </c>
      <c r="K17" s="338" cm="1">
        <f t="array" aca="1" ref="K17" ca="1">IFERROR(_xlfn.SINGLE(INDEX($AF17:$BH17, , SUMPRODUCT(LARGE((($AF17:$BH17&lt;&gt;0)*($BJ17:$CL17&lt;&gt;1)*($AF$5:$BH$5)), K$6)))), "")</f>
        <v>44</v>
      </c>
      <c r="L17" s="338" cm="1">
        <f t="array" aca="1" ref="L17" ca="1">IFERROR(_xlfn.SINGLE(INDEX($AF17:$BH17, , SUMPRODUCT(LARGE((($AF17:$BH17&lt;&gt;0)*($BJ17:$CL17&lt;&gt;1)*($AF$5:$BH$5)), L$6)))), "")</f>
        <v>46</v>
      </c>
      <c r="M17" s="338" cm="1">
        <f t="array" aca="1" ref="M17" ca="1">IFERROR(_xlfn.SINGLE(INDEX($AF17:$BH17, , SUMPRODUCT(LARGE((($AF17:$BH17&lt;&gt;0)*($BJ17:$CL17&lt;&gt;1)*($AF$5:$BH$5)), M$6)))), "")</f>
        <v>46</v>
      </c>
      <c r="N17" s="338" cm="1">
        <f t="array" aca="1" ref="N17" ca="1">IFERROR(_xlfn.SINGLE(INDEX($AF17:$BH17, , SUMPRODUCT(LARGE((($AF17:$BH17&lt;&gt;0)*($BJ17:$CL17&lt;&gt;1)*($AF$5:$BH$5)), N$6)))), "")</f>
        <v>48</v>
      </c>
      <c r="O17" s="338" cm="1">
        <f t="array" aca="1" ref="O17" ca="1">IFERROR(_xlfn.SINGLE(INDEX($AF17:$BH17, , SUMPRODUCT(LARGE((($AF17:$BH17&lt;&gt;0)*($BJ17:$CL17&lt;&gt;1)*($AF$5:$BH$5)), O$6)))), "")</f>
        <v>46</v>
      </c>
      <c r="P17" s="338" cm="1">
        <f t="array" aca="1" ref="P17" ca="1">IFERROR(_xlfn.SINGLE(INDEX($AF17:$BH17, , SUMPRODUCT(LARGE((($AF17:$BH17&lt;&gt;0)*($BJ17:$CL17&lt;&gt;1)*($AF$5:$BH$5)), P$6)))), "")</f>
        <v>46</v>
      </c>
      <c r="Q17" s="339" cm="1">
        <f t="array" aca="1" ref="Q17" ca="1">IFERROR(_xlfn.SINGLE(INDEX($AF17:$BH17, , SUMPRODUCT(LARGE((($AF17:$BH17&lt;&gt;0)*($BJ17:$CL17&lt;&gt;1)*($AF$5:$BH$5)), Q$6)))), "")</f>
        <v>46</v>
      </c>
      <c r="R17" s="21">
        <v>46.857142857142854</v>
      </c>
      <c r="S17" s="47">
        <f t="shared" ca="1" si="33"/>
        <v>43.6</v>
      </c>
      <c r="T17" s="21">
        <f ca="1">IF($D17&lt;&gt;"", IFERROR(IF($E17&gt;=qualifier, SUMIF($BT17:$CL17,0,$AP17:$BH17)/$E17, TEXT(SUMIF($BT17:$CL17,0,$AP17:$BH17)/$E17, "0.00")&amp;"*"), "-"), "")</f>
        <v>45.53846153846154</v>
      </c>
      <c r="U17" s="21">
        <f ca="1">IF($D17&lt;&gt;"", IFERROR(IF($E17&gt;=qualifier, SUMIF($BT17:$CL17,0,$CN17:$DF17)/$E17, TEXT(SUMIF($BT17:$CL17,0,$CN17:$DF17)/$E17, "0.00")&amp;"*"), "-"), "")</f>
        <v>37.07692307692308</v>
      </c>
      <c r="V17" s="46">
        <f ca="1">IF(AND($D17&lt;&gt;"", $E17&lt;&gt;0), _xlfn.MINIFS($AP17:$BH17,$BT17:$CL17,0,$AP17:$BH17,"&lt;&gt;0"), "")</f>
        <v>41</v>
      </c>
      <c r="W17" s="19">
        <f ca="1">IF(AND($D17&lt;&gt;"", $E17&lt;&gt;0), _xlfn.MINIFS($CN17:$DF17,$BT17:$CL17,0), "")</f>
        <v>32</v>
      </c>
      <c r="X17" s="46">
        <f ca="1">IF($D17&lt;&gt;"", SUM($DH17:$DZ17),  "")</f>
        <v>160</v>
      </c>
      <c r="Y17" s="21">
        <f ca="1">IF($D17&lt;&gt;"", IFERROR(IF($E17&gt;=qualifier, AVERAGE($DH17:$DZ17), TEXT(AVERAGE($DH17:$DZ17), "0.00")&amp;"*"), "-"), "")</f>
        <v>12.307692307692308</v>
      </c>
      <c r="Z17" s="19">
        <f ca="1">IF($D17&lt;&gt;"", SUM($EB17:$ET17),  "")</f>
        <v>3</v>
      </c>
      <c r="AA17" s="19">
        <f ca="1">IF($D17&lt;&gt;"", SUM($EV17:$FN17),  "")</f>
        <v>0</v>
      </c>
      <c r="AB17" s="46" t="str">
        <f t="shared" ca="1" si="34"/>
        <v>11-3-0</v>
      </c>
      <c r="AC17" s="218">
        <f t="shared" ca="1" si="35"/>
        <v>2342626764</v>
      </c>
      <c r="AD17" s="57" t="str">
        <f t="shared" ca="1" si="36"/>
        <v>steve.boyd@timken.com</v>
      </c>
      <c r="AE17" s="34"/>
      <c r="AF17" s="341">
        <f ca="1">INDEX(PriorScores[],MATCH($D17,PriorScores[Team / Player],0),2)</f>
        <v>49</v>
      </c>
      <c r="AG17" s="341">
        <f ca="1">INDEX(PriorScores[],MATCH($D17,PriorScores[Team / Player],0),3)</f>
        <v>47</v>
      </c>
      <c r="AH17" s="341">
        <f ca="1">INDEX(PriorScores[],MATCH($D17,PriorScores[Team / Player],0),4)</f>
        <v>48</v>
      </c>
      <c r="AI17" s="341">
        <f ca="1">INDEX(PriorScores[],MATCH($D17,PriorScores[Team / Player],0),5)</f>
        <v>46</v>
      </c>
      <c r="AJ17" s="341">
        <f ca="1">INDEX(PriorScores[],MATCH($D17,PriorScores[Team / Player],0),6)</f>
        <v>49</v>
      </c>
      <c r="AK17" s="341">
        <f ca="1">INDEX(PriorScores[],MATCH($D17,PriorScores[Team / Player],0),7)</f>
        <v>47</v>
      </c>
      <c r="AL17" s="341">
        <f ca="1">INDEX(PriorScores[],MATCH($D17,PriorScores[Team / Player],0),8)</f>
        <v>41</v>
      </c>
      <c r="AM17" s="341">
        <f ca="1">INDEX(PriorScores[],MATCH($D17,PriorScores[Team / Player],0),9)</f>
        <v>45</v>
      </c>
      <c r="AN17" s="341">
        <f ca="1">INDEX(PriorScores[],MATCH($D17,PriorScores[Team / Player],0),10)</f>
        <v>48</v>
      </c>
      <c r="AO17" s="341">
        <f ca="1">INDEX(PriorScores[],MATCH($D17,PriorScores[Team / Player],0),11)</f>
        <v>54</v>
      </c>
      <c r="AP17" s="20">
        <f t="shared" ca="1" si="37"/>
        <v>49</v>
      </c>
      <c r="AQ17" s="20">
        <f t="shared" ca="1" si="37"/>
        <v>45</v>
      </c>
      <c r="AR17" s="20">
        <f t="shared" ca="1" si="37"/>
        <v>46</v>
      </c>
      <c r="AS17" s="20">
        <f t="shared" ca="1" si="37"/>
        <v>46</v>
      </c>
      <c r="AT17" s="20">
        <f t="shared" ca="1" si="37"/>
        <v>46</v>
      </c>
      <c r="AU17" s="20">
        <f t="shared" ca="1" si="37"/>
        <v>46</v>
      </c>
      <c r="AV17" s="20">
        <f t="shared" ca="1" si="37"/>
        <v>48</v>
      </c>
      <c r="AW17" s="20">
        <f t="shared" ca="1" si="37"/>
        <v>0</v>
      </c>
      <c r="AX17" s="20">
        <f t="shared" ca="1" si="37"/>
        <v>0</v>
      </c>
      <c r="AY17" s="20">
        <f t="shared" ca="1" si="37"/>
        <v>0</v>
      </c>
      <c r="AZ17" s="20">
        <f t="shared" ca="1" si="38"/>
        <v>46</v>
      </c>
      <c r="BA17" s="20">
        <f t="shared" ca="1" si="38"/>
        <v>0</v>
      </c>
      <c r="BB17" s="20">
        <f t="shared" ca="1" si="38"/>
        <v>46</v>
      </c>
      <c r="BC17" s="20">
        <f t="shared" ca="1" si="38"/>
        <v>44</v>
      </c>
      <c r="BD17" s="20">
        <f t="shared" ca="1" si="38"/>
        <v>0</v>
      </c>
      <c r="BE17" s="20">
        <f t="shared" ca="1" si="38"/>
        <v>41</v>
      </c>
      <c r="BF17" s="20">
        <f t="shared" ca="1" si="38"/>
        <v>48</v>
      </c>
      <c r="BG17" s="20">
        <f t="shared" ca="1" si="38"/>
        <v>0</v>
      </c>
      <c r="BH17" s="20">
        <f t="shared" ca="1" si="38"/>
        <v>41</v>
      </c>
      <c r="BI17" s="34"/>
      <c r="BJ17" s="341">
        <v>0</v>
      </c>
      <c r="BK17" s="341">
        <v>0</v>
      </c>
      <c r="BL17" s="341">
        <v>0</v>
      </c>
      <c r="BM17" s="341">
        <v>0</v>
      </c>
      <c r="BN17" s="341">
        <v>0</v>
      </c>
      <c r="BO17" s="341">
        <v>0</v>
      </c>
      <c r="BP17" s="341">
        <v>0</v>
      </c>
      <c r="BQ17" s="341">
        <v>0</v>
      </c>
      <c r="BR17" s="341">
        <v>0</v>
      </c>
      <c r="BS17" s="341">
        <v>0</v>
      </c>
      <c r="BT17" s="20">
        <f t="shared" ca="1" si="39"/>
        <v>0</v>
      </c>
      <c r="BU17" s="20">
        <f t="shared" ca="1" si="39"/>
        <v>0</v>
      </c>
      <c r="BV17" s="20">
        <f t="shared" ca="1" si="39"/>
        <v>0</v>
      </c>
      <c r="BW17" s="20">
        <f t="shared" ca="1" si="39"/>
        <v>0</v>
      </c>
      <c r="BX17" s="20">
        <f t="shared" ca="1" si="39"/>
        <v>0</v>
      </c>
      <c r="BY17" s="20">
        <f t="shared" ca="1" si="39"/>
        <v>0</v>
      </c>
      <c r="BZ17" s="20">
        <f t="shared" ca="1" si="39"/>
        <v>0</v>
      </c>
      <c r="CA17" s="20">
        <f t="shared" ca="1" si="39"/>
        <v>0</v>
      </c>
      <c r="CB17" s="20">
        <f t="shared" ca="1" si="39"/>
        <v>0</v>
      </c>
      <c r="CC17" s="20">
        <f t="shared" ca="1" si="39"/>
        <v>0</v>
      </c>
      <c r="CD17" s="20">
        <f t="shared" ca="1" si="40"/>
        <v>0</v>
      </c>
      <c r="CE17" s="20">
        <f t="shared" ca="1" si="40"/>
        <v>0</v>
      </c>
      <c r="CF17" s="20">
        <f t="shared" ca="1" si="40"/>
        <v>0</v>
      </c>
      <c r="CG17" s="20">
        <f t="shared" ca="1" si="40"/>
        <v>0</v>
      </c>
      <c r="CH17" s="20">
        <f t="shared" ca="1" si="40"/>
        <v>1</v>
      </c>
      <c r="CI17" s="20">
        <f t="shared" ca="1" si="40"/>
        <v>0</v>
      </c>
      <c r="CJ17" s="20">
        <f t="shared" ca="1" si="40"/>
        <v>0</v>
      </c>
      <c r="CK17" s="20">
        <f t="shared" ca="1" si="40"/>
        <v>1</v>
      </c>
      <c r="CL17" s="20">
        <f t="shared" ca="1" si="40"/>
        <v>0</v>
      </c>
      <c r="CM17" s="34"/>
      <c r="CN17" s="20">
        <f t="shared" ca="1" si="41"/>
        <v>40</v>
      </c>
      <c r="CO17" s="20">
        <f t="shared" ca="1" si="41"/>
        <v>36</v>
      </c>
      <c r="CP17" s="20">
        <f t="shared" ca="1" si="41"/>
        <v>38</v>
      </c>
      <c r="CQ17" s="20">
        <f t="shared" ca="1" si="41"/>
        <v>38</v>
      </c>
      <c r="CR17" s="20">
        <f t="shared" ca="1" si="41"/>
        <v>38</v>
      </c>
      <c r="CS17" s="20">
        <f t="shared" ca="1" si="41"/>
        <v>38</v>
      </c>
      <c r="CT17" s="20">
        <f t="shared" ca="1" si="41"/>
        <v>40</v>
      </c>
      <c r="CU17" s="20" t="str">
        <f t="shared" ca="1" si="41"/>
        <v/>
      </c>
      <c r="CV17" s="20" t="str">
        <f t="shared" ca="1" si="41"/>
        <v/>
      </c>
      <c r="CW17" s="20" t="str">
        <f t="shared" ca="1" si="41"/>
        <v/>
      </c>
      <c r="CX17" s="20">
        <f t="shared" ca="1" si="42"/>
        <v>37</v>
      </c>
      <c r="CY17" s="20" t="str">
        <f t="shared" ca="1" si="42"/>
        <v/>
      </c>
      <c r="CZ17" s="20">
        <f t="shared" ca="1" si="42"/>
        <v>37</v>
      </c>
      <c r="DA17" s="20">
        <f t="shared" ca="1" si="42"/>
        <v>35</v>
      </c>
      <c r="DB17" s="20" t="str">
        <f t="shared" ca="1" si="42"/>
        <v/>
      </c>
      <c r="DC17" s="20">
        <f t="shared" ca="1" si="42"/>
        <v>32</v>
      </c>
      <c r="DD17" s="20">
        <f t="shared" ca="1" si="42"/>
        <v>40</v>
      </c>
      <c r="DE17" s="20" t="str">
        <f t="shared" ca="1" si="42"/>
        <v/>
      </c>
      <c r="DF17" s="20">
        <f t="shared" ca="1" si="42"/>
        <v>33</v>
      </c>
      <c r="DG17" s="34"/>
      <c r="DH17" s="20">
        <f t="shared" ca="1" si="43"/>
        <v>12</v>
      </c>
      <c r="DI17" s="20">
        <f t="shared" ca="1" si="43"/>
        <v>16</v>
      </c>
      <c r="DJ17" s="20">
        <f t="shared" ca="1" si="43"/>
        <v>16</v>
      </c>
      <c r="DK17" s="20">
        <f t="shared" ca="1" si="43"/>
        <v>15</v>
      </c>
      <c r="DL17" s="20">
        <f t="shared" ca="1" si="43"/>
        <v>14</v>
      </c>
      <c r="DM17" s="20">
        <f t="shared" ca="1" si="43"/>
        <v>11</v>
      </c>
      <c r="DN17" s="20">
        <f t="shared" ca="1" si="43"/>
        <v>7</v>
      </c>
      <c r="DO17" s="20" t="str">
        <f t="shared" ca="1" si="43"/>
        <v/>
      </c>
      <c r="DP17" s="20" t="str">
        <f t="shared" ca="1" si="43"/>
        <v/>
      </c>
      <c r="DQ17" s="20" t="str">
        <f t="shared" ca="1" si="43"/>
        <v/>
      </c>
      <c r="DR17" s="20">
        <f t="shared" ca="1" si="44"/>
        <v>11</v>
      </c>
      <c r="DS17" s="20" t="str">
        <f t="shared" ca="1" si="44"/>
        <v/>
      </c>
      <c r="DT17" s="20">
        <f t="shared" ca="1" si="44"/>
        <v>13</v>
      </c>
      <c r="DU17" s="20">
        <f t="shared" ca="1" si="44"/>
        <v>16</v>
      </c>
      <c r="DV17" s="20">
        <f t="shared" ca="1" si="44"/>
        <v>7</v>
      </c>
      <c r="DW17" s="20">
        <f t="shared" ca="1" si="44"/>
        <v>18</v>
      </c>
      <c r="DX17" s="20">
        <f t="shared" ca="1" si="44"/>
        <v>4</v>
      </c>
      <c r="DY17" s="20" t="str">
        <f t="shared" ca="1" si="44"/>
        <v/>
      </c>
      <c r="DZ17" s="20" t="str">
        <f t="shared" ca="1" si="44"/>
        <v/>
      </c>
      <c r="EA17" s="34"/>
      <c r="EB17" s="20">
        <f t="shared" ca="1" si="45"/>
        <v>1</v>
      </c>
      <c r="EC17" s="20" t="str">
        <f t="shared" ca="1" si="45"/>
        <v/>
      </c>
      <c r="ED17" s="20" t="str">
        <f t="shared" ca="1" si="45"/>
        <v/>
      </c>
      <c r="EE17" s="20">
        <f t="shared" ca="1" si="45"/>
        <v>1</v>
      </c>
      <c r="EF17" s="20" t="str">
        <f t="shared" ca="1" si="45"/>
        <v/>
      </c>
      <c r="EG17" s="20" t="str">
        <f t="shared" ca="1" si="45"/>
        <v/>
      </c>
      <c r="EH17" s="20" t="str">
        <f t="shared" ca="1" si="45"/>
        <v/>
      </c>
      <c r="EI17" s="20" t="str">
        <f t="shared" ca="1" si="45"/>
        <v/>
      </c>
      <c r="EJ17" s="20" t="str">
        <f t="shared" ca="1" si="45"/>
        <v/>
      </c>
      <c r="EK17" s="20" t="str">
        <f t="shared" ca="1" si="45"/>
        <v/>
      </c>
      <c r="EL17" s="20" t="str">
        <f t="shared" ca="1" si="46"/>
        <v/>
      </c>
      <c r="EM17" s="20" t="str">
        <f t="shared" ca="1" si="46"/>
        <v/>
      </c>
      <c r="EN17" s="20" t="str">
        <f t="shared" ca="1" si="46"/>
        <v/>
      </c>
      <c r="EO17" s="20" t="str">
        <f t="shared" ca="1" si="46"/>
        <v/>
      </c>
      <c r="EP17" s="20">
        <f t="shared" ca="1" si="46"/>
        <v>1</v>
      </c>
      <c r="EQ17" s="20" t="str">
        <f t="shared" ca="1" si="46"/>
        <v/>
      </c>
      <c r="ER17" s="20" t="str">
        <f t="shared" ca="1" si="46"/>
        <v/>
      </c>
      <c r="ES17" s="20" t="str">
        <f t="shared" ca="1" si="46"/>
        <v/>
      </c>
      <c r="ET17" s="20" t="str">
        <f t="shared" ca="1" si="46"/>
        <v/>
      </c>
      <c r="EU17" s="34"/>
      <c r="EV17" s="20" t="str">
        <f t="shared" ca="1" si="47"/>
        <v/>
      </c>
      <c r="EW17" s="20" t="str">
        <f t="shared" ca="1" si="47"/>
        <v/>
      </c>
      <c r="EX17" s="20" t="str">
        <f t="shared" ca="1" si="47"/>
        <v/>
      </c>
      <c r="EY17" s="20" t="str">
        <f t="shared" ca="1" si="47"/>
        <v/>
      </c>
      <c r="EZ17" s="20" t="str">
        <f t="shared" ca="1" si="47"/>
        <v/>
      </c>
      <c r="FA17" s="20" t="str">
        <f t="shared" ca="1" si="47"/>
        <v/>
      </c>
      <c r="FB17" s="20" t="str">
        <f t="shared" ca="1" si="47"/>
        <v/>
      </c>
      <c r="FC17" s="20" t="str">
        <f t="shared" ca="1" si="47"/>
        <v/>
      </c>
      <c r="FD17" s="20" t="str">
        <f t="shared" ca="1" si="47"/>
        <v/>
      </c>
      <c r="FE17" s="20" t="str">
        <f t="shared" ca="1" si="47"/>
        <v/>
      </c>
      <c r="FF17" s="20" t="str">
        <f t="shared" ca="1" si="48"/>
        <v/>
      </c>
      <c r="FG17" s="20" t="str">
        <f t="shared" ca="1" si="48"/>
        <v/>
      </c>
      <c r="FH17" s="20" t="str">
        <f t="shared" ca="1" si="48"/>
        <v/>
      </c>
      <c r="FI17" s="20" t="str">
        <f t="shared" ca="1" si="48"/>
        <v/>
      </c>
      <c r="FJ17" s="20" t="str">
        <f t="shared" ca="1" si="48"/>
        <v/>
      </c>
      <c r="FK17" s="20" t="str">
        <f t="shared" ca="1" si="48"/>
        <v/>
      </c>
      <c r="FL17" s="20" t="str">
        <f t="shared" ca="1" si="48"/>
        <v/>
      </c>
      <c r="FM17" s="20" t="str">
        <f t="shared" ca="1" si="48"/>
        <v/>
      </c>
      <c r="FN17" s="20" t="str">
        <f t="shared" ca="1" si="48"/>
        <v/>
      </c>
      <c r="FO17" s="34"/>
      <c r="FP17" s="20" t="str">
        <f t="shared" ca="1" si="49"/>
        <v>w</v>
      </c>
      <c r="FQ17" s="20" t="str">
        <f t="shared" ca="1" si="49"/>
        <v>w</v>
      </c>
      <c r="FR17" s="20" t="str">
        <f t="shared" ca="1" si="49"/>
        <v>w</v>
      </c>
      <c r="FS17" s="20" t="str">
        <f t="shared" ca="1" si="49"/>
        <v>w</v>
      </c>
      <c r="FT17" s="20" t="str">
        <f t="shared" ca="1" si="49"/>
        <v>w</v>
      </c>
      <c r="FU17" s="20" t="str">
        <f t="shared" ca="1" si="49"/>
        <v>w</v>
      </c>
      <c r="FV17" s="20" t="str">
        <f t="shared" ca="1" si="49"/>
        <v>l</v>
      </c>
      <c r="FW17" s="20" t="str">
        <f t="shared" ca="1" si="49"/>
        <v/>
      </c>
      <c r="FX17" s="20" t="str">
        <f t="shared" ca="1" si="49"/>
        <v/>
      </c>
      <c r="FY17" s="20" t="str">
        <f t="shared" ca="1" si="49"/>
        <v/>
      </c>
      <c r="FZ17" s="20" t="str">
        <f t="shared" ca="1" si="50"/>
        <v>w</v>
      </c>
      <c r="GA17" s="20" t="str">
        <f t="shared" ca="1" si="50"/>
        <v/>
      </c>
      <c r="GB17" s="20" t="str">
        <f t="shared" ca="1" si="50"/>
        <v>w</v>
      </c>
      <c r="GC17" s="20" t="str">
        <f t="shared" ca="1" si="50"/>
        <v>w</v>
      </c>
      <c r="GD17" s="20" t="str">
        <f t="shared" ca="1" si="50"/>
        <v>l</v>
      </c>
      <c r="GE17" s="20" t="str">
        <f t="shared" ca="1" si="50"/>
        <v>w</v>
      </c>
      <c r="GF17" s="20" t="str">
        <f t="shared" ca="1" si="50"/>
        <v>l</v>
      </c>
      <c r="GG17" s="20" t="str">
        <f t="shared" ca="1" si="50"/>
        <v/>
      </c>
      <c r="GH17" s="20" t="str">
        <f t="shared" ca="1" si="50"/>
        <v>w</v>
      </c>
      <c r="GI17" s="34"/>
      <c r="HE17" s="34"/>
      <c r="HZ17" s="34"/>
      <c r="IA17" s="19" t="str">
        <f t="shared" ca="1" si="51"/>
        <v>No Hdcp</v>
      </c>
      <c r="IB17" s="19" t="str">
        <f ca="1">IF($D17&lt;&gt;"","Low of score &amp; "&amp;MIN($H17:$H17),"")</f>
        <v>Low of score &amp; 41</v>
      </c>
      <c r="IC17" s="19" t="str">
        <f ca="1">IF($D17&lt;&gt;"","Low of score &amp; "&amp;MIN($H17:$I17),"")</f>
        <v>Low of score &amp; 41</v>
      </c>
      <c r="ID17" s="18" t="str">
        <f ca="1">IF($D17&lt;&gt;"","Low of score &amp; "&amp;MIN($H17:$J17),"")</f>
        <v>Low of score &amp; 41</v>
      </c>
      <c r="IE17" s="18" t="str">
        <f ca="1">IF($D17&lt;&gt;"","Low of score &amp; "&amp;MIN($H17:$K17),"")</f>
        <v>Low of score &amp; 41</v>
      </c>
      <c r="IF17" s="18">
        <f ca="1">IF($D17&lt;&gt;"",ROUND(MIN((MIN($H17:$L17)-36)*0.96,20),2),"")</f>
        <v>4.8</v>
      </c>
      <c r="IG17" s="353">
        <f ca="1">IF($D17&lt;&gt;"",ROUND(MIN((AVERAGE(SMALL($H17:$M17,1),SMALL($H17:$M17,2))-36)*0.96,20),2),"")</f>
        <v>4.8</v>
      </c>
      <c r="IH17" s="18">
        <f ca="1">IF($D17&lt;&gt;"",ROUND(MIN((AVERAGE(SMALL($H17:$N17,1),SMALL($H17:$N17,2),SMALL($H17:$N17,3))-36)*0.96,20),2),"")</f>
        <v>5.76</v>
      </c>
      <c r="II17" s="18">
        <f ca="1">IF($D17&lt;&gt;"",ROUND(MIN((AVERAGE(SMALL($H17:$O17,1),SMALL($H17:$O17,2),SMALL($H17:$O17,3),SMALL($H17:$O17,4))-36)*0.96,20),2),"")</f>
        <v>6.72</v>
      </c>
      <c r="IJ17" s="18">
        <f ca="1">IF($D17&lt;&gt;"",ROUND(MIN((AVERAGE(SMALL($H17:$P17,1),SMALL($H17:$P17,2),SMALL($H17:$P17,3),SMALL($H17:$P17,4))-36)*0.96,20),2),"")</f>
        <v>6.72</v>
      </c>
      <c r="IK17" s="18">
        <f ca="1">IF($D17&lt;&gt;"",ROUND(MIN((AVERAGE(SMALL($H17:$Q17,1),SMALL($H17:$Q17,2),SMALL($H17:$Q17,3),SMALL($H17:$Q17,4),SMALL($H17:$Q17,5))-36)*0.96,20),2),"")</f>
        <v>7.3</v>
      </c>
      <c r="IL17" s="34"/>
      <c r="IN17" s="18">
        <f ca="1">AO17</f>
        <v>54</v>
      </c>
      <c r="IO17" s="18">
        <f ca="1">AN17</f>
        <v>48</v>
      </c>
      <c r="IP17" s="18">
        <f ca="1">AM17</f>
        <v>45</v>
      </c>
      <c r="IQ17" s="18">
        <f ca="1">AL17</f>
        <v>41</v>
      </c>
      <c r="IR17" s="18">
        <f ca="1">AK17</f>
        <v>47</v>
      </c>
      <c r="IS17" s="18">
        <f ca="1">AJ17</f>
        <v>49</v>
      </c>
      <c r="IT17" s="18">
        <f ca="1">AI17</f>
        <v>46</v>
      </c>
      <c r="IU17" s="18">
        <f ca="1">AH17</f>
        <v>48</v>
      </c>
      <c r="IV17" s="18">
        <f ca="1">AG17</f>
        <v>47</v>
      </c>
      <c r="IW17" s="18">
        <f ca="1">AF17</f>
        <v>49</v>
      </c>
      <c r="IX17" s="19">
        <f ca="1">IF(D17&lt;&gt;"",COUNT(IN17:IW17),"")</f>
        <v>10</v>
      </c>
      <c r="IY17" s="21">
        <f ca="1">IF(D17&lt;&gt;"",INDEX($JA17:$JK17,1,MATCH($IX17,$JA$6:$JK$6,0)), "")</f>
        <v>8.8320000000000025</v>
      </c>
      <c r="JA17" s="18" t="str">
        <f ca="1">IF(D17&lt;&gt;"","No Hdcp","")</f>
        <v>No Hdcp</v>
      </c>
      <c r="JB17" s="18" t="str">
        <f ca="1">IF(D17&lt;&gt;"","Low of score &amp; "&amp;MIN($IN17:$IN17),"")</f>
        <v>Low of score &amp; 54</v>
      </c>
      <c r="JC17" s="18" t="str">
        <f ca="1">IF(D17&lt;&gt;"","Low of score &amp; "&amp;MIN($IN17:$IO17),"")</f>
        <v>Low of score &amp; 48</v>
      </c>
      <c r="JD17" s="18" t="str">
        <f ca="1">IF(D17&lt;&gt;"","Low of score &amp; "&amp;MIN($IN17:$IP17),"")</f>
        <v>Low of score &amp; 45</v>
      </c>
      <c r="JE17" s="18" t="str">
        <f ca="1">IF(D17&lt;&gt;"","Low of score &amp; "&amp;MIN($IN17:$IQ17),"")</f>
        <v>Low of score &amp; 41</v>
      </c>
      <c r="JF17" s="18">
        <f ca="1">IF(D17&lt;&gt;"",MIN((MIN($IN17:$IR17)-36)*0.96,20),"")</f>
        <v>4.8</v>
      </c>
      <c r="JG17" s="18">
        <f ca="1">IF(D17&lt;&gt;"",MIN((AVERAGE(SMALL($IN17:$IS17,1),SMALL($IN17:$IS17,2))-36)*0.96,20),"")</f>
        <v>6.72</v>
      </c>
      <c r="JH17" s="18">
        <f ca="1">IF(D17&lt;&gt;"",MIN((AVERAGE(SMALL($IN17:$IT17,1),SMALL($IN17:$IT17,2),SMALL($IN17:$IT17,3))-36)*0.96,20),"")</f>
        <v>7.68</v>
      </c>
      <c r="JI17" s="18">
        <f ca="1">IF(D17&lt;&gt;"",MIN((AVERAGE(SMALL($IN17:$IU17,1),SMALL($IN17:$IU17,2),SMALL($IN17:$IU17,3),SMALL($IN17:$IU17,4))-36)*0.96,20),"")</f>
        <v>8.4</v>
      </c>
      <c r="JJ17" s="18">
        <f ca="1">IF(D17&lt;&gt;"",MIN((AVERAGE(SMALL($IN17:$IV17,1),SMALL($IN17:$IV17,2),SMALL($IN17:$IV17,3),SMALL($IN17:$IV17,4))-36)*0.96,20),"")</f>
        <v>8.4</v>
      </c>
      <c r="JK17" s="18">
        <f ca="1">IF(D17&lt;&gt;"",MIN((AVERAGE(SMALL($IN17:$IW17,1),SMALL($IN17:$IW17,2),SMALL($IN17:$IW17,3),SMALL($IN17:$IW17,4),SMALL($IN17:$IW17,5))-36)*0.96,20),"")</f>
        <v>8.8320000000000025</v>
      </c>
    </row>
    <row r="18" spans="1:271" x14ac:dyDescent="0.2">
      <c r="A18" s="18" t="s">
        <v>19</v>
      </c>
      <c r="B18" s="19">
        <f>B17+7</f>
        <v>26</v>
      </c>
      <c r="C18" s="22">
        <f t="shared" ca="1" si="30"/>
        <v>8.6999999999999994E-3</v>
      </c>
      <c r="D18" s="18" t="str">
        <f t="shared" ca="1" si="31"/>
        <v>Sanders, Jim - C</v>
      </c>
      <c r="E18" s="19">
        <f t="shared" ca="1" si="32"/>
        <v>2</v>
      </c>
      <c r="F18" s="19">
        <f ca="1">IF(D18&lt;&gt;"",COUNT($H18:$Q18),"")</f>
        <v>2</v>
      </c>
      <c r="G18" s="21" t="str">
        <f ca="1">IF($D18&lt;&gt;"",INDEX($IA18:$IK18,1,MATCH($F18,$IA$6:$IK$6,0)), "")</f>
        <v>Low of score &amp; 50</v>
      </c>
      <c r="H18" s="337" cm="1">
        <f t="array" aca="1" ref="H18" ca="1">IFERROR(_xlfn.SINGLE(INDEX($AF18:$BH18, , SUMPRODUCT(LARGE((($AF18:$BH18&lt;&gt;0)*($BJ18:$CL18&lt;&gt;1)*($AF$5:$BH$5)), H$6)))), "")</f>
        <v>50</v>
      </c>
      <c r="I18" s="338" cm="1">
        <f t="array" aca="1" ref="I18" ca="1">IFERROR(_xlfn.SINGLE(INDEX($AF18:$BH18, , SUMPRODUCT(LARGE((($AF18:$BH18&lt;&gt;0)*($BJ18:$CL18&lt;&gt;1)*($AF$5:$BH$5)), I$6)))), "")</f>
        <v>55</v>
      </c>
      <c r="J18" s="338" t="str" cm="1">
        <f t="array" aca="1" ref="J18" ca="1">IFERROR(_xlfn.SINGLE(INDEX($AF18:$BH18, , SUMPRODUCT(LARGE((($AF18:$BH18&lt;&gt;0)*($BJ18:$CL18&lt;&gt;1)*($AF$5:$BH$5)), J$6)))), "")</f>
        <v/>
      </c>
      <c r="K18" s="338" t="str" cm="1">
        <f t="array" aca="1" ref="K18" ca="1">IFERROR(_xlfn.SINGLE(INDEX($AF18:$BH18, , SUMPRODUCT(LARGE((($AF18:$BH18&lt;&gt;0)*($BJ18:$CL18&lt;&gt;1)*($AF$5:$BH$5)), K$6)))), "")</f>
        <v/>
      </c>
      <c r="L18" s="338" t="str" cm="1">
        <f t="array" aca="1" ref="L18" ca="1">IFERROR(_xlfn.SINGLE(INDEX($AF18:$BH18, , SUMPRODUCT(LARGE((($AF18:$BH18&lt;&gt;0)*($BJ18:$CL18&lt;&gt;1)*($AF$5:$BH$5)), L$6)))), "")</f>
        <v/>
      </c>
      <c r="M18" s="338" t="str" cm="1">
        <f t="array" aca="1" ref="M18" ca="1">IFERROR(_xlfn.SINGLE(INDEX($AF18:$BH18, , SUMPRODUCT(LARGE((($AF18:$BH18&lt;&gt;0)*($BJ18:$CL18&lt;&gt;1)*($AF$5:$BH$5)), M$6)))), "")</f>
        <v/>
      </c>
      <c r="N18" s="338" t="str" cm="1">
        <f t="array" aca="1" ref="N18" ca="1">IFERROR(_xlfn.SINGLE(INDEX($AF18:$BH18, , SUMPRODUCT(LARGE((($AF18:$BH18&lt;&gt;0)*($BJ18:$CL18&lt;&gt;1)*($AF$5:$BH$5)), N$6)))), "")</f>
        <v/>
      </c>
      <c r="O18" s="338" t="str" cm="1">
        <f t="array" aca="1" ref="O18" ca="1">IFERROR(_xlfn.SINGLE(INDEX($AF18:$BH18, , SUMPRODUCT(LARGE((($AF18:$BH18&lt;&gt;0)*($BJ18:$CL18&lt;&gt;1)*($AF$5:$BH$5)), O$6)))), "")</f>
        <v/>
      </c>
      <c r="P18" s="338" t="str" cm="1">
        <f t="array" aca="1" ref="P18" ca="1">IFERROR(_xlfn.SINGLE(INDEX($AF18:$BH18, , SUMPRODUCT(LARGE((($AF18:$BH18&lt;&gt;0)*($BJ18:$CL18&lt;&gt;1)*($AF$5:$BH$5)), P$6)))), "")</f>
        <v/>
      </c>
      <c r="Q18" s="339" t="str" cm="1">
        <f t="array" aca="1" ref="Q18" ca="1">IFERROR(_xlfn.SINGLE(INDEX($AF18:$BH18, , SUMPRODUCT(LARGE((($AF18:$BH18&lt;&gt;0)*($BJ18:$CL18&lt;&gt;1)*($AF$5:$BH$5)), Q$6)))), "")</f>
        <v/>
      </c>
      <c r="R18" s="21">
        <v>51.454545454545453</v>
      </c>
      <c r="S18" s="47" t="str">
        <f t="shared" ca="1" si="33"/>
        <v>-</v>
      </c>
      <c r="T18" s="21" t="str">
        <f ca="1">IF($D18&lt;&gt;"", IFERROR(IF($E18&gt;=qualifier, SUMIF($BT18:$CL18,0,$AP18:$BH18)/$E18, TEXT(SUMIF($BT18:$CL18,0,$AP18:$BH18)/$E18, "0.00")&amp;"*"), "-"), "")</f>
        <v>52.50*</v>
      </c>
      <c r="U18" s="21" t="str">
        <f ca="1">IF($D18&lt;&gt;"", IFERROR(IF($E18&gt;=qualifier, SUMIF($BT18:$CL18,0,$CN18:$DF18)/$E18, TEXT(SUMIF($BT18:$CL18,0,$CN18:$DF18)/$E18, "0.00")&amp;"*"), "-"), "")</f>
        <v>40.50*</v>
      </c>
      <c r="V18" s="46">
        <f ca="1">IF(AND($D18&lt;&gt;"", $E18&lt;&gt;0), _xlfn.MINIFS($AP18:$BH18,$BT18:$CL18,0,$AP18:$BH18,"&lt;&gt;0"), "")</f>
        <v>50</v>
      </c>
      <c r="W18" s="19">
        <f ca="1">IF(AND($D18&lt;&gt;"", $E18&lt;&gt;0), _xlfn.MINIFS($CN18:$DF18,$BT18:$CL18,0), "")</f>
        <v>38</v>
      </c>
      <c r="X18" s="46">
        <f ca="1">IF($D18&lt;&gt;"", SUM($DH18:$DZ18),  "")</f>
        <v>18</v>
      </c>
      <c r="Y18" s="21" t="str">
        <f ca="1">IF($D18&lt;&gt;"", IFERROR(IF($E18&gt;=qualifier, AVERAGE($DH18:$DZ18), TEXT(AVERAGE($DH18:$DZ18), "0.00")&amp;"*"), "-"), "")</f>
        <v>9.00*</v>
      </c>
      <c r="Z18" s="19">
        <f ca="1">IF($D18&lt;&gt;"", SUM($EB18:$ET18),  "")</f>
        <v>0</v>
      </c>
      <c r="AA18" s="19">
        <f ca="1">IF($D18&lt;&gt;"", SUM($EV18:$FN18),  "")</f>
        <v>0</v>
      </c>
      <c r="AB18" s="46" t="str">
        <f t="shared" ca="1" si="34"/>
        <v>1-1-0</v>
      </c>
      <c r="AC18" s="218">
        <f t="shared" ca="1" si="35"/>
        <v>3302684681</v>
      </c>
      <c r="AD18" s="57" t="str">
        <f t="shared" ca="1" si="36"/>
        <v>jimsanders2@gmail.com</v>
      </c>
      <c r="AE18" s="34"/>
      <c r="AF18" s="341"/>
      <c r="AG18" s="341"/>
      <c r="AH18" s="341"/>
      <c r="AI18" s="341"/>
      <c r="AJ18" s="341"/>
      <c r="AK18" s="341"/>
      <c r="AL18" s="341"/>
      <c r="AM18" s="341"/>
      <c r="AN18" s="341"/>
      <c r="AO18" s="341"/>
      <c r="AP18" s="20">
        <f t="shared" ca="1" si="37"/>
        <v>0</v>
      </c>
      <c r="AQ18" s="20">
        <f t="shared" ca="1" si="37"/>
        <v>0</v>
      </c>
      <c r="AR18" s="20">
        <f t="shared" ca="1" si="37"/>
        <v>0</v>
      </c>
      <c r="AS18" s="20">
        <f t="shared" ca="1" si="37"/>
        <v>0</v>
      </c>
      <c r="AT18" s="20">
        <f t="shared" ca="1" si="37"/>
        <v>0</v>
      </c>
      <c r="AU18" s="20">
        <f t="shared" ca="1" si="37"/>
        <v>0</v>
      </c>
      <c r="AV18" s="20">
        <f t="shared" ca="1" si="37"/>
        <v>55</v>
      </c>
      <c r="AW18" s="20">
        <f t="shared" ca="1" si="37"/>
        <v>0</v>
      </c>
      <c r="AX18" s="20">
        <f t="shared" ca="1" si="37"/>
        <v>50</v>
      </c>
      <c r="AY18" s="20">
        <f t="shared" ca="1" si="37"/>
        <v>0</v>
      </c>
      <c r="AZ18" s="20">
        <f t="shared" ca="1" si="38"/>
        <v>0</v>
      </c>
      <c r="BA18" s="20">
        <f t="shared" ca="1" si="38"/>
        <v>0</v>
      </c>
      <c r="BB18" s="20">
        <f t="shared" ca="1" si="38"/>
        <v>0</v>
      </c>
      <c r="BC18" s="20">
        <f t="shared" ca="1" si="38"/>
        <v>0</v>
      </c>
      <c r="BD18" s="20">
        <f t="shared" ca="1" si="38"/>
        <v>0</v>
      </c>
      <c r="BE18" s="20">
        <f t="shared" ca="1" si="38"/>
        <v>0</v>
      </c>
      <c r="BF18" s="20">
        <f t="shared" ca="1" si="38"/>
        <v>0</v>
      </c>
      <c r="BG18" s="20">
        <f t="shared" ca="1" si="38"/>
        <v>0</v>
      </c>
      <c r="BH18" s="20">
        <f t="shared" ca="1" si="38"/>
        <v>0</v>
      </c>
      <c r="BI18" s="34"/>
      <c r="BJ18" s="341">
        <v>0</v>
      </c>
      <c r="BK18" s="341">
        <v>0</v>
      </c>
      <c r="BL18" s="341">
        <v>0</v>
      </c>
      <c r="BM18" s="341">
        <v>0</v>
      </c>
      <c r="BN18" s="341">
        <v>0</v>
      </c>
      <c r="BO18" s="341">
        <v>0</v>
      </c>
      <c r="BP18" s="341">
        <v>0</v>
      </c>
      <c r="BQ18" s="341">
        <v>0</v>
      </c>
      <c r="BR18" s="341">
        <v>0</v>
      </c>
      <c r="BS18" s="341">
        <v>0</v>
      </c>
      <c r="BT18" s="20">
        <f t="shared" ca="1" si="39"/>
        <v>0</v>
      </c>
      <c r="BU18" s="20">
        <f t="shared" ca="1" si="39"/>
        <v>0</v>
      </c>
      <c r="BV18" s="20">
        <f t="shared" ca="1" si="39"/>
        <v>0</v>
      </c>
      <c r="BW18" s="20">
        <f t="shared" ca="1" si="39"/>
        <v>0</v>
      </c>
      <c r="BX18" s="20">
        <f t="shared" ca="1" si="39"/>
        <v>0</v>
      </c>
      <c r="BY18" s="20">
        <f t="shared" ca="1" si="39"/>
        <v>0</v>
      </c>
      <c r="BZ18" s="20">
        <f t="shared" ca="1" si="39"/>
        <v>0</v>
      </c>
      <c r="CA18" s="20">
        <f t="shared" ca="1" si="39"/>
        <v>0</v>
      </c>
      <c r="CB18" s="20">
        <f t="shared" ca="1" si="39"/>
        <v>0</v>
      </c>
      <c r="CC18" s="20">
        <f t="shared" ca="1" si="39"/>
        <v>0</v>
      </c>
      <c r="CD18" s="20">
        <f t="shared" ca="1" si="40"/>
        <v>0</v>
      </c>
      <c r="CE18" s="20">
        <f t="shared" ca="1" si="40"/>
        <v>0</v>
      </c>
      <c r="CF18" s="20">
        <f t="shared" ca="1" si="40"/>
        <v>0</v>
      </c>
      <c r="CG18" s="20">
        <f t="shared" ca="1" si="40"/>
        <v>0</v>
      </c>
      <c r="CH18" s="20">
        <f t="shared" ca="1" si="40"/>
        <v>0</v>
      </c>
      <c r="CI18" s="20">
        <f t="shared" ca="1" si="40"/>
        <v>0</v>
      </c>
      <c r="CJ18" s="20">
        <f t="shared" ca="1" si="40"/>
        <v>0</v>
      </c>
      <c r="CK18" s="20">
        <f t="shared" ca="1" si="40"/>
        <v>0</v>
      </c>
      <c r="CL18" s="20">
        <f t="shared" ca="1" si="40"/>
        <v>0</v>
      </c>
      <c r="CM18" s="34"/>
      <c r="CN18" s="20" t="str">
        <f t="shared" ca="1" si="41"/>
        <v/>
      </c>
      <c r="CO18" s="20" t="str">
        <f t="shared" ca="1" si="41"/>
        <v/>
      </c>
      <c r="CP18" s="20" t="str">
        <f t="shared" ca="1" si="41"/>
        <v/>
      </c>
      <c r="CQ18" s="20" t="str">
        <f t="shared" ca="1" si="41"/>
        <v/>
      </c>
      <c r="CR18" s="20" t="str">
        <f t="shared" ca="1" si="41"/>
        <v/>
      </c>
      <c r="CS18" s="20" t="str">
        <f t="shared" ca="1" si="41"/>
        <v/>
      </c>
      <c r="CT18" s="20">
        <f t="shared" ca="1" si="41"/>
        <v>43</v>
      </c>
      <c r="CU18" s="20" t="str">
        <f t="shared" ca="1" si="41"/>
        <v/>
      </c>
      <c r="CV18" s="20">
        <f t="shared" ca="1" si="41"/>
        <v>38</v>
      </c>
      <c r="CW18" s="20" t="str">
        <f t="shared" ca="1" si="41"/>
        <v/>
      </c>
      <c r="CX18" s="20" t="str">
        <f t="shared" ca="1" si="42"/>
        <v/>
      </c>
      <c r="CY18" s="20" t="str">
        <f t="shared" ca="1" si="42"/>
        <v/>
      </c>
      <c r="CZ18" s="20" t="str">
        <f t="shared" ca="1" si="42"/>
        <v/>
      </c>
      <c r="DA18" s="20" t="str">
        <f t="shared" ca="1" si="42"/>
        <v/>
      </c>
      <c r="DB18" s="20" t="str">
        <f t="shared" ca="1" si="42"/>
        <v/>
      </c>
      <c r="DC18" s="20" t="str">
        <f t="shared" ca="1" si="42"/>
        <v/>
      </c>
      <c r="DD18" s="20" t="str">
        <f t="shared" ca="1" si="42"/>
        <v/>
      </c>
      <c r="DE18" s="20" t="str">
        <f t="shared" ca="1" si="42"/>
        <v/>
      </c>
      <c r="DF18" s="20" t="str">
        <f t="shared" ca="1" si="42"/>
        <v/>
      </c>
      <c r="DG18" s="34"/>
      <c r="DH18" s="20" t="str">
        <f t="shared" ca="1" si="43"/>
        <v/>
      </c>
      <c r="DI18" s="20" t="str">
        <f t="shared" ca="1" si="43"/>
        <v/>
      </c>
      <c r="DJ18" s="20" t="str">
        <f t="shared" ca="1" si="43"/>
        <v/>
      </c>
      <c r="DK18" s="20" t="str">
        <f t="shared" ca="1" si="43"/>
        <v/>
      </c>
      <c r="DL18" s="20" t="str">
        <f t="shared" ca="1" si="43"/>
        <v/>
      </c>
      <c r="DM18" s="20" t="str">
        <f t="shared" ca="1" si="43"/>
        <v/>
      </c>
      <c r="DN18" s="20">
        <f t="shared" ca="1" si="43"/>
        <v>5</v>
      </c>
      <c r="DO18" s="20" t="str">
        <f t="shared" ca="1" si="43"/>
        <v/>
      </c>
      <c r="DP18" s="20">
        <f t="shared" ca="1" si="43"/>
        <v>13</v>
      </c>
      <c r="DQ18" s="20" t="str">
        <f t="shared" ca="1" si="43"/>
        <v/>
      </c>
      <c r="DR18" s="20" t="str">
        <f t="shared" ca="1" si="44"/>
        <v/>
      </c>
      <c r="DS18" s="20" t="str">
        <f t="shared" ca="1" si="44"/>
        <v/>
      </c>
      <c r="DT18" s="20" t="str">
        <f t="shared" ca="1" si="44"/>
        <v/>
      </c>
      <c r="DU18" s="20" t="str">
        <f t="shared" ca="1" si="44"/>
        <v/>
      </c>
      <c r="DV18" s="20" t="str">
        <f t="shared" ca="1" si="44"/>
        <v/>
      </c>
      <c r="DW18" s="20" t="str">
        <f t="shared" ca="1" si="44"/>
        <v/>
      </c>
      <c r="DX18" s="20" t="str">
        <f t="shared" ca="1" si="44"/>
        <v/>
      </c>
      <c r="DY18" s="20" t="str">
        <f t="shared" ca="1" si="44"/>
        <v/>
      </c>
      <c r="DZ18" s="20" t="str">
        <f t="shared" ca="1" si="44"/>
        <v/>
      </c>
      <c r="EA18" s="34"/>
      <c r="EB18" s="20" t="str">
        <f t="shared" ca="1" si="45"/>
        <v/>
      </c>
      <c r="EC18" s="20" t="str">
        <f t="shared" ca="1" si="45"/>
        <v/>
      </c>
      <c r="ED18" s="20" t="str">
        <f t="shared" ca="1" si="45"/>
        <v/>
      </c>
      <c r="EE18" s="20" t="str">
        <f t="shared" ca="1" si="45"/>
        <v/>
      </c>
      <c r="EF18" s="20" t="str">
        <f t="shared" ca="1" si="45"/>
        <v/>
      </c>
      <c r="EG18" s="20" t="str">
        <f t="shared" ca="1" si="45"/>
        <v/>
      </c>
      <c r="EH18" s="20" t="str">
        <f t="shared" ca="1" si="45"/>
        <v/>
      </c>
      <c r="EI18" s="20" t="str">
        <f t="shared" ca="1" si="45"/>
        <v/>
      </c>
      <c r="EJ18" s="20" t="str">
        <f t="shared" ca="1" si="45"/>
        <v/>
      </c>
      <c r="EK18" s="20" t="str">
        <f t="shared" ca="1" si="45"/>
        <v/>
      </c>
      <c r="EL18" s="20" t="str">
        <f t="shared" ca="1" si="46"/>
        <v/>
      </c>
      <c r="EM18" s="20" t="str">
        <f t="shared" ca="1" si="46"/>
        <v/>
      </c>
      <c r="EN18" s="20" t="str">
        <f t="shared" ca="1" si="46"/>
        <v/>
      </c>
      <c r="EO18" s="20" t="str">
        <f t="shared" ca="1" si="46"/>
        <v/>
      </c>
      <c r="EP18" s="20" t="str">
        <f t="shared" ca="1" si="46"/>
        <v/>
      </c>
      <c r="EQ18" s="20" t="str">
        <f t="shared" ca="1" si="46"/>
        <v/>
      </c>
      <c r="ER18" s="20" t="str">
        <f t="shared" ca="1" si="46"/>
        <v/>
      </c>
      <c r="ES18" s="20" t="str">
        <f t="shared" ca="1" si="46"/>
        <v/>
      </c>
      <c r="ET18" s="20" t="str">
        <f t="shared" ca="1" si="46"/>
        <v/>
      </c>
      <c r="EU18" s="34"/>
      <c r="EV18" s="20" t="str">
        <f t="shared" ca="1" si="47"/>
        <v/>
      </c>
      <c r="EW18" s="20" t="str">
        <f t="shared" ca="1" si="47"/>
        <v/>
      </c>
      <c r="EX18" s="20" t="str">
        <f t="shared" ca="1" si="47"/>
        <v/>
      </c>
      <c r="EY18" s="20" t="str">
        <f t="shared" ca="1" si="47"/>
        <v/>
      </c>
      <c r="EZ18" s="20" t="str">
        <f t="shared" ca="1" si="47"/>
        <v/>
      </c>
      <c r="FA18" s="20" t="str">
        <f t="shared" ca="1" si="47"/>
        <v/>
      </c>
      <c r="FB18" s="20" t="str">
        <f t="shared" ca="1" si="47"/>
        <v/>
      </c>
      <c r="FC18" s="20" t="str">
        <f t="shared" ca="1" si="47"/>
        <v/>
      </c>
      <c r="FD18" s="20" t="str">
        <f t="shared" ca="1" si="47"/>
        <v/>
      </c>
      <c r="FE18" s="20" t="str">
        <f t="shared" ca="1" si="47"/>
        <v/>
      </c>
      <c r="FF18" s="20" t="str">
        <f t="shared" ca="1" si="48"/>
        <v/>
      </c>
      <c r="FG18" s="20" t="str">
        <f t="shared" ca="1" si="48"/>
        <v/>
      </c>
      <c r="FH18" s="20" t="str">
        <f t="shared" ca="1" si="48"/>
        <v/>
      </c>
      <c r="FI18" s="20" t="str">
        <f t="shared" ca="1" si="48"/>
        <v/>
      </c>
      <c r="FJ18" s="20" t="str">
        <f t="shared" ca="1" si="48"/>
        <v/>
      </c>
      <c r="FK18" s="20" t="str">
        <f t="shared" ca="1" si="48"/>
        <v/>
      </c>
      <c r="FL18" s="20" t="str">
        <f t="shared" ca="1" si="48"/>
        <v/>
      </c>
      <c r="FM18" s="20" t="str">
        <f t="shared" ca="1" si="48"/>
        <v/>
      </c>
      <c r="FN18" s="20" t="str">
        <f t="shared" ca="1" si="48"/>
        <v/>
      </c>
      <c r="FO18" s="34"/>
      <c r="FP18" s="20" t="str">
        <f t="shared" ca="1" si="49"/>
        <v/>
      </c>
      <c r="FQ18" s="20" t="str">
        <f t="shared" ca="1" si="49"/>
        <v/>
      </c>
      <c r="FR18" s="20" t="str">
        <f t="shared" ca="1" si="49"/>
        <v/>
      </c>
      <c r="FS18" s="20" t="str">
        <f t="shared" ca="1" si="49"/>
        <v/>
      </c>
      <c r="FT18" s="20" t="str">
        <f t="shared" ca="1" si="49"/>
        <v/>
      </c>
      <c r="FU18" s="20" t="str">
        <f t="shared" ca="1" si="49"/>
        <v/>
      </c>
      <c r="FV18" s="20" t="str">
        <f t="shared" ca="1" si="49"/>
        <v>l</v>
      </c>
      <c r="FW18" s="20" t="str">
        <f t="shared" ca="1" si="49"/>
        <v/>
      </c>
      <c r="FX18" s="20" t="str">
        <f t="shared" ca="1" si="49"/>
        <v>w</v>
      </c>
      <c r="FY18" s="20" t="str">
        <f t="shared" ca="1" si="49"/>
        <v/>
      </c>
      <c r="FZ18" s="20" t="str">
        <f t="shared" ca="1" si="50"/>
        <v/>
      </c>
      <c r="GA18" s="20" t="str">
        <f t="shared" ca="1" si="50"/>
        <v/>
      </c>
      <c r="GB18" s="20" t="str">
        <f t="shared" ca="1" si="50"/>
        <v/>
      </c>
      <c r="GC18" s="20" t="str">
        <f t="shared" ca="1" si="50"/>
        <v/>
      </c>
      <c r="GD18" s="20" t="str">
        <f t="shared" ca="1" si="50"/>
        <v/>
      </c>
      <c r="GE18" s="20" t="str">
        <f t="shared" ca="1" si="50"/>
        <v/>
      </c>
      <c r="GF18" s="20" t="str">
        <f t="shared" ca="1" si="50"/>
        <v/>
      </c>
      <c r="GG18" s="20" t="str">
        <f t="shared" ca="1" si="50"/>
        <v/>
      </c>
      <c r="GH18" s="20" t="str">
        <f t="shared" ca="1" si="50"/>
        <v/>
      </c>
      <c r="GI18" s="34"/>
      <c r="HE18" s="34"/>
      <c r="HZ18" s="34"/>
      <c r="IA18" s="19" t="str">
        <f t="shared" ca="1" si="51"/>
        <v>No Hdcp</v>
      </c>
      <c r="IB18" s="19" t="str">
        <f ca="1">IF($D18&lt;&gt;"","Low of score &amp; "&amp;MIN($H18:$H18),"")</f>
        <v>Low of score &amp; 50</v>
      </c>
      <c r="IC18" s="19" t="str">
        <f ca="1">IF($D18&lt;&gt;"","Low of score &amp; "&amp;MIN($H18:$I18),"")</f>
        <v>Low of score &amp; 50</v>
      </c>
      <c r="ID18" s="18" t="str">
        <f ca="1">IF($D18&lt;&gt;"","Low of score &amp; "&amp;MIN($H18:$J18),"")</f>
        <v>Low of score &amp; 50</v>
      </c>
      <c r="IE18" s="18" t="str">
        <f ca="1">IF($D18&lt;&gt;"","Low of score &amp; "&amp;MIN($H18:$K18),"")</f>
        <v>Low of score &amp; 50</v>
      </c>
      <c r="IF18" s="18">
        <f ca="1">IF($D18&lt;&gt;"",ROUND(MIN((MIN($H18:$L18)-36)*0.96,20),2),"")</f>
        <v>13.44</v>
      </c>
      <c r="IG18" s="353">
        <f ca="1">IF($D18&lt;&gt;"",ROUND(MIN((AVERAGE(SMALL($H18:$M18,1),SMALL($H18:$M18,2))-36)*0.96,20),2),"")</f>
        <v>15.84</v>
      </c>
      <c r="IH18" s="18" t="e">
        <f ca="1">IF($D18&lt;&gt;"",ROUND(MIN((AVERAGE(SMALL($H18:$N18,1),SMALL($H18:$N18,2),SMALL($H18:$N18,3))-36)*0.96,20),2),"")</f>
        <v>#NUM!</v>
      </c>
      <c r="II18" s="18" t="e">
        <f ca="1">IF($D18&lt;&gt;"",ROUND(MIN((AVERAGE(SMALL($H18:$O18,1),SMALL($H18:$O18,2),SMALL($H18:$O18,3),SMALL($H18:$O18,4))-36)*0.96,20),2),"")</f>
        <v>#NUM!</v>
      </c>
      <c r="IJ18" s="18" t="e">
        <f ca="1">IF($D18&lt;&gt;"",ROUND(MIN((AVERAGE(SMALL($H18:$P18,1),SMALL($H18:$P18,2),SMALL($H18:$P18,3),SMALL($H18:$P18,4))-36)*0.96,20),2),"")</f>
        <v>#NUM!</v>
      </c>
      <c r="IK18" s="18" t="e">
        <f ca="1">IF($D18&lt;&gt;"",ROUND(MIN((AVERAGE(SMALL($H18:$Q18,1),SMALL($H18:$Q18,2),SMALL($H18:$Q18,3),SMALL($H18:$Q18,4),SMALL($H18:$Q18,5))-36)*0.96,20),2),"")</f>
        <v>#NUM!</v>
      </c>
      <c r="IL18" s="34"/>
      <c r="IN18" s="18">
        <f>AO18</f>
        <v>0</v>
      </c>
      <c r="IO18" s="18">
        <f>AN18</f>
        <v>0</v>
      </c>
      <c r="IP18" s="18">
        <f>AM18</f>
        <v>0</v>
      </c>
      <c r="IQ18" s="18">
        <f>AL18</f>
        <v>0</v>
      </c>
      <c r="IR18" s="18">
        <f>AK18</f>
        <v>0</v>
      </c>
      <c r="IS18" s="18">
        <f>AJ18</f>
        <v>0</v>
      </c>
      <c r="IT18" s="18">
        <f>AI18</f>
        <v>0</v>
      </c>
      <c r="IU18" s="18">
        <f>AH18</f>
        <v>0</v>
      </c>
      <c r="IV18" s="18">
        <f>AG18</f>
        <v>0</v>
      </c>
      <c r="IW18" s="18">
        <f>AF18</f>
        <v>0</v>
      </c>
      <c r="IX18" s="19">
        <f ca="1">IF(D18&lt;&gt;"",COUNT(IN18:IW18),"")</f>
        <v>10</v>
      </c>
      <c r="IY18" s="21">
        <f ca="1">IF(D18&lt;&gt;"",INDEX($JA18:$JK18,1,MATCH($IX18,$JA$6:$JK$6,0)), "")</f>
        <v>-34.56</v>
      </c>
      <c r="JA18" s="18" t="str">
        <f ca="1">IF(D18&lt;&gt;"","No Hdcp","")</f>
        <v>No Hdcp</v>
      </c>
      <c r="JB18" s="18" t="str">
        <f ca="1">IF(D18&lt;&gt;"","Low of score &amp; "&amp;MIN($IN18:$IN18),"")</f>
        <v>Low of score &amp; 0</v>
      </c>
      <c r="JC18" s="18" t="str">
        <f ca="1">IF(D18&lt;&gt;"","Low of score &amp; "&amp;MIN($IN18:$IO18),"")</f>
        <v>Low of score &amp; 0</v>
      </c>
      <c r="JD18" s="18" t="str">
        <f ca="1">IF(D18&lt;&gt;"","Low of score &amp; "&amp;MIN($IN18:$IP18),"")</f>
        <v>Low of score &amp; 0</v>
      </c>
      <c r="JE18" s="18" t="str">
        <f ca="1">IF(D18&lt;&gt;"","Low of score &amp; "&amp;MIN($IN18:$IQ18),"")</f>
        <v>Low of score &amp; 0</v>
      </c>
      <c r="JF18" s="18">
        <f ca="1">IF(D18&lt;&gt;"",MIN((MIN($IN18:$IR18)-36)*0.96,20),"")</f>
        <v>-34.56</v>
      </c>
      <c r="JG18" s="18">
        <f ca="1">IF(D18&lt;&gt;"",MIN((AVERAGE(SMALL($IN18:$IS18,1),SMALL($IN18:$IS18,2))-36)*0.96,20),"")</f>
        <v>-34.56</v>
      </c>
      <c r="JH18" s="18">
        <f ca="1">IF(D18&lt;&gt;"",MIN((AVERAGE(SMALL($IN18:$IT18,1),SMALL($IN18:$IT18,2),SMALL($IN18:$IT18,3))-36)*0.96,20),"")</f>
        <v>-34.56</v>
      </c>
      <c r="JI18" s="18">
        <f ca="1">IF(D18&lt;&gt;"",MIN((AVERAGE(SMALL($IN18:$IU18,1),SMALL($IN18:$IU18,2),SMALL($IN18:$IU18,3),SMALL($IN18:$IU18,4))-36)*0.96,20),"")</f>
        <v>-34.56</v>
      </c>
      <c r="JJ18" s="18">
        <f ca="1">IF(D18&lt;&gt;"",MIN((AVERAGE(SMALL($IN18:$IV18,1),SMALL($IN18:$IV18,2),SMALL($IN18:$IV18,3),SMALL($IN18:$IV18,4))-36)*0.96,20),"")</f>
        <v>-34.56</v>
      </c>
      <c r="JK18" s="18">
        <f ca="1">IF(D18&lt;&gt;"",MIN((AVERAGE(SMALL($IN18:$IW18,1),SMALL($IN18:$IW18,2),SMALL($IN18:$IW18,3),SMALL($IN18:$IW18,4),SMALL($IN18:$IW18,5))-36)*0.96,20),"")</f>
        <v>-34.56</v>
      </c>
    </row>
    <row r="19" spans="1:271" x14ac:dyDescent="0.2">
      <c r="A19" s="18" t="s">
        <v>19</v>
      </c>
      <c r="B19" s="19">
        <f>B18+7</f>
        <v>33</v>
      </c>
      <c r="C19" s="22">
        <f t="shared" ca="1" si="30"/>
        <v>7.1000000000000004E-3</v>
      </c>
      <c r="D19" s="18" t="str">
        <f t="shared" ca="1" si="31"/>
        <v>Miller, Russ - green tees</v>
      </c>
      <c r="E19" s="19">
        <f t="shared" ca="1" si="32"/>
        <v>9</v>
      </c>
      <c r="F19" s="19">
        <f ca="1">IF(D19&lt;&gt;"",COUNT($H19:$Q19),"")</f>
        <v>9</v>
      </c>
      <c r="G19" s="21">
        <f ca="1">IF($D19&lt;&gt;"",INDEX($IA19:$IK19,1,MATCH($F19,$IA$6:$IK$6,0)), "")</f>
        <v>11.04</v>
      </c>
      <c r="H19" s="337" cm="1">
        <f t="array" aca="1" ref="H19" ca="1">IFERROR(_xlfn.SINGLE(INDEX($AF19:$BH19, , SUMPRODUCT(LARGE((($AF19:$BH19&lt;&gt;0)*($BJ19:$CL19&lt;&gt;1)*($AF$5:$BH$5)), H$6)))), "")</f>
        <v>49</v>
      </c>
      <c r="I19" s="338" cm="1">
        <f t="array" aca="1" ref="I19" ca="1">IFERROR(_xlfn.SINGLE(INDEX($AF19:$BH19, , SUMPRODUCT(LARGE((($AF19:$BH19&lt;&gt;0)*($BJ19:$CL19&lt;&gt;1)*($AF$5:$BH$5)), I$6)))), "")</f>
        <v>58</v>
      </c>
      <c r="J19" s="338" cm="1">
        <f t="array" aca="1" ref="J19" ca="1">IFERROR(_xlfn.SINGLE(INDEX($AF19:$BH19, , SUMPRODUCT(LARGE((($AF19:$BH19&lt;&gt;0)*($BJ19:$CL19&lt;&gt;1)*($AF$5:$BH$5)), J$6)))), "")</f>
        <v>47</v>
      </c>
      <c r="K19" s="338" cm="1">
        <f t="array" aca="1" ref="K19" ca="1">IFERROR(_xlfn.SINGLE(INDEX($AF19:$BH19, , SUMPRODUCT(LARGE((($AF19:$BH19&lt;&gt;0)*($BJ19:$CL19&lt;&gt;1)*($AF$5:$BH$5)), K$6)))), "")</f>
        <v>53</v>
      </c>
      <c r="L19" s="338" cm="1">
        <f t="array" aca="1" ref="L19" ca="1">IFERROR(_xlfn.SINGLE(INDEX($AF19:$BH19, , SUMPRODUCT(LARGE((($AF19:$BH19&lt;&gt;0)*($BJ19:$CL19&lt;&gt;1)*($AF$5:$BH$5)), L$6)))), "")</f>
        <v>53</v>
      </c>
      <c r="M19" s="338" cm="1">
        <f t="array" aca="1" ref="M19" ca="1">IFERROR(_xlfn.SINGLE(INDEX($AF19:$BH19, , SUMPRODUCT(LARGE((($AF19:$BH19&lt;&gt;0)*($BJ19:$CL19&lt;&gt;1)*($AF$5:$BH$5)), M$6)))), "")</f>
        <v>53</v>
      </c>
      <c r="N19" s="338" cm="1">
        <f t="array" aca="1" ref="N19" ca="1">IFERROR(_xlfn.SINGLE(INDEX($AF19:$BH19, , SUMPRODUCT(LARGE((($AF19:$BH19&lt;&gt;0)*($BJ19:$CL19&lt;&gt;1)*($AF$5:$BH$5)), N$6)))), "")</f>
        <v>48</v>
      </c>
      <c r="O19" s="338" cm="1">
        <f t="array" aca="1" ref="O19" ca="1">IFERROR(_xlfn.SINGLE(INDEX($AF19:$BH19, , SUMPRODUCT(LARGE((($AF19:$BH19&lt;&gt;0)*($BJ19:$CL19&lt;&gt;1)*($AF$5:$BH$5)), O$6)))), "")</f>
        <v>47</v>
      </c>
      <c r="P19" s="338" cm="1">
        <f t="array" aca="1" ref="P19" ca="1">IFERROR(_xlfn.SINGLE(INDEX($AF19:$BH19, , SUMPRODUCT(LARGE((($AF19:$BH19&lt;&gt;0)*($BJ19:$CL19&lt;&gt;1)*($AF$5:$BH$5)), P$6)))), "")</f>
        <v>48</v>
      </c>
      <c r="Q19" s="339" t="str" cm="1">
        <f t="array" aca="1" ref="Q19" ca="1">IFERROR(_xlfn.SINGLE(INDEX($AF19:$BH19, , SUMPRODUCT(LARGE((($AF19:$BH19&lt;&gt;0)*($BJ19:$CL19&lt;&gt;1)*($AF$5:$BH$5)), Q$6)))), "")</f>
        <v/>
      </c>
      <c r="R19" s="21"/>
      <c r="S19" s="47">
        <f t="shared" ca="1" si="33"/>
        <v>47.8</v>
      </c>
      <c r="T19" s="21">
        <f ca="1">IF($D19&lt;&gt;"", IFERROR(IF($E19&gt;=qualifier, SUMIF($BT19:$CL19,0,$AP19:$BH19)/$E19, TEXT(SUMIF($BT19:$CL19,0,$AP19:$BH19)/$E19, "0.00")&amp;"*"), "-"), "")</f>
        <v>50.666666666666664</v>
      </c>
      <c r="U19" s="21">
        <f ca="1">IF($D19&lt;&gt;"", IFERROR(IF($E19&gt;=qualifier, SUMIF($BT19:$CL19,0,$CN19:$DF19)/$E19, TEXT(SUMIF($BT19:$CL19,0,$CN19:$DF19)/$E19, "0.00")&amp;"*"), "-"), "")</f>
        <v>39.888888888888886</v>
      </c>
      <c r="V19" s="46">
        <f ca="1">IF(AND($D19&lt;&gt;"", $E19&lt;&gt;0), _xlfn.MINIFS($AP19:$BH19,$BT19:$CL19,0,$AP19:$BH19,"&lt;&gt;0"), "")</f>
        <v>47</v>
      </c>
      <c r="W19" s="19">
        <f ca="1">IF(AND($D19&lt;&gt;"", $E19&lt;&gt;0), _xlfn.MINIFS($CN19:$DF19,$BT19:$CL19,0), "")</f>
        <v>36</v>
      </c>
      <c r="X19" s="46">
        <f ca="1">IF($D19&lt;&gt;"", SUM($DH19:$DZ19),  "")</f>
        <v>70</v>
      </c>
      <c r="Y19" s="21">
        <f ca="1">IF($D19&lt;&gt;"", IFERROR(IF($E19&gt;=qualifier, AVERAGE($DH19:$DZ19), TEXT(AVERAGE($DH19:$DZ19), "0.00")&amp;"*"), "-"), "")</f>
        <v>8.75</v>
      </c>
      <c r="Z19" s="19">
        <f ca="1">IF($D19&lt;&gt;"", SUM($EB19:$ET19),  "")</f>
        <v>2</v>
      </c>
      <c r="AA19" s="19">
        <f ca="1">IF($D19&lt;&gt;"", SUM($EV19:$FN19),  "")</f>
        <v>0</v>
      </c>
      <c r="AB19" s="46" t="str">
        <f t="shared" ca="1" si="34"/>
        <v>3-5-1</v>
      </c>
      <c r="AC19" s="218">
        <f t="shared" ca="1" si="35"/>
        <v>3304713217</v>
      </c>
      <c r="AD19" s="57" t="str">
        <f t="shared" ca="1" si="36"/>
        <v>russell.miller@metallus.com</v>
      </c>
      <c r="AE19" s="34"/>
      <c r="AF19" s="341">
        <f ca="1">INDEX(PriorScores[],MATCH($D19,PriorScores[Team / Player],0),2)</f>
        <v>0</v>
      </c>
      <c r="AG19" s="341">
        <f ca="1">INDEX(PriorScores[],MATCH($D19,PriorScores[Team / Player],0),3)</f>
        <v>0</v>
      </c>
      <c r="AH19" s="341">
        <f ca="1">INDEX(PriorScores[],MATCH($D19,PriorScores[Team / Player],0),4)</f>
        <v>0</v>
      </c>
      <c r="AI19" s="341">
        <f ca="1">INDEX(PriorScores[],MATCH($D19,PriorScores[Team / Player],0),5)</f>
        <v>0</v>
      </c>
      <c r="AJ19" s="341">
        <f ca="1">INDEX(PriorScores[],MATCH($D19,PriorScores[Team / Player],0),6)</f>
        <v>0</v>
      </c>
      <c r="AK19" s="341">
        <f ca="1">INDEX(PriorScores[],MATCH($D19,PriorScores[Team / Player],0),7)</f>
        <v>0</v>
      </c>
      <c r="AL19" s="341">
        <f ca="1">INDEX(PriorScores[],MATCH($D19,PriorScores[Team / Player],0),8)</f>
        <v>0</v>
      </c>
      <c r="AM19" s="341">
        <f ca="1">INDEX(PriorScores[],MATCH($D19,PriorScores[Team / Player],0),9)</f>
        <v>0</v>
      </c>
      <c r="AN19" s="341">
        <f ca="1">INDEX(PriorScores[],MATCH($D19,PriorScores[Team / Player],0),10)</f>
        <v>0</v>
      </c>
      <c r="AO19" s="341">
        <f ca="1">INDEX(PriorScores[],MATCH($D19,PriorScores[Team / Player],0),11)</f>
        <v>0</v>
      </c>
      <c r="AP19" s="20">
        <f t="shared" ca="1" si="37"/>
        <v>0</v>
      </c>
      <c r="AQ19" s="20">
        <f t="shared" ca="1" si="37"/>
        <v>0</v>
      </c>
      <c r="AR19" s="20">
        <f t="shared" ca="1" si="37"/>
        <v>0</v>
      </c>
      <c r="AS19" s="20">
        <f t="shared" ca="1" si="37"/>
        <v>0</v>
      </c>
      <c r="AT19" s="20">
        <f t="shared" ca="1" si="37"/>
        <v>0</v>
      </c>
      <c r="AU19" s="20">
        <f t="shared" ca="1" si="37"/>
        <v>48</v>
      </c>
      <c r="AV19" s="20">
        <f t="shared" ca="1" si="37"/>
        <v>0</v>
      </c>
      <c r="AW19" s="20">
        <f t="shared" ca="1" si="37"/>
        <v>0</v>
      </c>
      <c r="AX19" s="20">
        <f t="shared" ca="1" si="37"/>
        <v>47</v>
      </c>
      <c r="AY19" s="20">
        <f t="shared" ca="1" si="37"/>
        <v>48</v>
      </c>
      <c r="AZ19" s="20">
        <f t="shared" ca="1" si="38"/>
        <v>53</v>
      </c>
      <c r="BA19" s="20">
        <f t="shared" ca="1" si="38"/>
        <v>0</v>
      </c>
      <c r="BB19" s="20">
        <f t="shared" ca="1" si="38"/>
        <v>53</v>
      </c>
      <c r="BC19" s="20">
        <f t="shared" ca="1" si="38"/>
        <v>53</v>
      </c>
      <c r="BD19" s="20">
        <f t="shared" ca="1" si="38"/>
        <v>0</v>
      </c>
      <c r="BE19" s="20">
        <f t="shared" ca="1" si="38"/>
        <v>47</v>
      </c>
      <c r="BF19" s="20">
        <f t="shared" ca="1" si="38"/>
        <v>58</v>
      </c>
      <c r="BG19" s="20">
        <f t="shared" ca="1" si="38"/>
        <v>0</v>
      </c>
      <c r="BH19" s="20">
        <f t="shared" ca="1" si="38"/>
        <v>49</v>
      </c>
      <c r="BI19" s="34"/>
      <c r="BJ19" s="341">
        <v>0</v>
      </c>
      <c r="BK19" s="341">
        <v>0</v>
      </c>
      <c r="BL19" s="341">
        <v>0</v>
      </c>
      <c r="BM19" s="341">
        <v>0</v>
      </c>
      <c r="BN19" s="341">
        <v>0</v>
      </c>
      <c r="BO19" s="341">
        <v>0</v>
      </c>
      <c r="BP19" s="341">
        <v>0</v>
      </c>
      <c r="BQ19" s="341">
        <v>0</v>
      </c>
      <c r="BR19" s="341">
        <v>0</v>
      </c>
      <c r="BS19" s="341">
        <v>0</v>
      </c>
      <c r="BT19" s="20">
        <f t="shared" ca="1" si="39"/>
        <v>0</v>
      </c>
      <c r="BU19" s="20">
        <f t="shared" ca="1" si="39"/>
        <v>0</v>
      </c>
      <c r="BV19" s="20">
        <f t="shared" ca="1" si="39"/>
        <v>0</v>
      </c>
      <c r="BW19" s="20">
        <f t="shared" ca="1" si="39"/>
        <v>0</v>
      </c>
      <c r="BX19" s="20">
        <f t="shared" ca="1" si="39"/>
        <v>0</v>
      </c>
      <c r="BY19" s="20">
        <f t="shared" ca="1" si="39"/>
        <v>0</v>
      </c>
      <c r="BZ19" s="20">
        <f t="shared" ca="1" si="39"/>
        <v>0</v>
      </c>
      <c r="CA19" s="20">
        <f t="shared" ca="1" si="39"/>
        <v>0</v>
      </c>
      <c r="CB19" s="20">
        <f t="shared" ca="1" si="39"/>
        <v>0</v>
      </c>
      <c r="CC19" s="20">
        <f t="shared" ca="1" si="39"/>
        <v>0</v>
      </c>
      <c r="CD19" s="20">
        <f t="shared" ca="1" si="40"/>
        <v>0</v>
      </c>
      <c r="CE19" s="20">
        <f t="shared" ca="1" si="40"/>
        <v>0</v>
      </c>
      <c r="CF19" s="20">
        <f t="shared" ca="1" si="40"/>
        <v>0</v>
      </c>
      <c r="CG19" s="20">
        <f t="shared" ca="1" si="40"/>
        <v>0</v>
      </c>
      <c r="CH19" s="20">
        <f t="shared" ca="1" si="40"/>
        <v>0</v>
      </c>
      <c r="CI19" s="20">
        <f t="shared" ca="1" si="40"/>
        <v>0</v>
      </c>
      <c r="CJ19" s="20">
        <f t="shared" ca="1" si="40"/>
        <v>0</v>
      </c>
      <c r="CK19" s="20">
        <f t="shared" ca="1" si="40"/>
        <v>1</v>
      </c>
      <c r="CL19" s="20">
        <f t="shared" ca="1" si="40"/>
        <v>0</v>
      </c>
      <c r="CM19" s="34"/>
      <c r="CN19" s="20" t="str">
        <f t="shared" ca="1" si="41"/>
        <v/>
      </c>
      <c r="CO19" s="20" t="str">
        <f t="shared" ca="1" si="41"/>
        <v/>
      </c>
      <c r="CP19" s="20" t="str">
        <f t="shared" ca="1" si="41"/>
        <v/>
      </c>
      <c r="CQ19" s="20" t="str">
        <f t="shared" ca="1" si="41"/>
        <v/>
      </c>
      <c r="CR19" s="20" t="str">
        <f t="shared" ca="1" si="41"/>
        <v/>
      </c>
      <c r="CS19" s="20">
        <f t="shared" ca="1" si="41"/>
        <v>38</v>
      </c>
      <c r="CT19" s="20" t="str">
        <f t="shared" ca="1" si="41"/>
        <v/>
      </c>
      <c r="CU19" s="20" t="str">
        <f t="shared" ca="1" si="41"/>
        <v/>
      </c>
      <c r="CV19" s="20">
        <f t="shared" ca="1" si="41"/>
        <v>37</v>
      </c>
      <c r="CW19" s="20">
        <f t="shared" ca="1" si="41"/>
        <v>37</v>
      </c>
      <c r="CX19" s="20">
        <f t="shared" ca="1" si="42"/>
        <v>42</v>
      </c>
      <c r="CY19" s="20" t="str">
        <f t="shared" ca="1" si="42"/>
        <v/>
      </c>
      <c r="CZ19" s="20">
        <f t="shared" ca="1" si="42"/>
        <v>42</v>
      </c>
      <c r="DA19" s="20">
        <f t="shared" ca="1" si="42"/>
        <v>42</v>
      </c>
      <c r="DB19" s="20" t="str">
        <f t="shared" ca="1" si="42"/>
        <v/>
      </c>
      <c r="DC19" s="20">
        <f t="shared" ca="1" si="42"/>
        <v>36</v>
      </c>
      <c r="DD19" s="20">
        <f t="shared" ca="1" si="42"/>
        <v>47</v>
      </c>
      <c r="DE19" s="20" t="str">
        <f t="shared" ca="1" si="42"/>
        <v/>
      </c>
      <c r="DF19" s="20">
        <f t="shared" ca="1" si="42"/>
        <v>38</v>
      </c>
      <c r="DG19" s="34"/>
      <c r="DH19" s="20" t="str">
        <f t="shared" ca="1" si="43"/>
        <v/>
      </c>
      <c r="DI19" s="20" t="str">
        <f t="shared" ca="1" si="43"/>
        <v/>
      </c>
      <c r="DJ19" s="20" t="str">
        <f t="shared" ca="1" si="43"/>
        <v/>
      </c>
      <c r="DK19" s="20" t="str">
        <f t="shared" ca="1" si="43"/>
        <v/>
      </c>
      <c r="DL19" s="20" t="str">
        <f t="shared" ca="1" si="43"/>
        <v/>
      </c>
      <c r="DM19" s="20">
        <f t="shared" ca="1" si="43"/>
        <v>10</v>
      </c>
      <c r="DN19" s="20" t="str">
        <f t="shared" ca="1" si="43"/>
        <v/>
      </c>
      <c r="DO19" s="20" t="str">
        <f t="shared" ca="1" si="43"/>
        <v/>
      </c>
      <c r="DP19" s="20">
        <f t="shared" ca="1" si="43"/>
        <v>11</v>
      </c>
      <c r="DQ19" s="20">
        <f t="shared" ca="1" si="43"/>
        <v>7</v>
      </c>
      <c r="DR19" s="20">
        <f t="shared" ca="1" si="44"/>
        <v>14</v>
      </c>
      <c r="DS19" s="20" t="str">
        <f t="shared" ca="1" si="44"/>
        <v/>
      </c>
      <c r="DT19" s="20">
        <f t="shared" ca="1" si="44"/>
        <v>6</v>
      </c>
      <c r="DU19" s="20">
        <f t="shared" ca="1" si="44"/>
        <v>7</v>
      </c>
      <c r="DV19" s="20" t="str">
        <f t="shared" ca="1" si="44"/>
        <v/>
      </c>
      <c r="DW19" s="20">
        <f t="shared" ca="1" si="44"/>
        <v>8</v>
      </c>
      <c r="DX19" s="20">
        <f t="shared" ca="1" si="44"/>
        <v>7</v>
      </c>
      <c r="DY19" s="20" t="str">
        <f t="shared" ca="1" si="44"/>
        <v/>
      </c>
      <c r="DZ19" s="20" t="str">
        <f t="shared" ca="1" si="44"/>
        <v/>
      </c>
      <c r="EA19" s="34"/>
      <c r="EB19" s="20" t="str">
        <f t="shared" ca="1" si="45"/>
        <v/>
      </c>
      <c r="EC19" s="20" t="str">
        <f t="shared" ca="1" si="45"/>
        <v/>
      </c>
      <c r="ED19" s="20" t="str">
        <f t="shared" ca="1" si="45"/>
        <v/>
      </c>
      <c r="EE19" s="20" t="str">
        <f t="shared" ca="1" si="45"/>
        <v/>
      </c>
      <c r="EF19" s="20" t="str">
        <f t="shared" ca="1" si="45"/>
        <v/>
      </c>
      <c r="EG19" s="20" t="str">
        <f t="shared" ca="1" si="45"/>
        <v/>
      </c>
      <c r="EH19" s="20" t="str">
        <f t="shared" ca="1" si="45"/>
        <v/>
      </c>
      <c r="EI19" s="20" t="str">
        <f t="shared" ca="1" si="45"/>
        <v/>
      </c>
      <c r="EJ19" s="20">
        <f t="shared" ca="1" si="45"/>
        <v>1</v>
      </c>
      <c r="EK19" s="20">
        <f t="shared" ca="1" si="45"/>
        <v>1</v>
      </c>
      <c r="EL19" s="20" t="str">
        <f t="shared" ca="1" si="46"/>
        <v/>
      </c>
      <c r="EM19" s="20" t="str">
        <f t="shared" ca="1" si="46"/>
        <v/>
      </c>
      <c r="EN19" s="20" t="str">
        <f t="shared" ca="1" si="46"/>
        <v/>
      </c>
      <c r="EO19" s="20" t="str">
        <f t="shared" ca="1" si="46"/>
        <v/>
      </c>
      <c r="EP19" s="20" t="str">
        <f t="shared" ca="1" si="46"/>
        <v/>
      </c>
      <c r="EQ19" s="20" t="str">
        <f t="shared" ca="1" si="46"/>
        <v/>
      </c>
      <c r="ER19" s="20" t="str">
        <f t="shared" ca="1" si="46"/>
        <v/>
      </c>
      <c r="ES19" s="20" t="str">
        <f t="shared" ca="1" si="46"/>
        <v/>
      </c>
      <c r="ET19" s="20" t="str">
        <f t="shared" ca="1" si="46"/>
        <v/>
      </c>
      <c r="EU19" s="34"/>
      <c r="EV19" s="20" t="str">
        <f t="shared" ca="1" si="47"/>
        <v/>
      </c>
      <c r="EW19" s="20" t="str">
        <f t="shared" ca="1" si="47"/>
        <v/>
      </c>
      <c r="EX19" s="20" t="str">
        <f t="shared" ca="1" si="47"/>
        <v/>
      </c>
      <c r="EY19" s="20" t="str">
        <f t="shared" ca="1" si="47"/>
        <v/>
      </c>
      <c r="EZ19" s="20" t="str">
        <f t="shared" ca="1" si="47"/>
        <v/>
      </c>
      <c r="FA19" s="20" t="str">
        <f t="shared" ca="1" si="47"/>
        <v/>
      </c>
      <c r="FB19" s="20" t="str">
        <f t="shared" ca="1" si="47"/>
        <v/>
      </c>
      <c r="FC19" s="20" t="str">
        <f t="shared" ca="1" si="47"/>
        <v/>
      </c>
      <c r="FD19" s="20" t="str">
        <f t="shared" ca="1" si="47"/>
        <v/>
      </c>
      <c r="FE19" s="20" t="str">
        <f t="shared" ca="1" si="47"/>
        <v/>
      </c>
      <c r="FF19" s="20" t="str">
        <f t="shared" ca="1" si="48"/>
        <v/>
      </c>
      <c r="FG19" s="20" t="str">
        <f t="shared" ca="1" si="48"/>
        <v/>
      </c>
      <c r="FH19" s="20" t="str">
        <f t="shared" ca="1" si="48"/>
        <v/>
      </c>
      <c r="FI19" s="20" t="str">
        <f t="shared" ca="1" si="48"/>
        <v/>
      </c>
      <c r="FJ19" s="20" t="str">
        <f t="shared" ca="1" si="48"/>
        <v/>
      </c>
      <c r="FK19" s="20" t="str">
        <f t="shared" ca="1" si="48"/>
        <v/>
      </c>
      <c r="FL19" s="20" t="str">
        <f t="shared" ca="1" si="48"/>
        <v/>
      </c>
      <c r="FM19" s="20" t="str">
        <f t="shared" ca="1" si="48"/>
        <v/>
      </c>
      <c r="FN19" s="20" t="str">
        <f t="shared" ca="1" si="48"/>
        <v/>
      </c>
      <c r="FO19" s="34"/>
      <c r="FP19" s="20" t="str">
        <f t="shared" ca="1" si="49"/>
        <v/>
      </c>
      <c r="FQ19" s="20" t="str">
        <f t="shared" ca="1" si="49"/>
        <v/>
      </c>
      <c r="FR19" s="20" t="str">
        <f t="shared" ca="1" si="49"/>
        <v/>
      </c>
      <c r="FS19" s="20" t="str">
        <f t="shared" ca="1" si="49"/>
        <v/>
      </c>
      <c r="FT19" s="20" t="str">
        <f t="shared" ca="1" si="49"/>
        <v/>
      </c>
      <c r="FU19" s="20" t="str">
        <f t="shared" ca="1" si="49"/>
        <v>t</v>
      </c>
      <c r="FV19" s="20" t="str">
        <f t="shared" ca="1" si="49"/>
        <v/>
      </c>
      <c r="FW19" s="20" t="str">
        <f t="shared" ca="1" si="49"/>
        <v/>
      </c>
      <c r="FX19" s="20" t="str">
        <f t="shared" ca="1" si="49"/>
        <v>w</v>
      </c>
      <c r="FY19" s="20" t="str">
        <f t="shared" ca="1" si="49"/>
        <v>l</v>
      </c>
      <c r="FZ19" s="20" t="str">
        <f t="shared" ca="1" si="50"/>
        <v>w</v>
      </c>
      <c r="GA19" s="20" t="str">
        <f t="shared" ca="1" si="50"/>
        <v/>
      </c>
      <c r="GB19" s="20" t="str">
        <f t="shared" ca="1" si="50"/>
        <v>l</v>
      </c>
      <c r="GC19" s="20" t="str">
        <f t="shared" ca="1" si="50"/>
        <v>l</v>
      </c>
      <c r="GD19" s="20" t="str">
        <f t="shared" ca="1" si="50"/>
        <v/>
      </c>
      <c r="GE19" s="20" t="str">
        <f t="shared" ca="1" si="50"/>
        <v>l</v>
      </c>
      <c r="GF19" s="20" t="str">
        <f t="shared" ca="1" si="50"/>
        <v>l</v>
      </c>
      <c r="GG19" s="20" t="str">
        <f t="shared" ca="1" si="50"/>
        <v/>
      </c>
      <c r="GH19" s="20" t="str">
        <f t="shared" ca="1" si="50"/>
        <v>w</v>
      </c>
      <c r="GI19" s="34"/>
      <c r="HE19" s="34"/>
      <c r="HZ19" s="34"/>
      <c r="IA19" s="19" t="str">
        <f t="shared" ca="1" si="51"/>
        <v>No Hdcp</v>
      </c>
      <c r="IB19" s="19" t="str">
        <f ca="1">IF($D19&lt;&gt;"","Low of score &amp; "&amp;MIN($H19:$H19),"")</f>
        <v>Low of score &amp; 49</v>
      </c>
      <c r="IC19" s="19" t="str">
        <f ca="1">IF($D19&lt;&gt;"","Low of score &amp; "&amp;MIN($H19:$I19),"")</f>
        <v>Low of score &amp; 49</v>
      </c>
      <c r="ID19" s="18" t="str">
        <f ca="1">IF($D19&lt;&gt;"","Low of score &amp; "&amp;MIN($H19:$J19),"")</f>
        <v>Low of score &amp; 47</v>
      </c>
      <c r="IE19" s="18" t="str">
        <f ca="1">IF($D19&lt;&gt;"","Low of score &amp; "&amp;MIN($H19:$K19),"")</f>
        <v>Low of score &amp; 47</v>
      </c>
      <c r="IF19" s="18">
        <f ca="1">IF($D19&lt;&gt;"",ROUND(MIN((MIN($H19:$L19)-36)*0.96,20),2),"")</f>
        <v>10.56</v>
      </c>
      <c r="IG19" s="353">
        <f ca="1">IF($D19&lt;&gt;"",ROUND(MIN((AVERAGE(SMALL($H19:$M19,1),SMALL($H19:$M19,2))-36)*0.96,20),2),"")</f>
        <v>11.52</v>
      </c>
      <c r="IH19" s="18">
        <f ca="1">IF($D19&lt;&gt;"",ROUND(MIN((AVERAGE(SMALL($H19:$N19,1),SMALL($H19:$N19,2),SMALL($H19:$N19,3))-36)*0.96,20),2),"")</f>
        <v>11.52</v>
      </c>
      <c r="II19" s="18">
        <f ca="1">IF($D19&lt;&gt;"",ROUND(MIN((AVERAGE(SMALL($H19:$O19,1),SMALL($H19:$O19,2),SMALL($H19:$O19,3),SMALL($H19:$O19,4))-36)*0.96,20),2),"")</f>
        <v>11.28</v>
      </c>
      <c r="IJ19" s="18">
        <f ca="1">IF($D19&lt;&gt;"",ROUND(MIN((AVERAGE(SMALL($H19:$P19,1),SMALL($H19:$P19,2),SMALL($H19:$P19,3),SMALL($H19:$P19,4))-36)*0.96,20),2),"")</f>
        <v>11.04</v>
      </c>
      <c r="IK19" s="18">
        <f ca="1">IF($D19&lt;&gt;"",ROUND(MIN((AVERAGE(SMALL($H19:$Q19,1),SMALL($H19:$Q19,2),SMALL($H19:$Q19,3),SMALL($H19:$Q19,4),SMALL($H19:$Q19,5))-36)*0.96,20),2),"")</f>
        <v>11.33</v>
      </c>
      <c r="IL19" s="34"/>
      <c r="IN19" s="18">
        <f ca="1">AO19</f>
        <v>0</v>
      </c>
      <c r="IO19" s="18">
        <f ca="1">AN19</f>
        <v>0</v>
      </c>
      <c r="IP19" s="18">
        <f ca="1">AM19</f>
        <v>0</v>
      </c>
      <c r="IQ19" s="18">
        <f ca="1">AL19</f>
        <v>0</v>
      </c>
      <c r="IR19" s="18">
        <f ca="1">AK19</f>
        <v>0</v>
      </c>
      <c r="IS19" s="18">
        <f ca="1">AJ19</f>
        <v>0</v>
      </c>
      <c r="IT19" s="18">
        <f ca="1">AI19</f>
        <v>0</v>
      </c>
      <c r="IU19" s="18">
        <f ca="1">AH19</f>
        <v>0</v>
      </c>
      <c r="IV19" s="18">
        <f ca="1">AG19</f>
        <v>0</v>
      </c>
      <c r="IW19" s="18">
        <f ca="1">AF19</f>
        <v>0</v>
      </c>
      <c r="IX19" s="19">
        <f ca="1">IF(D19&lt;&gt;"",COUNT(IN19:IW19),"")</f>
        <v>10</v>
      </c>
      <c r="IY19" s="21">
        <f ca="1">IF(D19&lt;&gt;"",INDEX($JA19:$JK19,1,MATCH($IX19,$JA$6:$JK$6,0)), "")</f>
        <v>-34.56</v>
      </c>
      <c r="JA19" s="18" t="str">
        <f ca="1">IF(D19&lt;&gt;"","No Hdcp","")</f>
        <v>No Hdcp</v>
      </c>
      <c r="JB19" s="18" t="str">
        <f ca="1">IF(D19&lt;&gt;"","Low of score &amp; "&amp;MIN($IN19:$IN19),"")</f>
        <v>Low of score &amp; 0</v>
      </c>
      <c r="JC19" s="18" t="str">
        <f ca="1">IF(D19&lt;&gt;"","Low of score &amp; "&amp;MIN($IN19:$IO19),"")</f>
        <v>Low of score &amp; 0</v>
      </c>
      <c r="JD19" s="18" t="str">
        <f ca="1">IF(D19&lt;&gt;"","Low of score &amp; "&amp;MIN($IN19:$IP19),"")</f>
        <v>Low of score &amp; 0</v>
      </c>
      <c r="JE19" s="18" t="str">
        <f ca="1">IF(D19&lt;&gt;"","Low of score &amp; "&amp;MIN($IN19:$IQ19),"")</f>
        <v>Low of score &amp; 0</v>
      </c>
      <c r="JF19" s="18">
        <f ca="1">IF(D19&lt;&gt;"",MIN((MIN($IN19:$IR19)-36)*0.96,20),"")</f>
        <v>-34.56</v>
      </c>
      <c r="JG19" s="18">
        <f ca="1">IF(D19&lt;&gt;"",MIN((AVERAGE(SMALL($IN19:$IS19,1),SMALL($IN19:$IS19,2))-36)*0.96,20),"")</f>
        <v>-34.56</v>
      </c>
      <c r="JH19" s="18">
        <f ca="1">IF(D19&lt;&gt;"",MIN((AVERAGE(SMALL($IN19:$IT19,1),SMALL($IN19:$IT19,2),SMALL($IN19:$IT19,3))-36)*0.96,20),"")</f>
        <v>-34.56</v>
      </c>
      <c r="JI19" s="18">
        <f ca="1">IF(D19&lt;&gt;"",MIN((AVERAGE(SMALL($IN19:$IU19,1),SMALL($IN19:$IU19,2),SMALL($IN19:$IU19,3),SMALL($IN19:$IU19,4))-36)*0.96,20),"")</f>
        <v>-34.56</v>
      </c>
      <c r="JJ19" s="18">
        <f ca="1">IF(D19&lt;&gt;"",MIN((AVERAGE(SMALL($IN19:$IV19,1),SMALL($IN19:$IV19,2),SMALL($IN19:$IV19,3),SMALL($IN19:$IV19,4))-36)*0.96,20),"")</f>
        <v>-34.56</v>
      </c>
      <c r="JK19" s="18">
        <f ca="1">IF(D19&lt;&gt;"",MIN((AVERAGE(SMALL($IN19:$IW19,1),SMALL($IN19:$IW19,2),SMALL($IN19:$IW19,3),SMALL($IN19:$IW19,4),SMALL($IN19:$IW19,5))-36)*0.96,20),"")</f>
        <v>-34.56</v>
      </c>
    </row>
    <row r="20" spans="1:271" x14ac:dyDescent="0.2">
      <c r="A20" s="18" t="s">
        <v>19</v>
      </c>
      <c r="B20" s="19">
        <f>B19+7</f>
        <v>40</v>
      </c>
      <c r="C20" s="22">
        <f t="shared" ca="1" si="30"/>
        <v>1.4E-3</v>
      </c>
      <c r="D20" s="18" t="str">
        <f t="shared" ca="1" si="31"/>
        <v>Blind Draw Metheads</v>
      </c>
      <c r="E20" s="19">
        <f t="shared" ca="1" si="32"/>
        <v>0</v>
      </c>
      <c r="F20" s="19">
        <v>0</v>
      </c>
      <c r="G20" s="21">
        <v>0</v>
      </c>
      <c r="H20" s="46"/>
      <c r="J20" s="19" t="str" cm="1">
        <f t="array" aca="1" ref="J20" ca="1">IFERROR(_xlfn.SINGLE(INDEX($AP20:$BH20, , SUMPRODUCT(LARGE((($AP20:$BH20&lt;&gt;0)*($BT20:$CL20&lt;&gt;1)*(weeks)), J$6)))), "")</f>
        <v/>
      </c>
      <c r="K20" s="19" t="str" cm="1">
        <f t="array" aca="1" ref="K20" ca="1">IFERROR(_xlfn.SINGLE(INDEX($AP20:$BH20, , SUMPRODUCT(LARGE((($AP20:$BH20&lt;&gt;0)*($BT20:$CL20&lt;&gt;1)*(weeks)), K$6)))), "")</f>
        <v/>
      </c>
      <c r="Q20" s="86" t="str" cm="1">
        <f t="array" aca="1" ref="Q20" ca="1">IFERROR(_xlfn.SINGLE(INDEX($AP20:$BH20, , SUMPRODUCT(LARGE((($AP20:$BH20&lt;&gt;0)*($BT20:$CL20&lt;&gt;1)*(weeks)), Q$6)))), "")</f>
        <v/>
      </c>
      <c r="R20" s="21" t="str">
        <f ca="1">IF($D20&lt;&gt;"", INDEX(INDIRECT($A20), $B20+1, 21), "")</f>
        <v/>
      </c>
      <c r="S20" s="47" t="str">
        <f t="shared" ca="1" si="33"/>
        <v>-</v>
      </c>
      <c r="T20" s="59"/>
      <c r="U20" s="59"/>
      <c r="V20" s="46"/>
      <c r="X20" s="46"/>
      <c r="Y20" s="21"/>
      <c r="AB20" s="46" t="str">
        <f t="shared" ca="1" si="34"/>
        <v>0-0-0</v>
      </c>
      <c r="AC20" s="218">
        <f t="shared" ca="1" si="35"/>
        <v>0</v>
      </c>
      <c r="AD20" s="57">
        <f t="shared" ca="1" si="36"/>
        <v>0</v>
      </c>
      <c r="AE20" s="34"/>
      <c r="AF20" s="341">
        <f ca="1">INDEX(PriorScores[],MATCH($D20,PriorScores[Team / Player],0),2)</f>
        <v>0</v>
      </c>
      <c r="AG20" s="341">
        <f ca="1">INDEX(PriorScores[],MATCH($D20,PriorScores[Team / Player],0),3)</f>
        <v>0</v>
      </c>
      <c r="AH20" s="341">
        <f ca="1">INDEX(PriorScores[],MATCH($D20,PriorScores[Team / Player],0),4)</f>
        <v>0</v>
      </c>
      <c r="AI20" s="341">
        <f ca="1">INDEX(PriorScores[],MATCH($D20,PriorScores[Team / Player],0),5)</f>
        <v>0</v>
      </c>
      <c r="AJ20" s="341">
        <f ca="1">INDEX(PriorScores[],MATCH($D20,PriorScores[Team / Player],0),6)</f>
        <v>0</v>
      </c>
      <c r="AK20" s="341">
        <f ca="1">INDEX(PriorScores[],MATCH($D20,PriorScores[Team / Player],0),7)</f>
        <v>0</v>
      </c>
      <c r="AL20" s="341">
        <f ca="1">INDEX(PriorScores[],MATCH($D20,PriorScores[Team / Player],0),8)</f>
        <v>0</v>
      </c>
      <c r="AM20" s="341">
        <f ca="1">INDEX(PriorScores[],MATCH($D20,PriorScores[Team / Player],0),9)</f>
        <v>0</v>
      </c>
      <c r="AN20" s="341">
        <f ca="1">INDEX(PriorScores[],MATCH($D20,PriorScores[Team / Player],0),10)</f>
        <v>0</v>
      </c>
      <c r="AO20" s="341">
        <f ca="1">INDEX(PriorScores[],MATCH($D20,PriorScores[Team / Player],0),11)</f>
        <v>0</v>
      </c>
      <c r="AP20" s="20">
        <f t="shared" ca="1" si="37"/>
        <v>0</v>
      </c>
      <c r="AQ20" s="20">
        <f t="shared" ca="1" si="37"/>
        <v>0</v>
      </c>
      <c r="AR20" s="20">
        <f t="shared" ca="1" si="37"/>
        <v>0</v>
      </c>
      <c r="AS20" s="20">
        <f t="shared" ca="1" si="37"/>
        <v>0</v>
      </c>
      <c r="AT20" s="20">
        <f t="shared" ca="1" si="37"/>
        <v>0</v>
      </c>
      <c r="AU20" s="20">
        <f t="shared" ca="1" si="37"/>
        <v>0</v>
      </c>
      <c r="AV20" s="20">
        <f t="shared" ca="1" si="37"/>
        <v>0</v>
      </c>
      <c r="AW20" s="20">
        <f t="shared" ca="1" si="37"/>
        <v>0</v>
      </c>
      <c r="AX20" s="20">
        <f t="shared" ca="1" si="37"/>
        <v>0</v>
      </c>
      <c r="AY20" s="20">
        <f t="shared" ca="1" si="37"/>
        <v>0</v>
      </c>
      <c r="AZ20" s="20">
        <f t="shared" ca="1" si="38"/>
        <v>0</v>
      </c>
      <c r="BA20" s="20">
        <f t="shared" ca="1" si="38"/>
        <v>0</v>
      </c>
      <c r="BB20" s="20">
        <f t="shared" ca="1" si="38"/>
        <v>0</v>
      </c>
      <c r="BC20" s="20">
        <f t="shared" ca="1" si="38"/>
        <v>0</v>
      </c>
      <c r="BD20" s="20">
        <f t="shared" ca="1" si="38"/>
        <v>0</v>
      </c>
      <c r="BE20" s="20">
        <f t="shared" ca="1" si="38"/>
        <v>0</v>
      </c>
      <c r="BF20" s="20">
        <f t="shared" ca="1" si="38"/>
        <v>0</v>
      </c>
      <c r="BG20" s="20">
        <f t="shared" ca="1" si="38"/>
        <v>0</v>
      </c>
      <c r="BH20" s="20">
        <f t="shared" ca="1" si="38"/>
        <v>0</v>
      </c>
      <c r="BI20" s="34"/>
      <c r="BJ20" s="341">
        <v>0</v>
      </c>
      <c r="BK20" s="341">
        <v>0</v>
      </c>
      <c r="BL20" s="341">
        <v>0</v>
      </c>
      <c r="BM20" s="341">
        <v>0</v>
      </c>
      <c r="BN20" s="341">
        <v>0</v>
      </c>
      <c r="BO20" s="341">
        <v>0</v>
      </c>
      <c r="BP20" s="341">
        <v>0</v>
      </c>
      <c r="BQ20" s="341">
        <v>0</v>
      </c>
      <c r="BR20" s="341">
        <v>0</v>
      </c>
      <c r="BS20" s="341">
        <v>0</v>
      </c>
      <c r="BT20" s="20">
        <f t="shared" ca="1" si="39"/>
        <v>0</v>
      </c>
      <c r="BU20" s="20">
        <f t="shared" ca="1" si="39"/>
        <v>0</v>
      </c>
      <c r="BV20" s="20">
        <f t="shared" ca="1" si="39"/>
        <v>0</v>
      </c>
      <c r="BW20" s="20">
        <f t="shared" ca="1" si="39"/>
        <v>0</v>
      </c>
      <c r="BX20" s="20">
        <f t="shared" ca="1" si="39"/>
        <v>0</v>
      </c>
      <c r="BY20" s="20">
        <f t="shared" ca="1" si="39"/>
        <v>0</v>
      </c>
      <c r="BZ20" s="20">
        <f t="shared" ca="1" si="39"/>
        <v>0</v>
      </c>
      <c r="CA20" s="20">
        <f t="shared" ca="1" si="39"/>
        <v>0</v>
      </c>
      <c r="CB20" s="20">
        <f t="shared" ca="1" si="39"/>
        <v>0</v>
      </c>
      <c r="CC20" s="20">
        <f t="shared" ca="1" si="39"/>
        <v>0</v>
      </c>
      <c r="CD20" s="20">
        <f t="shared" ca="1" si="40"/>
        <v>0</v>
      </c>
      <c r="CE20" s="20">
        <f t="shared" ca="1" si="40"/>
        <v>0</v>
      </c>
      <c r="CF20" s="20">
        <f t="shared" ca="1" si="40"/>
        <v>0</v>
      </c>
      <c r="CG20" s="20">
        <f t="shared" ca="1" si="40"/>
        <v>0</v>
      </c>
      <c r="CH20" s="20">
        <f t="shared" ca="1" si="40"/>
        <v>0</v>
      </c>
      <c r="CI20" s="20">
        <f t="shared" ca="1" si="40"/>
        <v>0</v>
      </c>
      <c r="CJ20" s="20">
        <f t="shared" ca="1" si="40"/>
        <v>0</v>
      </c>
      <c r="CK20" s="20">
        <f t="shared" ca="1" si="40"/>
        <v>0</v>
      </c>
      <c r="CL20" s="20">
        <f t="shared" ca="1" si="40"/>
        <v>0</v>
      </c>
      <c r="CM20" s="34"/>
      <c r="CN20" s="20" t="str">
        <f t="shared" ca="1" si="41"/>
        <v/>
      </c>
      <c r="CO20" s="20" t="str">
        <f t="shared" ca="1" si="41"/>
        <v/>
      </c>
      <c r="CP20" s="20" t="str">
        <f t="shared" ca="1" si="41"/>
        <v/>
      </c>
      <c r="CQ20" s="20" t="str">
        <f t="shared" ca="1" si="41"/>
        <v/>
      </c>
      <c r="CR20" s="20" t="str">
        <f t="shared" ca="1" si="41"/>
        <v/>
      </c>
      <c r="CS20" s="20" t="str">
        <f t="shared" ca="1" si="41"/>
        <v/>
      </c>
      <c r="CT20" s="20" t="str">
        <f t="shared" ca="1" si="41"/>
        <v/>
      </c>
      <c r="CU20" s="20" t="str">
        <f t="shared" ca="1" si="41"/>
        <v/>
      </c>
      <c r="CV20" s="20" t="str">
        <f t="shared" ca="1" si="41"/>
        <v/>
      </c>
      <c r="CW20" s="20" t="str">
        <f t="shared" ca="1" si="41"/>
        <v/>
      </c>
      <c r="CX20" s="20" t="str">
        <f t="shared" ca="1" si="42"/>
        <v/>
      </c>
      <c r="CY20" s="20" t="str">
        <f t="shared" ca="1" si="42"/>
        <v/>
      </c>
      <c r="CZ20" s="20" t="str">
        <f t="shared" ca="1" si="42"/>
        <v/>
      </c>
      <c r="DA20" s="20" t="str">
        <f t="shared" ca="1" si="42"/>
        <v/>
      </c>
      <c r="DB20" s="20" t="str">
        <f t="shared" ca="1" si="42"/>
        <v/>
      </c>
      <c r="DC20" s="20" t="str">
        <f t="shared" ca="1" si="42"/>
        <v/>
      </c>
      <c r="DD20" s="20" t="str">
        <f t="shared" ca="1" si="42"/>
        <v/>
      </c>
      <c r="DE20" s="20" t="str">
        <f t="shared" ca="1" si="42"/>
        <v/>
      </c>
      <c r="DF20" s="20" t="str">
        <f t="shared" ca="1" si="42"/>
        <v/>
      </c>
      <c r="DG20" s="34"/>
      <c r="DH20" s="20" t="str">
        <f t="shared" ca="1" si="43"/>
        <v/>
      </c>
      <c r="DI20" s="20" t="str">
        <f t="shared" ca="1" si="43"/>
        <v/>
      </c>
      <c r="DJ20" s="20" t="str">
        <f t="shared" ca="1" si="43"/>
        <v/>
      </c>
      <c r="DK20" s="20" t="str">
        <f t="shared" ca="1" si="43"/>
        <v/>
      </c>
      <c r="DL20" s="20" t="str">
        <f t="shared" ca="1" si="43"/>
        <v/>
      </c>
      <c r="DM20" s="20" t="str">
        <f t="shared" ca="1" si="43"/>
        <v/>
      </c>
      <c r="DN20" s="20" t="str">
        <f t="shared" ca="1" si="43"/>
        <v/>
      </c>
      <c r="DO20" s="20" t="str">
        <f t="shared" ca="1" si="43"/>
        <v/>
      </c>
      <c r="DP20" s="20" t="str">
        <f t="shared" ca="1" si="43"/>
        <v/>
      </c>
      <c r="DQ20" s="20" t="str">
        <f t="shared" ca="1" si="43"/>
        <v/>
      </c>
      <c r="DR20" s="20" t="str">
        <f t="shared" ca="1" si="44"/>
        <v/>
      </c>
      <c r="DS20" s="20" t="str">
        <f t="shared" ca="1" si="44"/>
        <v/>
      </c>
      <c r="DT20" s="20" t="str">
        <f t="shared" ca="1" si="44"/>
        <v/>
      </c>
      <c r="DU20" s="20" t="str">
        <f t="shared" ca="1" si="44"/>
        <v/>
      </c>
      <c r="DV20" s="20" t="str">
        <f t="shared" ca="1" si="44"/>
        <v/>
      </c>
      <c r="DW20" s="20" t="str">
        <f t="shared" ca="1" si="44"/>
        <v/>
      </c>
      <c r="DX20" s="20" t="str">
        <f t="shared" ca="1" si="44"/>
        <v/>
      </c>
      <c r="DY20" s="20" t="str">
        <f t="shared" ca="1" si="44"/>
        <v/>
      </c>
      <c r="DZ20" s="20" t="str">
        <f t="shared" ca="1" si="44"/>
        <v/>
      </c>
      <c r="EA20" s="34"/>
      <c r="EB20" s="20" t="str">
        <f t="shared" ca="1" si="45"/>
        <v/>
      </c>
      <c r="EC20" s="20" t="str">
        <f t="shared" ca="1" si="45"/>
        <v/>
      </c>
      <c r="ED20" s="20" t="str">
        <f t="shared" ca="1" si="45"/>
        <v/>
      </c>
      <c r="EE20" s="20" t="str">
        <f t="shared" ca="1" si="45"/>
        <v/>
      </c>
      <c r="EF20" s="20" t="str">
        <f t="shared" ca="1" si="45"/>
        <v/>
      </c>
      <c r="EG20" s="20" t="str">
        <f t="shared" ca="1" si="45"/>
        <v/>
      </c>
      <c r="EH20" s="20" t="str">
        <f t="shared" ca="1" si="45"/>
        <v/>
      </c>
      <c r="EI20" s="20" t="str">
        <f t="shared" ca="1" si="45"/>
        <v/>
      </c>
      <c r="EJ20" s="20" t="str">
        <f t="shared" ca="1" si="45"/>
        <v/>
      </c>
      <c r="EK20" s="20" t="str">
        <f t="shared" ca="1" si="45"/>
        <v/>
      </c>
      <c r="EL20" s="20" t="str">
        <f t="shared" ca="1" si="46"/>
        <v/>
      </c>
      <c r="EM20" s="20" t="str">
        <f t="shared" ca="1" si="46"/>
        <v/>
      </c>
      <c r="EN20" s="20" t="str">
        <f t="shared" ca="1" si="46"/>
        <v/>
      </c>
      <c r="EO20" s="20" t="str">
        <f t="shared" ca="1" si="46"/>
        <v/>
      </c>
      <c r="EP20" s="20" t="str">
        <f t="shared" ca="1" si="46"/>
        <v/>
      </c>
      <c r="EQ20" s="20" t="str">
        <f t="shared" ca="1" si="46"/>
        <v/>
      </c>
      <c r="ER20" s="20" t="str">
        <f t="shared" ca="1" si="46"/>
        <v/>
      </c>
      <c r="ES20" s="20" t="str">
        <f t="shared" ca="1" si="46"/>
        <v/>
      </c>
      <c r="ET20" s="20" t="str">
        <f t="shared" ca="1" si="46"/>
        <v/>
      </c>
      <c r="EU20" s="34"/>
      <c r="EV20" s="20" t="str">
        <f t="shared" ca="1" si="47"/>
        <v/>
      </c>
      <c r="EW20" s="20" t="str">
        <f t="shared" ca="1" si="47"/>
        <v/>
      </c>
      <c r="EX20" s="20" t="str">
        <f t="shared" ca="1" si="47"/>
        <v/>
      </c>
      <c r="EY20" s="20" t="str">
        <f t="shared" ca="1" si="47"/>
        <v/>
      </c>
      <c r="EZ20" s="20" t="str">
        <f t="shared" ca="1" si="47"/>
        <v/>
      </c>
      <c r="FA20" s="20" t="str">
        <f t="shared" ca="1" si="47"/>
        <v/>
      </c>
      <c r="FB20" s="20" t="str">
        <f t="shared" ca="1" si="47"/>
        <v/>
      </c>
      <c r="FC20" s="20" t="str">
        <f t="shared" ca="1" si="47"/>
        <v/>
      </c>
      <c r="FD20" s="20" t="str">
        <f t="shared" ca="1" si="47"/>
        <v/>
      </c>
      <c r="FE20" s="20" t="str">
        <f t="shared" ca="1" si="47"/>
        <v/>
      </c>
      <c r="FF20" s="20" t="str">
        <f t="shared" ca="1" si="48"/>
        <v/>
      </c>
      <c r="FG20" s="20" t="str">
        <f t="shared" ca="1" si="48"/>
        <v/>
      </c>
      <c r="FH20" s="20" t="str">
        <f t="shared" ca="1" si="48"/>
        <v/>
      </c>
      <c r="FI20" s="20" t="str">
        <f t="shared" ca="1" si="48"/>
        <v/>
      </c>
      <c r="FJ20" s="20" t="str">
        <f t="shared" ca="1" si="48"/>
        <v/>
      </c>
      <c r="FK20" s="20" t="str">
        <f t="shared" ca="1" si="48"/>
        <v/>
      </c>
      <c r="FL20" s="20" t="str">
        <f t="shared" ca="1" si="48"/>
        <v/>
      </c>
      <c r="FM20" s="20" t="str">
        <f t="shared" ca="1" si="48"/>
        <v/>
      </c>
      <c r="FN20" s="20" t="str">
        <f t="shared" ca="1" si="48"/>
        <v/>
      </c>
      <c r="FO20" s="34"/>
      <c r="FP20" s="20" t="str">
        <f t="shared" ca="1" si="49"/>
        <v/>
      </c>
      <c r="FQ20" s="20" t="str">
        <f t="shared" ca="1" si="49"/>
        <v/>
      </c>
      <c r="FR20" s="20" t="str">
        <f t="shared" ca="1" si="49"/>
        <v/>
      </c>
      <c r="FS20" s="20" t="str">
        <f t="shared" ca="1" si="49"/>
        <v/>
      </c>
      <c r="FT20" s="20" t="str">
        <f t="shared" ca="1" si="49"/>
        <v/>
      </c>
      <c r="FU20" s="20" t="str">
        <f t="shared" ca="1" si="49"/>
        <v/>
      </c>
      <c r="FV20" s="20" t="str">
        <f t="shared" ca="1" si="49"/>
        <v/>
      </c>
      <c r="FW20" s="20" t="str">
        <f t="shared" ca="1" si="49"/>
        <v/>
      </c>
      <c r="FX20" s="20" t="str">
        <f t="shared" ca="1" si="49"/>
        <v/>
      </c>
      <c r="FY20" s="20" t="str">
        <f t="shared" ca="1" si="49"/>
        <v/>
      </c>
      <c r="FZ20" s="20" t="str">
        <f t="shared" ca="1" si="50"/>
        <v/>
      </c>
      <c r="GA20" s="20" t="str">
        <f t="shared" ca="1" si="50"/>
        <v/>
      </c>
      <c r="GB20" s="20" t="str">
        <f t="shared" ca="1" si="50"/>
        <v/>
      </c>
      <c r="GC20" s="20" t="str">
        <f t="shared" ca="1" si="50"/>
        <v/>
      </c>
      <c r="GD20" s="20" t="str">
        <f t="shared" ca="1" si="50"/>
        <v/>
      </c>
      <c r="GE20" s="20" t="str">
        <f t="shared" ca="1" si="50"/>
        <v/>
      </c>
      <c r="GF20" s="20" t="str">
        <f t="shared" ca="1" si="50"/>
        <v/>
      </c>
      <c r="GG20" s="20" t="str">
        <f t="shared" ca="1" si="50"/>
        <v/>
      </c>
      <c r="GH20" s="20" t="str">
        <f t="shared" ca="1" si="50"/>
        <v/>
      </c>
      <c r="GI20" s="34"/>
      <c r="HE20" s="34"/>
      <c r="HZ20" s="34"/>
      <c r="IA20" s="19" t="str">
        <f t="shared" ca="1" si="51"/>
        <v>No Hdcp</v>
      </c>
      <c r="IB20" s="19" t="str">
        <f ca="1">IF(D20&lt;&gt;"","1@"&amp;$H20,"")</f>
        <v>1@</v>
      </c>
      <c r="IC20" s="19" t="str">
        <f ca="1">IF(D20&lt;&gt;"","2@"&amp;$I20&amp;","&amp;$H20,"")</f>
        <v>2@,</v>
      </c>
      <c r="ID20" s="19" t="str">
        <f ca="1">IF(D20&lt;&gt;"","3@"&amp;$J20&amp;","&amp;$I20&amp;","&amp;$H20,"")</f>
        <v>3@,,</v>
      </c>
      <c r="IE20" s="19" t="str">
        <f ca="1">IF(D20&lt;&gt;"","4@"&amp;$K20&amp;","&amp;$J20&amp;","&amp;$I20&amp;","&amp;$H20,"")</f>
        <v>4@,,,</v>
      </c>
      <c r="IF20" s="19"/>
      <c r="IG20" s="19"/>
      <c r="IH20" s="19"/>
      <c r="II20" s="19"/>
      <c r="IJ20" s="19"/>
      <c r="IK20" s="263" t="e">
        <f ca="1">IF(D20&lt;&gt;"",MIN(ROUND((AVERAGE($H20:$Q20)-$C$4)*0.9,2),20),"")</f>
        <v>#DIV/0!</v>
      </c>
      <c r="IL20" s="34"/>
    </row>
    <row r="21" spans="1:271" ht="21" customHeight="1" x14ac:dyDescent="0.2">
      <c r="A21" s="38" t="s">
        <v>21</v>
      </c>
      <c r="B21" s="39" t="s">
        <v>75</v>
      </c>
      <c r="C21" s="40">
        <f ca="1">IFERROR(VLOOKUP(D21, leagueroster, 2, FALSE), 0)</f>
        <v>0.20300000000000001</v>
      </c>
      <c r="D21" s="38" t="str">
        <f ca="1">INDEX(INDIRECT($A21), 3, 1)</f>
        <v>Mickey Mouse Club</v>
      </c>
      <c r="E21" s="39"/>
      <c r="F21" s="39"/>
      <c r="G21" s="41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41"/>
      <c r="V21" s="39"/>
      <c r="W21" s="39"/>
      <c r="X21" s="39"/>
      <c r="Y21" s="39"/>
      <c r="Z21" s="39"/>
      <c r="AA21" s="39"/>
      <c r="AB21" s="39"/>
      <c r="AE21" s="34"/>
      <c r="AF21" s="341"/>
      <c r="AG21" s="341"/>
      <c r="AH21" s="341"/>
      <c r="AI21" s="341"/>
      <c r="AJ21" s="341"/>
      <c r="AK21" s="341"/>
      <c r="AL21" s="341"/>
      <c r="AM21" s="341"/>
      <c r="AN21" s="341"/>
      <c r="AO21" s="341"/>
      <c r="BI21" s="34"/>
      <c r="BJ21" s="340"/>
      <c r="BK21" s="340"/>
      <c r="BL21" s="340"/>
      <c r="BM21" s="340"/>
      <c r="BN21" s="340"/>
      <c r="BO21" s="340"/>
      <c r="BP21" s="340"/>
      <c r="BQ21" s="340"/>
      <c r="BR21" s="340"/>
      <c r="BS21" s="340"/>
      <c r="CM21" s="34"/>
      <c r="DG21" s="34"/>
      <c r="EA21" s="34"/>
      <c r="EU21" s="34"/>
      <c r="FO21" s="34"/>
      <c r="GI21" s="34"/>
      <c r="GJ21" s="20">
        <f t="shared" ref="GJ21:HB21" ca="1" si="52">IF(INDEX(INDIRECT($A21), 4, GJ$6+2)=0, "", INDEX(INDIRECT($A21), 4, GJ$6+2))</f>
        <v>171</v>
      </c>
      <c r="GK21" s="20">
        <f t="shared" ca="1" si="52"/>
        <v>162</v>
      </c>
      <c r="GL21" s="20">
        <f t="shared" ca="1" si="52"/>
        <v>164</v>
      </c>
      <c r="GM21" s="20">
        <f t="shared" ca="1" si="52"/>
        <v>159</v>
      </c>
      <c r="GN21" s="20">
        <f t="shared" ca="1" si="52"/>
        <v>168</v>
      </c>
      <c r="GO21" s="20">
        <f t="shared" ca="1" si="52"/>
        <v>155</v>
      </c>
      <c r="GP21" s="20">
        <f t="shared" ca="1" si="52"/>
        <v>158</v>
      </c>
      <c r="GQ21" s="20" t="str">
        <f t="shared" ca="1" si="52"/>
        <v/>
      </c>
      <c r="GR21" s="20">
        <f t="shared" ca="1" si="52"/>
        <v>158</v>
      </c>
      <c r="GS21" s="20">
        <f t="shared" ca="1" si="52"/>
        <v>161</v>
      </c>
      <c r="GT21" s="20">
        <f t="shared" ca="1" si="52"/>
        <v>150</v>
      </c>
      <c r="GU21" s="20" t="str">
        <f t="shared" ca="1" si="52"/>
        <v/>
      </c>
      <c r="GV21" s="20">
        <f t="shared" ca="1" si="52"/>
        <v>115</v>
      </c>
      <c r="GW21" s="20">
        <f t="shared" ca="1" si="52"/>
        <v>166</v>
      </c>
      <c r="GX21" s="20">
        <f t="shared" ca="1" si="52"/>
        <v>82</v>
      </c>
      <c r="GY21" s="20">
        <f t="shared" ca="1" si="52"/>
        <v>141</v>
      </c>
      <c r="GZ21" s="20">
        <f t="shared" ca="1" si="52"/>
        <v>151</v>
      </c>
      <c r="HA21" s="20" t="str">
        <f t="shared" ca="1" si="52"/>
        <v/>
      </c>
      <c r="HB21" s="20" t="str">
        <f t="shared" ca="1" si="52"/>
        <v/>
      </c>
      <c r="HC21" s="20" cm="1">
        <f t="array" aca="1" ref="HC21" ca="1">MIN(_xlfn._xlws.FILTER(GJ21:HB21,GJ21:HB21&gt;129))</f>
        <v>141</v>
      </c>
      <c r="HD21" s="42">
        <f ca="1">IF(D21&lt;&gt;"", IFERROR(AVERAGE(GJ21:HA21), "-"), "")</f>
        <v>150.73333333333332</v>
      </c>
      <c r="HE21" s="34"/>
      <c r="HF21" s="20">
        <f t="shared" ref="HF21:HW21" ca="1" si="53">IF(INDEX(INDIRECT($A21), 3, HF$6+2)=0, "", INDEX(INDIRECT($A21), 3, HF$6+2))</f>
        <v>47</v>
      </c>
      <c r="HG21" s="20">
        <f t="shared" ca="1" si="53"/>
        <v>50</v>
      </c>
      <c r="HH21" s="20">
        <f t="shared" ca="1" si="53"/>
        <v>40</v>
      </c>
      <c r="HI21" s="20">
        <f t="shared" ca="1" si="53"/>
        <v>32</v>
      </c>
      <c r="HJ21" s="20">
        <f t="shared" ca="1" si="53"/>
        <v>32</v>
      </c>
      <c r="HK21" s="20">
        <f t="shared" ca="1" si="53"/>
        <v>50</v>
      </c>
      <c r="HL21" s="20">
        <f t="shared" ca="1" si="53"/>
        <v>47</v>
      </c>
      <c r="HM21" s="20" t="str">
        <f t="shared" ca="1" si="53"/>
        <v/>
      </c>
      <c r="HN21" s="20">
        <f t="shared" ca="1" si="53"/>
        <v>34</v>
      </c>
      <c r="HO21" s="20">
        <f t="shared" ca="1" si="53"/>
        <v>30</v>
      </c>
      <c r="HP21" s="20">
        <f t="shared" ca="1" si="53"/>
        <v>44</v>
      </c>
      <c r="HQ21" s="20" t="str">
        <f t="shared" ca="1" si="53"/>
        <v/>
      </c>
      <c r="HR21" s="20">
        <f t="shared" ca="1" si="53"/>
        <v>50</v>
      </c>
      <c r="HS21" s="20">
        <f t="shared" ca="1" si="53"/>
        <v>33</v>
      </c>
      <c r="HT21" s="20">
        <f t="shared" ca="1" si="53"/>
        <v>37</v>
      </c>
      <c r="HU21" s="20">
        <f t="shared" ca="1" si="53"/>
        <v>53</v>
      </c>
      <c r="HV21" s="20">
        <f t="shared" ca="1" si="53"/>
        <v>49</v>
      </c>
      <c r="HW21" s="20" t="str">
        <f t="shared" ca="1" si="53"/>
        <v/>
      </c>
      <c r="HX21" s="20"/>
      <c r="HY21" s="20">
        <f ca="1">MAX(HF21:HX21)</f>
        <v>53</v>
      </c>
      <c r="HZ21" s="34"/>
      <c r="IA21" s="118"/>
      <c r="IB21" s="118"/>
      <c r="IC21" s="118"/>
      <c r="ID21" s="118"/>
      <c r="IE21" s="118"/>
      <c r="IF21" s="118"/>
      <c r="IG21" s="118"/>
      <c r="IH21" s="118"/>
      <c r="II21" s="118"/>
      <c r="IJ21" s="118"/>
      <c r="IK21" s="118"/>
      <c r="IL21" s="34"/>
    </row>
    <row r="22" spans="1:271" x14ac:dyDescent="0.2">
      <c r="A22" s="18" t="s">
        <v>21</v>
      </c>
      <c r="B22" s="19">
        <v>5</v>
      </c>
      <c r="C22" s="22">
        <f t="shared" ref="C22:C27" ca="1" si="54">IFERROR(VLOOKUP($D22, leagueroster, 2, FALSE), 0)</f>
        <v>9.2999999999999992E-3</v>
      </c>
      <c r="D22" s="18" t="str">
        <f t="shared" ref="D22:D27" ca="1" si="55">INDEX(INDIRECT($A22), $B22, 1)</f>
        <v>Smith, Steve - gold tees</v>
      </c>
      <c r="E22" s="19">
        <f t="shared" ref="E22:E27" ca="1" si="56">IF($D22&lt;&gt;"", COUNTIF($AP22:$BH22,"&lt;&gt;0"), "")</f>
        <v>15</v>
      </c>
      <c r="F22" s="19">
        <f ca="1">IF(D22&lt;&gt;"",COUNT($H22:$Q22),"")</f>
        <v>10</v>
      </c>
      <c r="G22" s="21">
        <f ca="1">IF($D22&lt;&gt;"",INDEX($IA22:$IK22,1,MATCH($F22,$IA$6:$IK$6,0)), "")</f>
        <v>15.36</v>
      </c>
      <c r="H22" s="337" cm="1">
        <f t="array" aca="1" ref="H22" ca="1">IFERROR(_xlfn.SINGLE(INDEX($AF22:$BH22, , SUMPRODUCT(LARGE((($AF22:$BH22&lt;&gt;0)*($BJ22:$CL22&lt;&gt;1)*($AF$5:$BH$5)), H$6)))), "")</f>
        <v>53</v>
      </c>
      <c r="I22" s="338" cm="1">
        <f t="array" aca="1" ref="I22" ca="1">IFERROR(_xlfn.SINGLE(INDEX($AF22:$BH22, , SUMPRODUCT(LARGE((($AF22:$BH22&lt;&gt;0)*($BJ22:$CL22&lt;&gt;1)*($AF$5:$BH$5)), I$6)))), "")</f>
        <v>49</v>
      </c>
      <c r="J22" s="338" cm="1">
        <f t="array" aca="1" ref="J22" ca="1">IFERROR(_xlfn.SINGLE(INDEX($AF22:$BH22, , SUMPRODUCT(LARGE((($AF22:$BH22&lt;&gt;0)*($BJ22:$CL22&lt;&gt;1)*($AF$5:$BH$5)), J$6)))), "")</f>
        <v>54</v>
      </c>
      <c r="K22" s="338" cm="1">
        <f t="array" aca="1" ref="K22" ca="1">IFERROR(_xlfn.SINGLE(INDEX($AF22:$BH22, , SUMPRODUCT(LARGE((($AF22:$BH22&lt;&gt;0)*($BJ22:$CL22&lt;&gt;1)*($AF$5:$BH$5)), K$6)))), "")</f>
        <v>61</v>
      </c>
      <c r="L22" s="338" cm="1">
        <f t="array" aca="1" ref="L22" ca="1">IFERROR(_xlfn.SINGLE(INDEX($AF22:$BH22, , SUMPRODUCT(LARGE((($AF22:$BH22&lt;&gt;0)*($BJ22:$CL22&lt;&gt;1)*($AF$5:$BH$5)), L$6)))), "")</f>
        <v>58</v>
      </c>
      <c r="M22" s="338" cm="1">
        <f t="array" aca="1" ref="M22" ca="1">IFERROR(_xlfn.SINGLE(INDEX($AF22:$BH22, , SUMPRODUCT(LARGE((($AF22:$BH22&lt;&gt;0)*($BJ22:$CL22&lt;&gt;1)*($AF$5:$BH$5)), M$6)))), "")</f>
        <v>53</v>
      </c>
      <c r="N22" s="338" cm="1">
        <f t="array" aca="1" ref="N22" ca="1">IFERROR(_xlfn.SINGLE(INDEX($AF22:$BH22, , SUMPRODUCT(LARGE((($AF22:$BH22&lt;&gt;0)*($BJ22:$CL22&lt;&gt;1)*($AF$5:$BH$5)), N$6)))), "")</f>
        <v>54</v>
      </c>
      <c r="O22" s="338" cm="1">
        <f t="array" aca="1" ref="O22" ca="1">IFERROR(_xlfn.SINGLE(INDEX($AF22:$BH22, , SUMPRODUCT(LARGE((($AF22:$BH22&lt;&gt;0)*($BJ22:$CL22&lt;&gt;1)*($AF$5:$BH$5)), O$6)))), "")</f>
        <v>55</v>
      </c>
      <c r="P22" s="338" cm="1">
        <f t="array" aca="1" ref="P22" ca="1">IFERROR(_xlfn.SINGLE(INDEX($AF22:$BH22, , SUMPRODUCT(LARGE((($AF22:$BH22&lt;&gt;0)*($BJ22:$CL22&lt;&gt;1)*($AF$5:$BH$5)), P$6)))), "")</f>
        <v>51</v>
      </c>
      <c r="Q22" s="339" cm="1">
        <f t="array" aca="1" ref="Q22" ca="1">IFERROR(_xlfn.SINGLE(INDEX($AF22:$BH22, , SUMPRODUCT(LARGE((($AF22:$BH22&lt;&gt;0)*($BJ22:$CL22&lt;&gt;1)*($AF$5:$BH$5)), Q$6)))), "")</f>
        <v>56</v>
      </c>
      <c r="R22" s="21"/>
      <c r="S22" s="47">
        <f t="shared" ref="S22:S27" ca="1" si="57">IF(COUNT($H22:$Q22)&lt;5,"-",AVERAGE(SMALL($H22:$Q22,1),SMALL($H22:$Q22,2),SMALL($H22:$Q22,3),SMALL($H22:$Q22,4),SMALL($H22:$Q22,5)))</f>
        <v>52</v>
      </c>
      <c r="T22" s="21">
        <f ca="1">IF($D22&lt;&gt;"", IFERROR(IF($E22&gt;=qualifier, SUMIF($BT22:$CL22,0,$AP22:$BH22)/$E22, TEXT(SUMIF($BT22:$CL22,0,$AP22:$BH22)/$E22, "0.00")&amp;"*"), "-"), "")</f>
        <v>55.4</v>
      </c>
      <c r="U22" s="21">
        <f ca="1">IF($D22&lt;&gt;"", IFERROR(IF($E22&gt;=qualifier, SUMIF($BT22:$CL22,0,$CN22:$DF22)/$E22, TEXT(SUMIF($BT22:$CL22,0,$CN22:$DF22)/$E22, "0.00")&amp;"*"), "-"), "")</f>
        <v>39</v>
      </c>
      <c r="V22" s="45">
        <f ca="1">IF(AND($D22&lt;&gt;"", $E22&lt;&gt;0), _xlfn.MINIFS($AP22:$BH22,$BT22:$CL22,0,$AP22:$BH22,"&lt;&gt;0"), "")</f>
        <v>49</v>
      </c>
      <c r="W22" s="62">
        <f ca="1">IF(AND($D22&lt;&gt;"", $E22&lt;&gt;0), _xlfn.MINIFS($CN22:$DF22,$BT22:$CL22,0), "")</f>
        <v>33</v>
      </c>
      <c r="X22" s="45">
        <f ca="1">IF($D22&lt;&gt;"", SUM($DH22:$DZ22),  "")</f>
        <v>155</v>
      </c>
      <c r="Y22" s="21">
        <f ca="1">IF($D22&lt;&gt;"", IFERROR(IF($E22&gt;=qualifier, AVERAGE($DH22:$DZ22), TEXT(AVERAGE($DH22:$DZ22), "0.00")&amp;"*"), "-"), "")</f>
        <v>10.333333333333334</v>
      </c>
      <c r="Z22" s="19">
        <f ca="1">IF($D22&lt;&gt;"", SUM($EB22:$ET22),  "")</f>
        <v>0</v>
      </c>
      <c r="AA22" s="19">
        <f ca="1">IF($D22&lt;&gt;"", SUM($EV22:$FN22),  "")</f>
        <v>0</v>
      </c>
      <c r="AB22" s="45" t="str">
        <f t="shared" ref="AB22:AB27" ca="1" si="58">IF($D22&lt;&gt;"", COUNTIF($FP22:$GH22, "w")&amp;"-"&amp;COUNTIF($FP22:$GH22, "l")&amp;"-"&amp;COUNTIF($FP22:$GH22, "t"),  "")</f>
        <v>9-7-0</v>
      </c>
      <c r="AC22" s="218">
        <f t="shared" ref="AC22:AC27" ca="1" si="59">IF($D22&lt;&gt;"", INDEX(INDIRECT($A22), $B22+1, 1), "")</f>
        <v>4408044000</v>
      </c>
      <c r="AD22" s="57" t="str">
        <f t="shared" ref="AD22:AD27" ca="1" si="60">IF($D22&lt;&gt;"", INDEX(INDIRECT($A22), $B22+2, 1), "")</f>
        <v>ssmith@usilluminations.com</v>
      </c>
      <c r="AE22" s="34"/>
      <c r="AF22" s="341">
        <f ca="1">INDEX(PriorScores[],MATCH($D22,PriorScores[Team / Player],0),2)</f>
        <v>0</v>
      </c>
      <c r="AG22" s="341">
        <f ca="1">INDEX(PriorScores[],MATCH($D22,PriorScores[Team / Player],0),3)</f>
        <v>0</v>
      </c>
      <c r="AH22" s="341">
        <f ca="1">INDEX(PriorScores[],MATCH($D22,PriorScores[Team / Player],0),4)</f>
        <v>0</v>
      </c>
      <c r="AI22" s="341">
        <f ca="1">INDEX(PriorScores[],MATCH($D22,PriorScores[Team / Player],0),5)</f>
        <v>0</v>
      </c>
      <c r="AJ22" s="341">
        <f ca="1">INDEX(PriorScores[],MATCH($D22,PriorScores[Team / Player],0),6)</f>
        <v>0</v>
      </c>
      <c r="AK22" s="341">
        <f ca="1">INDEX(PriorScores[],MATCH($D22,PriorScores[Team / Player],0),7)</f>
        <v>0</v>
      </c>
      <c r="AL22" s="341">
        <f ca="1">INDEX(PriorScores[],MATCH($D22,PriorScores[Team / Player],0),8)</f>
        <v>0</v>
      </c>
      <c r="AM22" s="341">
        <f ca="1">INDEX(PriorScores[],MATCH($D22,PriorScores[Team / Player],0),9)</f>
        <v>0</v>
      </c>
      <c r="AN22" s="341">
        <f ca="1">INDEX(PriorScores[],MATCH($D22,PriorScores[Team / Player],0),10)</f>
        <v>0</v>
      </c>
      <c r="AO22" s="341">
        <f ca="1">INDEX(PriorScores[],MATCH($D22,PriorScores[Team / Player],0),11)</f>
        <v>0</v>
      </c>
      <c r="AP22" s="20">
        <f t="shared" ref="AP22:AY27" ca="1" si="61">IF(OR(INDEX(INDIRECT($A22), $B22, AP$6+2)="",INDEX(INDIRECT($A22),$B22+5,AP$6+2)=1), 0, INDEX(INDIRECT($A22), $B22, AP$6+2))</f>
        <v>64</v>
      </c>
      <c r="AQ22" s="20">
        <f t="shared" ca="1" si="61"/>
        <v>60</v>
      </c>
      <c r="AR22" s="20">
        <f t="shared" ca="1" si="61"/>
        <v>57</v>
      </c>
      <c r="AS22" s="20">
        <f t="shared" ca="1" si="61"/>
        <v>51</v>
      </c>
      <c r="AT22" s="20">
        <f t="shared" ca="1" si="61"/>
        <v>55</v>
      </c>
      <c r="AU22" s="20">
        <f t="shared" ca="1" si="61"/>
        <v>56</v>
      </c>
      <c r="AV22" s="20">
        <f t="shared" ca="1" si="61"/>
        <v>51</v>
      </c>
      <c r="AW22" s="20">
        <f t="shared" ca="1" si="61"/>
        <v>0</v>
      </c>
      <c r="AX22" s="20">
        <f t="shared" ca="1" si="61"/>
        <v>55</v>
      </c>
      <c r="AY22" s="20">
        <f t="shared" ca="1" si="61"/>
        <v>54</v>
      </c>
      <c r="AZ22" s="20">
        <f t="shared" ref="AZ22:BH27" ca="1" si="62">IF(OR(INDEX(INDIRECT($A22), $B22, AZ$6+2)="",INDEX(INDIRECT($A22),$B22+5,AZ$6+2)=1), 0, INDEX(INDIRECT($A22), $B22, AZ$6+2))</f>
        <v>53</v>
      </c>
      <c r="BA22" s="20">
        <f t="shared" ca="1" si="62"/>
        <v>0</v>
      </c>
      <c r="BB22" s="20">
        <f t="shared" ca="1" si="62"/>
        <v>58</v>
      </c>
      <c r="BC22" s="20">
        <f t="shared" ca="1" si="62"/>
        <v>61</v>
      </c>
      <c r="BD22" s="20">
        <f t="shared" ca="1" si="62"/>
        <v>0</v>
      </c>
      <c r="BE22" s="20">
        <f t="shared" ca="1" si="62"/>
        <v>54</v>
      </c>
      <c r="BF22" s="20">
        <f t="shared" ca="1" si="62"/>
        <v>49</v>
      </c>
      <c r="BG22" s="20">
        <f t="shared" ca="1" si="62"/>
        <v>0</v>
      </c>
      <c r="BH22" s="20">
        <f t="shared" ca="1" si="62"/>
        <v>53</v>
      </c>
      <c r="BI22" s="34"/>
      <c r="BJ22" s="341">
        <v>0</v>
      </c>
      <c r="BK22" s="341">
        <v>0</v>
      </c>
      <c r="BL22" s="341">
        <v>0</v>
      </c>
      <c r="BM22" s="341">
        <v>0</v>
      </c>
      <c r="BN22" s="341">
        <v>0</v>
      </c>
      <c r="BO22" s="341">
        <v>0</v>
      </c>
      <c r="BP22" s="341">
        <v>0</v>
      </c>
      <c r="BQ22" s="341">
        <v>0</v>
      </c>
      <c r="BR22" s="341">
        <v>0</v>
      </c>
      <c r="BS22" s="341">
        <v>0</v>
      </c>
      <c r="BT22" s="20">
        <f t="shared" ref="BT22:CC27" ca="1" si="63">IF(INDEX(INDIRECT($A22), $B22+5, BT$6+2)="", 0, INDEX(INDIRECT($A22), $B22+5, BT$6+2))</f>
        <v>0</v>
      </c>
      <c r="BU22" s="20">
        <f t="shared" ca="1" si="63"/>
        <v>0</v>
      </c>
      <c r="BV22" s="20">
        <f t="shared" ca="1" si="63"/>
        <v>0</v>
      </c>
      <c r="BW22" s="20">
        <f t="shared" ca="1" si="63"/>
        <v>0</v>
      </c>
      <c r="BX22" s="20">
        <f t="shared" ca="1" si="63"/>
        <v>0</v>
      </c>
      <c r="BY22" s="20">
        <f t="shared" ca="1" si="63"/>
        <v>0</v>
      </c>
      <c r="BZ22" s="20">
        <f t="shared" ca="1" si="63"/>
        <v>0</v>
      </c>
      <c r="CA22" s="20">
        <f t="shared" ca="1" si="63"/>
        <v>0</v>
      </c>
      <c r="CB22" s="20">
        <f t="shared" ca="1" si="63"/>
        <v>0</v>
      </c>
      <c r="CC22" s="20">
        <f t="shared" ca="1" si="63"/>
        <v>0</v>
      </c>
      <c r="CD22" s="20">
        <f t="shared" ref="CD22:CL27" ca="1" si="64">IF(INDEX(INDIRECT($A22), $B22+5, CD$6+2)="", 0, INDEX(INDIRECT($A22), $B22+5, CD$6+2))</f>
        <v>0</v>
      </c>
      <c r="CE22" s="20">
        <f t="shared" ca="1" si="64"/>
        <v>0</v>
      </c>
      <c r="CF22" s="20">
        <f t="shared" ca="1" si="64"/>
        <v>0</v>
      </c>
      <c r="CG22" s="20">
        <f t="shared" ca="1" si="64"/>
        <v>0</v>
      </c>
      <c r="CH22" s="20">
        <f t="shared" ca="1" si="64"/>
        <v>1</v>
      </c>
      <c r="CI22" s="20">
        <f t="shared" ca="1" si="64"/>
        <v>0</v>
      </c>
      <c r="CJ22" s="20">
        <f t="shared" ca="1" si="64"/>
        <v>0</v>
      </c>
      <c r="CK22" s="20">
        <f t="shared" ca="1" si="64"/>
        <v>0</v>
      </c>
      <c r="CL22" s="20">
        <f t="shared" ca="1" si="64"/>
        <v>0</v>
      </c>
      <c r="CM22" s="34"/>
      <c r="CN22" s="20">
        <f t="shared" ref="CN22:CW27" ca="1" si="65">IF(OR(INDEX(INDIRECT($A22), $B22+1, CN$6+2)=0,INDEX(INDIRECT($A22),$B22+5,CN$6+2)=1), "", INDEX(INDIRECT($A22), $B22+1, CN$6+2))</f>
        <v>44</v>
      </c>
      <c r="CO22" s="20">
        <f t="shared" ca="1" si="65"/>
        <v>40</v>
      </c>
      <c r="CP22" s="20">
        <f t="shared" ca="1" si="65"/>
        <v>37</v>
      </c>
      <c r="CQ22" s="20">
        <f t="shared" ca="1" si="65"/>
        <v>37</v>
      </c>
      <c r="CR22" s="20">
        <f t="shared" ca="1" si="65"/>
        <v>41</v>
      </c>
      <c r="CS22" s="20">
        <f t="shared" ca="1" si="65"/>
        <v>42</v>
      </c>
      <c r="CT22" s="20">
        <f t="shared" ca="1" si="65"/>
        <v>35</v>
      </c>
      <c r="CU22" s="20" t="str">
        <f t="shared" ca="1" si="65"/>
        <v/>
      </c>
      <c r="CV22" s="20">
        <f t="shared" ca="1" si="65"/>
        <v>39</v>
      </c>
      <c r="CW22" s="20">
        <f t="shared" ca="1" si="65"/>
        <v>38</v>
      </c>
      <c r="CX22" s="20">
        <f t="shared" ref="CX22:DF27" ca="1" si="66">IF(OR(INDEX(INDIRECT($A22), $B22+1, CX$6+2)=0,INDEX(INDIRECT($A22),$B22+5,CX$6+2)=1), "", INDEX(INDIRECT($A22), $B22+1, CX$6+2))</f>
        <v>37</v>
      </c>
      <c r="CY22" s="20" t="str">
        <f t="shared" ca="1" si="66"/>
        <v/>
      </c>
      <c r="CZ22" s="20">
        <f t="shared" ca="1" si="66"/>
        <v>42</v>
      </c>
      <c r="DA22" s="20">
        <f t="shared" ca="1" si="66"/>
        <v>45</v>
      </c>
      <c r="DB22" s="20" t="str">
        <f t="shared" ca="1" si="66"/>
        <v/>
      </c>
      <c r="DC22" s="20">
        <f t="shared" ca="1" si="66"/>
        <v>38</v>
      </c>
      <c r="DD22" s="20">
        <f t="shared" ca="1" si="66"/>
        <v>33</v>
      </c>
      <c r="DE22" s="20" t="str">
        <f t="shared" ca="1" si="66"/>
        <v/>
      </c>
      <c r="DF22" s="20">
        <f t="shared" ca="1" si="66"/>
        <v>37</v>
      </c>
      <c r="DG22" s="34"/>
      <c r="DH22" s="20">
        <f t="shared" ref="DH22:DQ27" ca="1" si="67">IF(INDEX(INDIRECT($A22), $B22+2, DH$6+2)=0, "", INDEX(INDIRECT($A22), $B22+2, DH$6+2))</f>
        <v>9</v>
      </c>
      <c r="DI22" s="20">
        <f t="shared" ca="1" si="67"/>
        <v>13</v>
      </c>
      <c r="DJ22" s="20">
        <f t="shared" ca="1" si="67"/>
        <v>15</v>
      </c>
      <c r="DK22" s="20">
        <f t="shared" ca="1" si="67"/>
        <v>9</v>
      </c>
      <c r="DL22" s="20">
        <f t="shared" ca="1" si="67"/>
        <v>9</v>
      </c>
      <c r="DM22" s="20">
        <f t="shared" ca="1" si="67"/>
        <v>11</v>
      </c>
      <c r="DN22" s="20">
        <f t="shared" ca="1" si="67"/>
        <v>13</v>
      </c>
      <c r="DO22" s="20" t="str">
        <f t="shared" ca="1" si="67"/>
        <v/>
      </c>
      <c r="DP22" s="20">
        <f t="shared" ca="1" si="67"/>
        <v>11</v>
      </c>
      <c r="DQ22" s="20">
        <f t="shared" ca="1" si="67"/>
        <v>8</v>
      </c>
      <c r="DR22" s="20">
        <f t="shared" ref="DR22:DZ27" ca="1" si="68">IF(INDEX(INDIRECT($A22), $B22+2, DR$6+2)=0, "", INDEX(INDIRECT($A22), $B22+2, DR$6+2))</f>
        <v>7</v>
      </c>
      <c r="DS22" s="20" t="str">
        <f t="shared" ca="1" si="68"/>
        <v/>
      </c>
      <c r="DT22" s="20">
        <f t="shared" ca="1" si="68"/>
        <v>7</v>
      </c>
      <c r="DU22" s="20">
        <f t="shared" ca="1" si="68"/>
        <v>4</v>
      </c>
      <c r="DV22" s="20">
        <f t="shared" ca="1" si="68"/>
        <v>12</v>
      </c>
      <c r="DW22" s="20">
        <f t="shared" ca="1" si="68"/>
        <v>11</v>
      </c>
      <c r="DX22" s="20">
        <f t="shared" ca="1" si="68"/>
        <v>16</v>
      </c>
      <c r="DY22" s="20" t="str">
        <f t="shared" ca="1" si="68"/>
        <v/>
      </c>
      <c r="DZ22" s="20" t="str">
        <f t="shared" ca="1" si="68"/>
        <v/>
      </c>
      <c r="EA22" s="34"/>
      <c r="EB22" s="20" t="str">
        <f t="shared" ref="EB22:EK27" ca="1" si="69">IF(INDEX(INDIRECT($A22), $B22+3, EB$6+2)=0, "", INDEX(INDIRECT($A22), $B22+3, EB$6+2))</f>
        <v/>
      </c>
      <c r="EC22" s="20" t="str">
        <f t="shared" ca="1" si="69"/>
        <v/>
      </c>
      <c r="ED22" s="20" t="str">
        <f t="shared" ca="1" si="69"/>
        <v/>
      </c>
      <c r="EE22" s="20" t="str">
        <f t="shared" ca="1" si="69"/>
        <v/>
      </c>
      <c r="EF22" s="20" t="str">
        <f t="shared" ca="1" si="69"/>
        <v/>
      </c>
      <c r="EG22" s="20" t="str">
        <f t="shared" ca="1" si="69"/>
        <v/>
      </c>
      <c r="EH22" s="20" t="str">
        <f t="shared" ca="1" si="69"/>
        <v/>
      </c>
      <c r="EI22" s="20" t="str">
        <f t="shared" ca="1" si="69"/>
        <v/>
      </c>
      <c r="EJ22" s="20" t="str">
        <f t="shared" ca="1" si="69"/>
        <v/>
      </c>
      <c r="EK22" s="20" t="str">
        <f t="shared" ca="1" si="69"/>
        <v/>
      </c>
      <c r="EL22" s="20" t="str">
        <f t="shared" ref="EL22:ET27" ca="1" si="70">IF(INDEX(INDIRECT($A22), $B22+3, EL$6+2)=0, "", INDEX(INDIRECT($A22), $B22+3, EL$6+2))</f>
        <v/>
      </c>
      <c r="EM22" s="20" t="str">
        <f t="shared" ca="1" si="70"/>
        <v/>
      </c>
      <c r="EN22" s="20" t="str">
        <f t="shared" ca="1" si="70"/>
        <v/>
      </c>
      <c r="EO22" s="20" t="str">
        <f t="shared" ca="1" si="70"/>
        <v/>
      </c>
      <c r="EP22" s="20" t="str">
        <f t="shared" ca="1" si="70"/>
        <v/>
      </c>
      <c r="EQ22" s="20" t="str">
        <f t="shared" ca="1" si="70"/>
        <v/>
      </c>
      <c r="ER22" s="20" t="str">
        <f t="shared" ca="1" si="70"/>
        <v/>
      </c>
      <c r="ES22" s="20" t="str">
        <f t="shared" ca="1" si="70"/>
        <v/>
      </c>
      <c r="ET22" s="20" t="str">
        <f t="shared" ca="1" si="70"/>
        <v/>
      </c>
      <c r="EU22" s="34"/>
      <c r="EV22" s="20" t="str">
        <f t="shared" ref="EV22:FE27" ca="1" si="71">IF(INDEX(INDIRECT($A22), $B22+4, EV$6+2)=0, "", INDEX(INDIRECT($A22), $B22+4, EV$6+2))</f>
        <v/>
      </c>
      <c r="EW22" s="20" t="str">
        <f t="shared" ca="1" si="71"/>
        <v/>
      </c>
      <c r="EX22" s="20" t="str">
        <f t="shared" ca="1" si="71"/>
        <v/>
      </c>
      <c r="EY22" s="20" t="str">
        <f t="shared" ca="1" si="71"/>
        <v/>
      </c>
      <c r="EZ22" s="20" t="str">
        <f t="shared" ca="1" si="71"/>
        <v/>
      </c>
      <c r="FA22" s="20" t="str">
        <f t="shared" ca="1" si="71"/>
        <v/>
      </c>
      <c r="FB22" s="20" t="str">
        <f t="shared" ca="1" si="71"/>
        <v/>
      </c>
      <c r="FC22" s="20" t="str">
        <f t="shared" ca="1" si="71"/>
        <v/>
      </c>
      <c r="FD22" s="20" t="str">
        <f t="shared" ca="1" si="71"/>
        <v/>
      </c>
      <c r="FE22" s="20" t="str">
        <f t="shared" ca="1" si="71"/>
        <v/>
      </c>
      <c r="FF22" s="20" t="str">
        <f t="shared" ref="FF22:FN27" ca="1" si="72">IF(INDEX(INDIRECT($A22), $B22+4, FF$6+2)=0, "", INDEX(INDIRECT($A22), $B22+4, FF$6+2))</f>
        <v/>
      </c>
      <c r="FG22" s="20" t="str">
        <f t="shared" ca="1" si="72"/>
        <v/>
      </c>
      <c r="FH22" s="20" t="str">
        <f t="shared" ca="1" si="72"/>
        <v/>
      </c>
      <c r="FI22" s="20" t="str">
        <f t="shared" ca="1" si="72"/>
        <v/>
      </c>
      <c r="FJ22" s="20" t="str">
        <f t="shared" ca="1" si="72"/>
        <v/>
      </c>
      <c r="FK22" s="20" t="str">
        <f t="shared" ca="1" si="72"/>
        <v/>
      </c>
      <c r="FL22" s="20" t="str">
        <f t="shared" ca="1" si="72"/>
        <v/>
      </c>
      <c r="FM22" s="20" t="str">
        <f t="shared" ca="1" si="72"/>
        <v/>
      </c>
      <c r="FN22" s="20" t="str">
        <f t="shared" ca="1" si="72"/>
        <v/>
      </c>
      <c r="FO22" s="34"/>
      <c r="FP22" s="20" t="str">
        <f t="shared" ref="FP22:FY27" ca="1" si="73">IF(INDEX(INDIRECT($A22), $B22+6, FP$6+2)=0, "", INDEX(INDIRECT($A22), $B22+6, FP$6+2))</f>
        <v>l</v>
      </c>
      <c r="FQ22" s="20" t="str">
        <f t="shared" ca="1" si="73"/>
        <v>w</v>
      </c>
      <c r="FR22" s="20" t="str">
        <f t="shared" ca="1" si="73"/>
        <v>w</v>
      </c>
      <c r="FS22" s="20" t="str">
        <f t="shared" ca="1" si="73"/>
        <v>l</v>
      </c>
      <c r="FT22" s="20" t="str">
        <f t="shared" ca="1" si="73"/>
        <v>l</v>
      </c>
      <c r="FU22" s="20" t="str">
        <f t="shared" ca="1" si="73"/>
        <v>w</v>
      </c>
      <c r="FV22" s="20" t="str">
        <f t="shared" ca="1" si="73"/>
        <v>w</v>
      </c>
      <c r="FW22" s="20" t="str">
        <f t="shared" ca="1" si="73"/>
        <v/>
      </c>
      <c r="FX22" s="20" t="str">
        <f t="shared" ca="1" si="73"/>
        <v>w</v>
      </c>
      <c r="FY22" s="20" t="str">
        <f t="shared" ca="1" si="73"/>
        <v>l</v>
      </c>
      <c r="FZ22" s="20" t="str">
        <f t="shared" ref="FZ22:GH27" ca="1" si="74">IF(INDEX(INDIRECT($A22), $B22+6, FZ$6+2)=0, "", INDEX(INDIRECT($A22), $B22+6, FZ$6+2))</f>
        <v>l</v>
      </c>
      <c r="GA22" s="20" t="str">
        <f t="shared" ca="1" si="74"/>
        <v/>
      </c>
      <c r="GB22" s="20" t="str">
        <f t="shared" ca="1" si="74"/>
        <v>l</v>
      </c>
      <c r="GC22" s="20" t="str">
        <f t="shared" ca="1" si="74"/>
        <v>l</v>
      </c>
      <c r="GD22" s="20" t="str">
        <f t="shared" ca="1" si="74"/>
        <v>w</v>
      </c>
      <c r="GE22" s="20" t="str">
        <f t="shared" ca="1" si="74"/>
        <v>w</v>
      </c>
      <c r="GF22" s="20" t="str">
        <f t="shared" ca="1" si="74"/>
        <v>w</v>
      </c>
      <c r="GG22" s="20" t="str">
        <f t="shared" ca="1" si="74"/>
        <v/>
      </c>
      <c r="GH22" s="20" t="str">
        <f t="shared" ca="1" si="74"/>
        <v>w</v>
      </c>
      <c r="GI22" s="34"/>
      <c r="HE22" s="34"/>
      <c r="HZ22" s="34"/>
      <c r="IA22" s="19" t="str">
        <f t="shared" ref="IA22:IA27" ca="1" si="75">IF(D22&lt;&gt;"","No Hdcp","")</f>
        <v>No Hdcp</v>
      </c>
      <c r="IB22" s="19" t="str">
        <f ca="1">IF($D22&lt;&gt;"","Low of score &amp; "&amp;MIN($H22:$H22),"")</f>
        <v>Low of score &amp; 53</v>
      </c>
      <c r="IC22" s="19" t="str">
        <f ca="1">IF($D22&lt;&gt;"","Low of score &amp; "&amp;MIN($H22:$I22),"")</f>
        <v>Low of score &amp; 49</v>
      </c>
      <c r="ID22" s="18" t="str">
        <f ca="1">IF($D22&lt;&gt;"","Low of score &amp; "&amp;MIN($H22:$J22),"")</f>
        <v>Low of score &amp; 49</v>
      </c>
      <c r="IE22" s="18" t="str">
        <f ca="1">IF($D22&lt;&gt;"","Low of score &amp; "&amp;MIN($H22:$K22),"")</f>
        <v>Low of score &amp; 49</v>
      </c>
      <c r="IF22" s="18">
        <f ca="1">IF($D22&lt;&gt;"",ROUND(MIN((MIN($H22:$L22)-36)*0.96,20),2),"")</f>
        <v>12.48</v>
      </c>
      <c r="IG22" s="353">
        <f ca="1">IF($D22&lt;&gt;"",ROUND(MIN((AVERAGE(SMALL($H22:$M22,1),SMALL($H22:$M22,2))-36)*0.96,20),2),"")</f>
        <v>14.4</v>
      </c>
      <c r="IH22" s="18">
        <f ca="1">IF($D22&lt;&gt;"",ROUND(MIN((AVERAGE(SMALL($H22:$N22,1),SMALL($H22:$N22,2),SMALL($H22:$N22,3))-36)*0.96,20),2),"")</f>
        <v>15.04</v>
      </c>
      <c r="II22" s="18">
        <f ca="1">IF($D22&lt;&gt;"",ROUND(MIN((AVERAGE(SMALL($H22:$O22,1),SMALL($H22:$O22,2),SMALL($H22:$O22,3),SMALL($H22:$O22,4))-36)*0.96,20),2),"")</f>
        <v>15.6</v>
      </c>
      <c r="IJ22" s="18">
        <f ca="1">IF($D22&lt;&gt;"",ROUND(MIN((AVERAGE(SMALL($H22:$P22,1),SMALL($H22:$P22,2),SMALL($H22:$P22,3),SMALL($H22:$P22,4))-36)*0.96,20),2),"")</f>
        <v>14.88</v>
      </c>
      <c r="IK22" s="18">
        <f ca="1">IF($D22&lt;&gt;"",ROUND(MIN((AVERAGE(SMALL($H22:$Q22,1),SMALL($H22:$Q22,2),SMALL($H22:$Q22,3),SMALL($H22:$Q22,4),SMALL($H22:$Q22,5))-36)*0.96,20),2),"")</f>
        <v>15.36</v>
      </c>
      <c r="IL22" s="34"/>
      <c r="IN22" s="18">
        <f ca="1">AO22</f>
        <v>0</v>
      </c>
      <c r="IO22" s="18">
        <f ca="1">AN22</f>
        <v>0</v>
      </c>
      <c r="IP22" s="18">
        <f ca="1">AM22</f>
        <v>0</v>
      </c>
      <c r="IQ22" s="18">
        <f ca="1">AL22</f>
        <v>0</v>
      </c>
      <c r="IR22" s="18">
        <f ca="1">AK22</f>
        <v>0</v>
      </c>
      <c r="IS22" s="18">
        <f ca="1">AJ22</f>
        <v>0</v>
      </c>
      <c r="IT22" s="18">
        <f ca="1">AI22</f>
        <v>0</v>
      </c>
      <c r="IU22" s="18">
        <f ca="1">AH22</f>
        <v>0</v>
      </c>
      <c r="IV22" s="18">
        <f ca="1">AG22</f>
        <v>0</v>
      </c>
      <c r="IW22" s="18">
        <f ca="1">AF22</f>
        <v>0</v>
      </c>
      <c r="IX22" s="19">
        <f ca="1">IF(D22&lt;&gt;"",COUNT(IN22:IW22),"")</f>
        <v>10</v>
      </c>
      <c r="IY22" s="21">
        <f ca="1">IF(D22&lt;&gt;"",INDEX($JA22:$JK22,1,MATCH($IX22,$JA$6:$JK$6,0)), "")</f>
        <v>-34.56</v>
      </c>
      <c r="JA22" s="18" t="str">
        <f ca="1">IF(D22&lt;&gt;"","No Hdcp","")</f>
        <v>No Hdcp</v>
      </c>
      <c r="JB22" s="18" t="str">
        <f ca="1">IF(D22&lt;&gt;"","Low of score &amp; "&amp;MIN($IN22:$IN22),"")</f>
        <v>Low of score &amp; 0</v>
      </c>
      <c r="JC22" s="18" t="str">
        <f ca="1">IF(D22&lt;&gt;"","Low of score &amp; "&amp;MIN($IN22:$IO22),"")</f>
        <v>Low of score &amp; 0</v>
      </c>
      <c r="JD22" s="18" t="str">
        <f ca="1">IF(D22&lt;&gt;"","Low of score &amp; "&amp;MIN($IN22:$IP22),"")</f>
        <v>Low of score &amp; 0</v>
      </c>
      <c r="JE22" s="18" t="str">
        <f ca="1">IF(D22&lt;&gt;"","Low of score &amp; "&amp;MIN($IN22:$IQ22),"")</f>
        <v>Low of score &amp; 0</v>
      </c>
      <c r="JF22" s="18">
        <f ca="1">IF(D22&lt;&gt;"",MIN((MIN($IN22:$IR22)-36)*0.96,20),"")</f>
        <v>-34.56</v>
      </c>
      <c r="JG22" s="18">
        <f ca="1">IF(D22&lt;&gt;"",MIN((AVERAGE(SMALL($IN22:$IS22,1),SMALL($IN22:$IS22,2))-36)*0.96,20),"")</f>
        <v>-34.56</v>
      </c>
      <c r="JH22" s="18">
        <f ca="1">IF(D22&lt;&gt;"",MIN((AVERAGE(SMALL($IN22:$IT22,1),SMALL($IN22:$IT22,2),SMALL($IN22:$IT22,3))-36)*0.96,20),"")</f>
        <v>-34.56</v>
      </c>
      <c r="JI22" s="18">
        <f ca="1">IF(D22&lt;&gt;"",MIN((AVERAGE(SMALL($IN22:$IU22,1),SMALL($IN22:$IU22,2),SMALL($IN22:$IU22,3),SMALL($IN22:$IU22,4))-36)*0.96,20),"")</f>
        <v>-34.56</v>
      </c>
      <c r="JJ22" s="18">
        <f ca="1">IF(D22&lt;&gt;"",MIN((AVERAGE(SMALL($IN22:$IV22,1),SMALL($IN22:$IV22,2),SMALL($IN22:$IV22,3),SMALL($IN22:$IV22,4))-36)*0.96,20),"")</f>
        <v>-34.56</v>
      </c>
      <c r="JK22" s="18">
        <f ca="1">IF(D22&lt;&gt;"",MIN((AVERAGE(SMALL($IN22:$IW22,1),SMALL($IN22:$IW22,2),SMALL($IN22:$IW22,3),SMALL($IN22:$IW22,4),SMALL($IN22:$IW22,5))-36)*0.96,20),"")</f>
        <v>-34.56</v>
      </c>
    </row>
    <row r="23" spans="1:271" x14ac:dyDescent="0.2">
      <c r="A23" s="18" t="s">
        <v>21</v>
      </c>
      <c r="B23" s="19">
        <f>B22+7</f>
        <v>12</v>
      </c>
      <c r="C23" s="22">
        <f t="shared" ca="1" si="54"/>
        <v>2.5999999999999999E-3</v>
      </c>
      <c r="D23" s="18" t="str">
        <f t="shared" ca="1" si="55"/>
        <v>Cizek, Randy - gold tees</v>
      </c>
      <c r="E23" s="19">
        <f t="shared" ca="1" si="56"/>
        <v>13</v>
      </c>
      <c r="F23" s="19">
        <f ca="1">IF(D23&lt;&gt;"",COUNT($H23:$Q23),"")</f>
        <v>10</v>
      </c>
      <c r="G23" s="21">
        <f ca="1">IF($D23&lt;&gt;"",INDEX($IA23:$IK23,1,MATCH($F23,$IA$6:$IK$6,0)), "")</f>
        <v>10.18</v>
      </c>
      <c r="H23" s="337">
        <f ca="1">IFERROR(INDEX($AF23:$BH23, , SUMPRODUCT(LARGE((($AF23:$BH23&lt;&gt;0)*($BJ23:$CL23&lt;&gt;1)*($AF$5:$BH$5)), H$6))), "")</f>
        <v>54</v>
      </c>
      <c r="I23" s="338" cm="1">
        <f t="array" aca="1" ref="I23" ca="1">IFERROR(_xlfn.SINGLE(INDEX($AF23:$BH23, , SUMPRODUCT(LARGE((($AF23:$BH23&lt;&gt;0)*($BJ23:$CL23&lt;&gt;1)*($AF$5:$BH$5)), I$6)))), "")</f>
        <v>50</v>
      </c>
      <c r="J23" s="338" cm="1">
        <f t="array" aca="1" ref="J23" ca="1">IFERROR(_xlfn.SINGLE(INDEX($AF23:$BH23, , SUMPRODUCT(LARGE((($AF23:$BH23&lt;&gt;0)*($BJ23:$CL23&lt;&gt;1)*($AF$5:$BH$5)), J$6)))), "")</f>
        <v>48</v>
      </c>
      <c r="K23" s="338" cm="1">
        <f t="array" aca="1" ref="K23" ca="1">IFERROR(_xlfn.SINGLE(INDEX($AF23:$BH23, , SUMPRODUCT(LARGE((($AF23:$BH23&lt;&gt;0)*($BJ23:$CL23&lt;&gt;1)*($AF$5:$BH$5)), K$6)))), "")</f>
        <v>53</v>
      </c>
      <c r="L23" s="338" cm="1">
        <f t="array" aca="1" ref="L23" ca="1">IFERROR(_xlfn.SINGLE(INDEX($AF23:$BH23, , SUMPRODUCT(LARGE((($AF23:$BH23&lt;&gt;0)*($BJ23:$CL23&lt;&gt;1)*($AF$5:$BH$5)), L$6)))), "")</f>
        <v>55</v>
      </c>
      <c r="M23" s="338" cm="1">
        <f t="array" aca="1" ref="M23" ca="1">IFERROR(_xlfn.SINGLE(INDEX($AF23:$BH23, , SUMPRODUCT(LARGE((($AF23:$BH23&lt;&gt;0)*($BJ23:$CL23&lt;&gt;1)*($AF$5:$BH$5)), M$6)))), "")</f>
        <v>45</v>
      </c>
      <c r="N23" s="338" cm="1">
        <f t="array" aca="1" ref="N23" ca="1">IFERROR(_xlfn.SINGLE(INDEX($AF23:$BH23, , SUMPRODUCT(LARGE((($AF23:$BH23&lt;&gt;0)*($BJ23:$CL23&lt;&gt;1)*($AF$5:$BH$5)), N$6)))), "")</f>
        <v>48</v>
      </c>
      <c r="O23" s="338" cm="1">
        <f t="array" aca="1" ref="O23" ca="1">IFERROR(_xlfn.SINGLE(INDEX($AF23:$BH23, , SUMPRODUCT(LARGE((($AF23:$BH23&lt;&gt;0)*($BJ23:$CL23&lt;&gt;1)*($AF$5:$BH$5)), O$6)))), "")</f>
        <v>47</v>
      </c>
      <c r="P23" s="338" cm="1">
        <f t="array" aca="1" ref="P23" ca="1">IFERROR(_xlfn.SINGLE(INDEX($AF23:$BH23, , SUMPRODUCT(LARGE((($AF23:$BH23&lt;&gt;0)*($BJ23:$CL23&lt;&gt;1)*($AF$5:$BH$5)), P$6)))), "")</f>
        <v>48</v>
      </c>
      <c r="Q23" s="339" cm="1">
        <f t="array" aca="1" ref="Q23" ca="1">IFERROR(_xlfn.SINGLE(INDEX($AF23:$BH23, , SUMPRODUCT(LARGE((($AF23:$BH23&lt;&gt;0)*($BJ23:$CL23&lt;&gt;1)*($AF$5:$BH$5)), Q$6)))), "")</f>
        <v>45</v>
      </c>
      <c r="R23" s="21"/>
      <c r="S23" s="47">
        <f t="shared" ca="1" si="57"/>
        <v>46.6</v>
      </c>
      <c r="T23" s="21">
        <f ca="1">IF($D23&lt;&gt;"", IFERROR(IF($E23&gt;=qualifier, SUMIF($BT23:$CL23,0,$AP23:$BH23)/$E23, TEXT(SUMIF($BT23:$CL23,0,$AP23:$BH23)/$E23, "0.00")&amp;"*"), "-"), "")</f>
        <v>50.53846153846154</v>
      </c>
      <c r="U23" s="21">
        <f ca="1">IF($D23&lt;&gt;"", IFERROR(IF($E23&gt;=qualifier, SUMIF($BT23:$CL23,0,$CN23:$DF23)/$E23, TEXT(SUMIF($BT23:$CL23,0,$CN23:$DF23)/$E23, "0.00")&amp;"*"), "-"), "")</f>
        <v>39.307692307692307</v>
      </c>
      <c r="V23" s="46">
        <f ca="1">IF(AND($D23&lt;&gt;"", $E23&lt;&gt;0), _xlfn.MINIFS($AP23:$BH23,$BT23:$CL23,0,$AP23:$BH23,"&lt;&gt;0"), "")</f>
        <v>45</v>
      </c>
      <c r="W23" s="19">
        <f ca="1">IF(AND($D23&lt;&gt;"", $E23&lt;&gt;0), _xlfn.MINIFS($CN23:$DF23,$BT23:$CL23,0), "")</f>
        <v>35</v>
      </c>
      <c r="X23" s="46">
        <f ca="1">IF($D23&lt;&gt;"", SUM($DH23:$DZ23),  "")</f>
        <v>132</v>
      </c>
      <c r="Y23" s="21">
        <f ca="1">IF($D23&lt;&gt;"", IFERROR(IF($E23&gt;=qualifier, AVERAGE($DH23:$DZ23), TEXT(AVERAGE($DH23:$DZ23), "0.00")&amp;"*"), "-"), "")</f>
        <v>11</v>
      </c>
      <c r="Z23" s="19">
        <f ca="1">IF($D23&lt;&gt;"", SUM($EB23:$ET23),  "")</f>
        <v>1</v>
      </c>
      <c r="AA23" s="19">
        <f ca="1">IF($D23&lt;&gt;"", SUM($EV23:$FN23),  "")</f>
        <v>0</v>
      </c>
      <c r="AB23" s="46" t="str">
        <f t="shared" ca="1" si="58"/>
        <v>8-4-1</v>
      </c>
      <c r="AC23" s="218">
        <f t="shared" ca="1" si="59"/>
        <v>3303277678</v>
      </c>
      <c r="AD23" s="57" t="str">
        <f t="shared" ca="1" si="60"/>
        <v>randycizek@yahoo.com</v>
      </c>
      <c r="AE23" s="34"/>
      <c r="AF23" s="341">
        <f ca="1">INDEX(PriorScores[],MATCH($D23,PriorScores[Team / Player],0),2)</f>
        <v>0</v>
      </c>
      <c r="AG23" s="341">
        <f ca="1">INDEX(PriorScores[],MATCH($D23,PriorScores[Team / Player],0),3)</f>
        <v>0</v>
      </c>
      <c r="AH23" s="341">
        <f ca="1">INDEX(PriorScores[],MATCH($D23,PriorScores[Team / Player],0),4)</f>
        <v>0</v>
      </c>
      <c r="AI23" s="341">
        <f ca="1">INDEX(PriorScores[],MATCH($D23,PriorScores[Team / Player],0),5)</f>
        <v>0</v>
      </c>
      <c r="AJ23" s="341">
        <f ca="1">INDEX(PriorScores[],MATCH($D23,PriorScores[Team / Player],0),6)</f>
        <v>0</v>
      </c>
      <c r="AK23" s="341">
        <f ca="1">INDEX(PriorScores[],MATCH($D23,PriorScores[Team / Player],0),7)</f>
        <v>0</v>
      </c>
      <c r="AL23" s="341">
        <f ca="1">INDEX(PriorScores[],MATCH($D23,PriorScores[Team / Player],0),8)</f>
        <v>0</v>
      </c>
      <c r="AM23" s="341">
        <f ca="1">INDEX(PriorScores[],MATCH($D23,PriorScores[Team / Player],0),9)</f>
        <v>0</v>
      </c>
      <c r="AN23" s="341">
        <f ca="1">INDEX(PriorScores[],MATCH($D23,PriorScores[Team / Player],0),10)</f>
        <v>0</v>
      </c>
      <c r="AO23" s="341">
        <f ca="1">INDEX(PriorScores[],MATCH($D23,PriorScores[Team / Player],0),11)</f>
        <v>0</v>
      </c>
      <c r="AP23" s="20">
        <f t="shared" ca="1" si="61"/>
        <v>59</v>
      </c>
      <c r="AQ23" s="20">
        <f t="shared" ca="1" si="61"/>
        <v>0</v>
      </c>
      <c r="AR23" s="20">
        <f t="shared" ca="1" si="61"/>
        <v>52</v>
      </c>
      <c r="AS23" s="20">
        <f t="shared" ca="1" si="61"/>
        <v>0</v>
      </c>
      <c r="AT23" s="20">
        <f t="shared" ca="1" si="61"/>
        <v>0</v>
      </c>
      <c r="AU23" s="20">
        <f t="shared" ca="1" si="61"/>
        <v>53</v>
      </c>
      <c r="AV23" s="20">
        <f t="shared" ca="1" si="61"/>
        <v>45</v>
      </c>
      <c r="AW23" s="20">
        <f t="shared" ca="1" si="61"/>
        <v>0</v>
      </c>
      <c r="AX23" s="20">
        <f t="shared" ca="1" si="61"/>
        <v>48</v>
      </c>
      <c r="AY23" s="20">
        <f t="shared" ca="1" si="61"/>
        <v>47</v>
      </c>
      <c r="AZ23" s="20">
        <f t="shared" ca="1" si="62"/>
        <v>48</v>
      </c>
      <c r="BA23" s="20">
        <f t="shared" ca="1" si="62"/>
        <v>0</v>
      </c>
      <c r="BB23" s="20">
        <f t="shared" ca="1" si="62"/>
        <v>45</v>
      </c>
      <c r="BC23" s="20">
        <f t="shared" ca="1" si="62"/>
        <v>55</v>
      </c>
      <c r="BD23" s="20">
        <f t="shared" ca="1" si="62"/>
        <v>53</v>
      </c>
      <c r="BE23" s="20">
        <f t="shared" ca="1" si="62"/>
        <v>48</v>
      </c>
      <c r="BF23" s="20">
        <f t="shared" ca="1" si="62"/>
        <v>50</v>
      </c>
      <c r="BG23" s="20">
        <f t="shared" ca="1" si="62"/>
        <v>0</v>
      </c>
      <c r="BH23" s="20">
        <f t="shared" ca="1" si="62"/>
        <v>54</v>
      </c>
      <c r="BI23" s="34"/>
      <c r="BJ23" s="341">
        <v>0</v>
      </c>
      <c r="BK23" s="341">
        <v>0</v>
      </c>
      <c r="BL23" s="341">
        <v>0</v>
      </c>
      <c r="BM23" s="341">
        <v>0</v>
      </c>
      <c r="BN23" s="341">
        <v>0</v>
      </c>
      <c r="BO23" s="341">
        <v>0</v>
      </c>
      <c r="BP23" s="341">
        <v>0</v>
      </c>
      <c r="BQ23" s="341">
        <v>0</v>
      </c>
      <c r="BR23" s="341">
        <v>0</v>
      </c>
      <c r="BS23" s="341">
        <v>0</v>
      </c>
      <c r="BT23" s="20">
        <f t="shared" ca="1" si="63"/>
        <v>0</v>
      </c>
      <c r="BU23" s="20">
        <f t="shared" ca="1" si="63"/>
        <v>0</v>
      </c>
      <c r="BV23" s="20">
        <f t="shared" ca="1" si="63"/>
        <v>0</v>
      </c>
      <c r="BW23" s="20">
        <f t="shared" ca="1" si="63"/>
        <v>0</v>
      </c>
      <c r="BX23" s="20">
        <f t="shared" ca="1" si="63"/>
        <v>0</v>
      </c>
      <c r="BY23" s="20">
        <f t="shared" ca="1" si="63"/>
        <v>0</v>
      </c>
      <c r="BZ23" s="20">
        <f t="shared" ca="1" si="63"/>
        <v>0</v>
      </c>
      <c r="CA23" s="20">
        <f t="shared" ca="1" si="63"/>
        <v>0</v>
      </c>
      <c r="CB23" s="20">
        <f t="shared" ca="1" si="63"/>
        <v>0</v>
      </c>
      <c r="CC23" s="20">
        <f t="shared" ca="1" si="63"/>
        <v>0</v>
      </c>
      <c r="CD23" s="20">
        <f t="shared" ca="1" si="64"/>
        <v>0</v>
      </c>
      <c r="CE23" s="20">
        <f t="shared" ca="1" si="64"/>
        <v>0</v>
      </c>
      <c r="CF23" s="20">
        <f t="shared" ca="1" si="64"/>
        <v>0</v>
      </c>
      <c r="CG23" s="20">
        <f t="shared" ca="1" si="64"/>
        <v>0</v>
      </c>
      <c r="CH23" s="20">
        <f t="shared" ca="1" si="64"/>
        <v>0</v>
      </c>
      <c r="CI23" s="20">
        <f t="shared" ca="1" si="64"/>
        <v>0</v>
      </c>
      <c r="CJ23" s="20">
        <f t="shared" ca="1" si="64"/>
        <v>0</v>
      </c>
      <c r="CK23" s="20">
        <f t="shared" ca="1" si="64"/>
        <v>0</v>
      </c>
      <c r="CL23" s="20">
        <f t="shared" ca="1" si="64"/>
        <v>0</v>
      </c>
      <c r="CM23" s="34"/>
      <c r="CN23" s="20">
        <f t="shared" ca="1" si="65"/>
        <v>39</v>
      </c>
      <c r="CO23" s="20" t="str">
        <f t="shared" ca="1" si="65"/>
        <v/>
      </c>
      <c r="CP23" s="20">
        <f t="shared" ca="1" si="65"/>
        <v>38</v>
      </c>
      <c r="CQ23" s="20" t="str">
        <f t="shared" ca="1" si="65"/>
        <v/>
      </c>
      <c r="CR23" s="20" t="str">
        <f t="shared" ca="1" si="65"/>
        <v/>
      </c>
      <c r="CS23" s="20">
        <f t="shared" ca="1" si="65"/>
        <v>38</v>
      </c>
      <c r="CT23" s="20">
        <f t="shared" ca="1" si="65"/>
        <v>36</v>
      </c>
      <c r="CU23" s="20" t="str">
        <f t="shared" ca="1" si="65"/>
        <v/>
      </c>
      <c r="CV23" s="20">
        <f t="shared" ca="1" si="65"/>
        <v>39</v>
      </c>
      <c r="CW23" s="20">
        <f t="shared" ca="1" si="65"/>
        <v>38</v>
      </c>
      <c r="CX23" s="20">
        <f t="shared" ca="1" si="66"/>
        <v>38</v>
      </c>
      <c r="CY23" s="20" t="str">
        <f t="shared" ca="1" si="66"/>
        <v/>
      </c>
      <c r="CZ23" s="20">
        <f t="shared" ca="1" si="66"/>
        <v>35</v>
      </c>
      <c r="DA23" s="20">
        <f t="shared" ca="1" si="66"/>
        <v>45</v>
      </c>
      <c r="DB23" s="20">
        <f t="shared" ca="1" si="66"/>
        <v>43</v>
      </c>
      <c r="DC23" s="20">
        <f t="shared" ca="1" si="66"/>
        <v>38</v>
      </c>
      <c r="DD23" s="20">
        <f t="shared" ca="1" si="66"/>
        <v>40</v>
      </c>
      <c r="DE23" s="20" t="str">
        <f t="shared" ca="1" si="66"/>
        <v/>
      </c>
      <c r="DF23" s="20">
        <f t="shared" ca="1" si="66"/>
        <v>44</v>
      </c>
      <c r="DG23" s="34"/>
      <c r="DH23" s="20">
        <f t="shared" ca="1" si="67"/>
        <v>14</v>
      </c>
      <c r="DI23" s="20" t="str">
        <f t="shared" ca="1" si="67"/>
        <v/>
      </c>
      <c r="DJ23" s="20">
        <f t="shared" ca="1" si="67"/>
        <v>16</v>
      </c>
      <c r="DK23" s="20" t="str">
        <f t="shared" ca="1" si="67"/>
        <v/>
      </c>
      <c r="DL23" s="20" t="str">
        <f t="shared" ca="1" si="67"/>
        <v/>
      </c>
      <c r="DM23" s="20">
        <f t="shared" ca="1" si="67"/>
        <v>8</v>
      </c>
      <c r="DN23" s="20">
        <f t="shared" ca="1" si="67"/>
        <v>12</v>
      </c>
      <c r="DO23" s="20" t="str">
        <f t="shared" ca="1" si="67"/>
        <v/>
      </c>
      <c r="DP23" s="20">
        <f t="shared" ca="1" si="67"/>
        <v>7</v>
      </c>
      <c r="DQ23" s="20">
        <f t="shared" ca="1" si="67"/>
        <v>12</v>
      </c>
      <c r="DR23" s="20">
        <f t="shared" ca="1" si="68"/>
        <v>11</v>
      </c>
      <c r="DS23" s="20" t="str">
        <f t="shared" ca="1" si="68"/>
        <v/>
      </c>
      <c r="DT23" s="20">
        <f t="shared" ca="1" si="68"/>
        <v>15</v>
      </c>
      <c r="DU23" s="20">
        <f t="shared" ca="1" si="68"/>
        <v>7</v>
      </c>
      <c r="DV23" s="20">
        <f t="shared" ca="1" si="68"/>
        <v>9</v>
      </c>
      <c r="DW23" s="20">
        <f t="shared" ca="1" si="68"/>
        <v>11</v>
      </c>
      <c r="DX23" s="20">
        <f t="shared" ca="1" si="68"/>
        <v>10</v>
      </c>
      <c r="DY23" s="20" t="str">
        <f t="shared" ca="1" si="68"/>
        <v/>
      </c>
      <c r="DZ23" s="20" t="str">
        <f t="shared" ca="1" si="68"/>
        <v/>
      </c>
      <c r="EA23" s="34"/>
      <c r="EB23" s="20">
        <f t="shared" ca="1" si="69"/>
        <v>1</v>
      </c>
      <c r="EC23" s="20" t="str">
        <f t="shared" ca="1" si="69"/>
        <v/>
      </c>
      <c r="ED23" s="20" t="str">
        <f t="shared" ca="1" si="69"/>
        <v/>
      </c>
      <c r="EE23" s="20" t="str">
        <f t="shared" ca="1" si="69"/>
        <v/>
      </c>
      <c r="EF23" s="20" t="str">
        <f t="shared" ca="1" si="69"/>
        <v/>
      </c>
      <c r="EG23" s="20" t="str">
        <f t="shared" ca="1" si="69"/>
        <v/>
      </c>
      <c r="EH23" s="20" t="str">
        <f t="shared" ca="1" si="69"/>
        <v/>
      </c>
      <c r="EI23" s="20" t="str">
        <f t="shared" ca="1" si="69"/>
        <v/>
      </c>
      <c r="EJ23" s="20" t="str">
        <f t="shared" ca="1" si="69"/>
        <v/>
      </c>
      <c r="EK23" s="20" t="str">
        <f t="shared" ca="1" si="69"/>
        <v/>
      </c>
      <c r="EL23" s="20" t="str">
        <f t="shared" ca="1" si="70"/>
        <v/>
      </c>
      <c r="EM23" s="20" t="str">
        <f t="shared" ca="1" si="70"/>
        <v/>
      </c>
      <c r="EN23" s="20" t="str">
        <f t="shared" ca="1" si="70"/>
        <v/>
      </c>
      <c r="EO23" s="20" t="str">
        <f t="shared" ca="1" si="70"/>
        <v/>
      </c>
      <c r="EP23" s="20" t="str">
        <f t="shared" ca="1" si="70"/>
        <v/>
      </c>
      <c r="EQ23" s="20" t="str">
        <f t="shared" ca="1" si="70"/>
        <v/>
      </c>
      <c r="ER23" s="20" t="str">
        <f t="shared" ca="1" si="70"/>
        <v/>
      </c>
      <c r="ES23" s="20" t="str">
        <f t="shared" ca="1" si="70"/>
        <v/>
      </c>
      <c r="ET23" s="20" t="str">
        <f t="shared" ca="1" si="70"/>
        <v/>
      </c>
      <c r="EU23" s="34"/>
      <c r="EV23" s="20" t="str">
        <f t="shared" ca="1" si="71"/>
        <v/>
      </c>
      <c r="EW23" s="20" t="str">
        <f t="shared" ca="1" si="71"/>
        <v/>
      </c>
      <c r="EX23" s="20" t="str">
        <f t="shared" ca="1" si="71"/>
        <v/>
      </c>
      <c r="EY23" s="20" t="str">
        <f t="shared" ca="1" si="71"/>
        <v/>
      </c>
      <c r="EZ23" s="20" t="str">
        <f t="shared" ca="1" si="71"/>
        <v/>
      </c>
      <c r="FA23" s="20" t="str">
        <f t="shared" ca="1" si="71"/>
        <v/>
      </c>
      <c r="FB23" s="20" t="str">
        <f t="shared" ca="1" si="71"/>
        <v/>
      </c>
      <c r="FC23" s="20" t="str">
        <f t="shared" ca="1" si="71"/>
        <v/>
      </c>
      <c r="FD23" s="20" t="str">
        <f t="shared" ca="1" si="71"/>
        <v/>
      </c>
      <c r="FE23" s="20" t="str">
        <f t="shared" ca="1" si="71"/>
        <v/>
      </c>
      <c r="FF23" s="20" t="str">
        <f t="shared" ca="1" si="72"/>
        <v/>
      </c>
      <c r="FG23" s="20" t="str">
        <f t="shared" ca="1" si="72"/>
        <v/>
      </c>
      <c r="FH23" s="20" t="str">
        <f t="shared" ca="1" si="72"/>
        <v/>
      </c>
      <c r="FI23" s="20" t="str">
        <f t="shared" ca="1" si="72"/>
        <v/>
      </c>
      <c r="FJ23" s="20" t="str">
        <f t="shared" ca="1" si="72"/>
        <v/>
      </c>
      <c r="FK23" s="20" t="str">
        <f t="shared" ca="1" si="72"/>
        <v/>
      </c>
      <c r="FL23" s="20" t="str">
        <f t="shared" ca="1" si="72"/>
        <v/>
      </c>
      <c r="FM23" s="20" t="str">
        <f t="shared" ca="1" si="72"/>
        <v/>
      </c>
      <c r="FN23" s="20" t="str">
        <f t="shared" ca="1" si="72"/>
        <v/>
      </c>
      <c r="FO23" s="34"/>
      <c r="FP23" s="20" t="str">
        <f t="shared" ca="1" si="73"/>
        <v>w</v>
      </c>
      <c r="FQ23" s="20" t="str">
        <f t="shared" ca="1" si="73"/>
        <v/>
      </c>
      <c r="FR23" s="20" t="str">
        <f t="shared" ca="1" si="73"/>
        <v>w</v>
      </c>
      <c r="FS23" s="20" t="str">
        <f t="shared" ca="1" si="73"/>
        <v/>
      </c>
      <c r="FT23" s="20" t="str">
        <f t="shared" ca="1" si="73"/>
        <v/>
      </c>
      <c r="FU23" s="20" t="str">
        <f t="shared" ca="1" si="73"/>
        <v>l</v>
      </c>
      <c r="FV23" s="20" t="str">
        <f t="shared" ca="1" si="73"/>
        <v>w</v>
      </c>
      <c r="FW23" s="20" t="str">
        <f t="shared" ca="1" si="73"/>
        <v/>
      </c>
      <c r="FX23" s="20" t="str">
        <f t="shared" ca="1" si="73"/>
        <v>l</v>
      </c>
      <c r="FY23" s="20" t="str">
        <f t="shared" ca="1" si="73"/>
        <v>w</v>
      </c>
      <c r="FZ23" s="20" t="str">
        <f t="shared" ca="1" si="74"/>
        <v>w</v>
      </c>
      <c r="GA23" s="20" t="str">
        <f t="shared" ca="1" si="74"/>
        <v/>
      </c>
      <c r="GB23" s="20" t="str">
        <f t="shared" ca="1" si="74"/>
        <v>w</v>
      </c>
      <c r="GC23" s="20" t="str">
        <f t="shared" ca="1" si="74"/>
        <v>l</v>
      </c>
      <c r="GD23" s="20" t="str">
        <f t="shared" ca="1" si="74"/>
        <v>l</v>
      </c>
      <c r="GE23" s="20" t="str">
        <f t="shared" ca="1" si="74"/>
        <v>w</v>
      </c>
      <c r="GF23" s="20" t="str">
        <f t="shared" ca="1" si="74"/>
        <v>t</v>
      </c>
      <c r="GG23" s="20" t="str">
        <f t="shared" ca="1" si="74"/>
        <v/>
      </c>
      <c r="GH23" s="20" t="str">
        <f t="shared" ca="1" si="74"/>
        <v>w</v>
      </c>
      <c r="GI23" s="34"/>
      <c r="HE23" s="34"/>
      <c r="HZ23" s="34"/>
      <c r="IA23" s="19" t="str">
        <f t="shared" ca="1" si="75"/>
        <v>No Hdcp</v>
      </c>
      <c r="IB23" s="19" t="str">
        <f ca="1">IF($D23&lt;&gt;"","Low of score &amp; "&amp;MIN($H23:$H23),"")</f>
        <v>Low of score &amp; 54</v>
      </c>
      <c r="IC23" s="19" t="str">
        <f ca="1">IF($D23&lt;&gt;"","Low of score &amp; "&amp;MIN($H23:$I23),"")</f>
        <v>Low of score &amp; 50</v>
      </c>
      <c r="ID23" s="18" t="str">
        <f ca="1">IF($D23&lt;&gt;"","Low of score &amp; "&amp;MIN($H23:$J23),"")</f>
        <v>Low of score &amp; 48</v>
      </c>
      <c r="IE23" s="18" t="str">
        <f ca="1">IF($D23&lt;&gt;"","Low of score &amp; "&amp;MIN($H23:$K23),"")</f>
        <v>Low of score &amp; 48</v>
      </c>
      <c r="IF23" s="18">
        <f ca="1">IF($D23&lt;&gt;"",ROUND(MIN((MIN($H23:$L23)-36)*0.96,20),2),"")</f>
        <v>11.52</v>
      </c>
      <c r="IG23" s="353">
        <f ca="1">IF($D23&lt;&gt;"",ROUND(MIN((AVERAGE(SMALL($H23:$M23,1),SMALL($H23:$M23,2))-36)*0.96,20),2),"")</f>
        <v>10.08</v>
      </c>
      <c r="IH23" s="18">
        <f ca="1">IF($D23&lt;&gt;"",ROUND(MIN((AVERAGE(SMALL($H23:$N23,1),SMALL($H23:$N23,2),SMALL($H23:$N23,3))-36)*0.96,20),2),"")</f>
        <v>10.56</v>
      </c>
      <c r="II23" s="18">
        <f ca="1">IF($D23&lt;&gt;"",ROUND(MIN((AVERAGE(SMALL($H23:$O23,1),SMALL($H23:$O23,2),SMALL($H23:$O23,3),SMALL($H23:$O23,4))-36)*0.96,20),2),"")</f>
        <v>10.56</v>
      </c>
      <c r="IJ23" s="18">
        <f ca="1">IF($D23&lt;&gt;"",ROUND(MIN((AVERAGE(SMALL($H23:$P23,1),SMALL($H23:$P23,2),SMALL($H23:$P23,3),SMALL($H23:$P23,4))-36)*0.96,20),2),"")</f>
        <v>10.56</v>
      </c>
      <c r="IK23" s="18">
        <f ca="1">IF($D23&lt;&gt;"",ROUND(MIN((AVERAGE(SMALL($H23:$Q23,1),SMALL($H23:$Q23,2),SMALL($H23:$Q23,3),SMALL($H23:$Q23,4),SMALL($H23:$Q23,5))-36)*0.96,20),2),"")</f>
        <v>10.18</v>
      </c>
      <c r="IL23" s="34"/>
      <c r="IN23" s="18">
        <f ca="1">AO23</f>
        <v>0</v>
      </c>
      <c r="IO23" s="18">
        <f ca="1">AN23</f>
        <v>0</v>
      </c>
      <c r="IP23" s="18">
        <f ca="1">AM23</f>
        <v>0</v>
      </c>
      <c r="IQ23" s="18">
        <f ca="1">AL23</f>
        <v>0</v>
      </c>
      <c r="IR23" s="18">
        <f ca="1">AK23</f>
        <v>0</v>
      </c>
      <c r="IS23" s="18">
        <f ca="1">AJ23</f>
        <v>0</v>
      </c>
      <c r="IT23" s="18">
        <f ca="1">AI23</f>
        <v>0</v>
      </c>
      <c r="IU23" s="18">
        <f ca="1">AH23</f>
        <v>0</v>
      </c>
      <c r="IV23" s="18">
        <f ca="1">AG23</f>
        <v>0</v>
      </c>
      <c r="IW23" s="18">
        <f ca="1">AF23</f>
        <v>0</v>
      </c>
      <c r="IX23" s="19">
        <f ca="1">IF(D23&lt;&gt;"",COUNT(IN23:IW23),"")</f>
        <v>10</v>
      </c>
      <c r="IY23" s="21">
        <f ca="1">IF(D23&lt;&gt;"",INDEX($JA23:$JK23,1,MATCH($IX23,$JA$6:$JK$6,0)), "")</f>
        <v>-34.56</v>
      </c>
      <c r="JA23" s="18" t="str">
        <f ca="1">IF(D23&lt;&gt;"","No Hdcp","")</f>
        <v>No Hdcp</v>
      </c>
      <c r="JB23" s="18" t="str">
        <f ca="1">IF(D23&lt;&gt;"","Low of score &amp; "&amp;MIN($IN23:$IN23),"")</f>
        <v>Low of score &amp; 0</v>
      </c>
      <c r="JC23" s="18" t="str">
        <f ca="1">IF(D23&lt;&gt;"","Low of score &amp; "&amp;MIN($IN23:$IO23),"")</f>
        <v>Low of score &amp; 0</v>
      </c>
      <c r="JD23" s="18" t="str">
        <f ca="1">IF(D23&lt;&gt;"","Low of score &amp; "&amp;MIN($IN23:$IP23),"")</f>
        <v>Low of score &amp; 0</v>
      </c>
      <c r="JE23" s="18" t="str">
        <f ca="1">IF(D23&lt;&gt;"","Low of score &amp; "&amp;MIN($IN23:$IQ23),"")</f>
        <v>Low of score &amp; 0</v>
      </c>
      <c r="JF23" s="18">
        <f ca="1">IF(D23&lt;&gt;"",MIN((MIN($IN23:$IR23)-36)*0.96,20),"")</f>
        <v>-34.56</v>
      </c>
      <c r="JG23" s="18">
        <f ca="1">IF(D23&lt;&gt;"",MIN((AVERAGE(SMALL($IN23:$IS23,1),SMALL($IN23:$IS23,2))-36)*0.96,20),"")</f>
        <v>-34.56</v>
      </c>
      <c r="JH23" s="18">
        <f ca="1">IF(D23&lt;&gt;"",MIN((AVERAGE(SMALL($IN23:$IT23,1),SMALL($IN23:$IT23,2),SMALL($IN23:$IT23,3))-36)*0.96,20),"")</f>
        <v>-34.56</v>
      </c>
      <c r="JI23" s="18">
        <f ca="1">IF(D23&lt;&gt;"",MIN((AVERAGE(SMALL($IN23:$IU23,1),SMALL($IN23:$IU23,2),SMALL($IN23:$IU23,3),SMALL($IN23:$IU23,4))-36)*0.96,20),"")</f>
        <v>-34.56</v>
      </c>
      <c r="JJ23" s="18">
        <f ca="1">IF(D23&lt;&gt;"",MIN((AVERAGE(SMALL($IN23:$IV23,1),SMALL($IN23:$IV23,2),SMALL($IN23:$IV23,3),SMALL($IN23:$IV23,4))-36)*0.96,20),"")</f>
        <v>-34.56</v>
      </c>
      <c r="JK23" s="18">
        <f ca="1">IF(D23&lt;&gt;"",MIN((AVERAGE(SMALL($IN23:$IW23,1),SMALL($IN23:$IW23,2),SMALL($IN23:$IW23,3),SMALL($IN23:$IW23,4),SMALL($IN23:$IW23,5))-36)*0.96,20),"")</f>
        <v>-34.56</v>
      </c>
    </row>
    <row r="24" spans="1:271" x14ac:dyDescent="0.2">
      <c r="A24" s="18" t="s">
        <v>21</v>
      </c>
      <c r="B24" s="19">
        <f>B23+7</f>
        <v>19</v>
      </c>
      <c r="C24" s="22">
        <f t="shared" ca="1" si="54"/>
        <v>4.7999999999999996E-3</v>
      </c>
      <c r="D24" s="269" t="str">
        <f t="shared" ca="1" si="55"/>
        <v>Hawkins, Rick - C</v>
      </c>
      <c r="E24" s="19">
        <f t="shared" ca="1" si="56"/>
        <v>13</v>
      </c>
      <c r="F24" s="19">
        <f ca="1">IF(D24&lt;&gt;"",COUNT($H24:$Q24),"")</f>
        <v>10</v>
      </c>
      <c r="G24" s="21">
        <f ca="1">IF($D24&lt;&gt;"",INDEX($IA24:$IK24,1,MATCH($F24,$IA$6:$IK$6,0)), "")</f>
        <v>18.82</v>
      </c>
      <c r="H24" s="337" cm="1">
        <f t="array" aca="1" ref="H24" ca="1">IFERROR(_xlfn.SINGLE(INDEX($AF24:$BH24, , SUMPRODUCT(LARGE((($AF24:$BH24&lt;&gt;0)*($BJ24:$CL24&lt;&gt;1)*($AF$5:$BH$5)), H$6)))), "")</f>
        <v>55</v>
      </c>
      <c r="I24" s="338" cm="1">
        <f t="array" aca="1" ref="I24" ca="1">IFERROR(_xlfn.SINGLE(INDEX($AF24:$BH24, , SUMPRODUCT(LARGE((($AF24:$BH24&lt;&gt;0)*($BJ24:$CL24&lt;&gt;1)*($AF$5:$BH$5)), I$6)))), "")</f>
        <v>61</v>
      </c>
      <c r="J24" s="338" cm="1">
        <f t="array" aca="1" ref="J24" ca="1">IFERROR(_xlfn.SINGLE(INDEX($AF24:$BH24, , SUMPRODUCT(LARGE((($AF24:$BH24&lt;&gt;0)*($BJ24:$CL24&lt;&gt;1)*($AF$5:$BH$5)), J$6)))), "")</f>
        <v>52</v>
      </c>
      <c r="K24" s="338" cm="1">
        <f t="array" aca="1" ref="K24" ca="1">IFERROR(_xlfn.SINGLE(INDEX($AF24:$BH24, , SUMPRODUCT(LARGE((($AF24:$BH24&lt;&gt;0)*($BJ24:$CL24&lt;&gt;1)*($AF$5:$BH$5)), K$6)))), "")</f>
        <v>59</v>
      </c>
      <c r="L24" s="338" cm="1">
        <f t="array" aca="1" ref="L24" ca="1">IFERROR(_xlfn.SINGLE(INDEX($AF24:$BH24, , SUMPRODUCT(LARGE((($AF24:$BH24&lt;&gt;0)*($BJ24:$CL24&lt;&gt;1)*($AF$5:$BH$5)), L$6)))), "")</f>
        <v>58</v>
      </c>
      <c r="M24" s="338" cm="1">
        <f t="array" aca="1" ref="M24" ca="1">IFERROR(_xlfn.SINGLE(INDEX($AF24:$BH24, , SUMPRODUCT(LARGE((($AF24:$BH24&lt;&gt;0)*($BJ24:$CL24&lt;&gt;1)*($AF$5:$BH$5)), M$6)))), "")</f>
        <v>62</v>
      </c>
      <c r="N24" s="338" cm="1">
        <f t="array" aca="1" ref="N24" ca="1">IFERROR(_xlfn.SINGLE(INDEX($AF24:$BH24, , SUMPRODUCT(LARGE((($AF24:$BH24&lt;&gt;0)*($BJ24:$CL24&lt;&gt;1)*($AF$5:$BH$5)), N$6)))), "")</f>
        <v>60</v>
      </c>
      <c r="O24" s="338" cm="1">
        <f t="array" aca="1" ref="O24" ca="1">IFERROR(_xlfn.SINGLE(INDEX($AF24:$BH24, , SUMPRODUCT(LARGE((($AF24:$BH24&lt;&gt;0)*($BJ24:$CL24&lt;&gt;1)*($AF$5:$BH$5)), O$6)))), "")</f>
        <v>55</v>
      </c>
      <c r="P24" s="338" cm="1">
        <f t="array" aca="1" ref="P24" ca="1">IFERROR(_xlfn.SINGLE(INDEX($AF24:$BH24, , SUMPRODUCT(LARGE((($AF24:$BH24&lt;&gt;0)*($BJ24:$CL24&lt;&gt;1)*($AF$5:$BH$5)), P$6)))), "")</f>
        <v>58</v>
      </c>
      <c r="Q24" s="339" cm="1">
        <f t="array" aca="1" ref="Q24" ca="1">IFERROR(_xlfn.SINGLE(INDEX($AF24:$BH24, , SUMPRODUCT(LARGE((($AF24:$BH24&lt;&gt;0)*($BJ24:$CL24&lt;&gt;1)*($AF$5:$BH$5)), Q$6)))), "")</f>
        <v>60</v>
      </c>
      <c r="R24" s="21">
        <v>56.384615384615387</v>
      </c>
      <c r="S24" s="47">
        <f t="shared" ca="1" si="57"/>
        <v>55.6</v>
      </c>
      <c r="T24" s="21">
        <f ca="1">IF($D24&lt;&gt;"", IFERROR(IF($E24&gt;=qualifier, SUMIF($BT24:$CL24,0,$AP24:$BH24)/$E24, TEXT(SUMIF($BT24:$CL24,0,$AP24:$BH24)/$E24, "0.00")&amp;"*"), "-"), "")</f>
        <v>59</v>
      </c>
      <c r="U24" s="21">
        <f ca="1">IF($D24&lt;&gt;"", IFERROR(IF($E24&gt;=qualifier, SUMIF($BT24:$CL24,0,$CN24:$DF24)/$E24, TEXT(SUMIF($BT24:$CL24,0,$CN24:$DF24)/$E24, "0.00")&amp;"*"), "-"), "")</f>
        <v>40.53846153846154</v>
      </c>
      <c r="V24" s="46">
        <f ca="1">IF(AND($D24&lt;&gt;"", $E24&lt;&gt;0), _xlfn.MINIFS($AP24:$BH24,$BT24:$CL24,0,$AP24:$BH24,"&lt;&gt;0"), "")</f>
        <v>52</v>
      </c>
      <c r="W24" s="19">
        <f ca="1">IF(AND($D24&lt;&gt;"", $E24&lt;&gt;0), _xlfn.MINIFS($CN24:$DF24,$BT24:$CL24,0), "")</f>
        <v>32</v>
      </c>
      <c r="X24" s="46">
        <f ca="1">IF($D24&lt;&gt;"", SUM($DH24:$DZ24),  "")</f>
        <v>144</v>
      </c>
      <c r="Y24" s="21">
        <f ca="1">IF($D24&lt;&gt;"", IFERROR(IF($E24&gt;=qualifier, AVERAGE($DH24:$DZ24), TEXT(AVERAGE($DH24:$DZ24), "0.00")&amp;"*"), "-"), "")</f>
        <v>10.285714285714286</v>
      </c>
      <c r="Z24" s="19">
        <f ca="1">IF($D24&lt;&gt;"", SUM($EB24:$ET24),  "")</f>
        <v>0</v>
      </c>
      <c r="AA24" s="19">
        <f ca="1">IF($D24&lt;&gt;"", SUM($EV24:$FN24),  "")</f>
        <v>0</v>
      </c>
      <c r="AB24" s="46" t="str">
        <f t="shared" ca="1" si="58"/>
        <v>8-5-2</v>
      </c>
      <c r="AC24" s="218">
        <f t="shared" ca="1" si="59"/>
        <v>3302844180</v>
      </c>
      <c r="AD24" s="57" t="str">
        <f t="shared" ca="1" si="60"/>
        <v>rick.hawkins@metallus.com</v>
      </c>
      <c r="AE24" s="34"/>
      <c r="AF24" s="341">
        <f ca="1">INDEX(PriorScores[],MATCH($D24,PriorScores[Team / Player],0),2)</f>
        <v>54</v>
      </c>
      <c r="AG24" s="341">
        <f ca="1">INDEX(PriorScores[],MATCH($D24,PriorScores[Team / Player],0),3)</f>
        <v>63</v>
      </c>
      <c r="AH24" s="341">
        <f ca="1">INDEX(PriorScores[],MATCH($D24,PriorScores[Team / Player],0),4)</f>
        <v>59</v>
      </c>
      <c r="AI24" s="341">
        <f ca="1">INDEX(PriorScores[],MATCH($D24,PriorScores[Team / Player],0),5)</f>
        <v>59</v>
      </c>
      <c r="AJ24" s="341">
        <f ca="1">INDEX(PriorScores[],MATCH($D24,PriorScores[Team / Player],0),6)</f>
        <v>48</v>
      </c>
      <c r="AK24" s="341">
        <f ca="1">INDEX(PriorScores[],MATCH($D24,PriorScores[Team / Player],0),7)</f>
        <v>54</v>
      </c>
      <c r="AL24" s="341">
        <f ca="1">INDEX(PriorScores[],MATCH($D24,PriorScores[Team / Player],0),8)</f>
        <v>55</v>
      </c>
      <c r="AM24" s="341">
        <f ca="1">INDEX(PriorScores[],MATCH($D24,PriorScores[Team / Player],0),9)</f>
        <v>54</v>
      </c>
      <c r="AN24" s="341">
        <f ca="1">INDEX(PriorScores[],MATCH($D24,PriorScores[Team / Player],0),10)</f>
        <v>57</v>
      </c>
      <c r="AO24" s="341">
        <f ca="1">INDEX(PriorScores[],MATCH($D24,PriorScores[Team / Player],0),11)</f>
        <v>56</v>
      </c>
      <c r="AP24" s="20">
        <f t="shared" ca="1" si="61"/>
        <v>61</v>
      </c>
      <c r="AQ24" s="20">
        <f t="shared" ca="1" si="61"/>
        <v>61</v>
      </c>
      <c r="AR24" s="20">
        <f t="shared" ca="1" si="61"/>
        <v>65</v>
      </c>
      <c r="AS24" s="20">
        <f t="shared" ca="1" si="61"/>
        <v>60</v>
      </c>
      <c r="AT24" s="20">
        <f t="shared" ca="1" si="61"/>
        <v>58</v>
      </c>
      <c r="AU24" s="20">
        <f t="shared" ca="1" si="61"/>
        <v>0</v>
      </c>
      <c r="AV24" s="20">
        <f t="shared" ca="1" si="61"/>
        <v>55</v>
      </c>
      <c r="AW24" s="20">
        <f t="shared" ca="1" si="61"/>
        <v>0</v>
      </c>
      <c r="AX24" s="20">
        <f t="shared" ca="1" si="61"/>
        <v>60</v>
      </c>
      <c r="AY24" s="20">
        <f t="shared" ca="1" si="61"/>
        <v>62</v>
      </c>
      <c r="AZ24" s="20">
        <f t="shared" ca="1" si="62"/>
        <v>58</v>
      </c>
      <c r="BA24" s="20">
        <f t="shared" ca="1" si="62"/>
        <v>0</v>
      </c>
      <c r="BB24" s="20">
        <f t="shared" ca="1" si="62"/>
        <v>0</v>
      </c>
      <c r="BC24" s="20">
        <f t="shared" ca="1" si="62"/>
        <v>59</v>
      </c>
      <c r="BD24" s="20">
        <f t="shared" ca="1" si="62"/>
        <v>0</v>
      </c>
      <c r="BE24" s="20">
        <f t="shared" ca="1" si="62"/>
        <v>52</v>
      </c>
      <c r="BF24" s="20">
        <f t="shared" ca="1" si="62"/>
        <v>61</v>
      </c>
      <c r="BG24" s="20">
        <f t="shared" ca="1" si="62"/>
        <v>0</v>
      </c>
      <c r="BH24" s="20">
        <f t="shared" ca="1" si="62"/>
        <v>55</v>
      </c>
      <c r="BI24" s="34"/>
      <c r="BJ24" s="341">
        <v>0</v>
      </c>
      <c r="BK24" s="341">
        <v>0</v>
      </c>
      <c r="BL24" s="341">
        <v>0</v>
      </c>
      <c r="BM24" s="341">
        <v>0</v>
      </c>
      <c r="BN24" s="341">
        <v>0</v>
      </c>
      <c r="BO24" s="341">
        <v>0</v>
      </c>
      <c r="BP24" s="341">
        <v>0</v>
      </c>
      <c r="BQ24" s="341">
        <v>0</v>
      </c>
      <c r="BR24" s="341">
        <v>0</v>
      </c>
      <c r="BS24" s="341">
        <v>0</v>
      </c>
      <c r="BT24" s="20">
        <f t="shared" ca="1" si="63"/>
        <v>0</v>
      </c>
      <c r="BU24" s="20">
        <f t="shared" ca="1" si="63"/>
        <v>0</v>
      </c>
      <c r="BV24" s="20">
        <f t="shared" ca="1" si="63"/>
        <v>0</v>
      </c>
      <c r="BW24" s="20">
        <f t="shared" ca="1" si="63"/>
        <v>0</v>
      </c>
      <c r="BX24" s="20">
        <f t="shared" ca="1" si="63"/>
        <v>0</v>
      </c>
      <c r="BY24" s="20">
        <f t="shared" ca="1" si="63"/>
        <v>0</v>
      </c>
      <c r="BZ24" s="20">
        <f t="shared" ca="1" si="63"/>
        <v>0</v>
      </c>
      <c r="CA24" s="20">
        <f t="shared" ca="1" si="63"/>
        <v>0</v>
      </c>
      <c r="CB24" s="20">
        <f t="shared" ca="1" si="63"/>
        <v>0</v>
      </c>
      <c r="CC24" s="20">
        <f t="shared" ca="1" si="63"/>
        <v>0</v>
      </c>
      <c r="CD24" s="20">
        <f t="shared" ca="1" si="64"/>
        <v>0</v>
      </c>
      <c r="CE24" s="20">
        <f t="shared" ca="1" si="64"/>
        <v>0</v>
      </c>
      <c r="CF24" s="20">
        <f t="shared" ca="1" si="64"/>
        <v>1</v>
      </c>
      <c r="CG24" s="20">
        <f t="shared" ca="1" si="64"/>
        <v>0</v>
      </c>
      <c r="CH24" s="20">
        <f t="shared" ca="1" si="64"/>
        <v>1</v>
      </c>
      <c r="CI24" s="20">
        <f t="shared" ca="1" si="64"/>
        <v>0</v>
      </c>
      <c r="CJ24" s="20">
        <f t="shared" ca="1" si="64"/>
        <v>0</v>
      </c>
      <c r="CK24" s="20">
        <f t="shared" ca="1" si="64"/>
        <v>0</v>
      </c>
      <c r="CL24" s="20">
        <f t="shared" ca="1" si="64"/>
        <v>0</v>
      </c>
      <c r="CM24" s="34"/>
      <c r="CN24" s="20">
        <f t="shared" ca="1" si="65"/>
        <v>45</v>
      </c>
      <c r="CO24" s="20">
        <f t="shared" ca="1" si="65"/>
        <v>44</v>
      </c>
      <c r="CP24" s="20">
        <f t="shared" ca="1" si="65"/>
        <v>48</v>
      </c>
      <c r="CQ24" s="20">
        <f t="shared" ca="1" si="65"/>
        <v>43</v>
      </c>
      <c r="CR24" s="20">
        <f t="shared" ca="1" si="65"/>
        <v>41</v>
      </c>
      <c r="CS24" s="20" t="str">
        <f t="shared" ca="1" si="65"/>
        <v/>
      </c>
      <c r="CT24" s="20">
        <f t="shared" ca="1" si="65"/>
        <v>37</v>
      </c>
      <c r="CU24" s="20" t="str">
        <f t="shared" ca="1" si="65"/>
        <v/>
      </c>
      <c r="CV24" s="20">
        <f t="shared" ca="1" si="65"/>
        <v>41</v>
      </c>
      <c r="CW24" s="20">
        <f t="shared" ca="1" si="65"/>
        <v>43</v>
      </c>
      <c r="CX24" s="20">
        <f t="shared" ca="1" si="66"/>
        <v>38</v>
      </c>
      <c r="CY24" s="20" t="str">
        <f t="shared" ca="1" si="66"/>
        <v/>
      </c>
      <c r="CZ24" s="20" t="str">
        <f t="shared" ca="1" si="66"/>
        <v/>
      </c>
      <c r="DA24" s="20">
        <f t="shared" ca="1" si="66"/>
        <v>39</v>
      </c>
      <c r="DB24" s="20" t="str">
        <f t="shared" ca="1" si="66"/>
        <v/>
      </c>
      <c r="DC24" s="20">
        <f t="shared" ca="1" si="66"/>
        <v>32</v>
      </c>
      <c r="DD24" s="20">
        <f t="shared" ca="1" si="66"/>
        <v>41</v>
      </c>
      <c r="DE24" s="20" t="str">
        <f t="shared" ca="1" si="66"/>
        <v/>
      </c>
      <c r="DF24" s="20">
        <f t="shared" ca="1" si="66"/>
        <v>35</v>
      </c>
      <c r="DG24" s="34"/>
      <c r="DH24" s="20">
        <f t="shared" ca="1" si="67"/>
        <v>16</v>
      </c>
      <c r="DI24" s="20">
        <f t="shared" ca="1" si="67"/>
        <v>6</v>
      </c>
      <c r="DJ24" s="20">
        <f t="shared" ca="1" si="67"/>
        <v>3</v>
      </c>
      <c r="DK24" s="20">
        <f t="shared" ca="1" si="67"/>
        <v>10</v>
      </c>
      <c r="DL24" s="20">
        <f t="shared" ca="1" si="67"/>
        <v>8</v>
      </c>
      <c r="DM24" s="20" t="str">
        <f t="shared" ca="1" si="67"/>
        <v/>
      </c>
      <c r="DN24" s="20">
        <f t="shared" ca="1" si="67"/>
        <v>15</v>
      </c>
      <c r="DO24" s="20" t="str">
        <f t="shared" ca="1" si="67"/>
        <v/>
      </c>
      <c r="DP24" s="20">
        <f t="shared" ca="1" si="67"/>
        <v>8</v>
      </c>
      <c r="DQ24" s="20">
        <f t="shared" ca="1" si="67"/>
        <v>2</v>
      </c>
      <c r="DR24" s="20">
        <f t="shared" ca="1" si="68"/>
        <v>13</v>
      </c>
      <c r="DS24" s="20" t="str">
        <f t="shared" ca="1" si="68"/>
        <v/>
      </c>
      <c r="DT24" s="20">
        <f t="shared" ca="1" si="68"/>
        <v>12</v>
      </c>
      <c r="DU24" s="20">
        <f t="shared" ca="1" si="68"/>
        <v>13</v>
      </c>
      <c r="DV24" s="20">
        <f t="shared" ca="1" si="68"/>
        <v>10</v>
      </c>
      <c r="DW24" s="20">
        <f t="shared" ca="1" si="68"/>
        <v>15</v>
      </c>
      <c r="DX24" s="20">
        <f t="shared" ca="1" si="68"/>
        <v>13</v>
      </c>
      <c r="DY24" s="20" t="str">
        <f t="shared" ca="1" si="68"/>
        <v/>
      </c>
      <c r="DZ24" s="20" t="str">
        <f t="shared" ca="1" si="68"/>
        <v/>
      </c>
      <c r="EA24" s="34"/>
      <c r="EB24" s="20" t="str">
        <f t="shared" ca="1" si="69"/>
        <v/>
      </c>
      <c r="EC24" s="20" t="str">
        <f t="shared" ca="1" si="69"/>
        <v/>
      </c>
      <c r="ED24" s="20" t="str">
        <f t="shared" ca="1" si="69"/>
        <v/>
      </c>
      <c r="EE24" s="20" t="str">
        <f t="shared" ca="1" si="69"/>
        <v/>
      </c>
      <c r="EF24" s="20" t="str">
        <f t="shared" ca="1" si="69"/>
        <v/>
      </c>
      <c r="EG24" s="20" t="str">
        <f t="shared" ca="1" si="69"/>
        <v/>
      </c>
      <c r="EH24" s="20" t="str">
        <f t="shared" ca="1" si="69"/>
        <v/>
      </c>
      <c r="EI24" s="20" t="str">
        <f t="shared" ca="1" si="69"/>
        <v/>
      </c>
      <c r="EJ24" s="20" t="str">
        <f t="shared" ca="1" si="69"/>
        <v/>
      </c>
      <c r="EK24" s="20" t="str">
        <f t="shared" ca="1" si="69"/>
        <v/>
      </c>
      <c r="EL24" s="20" t="str">
        <f t="shared" ca="1" si="70"/>
        <v/>
      </c>
      <c r="EM24" s="20" t="str">
        <f t="shared" ca="1" si="70"/>
        <v/>
      </c>
      <c r="EN24" s="20" t="str">
        <f t="shared" ca="1" si="70"/>
        <v/>
      </c>
      <c r="EO24" s="20" t="str">
        <f t="shared" ca="1" si="70"/>
        <v/>
      </c>
      <c r="EP24" s="20" t="str">
        <f t="shared" ca="1" si="70"/>
        <v/>
      </c>
      <c r="EQ24" s="20" t="str">
        <f t="shared" ca="1" si="70"/>
        <v/>
      </c>
      <c r="ER24" s="20" t="str">
        <f t="shared" ca="1" si="70"/>
        <v/>
      </c>
      <c r="ES24" s="20" t="str">
        <f t="shared" ca="1" si="70"/>
        <v/>
      </c>
      <c r="ET24" s="20" t="str">
        <f t="shared" ca="1" si="70"/>
        <v/>
      </c>
      <c r="EU24" s="34"/>
      <c r="EV24" s="20" t="str">
        <f t="shared" ca="1" si="71"/>
        <v/>
      </c>
      <c r="EW24" s="20" t="str">
        <f t="shared" ca="1" si="71"/>
        <v/>
      </c>
      <c r="EX24" s="20" t="str">
        <f t="shared" ca="1" si="71"/>
        <v/>
      </c>
      <c r="EY24" s="20" t="str">
        <f t="shared" ca="1" si="71"/>
        <v/>
      </c>
      <c r="EZ24" s="20" t="str">
        <f t="shared" ca="1" si="71"/>
        <v/>
      </c>
      <c r="FA24" s="20" t="str">
        <f t="shared" ca="1" si="71"/>
        <v/>
      </c>
      <c r="FB24" s="20" t="str">
        <f t="shared" ca="1" si="71"/>
        <v/>
      </c>
      <c r="FC24" s="20" t="str">
        <f t="shared" ca="1" si="71"/>
        <v/>
      </c>
      <c r="FD24" s="20" t="str">
        <f t="shared" ca="1" si="71"/>
        <v/>
      </c>
      <c r="FE24" s="20" t="str">
        <f t="shared" ca="1" si="71"/>
        <v/>
      </c>
      <c r="FF24" s="20" t="str">
        <f t="shared" ca="1" si="72"/>
        <v/>
      </c>
      <c r="FG24" s="20" t="str">
        <f t="shared" ca="1" si="72"/>
        <v/>
      </c>
      <c r="FH24" s="20" t="str">
        <f t="shared" ca="1" si="72"/>
        <v/>
      </c>
      <c r="FI24" s="20" t="str">
        <f t="shared" ca="1" si="72"/>
        <v/>
      </c>
      <c r="FJ24" s="20" t="str">
        <f t="shared" ca="1" si="72"/>
        <v/>
      </c>
      <c r="FK24" s="20" t="str">
        <f t="shared" ca="1" si="72"/>
        <v/>
      </c>
      <c r="FL24" s="20" t="str">
        <f t="shared" ca="1" si="72"/>
        <v/>
      </c>
      <c r="FM24" s="20" t="str">
        <f t="shared" ca="1" si="72"/>
        <v/>
      </c>
      <c r="FN24" s="20" t="str">
        <f t="shared" ca="1" si="72"/>
        <v/>
      </c>
      <c r="FO24" s="34"/>
      <c r="FP24" s="20" t="str">
        <f t="shared" ca="1" si="73"/>
        <v>w</v>
      </c>
      <c r="FQ24" s="20" t="str">
        <f t="shared" ca="1" si="73"/>
        <v>l</v>
      </c>
      <c r="FR24" s="20" t="str">
        <f t="shared" ca="1" si="73"/>
        <v>l</v>
      </c>
      <c r="FS24" s="20" t="str">
        <f t="shared" ca="1" si="73"/>
        <v>t</v>
      </c>
      <c r="FT24" s="20" t="str">
        <f t="shared" ca="1" si="73"/>
        <v>l</v>
      </c>
      <c r="FU24" s="20" t="str">
        <f t="shared" ca="1" si="73"/>
        <v/>
      </c>
      <c r="FV24" s="20" t="str">
        <f t="shared" ca="1" si="73"/>
        <v>w</v>
      </c>
      <c r="FW24" s="20" t="str">
        <f t="shared" ca="1" si="73"/>
        <v/>
      </c>
      <c r="FX24" s="20" t="str">
        <f t="shared" ca="1" si="73"/>
        <v>l</v>
      </c>
      <c r="FY24" s="20" t="str">
        <f t="shared" ca="1" si="73"/>
        <v>l</v>
      </c>
      <c r="FZ24" s="20" t="str">
        <f t="shared" ca="1" si="74"/>
        <v>w</v>
      </c>
      <c r="GA24" s="20" t="str">
        <f t="shared" ca="1" si="74"/>
        <v/>
      </c>
      <c r="GB24" s="20" t="str">
        <f t="shared" ca="1" si="74"/>
        <v>w</v>
      </c>
      <c r="GC24" s="20" t="str">
        <f t="shared" ca="1" si="74"/>
        <v>w</v>
      </c>
      <c r="GD24" s="20" t="str">
        <f t="shared" ca="1" si="74"/>
        <v>t</v>
      </c>
      <c r="GE24" s="20" t="str">
        <f t="shared" ca="1" si="74"/>
        <v>w</v>
      </c>
      <c r="GF24" s="20" t="str">
        <f t="shared" ca="1" si="74"/>
        <v>w</v>
      </c>
      <c r="GG24" s="20" t="str">
        <f t="shared" ca="1" si="74"/>
        <v/>
      </c>
      <c r="GH24" s="20" t="str">
        <f t="shared" ca="1" si="74"/>
        <v>w</v>
      </c>
      <c r="GI24" s="34"/>
      <c r="HE24" s="34"/>
      <c r="HZ24" s="34"/>
      <c r="IA24" s="19" t="str">
        <f t="shared" ca="1" si="75"/>
        <v>No Hdcp</v>
      </c>
      <c r="IB24" s="19" t="str">
        <f ca="1">IF($D24&lt;&gt;"","Low of score &amp; "&amp;MIN($H24:$H24),"")</f>
        <v>Low of score &amp; 55</v>
      </c>
      <c r="IC24" s="19" t="str">
        <f ca="1">IF($D24&lt;&gt;"","Low of score &amp; "&amp;MIN($H24:$I24),"")</f>
        <v>Low of score &amp; 55</v>
      </c>
      <c r="ID24" s="18" t="str">
        <f ca="1">IF($D24&lt;&gt;"","Low of score &amp; "&amp;MIN($H24:$J24),"")</f>
        <v>Low of score &amp; 52</v>
      </c>
      <c r="IE24" s="18" t="str">
        <f ca="1">IF($D24&lt;&gt;"","Low of score &amp; "&amp;MIN($H24:$K24),"")</f>
        <v>Low of score &amp; 52</v>
      </c>
      <c r="IF24" s="18">
        <f ca="1">IF($D24&lt;&gt;"",ROUND(MIN((MIN($H24:$L24)-36)*0.96,20),2),"")</f>
        <v>15.36</v>
      </c>
      <c r="IG24" s="353">
        <f ca="1">IF($D24&lt;&gt;"",ROUND(MIN((AVERAGE(SMALL($H24:$M24,1),SMALL($H24:$M24,2))-36)*0.96,20),2),"")</f>
        <v>16.8</v>
      </c>
      <c r="IH24" s="18">
        <f ca="1">IF($D24&lt;&gt;"",ROUND(MIN((AVERAGE(SMALL($H24:$N24,1),SMALL($H24:$N24,2),SMALL($H24:$N24,3))-36)*0.96,20),2),"")</f>
        <v>18.239999999999998</v>
      </c>
      <c r="II24" s="18">
        <f ca="1">IF($D24&lt;&gt;"",ROUND(MIN((AVERAGE(SMALL($H24:$O24,1),SMALL($H24:$O24,2),SMALL($H24:$O24,3),SMALL($H24:$O24,4))-36)*0.96,20),2),"")</f>
        <v>18.239999999999998</v>
      </c>
      <c r="IJ24" s="18">
        <f ca="1">IF($D24&lt;&gt;"",ROUND(MIN((AVERAGE(SMALL($H24:$P24,1),SMALL($H24:$P24,2),SMALL($H24:$P24,3),SMALL($H24:$P24,4))-36)*0.96,20),2),"")</f>
        <v>18.239999999999998</v>
      </c>
      <c r="IK24" s="18">
        <f ca="1">IF($D24&lt;&gt;"",ROUND(MIN((AVERAGE(SMALL($H24:$Q24,1),SMALL($H24:$Q24,2),SMALL($H24:$Q24,3),SMALL($H24:$Q24,4),SMALL($H24:$Q24,5))-36)*0.96,20),2),"")</f>
        <v>18.82</v>
      </c>
      <c r="IL24" s="34"/>
      <c r="IN24" s="18">
        <f ca="1">AO24</f>
        <v>56</v>
      </c>
      <c r="IO24" s="18">
        <f ca="1">AN24</f>
        <v>57</v>
      </c>
      <c r="IP24" s="18">
        <f ca="1">AM24</f>
        <v>54</v>
      </c>
      <c r="IQ24" s="18">
        <f ca="1">AL24</f>
        <v>55</v>
      </c>
      <c r="IR24" s="18">
        <f ca="1">AK24</f>
        <v>54</v>
      </c>
      <c r="IS24" s="18">
        <f ca="1">AJ24</f>
        <v>48</v>
      </c>
      <c r="IT24" s="18">
        <f ca="1">AI24</f>
        <v>59</v>
      </c>
      <c r="IU24" s="18">
        <f ca="1">AH24</f>
        <v>59</v>
      </c>
      <c r="IV24" s="18">
        <f ca="1">AG24</f>
        <v>63</v>
      </c>
      <c r="IW24" s="18">
        <f ca="1">AF24</f>
        <v>54</v>
      </c>
      <c r="IX24" s="19">
        <f ca="1">IF(D24&lt;&gt;"",COUNT(IN24:IW24),"")</f>
        <v>10</v>
      </c>
      <c r="IY24" s="21">
        <f ca="1">IF(D24&lt;&gt;"",INDEX($JA24:$JK24,1,MATCH($IX24,$JA$6:$JK$6,0)), "")</f>
        <v>16.32</v>
      </c>
      <c r="JA24" s="18" t="str">
        <f ca="1">IF(D24&lt;&gt;"","No Hdcp","")</f>
        <v>No Hdcp</v>
      </c>
      <c r="JB24" s="18" t="str">
        <f ca="1">IF(D24&lt;&gt;"","Low of score &amp; "&amp;MIN($IN24:$IN24),"")</f>
        <v>Low of score &amp; 56</v>
      </c>
      <c r="JC24" s="18" t="str">
        <f ca="1">IF(D24&lt;&gt;"","Low of score &amp; "&amp;MIN($IN24:$IO24),"")</f>
        <v>Low of score &amp; 56</v>
      </c>
      <c r="JD24" s="18" t="str">
        <f ca="1">IF(D24&lt;&gt;"","Low of score &amp; "&amp;MIN($IN24:$IP24),"")</f>
        <v>Low of score &amp; 54</v>
      </c>
      <c r="JE24" s="18" t="str">
        <f ca="1">IF(D24&lt;&gt;"","Low of score &amp; "&amp;MIN($IN24:$IQ24),"")</f>
        <v>Low of score &amp; 54</v>
      </c>
      <c r="JF24" s="18">
        <f ca="1">IF(D24&lt;&gt;"",MIN((MIN($IN24:$IR24)-36)*0.96,20),"")</f>
        <v>17.28</v>
      </c>
      <c r="JG24" s="18">
        <f ca="1">IF(D24&lt;&gt;"",MIN((AVERAGE(SMALL($IN24:$IS24,1),SMALL($IN24:$IS24,2))-36)*0.96,20),"")</f>
        <v>14.399999999999999</v>
      </c>
      <c r="JH24" s="18">
        <f ca="1">IF(D24&lt;&gt;"",MIN((AVERAGE(SMALL($IN24:$IT24,1),SMALL($IN24:$IT24,2),SMALL($IN24:$IT24,3))-36)*0.96,20),"")</f>
        <v>15.36</v>
      </c>
      <c r="JI24" s="18">
        <f ca="1">IF(D24&lt;&gt;"",MIN((AVERAGE(SMALL($IN24:$IU24,1),SMALL($IN24:$IU24,2),SMALL($IN24:$IU24,3),SMALL($IN24:$IU24,4))-36)*0.96,20),"")</f>
        <v>16.079999999999998</v>
      </c>
      <c r="JJ24" s="18">
        <f ca="1">IF(D24&lt;&gt;"",MIN((AVERAGE(SMALL($IN24:$IV24,1),SMALL($IN24:$IV24,2),SMALL($IN24:$IV24,3),SMALL($IN24:$IV24,4))-36)*0.96,20),"")</f>
        <v>16.079999999999998</v>
      </c>
      <c r="JK24" s="18">
        <f ca="1">IF(D24&lt;&gt;"",MIN((AVERAGE(SMALL($IN24:$IW24,1),SMALL($IN24:$IW24,2),SMALL($IN24:$IW24,3),SMALL($IN24:$IW24,4),SMALL($IN24:$IW24,5))-36)*0.96,20),"")</f>
        <v>16.32</v>
      </c>
    </row>
    <row r="25" spans="1:271" x14ac:dyDescent="0.2">
      <c r="A25" s="18" t="s">
        <v>21</v>
      </c>
      <c r="B25" s="19">
        <f>B24+7</f>
        <v>26</v>
      </c>
      <c r="C25" s="22">
        <f t="shared" ca="1" si="54"/>
        <v>9.5999999999999992E-3</v>
      </c>
      <c r="D25" s="18" t="str">
        <f t="shared" ca="1" si="55"/>
        <v>Spoonemore, Joe</v>
      </c>
      <c r="E25" s="19">
        <f t="shared" ca="1" si="56"/>
        <v>13</v>
      </c>
      <c r="F25" s="19">
        <f ca="1">IF(D25&lt;&gt;"",COUNT($H25:$Q25),"")</f>
        <v>10</v>
      </c>
      <c r="G25" s="21">
        <f ca="1">IF($D25&lt;&gt;"",INDEX($IA25:$IK25,1,MATCH($F25,$IA$6:$IK$6,0)), "")</f>
        <v>13.25</v>
      </c>
      <c r="H25" s="337" cm="1">
        <f t="array" aca="1" ref="H25" ca="1">IFERROR(_xlfn.SINGLE(INDEX($AF25:$BH25, , SUMPRODUCT(LARGE((($AF25:$BH25&lt;&gt;0)*($BJ25:$CL25&lt;&gt;1)*($AF$5:$BH$5)), H$6)))), "")</f>
        <v>50</v>
      </c>
      <c r="I25" s="338" cm="1">
        <f t="array" aca="1" ref="I25" ca="1">IFERROR(_xlfn.SINGLE(INDEX($AF25:$BH25, , SUMPRODUCT(LARGE((($AF25:$BH25&lt;&gt;0)*($BJ25:$CL25&lt;&gt;1)*($AF$5:$BH$5)), I$6)))), "")</f>
        <v>52</v>
      </c>
      <c r="J25" s="338" cm="1">
        <f t="array" aca="1" ref="J25" ca="1">IFERROR(_xlfn.SINGLE(INDEX($AF25:$BH25, , SUMPRODUCT(LARGE((($AF25:$BH25&lt;&gt;0)*($BJ25:$CL25&lt;&gt;1)*($AF$5:$BH$5)), J$6)))), "")</f>
        <v>51</v>
      </c>
      <c r="K25" s="338" cm="1">
        <f t="array" aca="1" ref="K25" ca="1">IFERROR(_xlfn.SINGLE(INDEX($AF25:$BH25, , SUMPRODUCT(LARGE((($AF25:$BH25&lt;&gt;0)*($BJ25:$CL25&lt;&gt;1)*($AF$5:$BH$5)), K$6)))), "")</f>
        <v>52</v>
      </c>
      <c r="L25" s="338" cm="1">
        <f t="array" aca="1" ref="L25" ca="1">IFERROR(_xlfn.SINGLE(INDEX($AF25:$BH25, , SUMPRODUCT(LARGE((($AF25:$BH25&lt;&gt;0)*($BJ25:$CL25&lt;&gt;1)*($AF$5:$BH$5)), L$6)))), "")</f>
        <v>50</v>
      </c>
      <c r="M25" s="338" cm="1">
        <f t="array" aca="1" ref="M25" ca="1">IFERROR(_xlfn.SINGLE(INDEX($AF25:$BH25, , SUMPRODUCT(LARGE((($AF25:$BH25&lt;&gt;0)*($BJ25:$CL25&lt;&gt;1)*($AF$5:$BH$5)), M$6)))), "")</f>
        <v>54</v>
      </c>
      <c r="N25" s="338" cm="1">
        <f t="array" aca="1" ref="N25" ca="1">IFERROR(_xlfn.SINGLE(INDEX($AF25:$BH25, , SUMPRODUCT(LARGE((($AF25:$BH25&lt;&gt;0)*($BJ25:$CL25&lt;&gt;1)*($AF$5:$BH$5)), N$6)))), "")</f>
        <v>50</v>
      </c>
      <c r="O25" s="338" cm="1">
        <f t="array" aca="1" ref="O25" ca="1">IFERROR(_xlfn.SINGLE(INDEX($AF25:$BH25, , SUMPRODUCT(LARGE((($AF25:$BH25&lt;&gt;0)*($BJ25:$CL25&lt;&gt;1)*($AF$5:$BH$5)), O$6)))), "")</f>
        <v>61</v>
      </c>
      <c r="P25" s="338" cm="1">
        <f t="array" aca="1" ref="P25" ca="1">IFERROR(_xlfn.SINGLE(INDEX($AF25:$BH25, , SUMPRODUCT(LARGE((($AF25:$BH25&lt;&gt;0)*($BJ25:$CL25&lt;&gt;1)*($AF$5:$BH$5)), P$6)))), "")</f>
        <v>49</v>
      </c>
      <c r="Q25" s="339" cm="1">
        <f t="array" aca="1" ref="Q25" ca="1">IFERROR(_xlfn.SINGLE(INDEX($AF25:$BH25, , SUMPRODUCT(LARGE((($AF25:$BH25&lt;&gt;0)*($BJ25:$CL25&lt;&gt;1)*($AF$5:$BH$5)), Q$6)))), "")</f>
        <v>50</v>
      </c>
      <c r="R25" s="21">
        <v>52</v>
      </c>
      <c r="S25" s="47">
        <f t="shared" ca="1" si="57"/>
        <v>49.8</v>
      </c>
      <c r="T25" s="21">
        <f ca="1">IF($D25&lt;&gt;"", IFERROR(IF($E25&gt;=qualifier, SUMIF($BT25:$CL25,0,$AP25:$BH25)/$E25, TEXT(SUMIF($BT25:$CL25,0,$AP25:$BH25)/$E25, "0.00")&amp;"*"), "-"), "")</f>
        <v>52</v>
      </c>
      <c r="U25" s="21">
        <f ca="1">IF($D25&lt;&gt;"", IFERROR(IF($E25&gt;=qualifier, SUMIF($BT25:$CL25,0,$CN25:$DF25)/$E25, TEXT(SUMIF($BT25:$CL25,0,$CN25:$DF25)/$E25, "0.00")&amp;"*"), "-"), "")</f>
        <v>40.153846153846153</v>
      </c>
      <c r="V25" s="46">
        <f ca="1">IF(AND($D25&lt;&gt;"", $E25&lt;&gt;0), _xlfn.MINIFS($AP25:$BH25,$BT25:$CL25,0,$AP25:$BH25,"&lt;&gt;0"), "")</f>
        <v>49</v>
      </c>
      <c r="W25" s="19">
        <f ca="1">IF(AND($D25&lt;&gt;"", $E25&lt;&gt;0), _xlfn.MINIFS($CN25:$DF25,$BT25:$CL25,0), "")</f>
        <v>37</v>
      </c>
      <c r="X25" s="46">
        <f ca="1">IF($D25&lt;&gt;"", SUM($DH25:$DZ25),  "")</f>
        <v>110</v>
      </c>
      <c r="Y25" s="21">
        <f ca="1">IF($D25&lt;&gt;"", IFERROR(IF($E25&gt;=qualifier, AVERAGE($DH25:$DZ25), TEXT(AVERAGE($DH25:$DZ25), "0.00")&amp;"*"), "-"), "")</f>
        <v>8.4615384615384617</v>
      </c>
      <c r="Z25" s="19">
        <f ca="1">IF($D25&lt;&gt;"", SUM($EB25:$ET25),  "")</f>
        <v>1</v>
      </c>
      <c r="AA25" s="19">
        <f ca="1">IF($D25&lt;&gt;"", SUM($EV25:$FN25),  "")</f>
        <v>0</v>
      </c>
      <c r="AB25" s="46" t="str">
        <f t="shared" ca="1" si="58"/>
        <v>5-8-0</v>
      </c>
      <c r="AC25" s="218">
        <f t="shared" ca="1" si="59"/>
        <v>3309338392</v>
      </c>
      <c r="AD25" s="57" t="str">
        <f t="shared" ca="1" si="60"/>
        <v>joseph.spoonemore@metallus.com</v>
      </c>
      <c r="AE25" s="34"/>
      <c r="AF25" s="341">
        <f ca="1">INDEX(PriorScores[],MATCH($D25,PriorScores[Team / Player],0),2)</f>
        <v>61</v>
      </c>
      <c r="AG25" s="341">
        <f ca="1">INDEX(PriorScores[],MATCH($D25,PriorScores[Team / Player],0),3)</f>
        <v>47</v>
      </c>
      <c r="AH25" s="341">
        <f ca="1">INDEX(PriorScores[],MATCH($D25,PriorScores[Team / Player],0),4)</f>
        <v>59</v>
      </c>
      <c r="AI25" s="341">
        <f ca="1">INDEX(PriorScores[],MATCH($D25,PriorScores[Team / Player],0),5)</f>
        <v>52</v>
      </c>
      <c r="AJ25" s="341">
        <f ca="1">INDEX(PriorScores[],MATCH($D25,PriorScores[Team / Player],0),6)</f>
        <v>52</v>
      </c>
      <c r="AK25" s="341">
        <f ca="1">INDEX(PriorScores[],MATCH($D25,PriorScores[Team / Player],0),7)</f>
        <v>47</v>
      </c>
      <c r="AL25" s="341">
        <f ca="1">INDEX(PriorScores[],MATCH($D25,PriorScores[Team / Player],0),8)</f>
        <v>46</v>
      </c>
      <c r="AM25" s="341">
        <f ca="1">INDEX(PriorScores[],MATCH($D25,PriorScores[Team / Player],0),9)</f>
        <v>46</v>
      </c>
      <c r="AN25" s="341">
        <f ca="1">INDEX(PriorScores[],MATCH($D25,PriorScores[Team / Player],0),10)</f>
        <v>48</v>
      </c>
      <c r="AO25" s="341">
        <f ca="1">INDEX(PriorScores[],MATCH($D25,PriorScores[Team / Player],0),11)</f>
        <v>52</v>
      </c>
      <c r="AP25" s="20">
        <f t="shared" ca="1" si="61"/>
        <v>53</v>
      </c>
      <c r="AQ25" s="20">
        <f t="shared" ca="1" si="61"/>
        <v>52</v>
      </c>
      <c r="AR25" s="20">
        <f t="shared" ca="1" si="61"/>
        <v>52</v>
      </c>
      <c r="AS25" s="20">
        <f t="shared" ca="1" si="61"/>
        <v>50</v>
      </c>
      <c r="AT25" s="20">
        <f t="shared" ca="1" si="61"/>
        <v>0</v>
      </c>
      <c r="AU25" s="20">
        <f t="shared" ca="1" si="61"/>
        <v>49</v>
      </c>
      <c r="AV25" s="20">
        <f t="shared" ca="1" si="61"/>
        <v>61</v>
      </c>
      <c r="AW25" s="20">
        <f t="shared" ca="1" si="61"/>
        <v>0</v>
      </c>
      <c r="AX25" s="20">
        <f t="shared" ca="1" si="61"/>
        <v>50</v>
      </c>
      <c r="AY25" s="20">
        <f t="shared" ca="1" si="61"/>
        <v>54</v>
      </c>
      <c r="AZ25" s="20">
        <f t="shared" ca="1" si="62"/>
        <v>50</v>
      </c>
      <c r="BA25" s="20">
        <f t="shared" ca="1" si="62"/>
        <v>0</v>
      </c>
      <c r="BB25" s="20">
        <f t="shared" ca="1" si="62"/>
        <v>52</v>
      </c>
      <c r="BC25" s="20">
        <f t="shared" ca="1" si="62"/>
        <v>51</v>
      </c>
      <c r="BD25" s="20">
        <f t="shared" ca="1" si="62"/>
        <v>52</v>
      </c>
      <c r="BE25" s="20">
        <f t="shared" ca="1" si="62"/>
        <v>0</v>
      </c>
      <c r="BF25" s="20">
        <f t="shared" ca="1" si="62"/>
        <v>50</v>
      </c>
      <c r="BG25" s="20">
        <f t="shared" ca="1" si="62"/>
        <v>0</v>
      </c>
      <c r="BH25" s="20">
        <f t="shared" ca="1" si="62"/>
        <v>0</v>
      </c>
      <c r="BI25" s="34"/>
      <c r="BJ25" s="341">
        <v>0</v>
      </c>
      <c r="BK25" s="341">
        <v>0</v>
      </c>
      <c r="BL25" s="341">
        <v>0</v>
      </c>
      <c r="BM25" s="341">
        <v>0</v>
      </c>
      <c r="BN25" s="341">
        <v>0</v>
      </c>
      <c r="BO25" s="341">
        <v>0</v>
      </c>
      <c r="BP25" s="341">
        <v>0</v>
      </c>
      <c r="BQ25" s="341">
        <v>0</v>
      </c>
      <c r="BR25" s="341">
        <v>0</v>
      </c>
      <c r="BS25" s="341">
        <v>0</v>
      </c>
      <c r="BT25" s="20">
        <f t="shared" ca="1" si="63"/>
        <v>0</v>
      </c>
      <c r="BU25" s="20">
        <f t="shared" ca="1" si="63"/>
        <v>0</v>
      </c>
      <c r="BV25" s="20">
        <f t="shared" ca="1" si="63"/>
        <v>0</v>
      </c>
      <c r="BW25" s="20">
        <f t="shared" ca="1" si="63"/>
        <v>0</v>
      </c>
      <c r="BX25" s="20">
        <f t="shared" ca="1" si="63"/>
        <v>0</v>
      </c>
      <c r="BY25" s="20">
        <f t="shared" ca="1" si="63"/>
        <v>0</v>
      </c>
      <c r="BZ25" s="20">
        <f t="shared" ca="1" si="63"/>
        <v>0</v>
      </c>
      <c r="CA25" s="20">
        <f t="shared" ca="1" si="63"/>
        <v>0</v>
      </c>
      <c r="CB25" s="20">
        <f t="shared" ca="1" si="63"/>
        <v>0</v>
      </c>
      <c r="CC25" s="20">
        <f t="shared" ca="1" si="63"/>
        <v>0</v>
      </c>
      <c r="CD25" s="20">
        <f t="shared" ca="1" si="64"/>
        <v>0</v>
      </c>
      <c r="CE25" s="20">
        <f t="shared" ca="1" si="64"/>
        <v>0</v>
      </c>
      <c r="CF25" s="20">
        <f t="shared" ca="1" si="64"/>
        <v>0</v>
      </c>
      <c r="CG25" s="20">
        <f t="shared" ca="1" si="64"/>
        <v>0</v>
      </c>
      <c r="CH25" s="20">
        <f t="shared" ca="1" si="64"/>
        <v>0</v>
      </c>
      <c r="CI25" s="20">
        <f t="shared" ca="1" si="64"/>
        <v>0</v>
      </c>
      <c r="CJ25" s="20">
        <f t="shared" ca="1" si="64"/>
        <v>0</v>
      </c>
      <c r="CK25" s="20">
        <f t="shared" ca="1" si="64"/>
        <v>0</v>
      </c>
      <c r="CL25" s="20">
        <f t="shared" ca="1" si="64"/>
        <v>0</v>
      </c>
      <c r="CM25" s="34"/>
      <c r="CN25" s="20">
        <f t="shared" ca="1" si="65"/>
        <v>43</v>
      </c>
      <c r="CO25" s="20">
        <f t="shared" ca="1" si="65"/>
        <v>42</v>
      </c>
      <c r="CP25" s="20">
        <f t="shared" ca="1" si="65"/>
        <v>41</v>
      </c>
      <c r="CQ25" s="20">
        <f t="shared" ca="1" si="65"/>
        <v>39</v>
      </c>
      <c r="CR25" s="20" t="str">
        <f t="shared" ca="1" si="65"/>
        <v/>
      </c>
      <c r="CS25" s="20">
        <f t="shared" ca="1" si="65"/>
        <v>38</v>
      </c>
      <c r="CT25" s="20">
        <f t="shared" ca="1" si="65"/>
        <v>50</v>
      </c>
      <c r="CU25" s="20" t="str">
        <f t="shared" ca="1" si="65"/>
        <v/>
      </c>
      <c r="CV25" s="20">
        <f t="shared" ca="1" si="65"/>
        <v>39</v>
      </c>
      <c r="CW25" s="20">
        <f t="shared" ca="1" si="65"/>
        <v>42</v>
      </c>
      <c r="CX25" s="20">
        <f t="shared" ca="1" si="66"/>
        <v>37</v>
      </c>
      <c r="CY25" s="20" t="str">
        <f t="shared" ca="1" si="66"/>
        <v/>
      </c>
      <c r="CZ25" s="20">
        <f t="shared" ca="1" si="66"/>
        <v>38</v>
      </c>
      <c r="DA25" s="20">
        <f t="shared" ca="1" si="66"/>
        <v>37</v>
      </c>
      <c r="DB25" s="20">
        <f t="shared" ca="1" si="66"/>
        <v>39</v>
      </c>
      <c r="DC25" s="20" t="str">
        <f t="shared" ca="1" si="66"/>
        <v/>
      </c>
      <c r="DD25" s="20">
        <f t="shared" ca="1" si="66"/>
        <v>37</v>
      </c>
      <c r="DE25" s="20" t="str">
        <f t="shared" ca="1" si="66"/>
        <v/>
      </c>
      <c r="DF25" s="20" t="str">
        <f t="shared" ca="1" si="66"/>
        <v/>
      </c>
      <c r="DG25" s="34"/>
      <c r="DH25" s="20">
        <f t="shared" ca="1" si="67"/>
        <v>4</v>
      </c>
      <c r="DI25" s="20">
        <f t="shared" ca="1" si="67"/>
        <v>11</v>
      </c>
      <c r="DJ25" s="20">
        <f t="shared" ca="1" si="67"/>
        <v>6</v>
      </c>
      <c r="DK25" s="20">
        <f t="shared" ca="1" si="67"/>
        <v>11</v>
      </c>
      <c r="DL25" s="20" t="str">
        <f t="shared" ca="1" si="67"/>
        <v/>
      </c>
      <c r="DM25" s="20">
        <f t="shared" ca="1" si="67"/>
        <v>15</v>
      </c>
      <c r="DN25" s="20">
        <f t="shared" ca="1" si="67"/>
        <v>3</v>
      </c>
      <c r="DO25" s="20" t="str">
        <f t="shared" ca="1" si="67"/>
        <v/>
      </c>
      <c r="DP25" s="20">
        <f t="shared" ca="1" si="67"/>
        <v>8</v>
      </c>
      <c r="DQ25" s="20">
        <f t="shared" ca="1" si="67"/>
        <v>8</v>
      </c>
      <c r="DR25" s="20">
        <f t="shared" ca="1" si="68"/>
        <v>11</v>
      </c>
      <c r="DS25" s="20" t="str">
        <f t="shared" ca="1" si="68"/>
        <v/>
      </c>
      <c r="DT25" s="20">
        <f t="shared" ca="1" si="68"/>
        <v>12</v>
      </c>
      <c r="DU25" s="20">
        <f t="shared" ca="1" si="68"/>
        <v>9</v>
      </c>
      <c r="DV25" s="20">
        <f t="shared" ca="1" si="68"/>
        <v>6</v>
      </c>
      <c r="DW25" s="20" t="str">
        <f t="shared" ca="1" si="68"/>
        <v/>
      </c>
      <c r="DX25" s="20">
        <f t="shared" ca="1" si="68"/>
        <v>6</v>
      </c>
      <c r="DY25" s="20" t="str">
        <f t="shared" ca="1" si="68"/>
        <v/>
      </c>
      <c r="DZ25" s="20" t="str">
        <f t="shared" ca="1" si="68"/>
        <v/>
      </c>
      <c r="EA25" s="34"/>
      <c r="EB25" s="20" t="str">
        <f t="shared" ca="1" si="69"/>
        <v/>
      </c>
      <c r="EC25" s="20" t="str">
        <f t="shared" ca="1" si="69"/>
        <v/>
      </c>
      <c r="ED25" s="20" t="str">
        <f t="shared" ca="1" si="69"/>
        <v/>
      </c>
      <c r="EE25" s="20" t="str">
        <f t="shared" ca="1" si="69"/>
        <v/>
      </c>
      <c r="EF25" s="20" t="str">
        <f t="shared" ca="1" si="69"/>
        <v/>
      </c>
      <c r="EG25" s="20" t="str">
        <f t="shared" ca="1" si="69"/>
        <v/>
      </c>
      <c r="EH25" s="20" t="str">
        <f t="shared" ca="1" si="69"/>
        <v/>
      </c>
      <c r="EI25" s="20" t="str">
        <f t="shared" ca="1" si="69"/>
        <v/>
      </c>
      <c r="EJ25" s="20" t="str">
        <f t="shared" ca="1" si="69"/>
        <v/>
      </c>
      <c r="EK25" s="20">
        <f t="shared" ca="1" si="69"/>
        <v>1</v>
      </c>
      <c r="EL25" s="20" t="str">
        <f t="shared" ca="1" si="70"/>
        <v/>
      </c>
      <c r="EM25" s="20" t="str">
        <f t="shared" ca="1" si="70"/>
        <v/>
      </c>
      <c r="EN25" s="20" t="str">
        <f t="shared" ca="1" si="70"/>
        <v/>
      </c>
      <c r="EO25" s="20" t="str">
        <f t="shared" ca="1" si="70"/>
        <v/>
      </c>
      <c r="EP25" s="20" t="str">
        <f t="shared" ca="1" si="70"/>
        <v/>
      </c>
      <c r="EQ25" s="20" t="str">
        <f t="shared" ca="1" si="70"/>
        <v/>
      </c>
      <c r="ER25" s="20" t="str">
        <f t="shared" ca="1" si="70"/>
        <v/>
      </c>
      <c r="ES25" s="20" t="str">
        <f t="shared" ca="1" si="70"/>
        <v/>
      </c>
      <c r="ET25" s="20" t="str">
        <f t="shared" ca="1" si="70"/>
        <v/>
      </c>
      <c r="EU25" s="34"/>
      <c r="EV25" s="20" t="str">
        <f t="shared" ca="1" si="71"/>
        <v/>
      </c>
      <c r="EW25" s="20" t="str">
        <f t="shared" ca="1" si="71"/>
        <v/>
      </c>
      <c r="EX25" s="20" t="str">
        <f t="shared" ca="1" si="71"/>
        <v/>
      </c>
      <c r="EY25" s="20" t="str">
        <f t="shared" ca="1" si="71"/>
        <v/>
      </c>
      <c r="EZ25" s="20" t="str">
        <f t="shared" ca="1" si="71"/>
        <v/>
      </c>
      <c r="FA25" s="20" t="str">
        <f t="shared" ca="1" si="71"/>
        <v/>
      </c>
      <c r="FB25" s="20" t="str">
        <f t="shared" ca="1" si="71"/>
        <v/>
      </c>
      <c r="FC25" s="20" t="str">
        <f t="shared" ca="1" si="71"/>
        <v/>
      </c>
      <c r="FD25" s="20" t="str">
        <f t="shared" ca="1" si="71"/>
        <v/>
      </c>
      <c r="FE25" s="20" t="str">
        <f t="shared" ca="1" si="71"/>
        <v/>
      </c>
      <c r="FF25" s="20" t="str">
        <f t="shared" ca="1" si="72"/>
        <v/>
      </c>
      <c r="FG25" s="20" t="str">
        <f t="shared" ca="1" si="72"/>
        <v/>
      </c>
      <c r="FH25" s="20" t="str">
        <f t="shared" ca="1" si="72"/>
        <v/>
      </c>
      <c r="FI25" s="20" t="str">
        <f t="shared" ca="1" si="72"/>
        <v/>
      </c>
      <c r="FJ25" s="20" t="str">
        <f t="shared" ca="1" si="72"/>
        <v/>
      </c>
      <c r="FK25" s="20" t="str">
        <f t="shared" ca="1" si="72"/>
        <v/>
      </c>
      <c r="FL25" s="20" t="str">
        <f t="shared" ca="1" si="72"/>
        <v/>
      </c>
      <c r="FM25" s="20" t="str">
        <f t="shared" ca="1" si="72"/>
        <v/>
      </c>
      <c r="FN25" s="20" t="str">
        <f t="shared" ca="1" si="72"/>
        <v/>
      </c>
      <c r="FO25" s="34"/>
      <c r="FP25" s="20" t="str">
        <f t="shared" ca="1" si="73"/>
        <v>l</v>
      </c>
      <c r="FQ25" s="20" t="str">
        <f t="shared" ca="1" si="73"/>
        <v>w</v>
      </c>
      <c r="FR25" s="20" t="str">
        <f t="shared" ca="1" si="73"/>
        <v>l</v>
      </c>
      <c r="FS25" s="20" t="str">
        <f t="shared" ca="1" si="73"/>
        <v>w</v>
      </c>
      <c r="FT25" s="20" t="str">
        <f t="shared" ca="1" si="73"/>
        <v/>
      </c>
      <c r="FU25" s="20" t="str">
        <f t="shared" ca="1" si="73"/>
        <v>w</v>
      </c>
      <c r="FV25" s="20" t="str">
        <f t="shared" ca="1" si="73"/>
        <v>l</v>
      </c>
      <c r="FW25" s="20" t="str">
        <f t="shared" ca="1" si="73"/>
        <v/>
      </c>
      <c r="FX25" s="20" t="str">
        <f t="shared" ca="1" si="73"/>
        <v>l</v>
      </c>
      <c r="FY25" s="20" t="str">
        <f t="shared" ca="1" si="73"/>
        <v>l</v>
      </c>
      <c r="FZ25" s="20" t="str">
        <f t="shared" ca="1" si="74"/>
        <v>w</v>
      </c>
      <c r="GA25" s="20" t="str">
        <f t="shared" ca="1" si="74"/>
        <v/>
      </c>
      <c r="GB25" s="20" t="str">
        <f t="shared" ca="1" si="74"/>
        <v>w</v>
      </c>
      <c r="GC25" s="20" t="str">
        <f t="shared" ca="1" si="74"/>
        <v>l</v>
      </c>
      <c r="GD25" s="20" t="str">
        <f t="shared" ca="1" si="74"/>
        <v>l</v>
      </c>
      <c r="GE25" s="20" t="str">
        <f t="shared" ca="1" si="74"/>
        <v/>
      </c>
      <c r="GF25" s="20" t="str">
        <f t="shared" ca="1" si="74"/>
        <v>l</v>
      </c>
      <c r="GG25" s="20" t="str">
        <f t="shared" ca="1" si="74"/>
        <v/>
      </c>
      <c r="GH25" s="20" t="str">
        <f t="shared" ca="1" si="74"/>
        <v/>
      </c>
      <c r="GI25" s="34"/>
      <c r="HE25" s="34"/>
      <c r="HZ25" s="34"/>
      <c r="IA25" s="19" t="str">
        <f t="shared" ca="1" si="75"/>
        <v>No Hdcp</v>
      </c>
      <c r="IB25" s="19" t="str">
        <f ca="1">IF($D25&lt;&gt;"","Low of score &amp; "&amp;MIN($H25:$H25),"")</f>
        <v>Low of score &amp; 50</v>
      </c>
      <c r="IC25" s="19" t="str">
        <f ca="1">IF($D25&lt;&gt;"","Low of score &amp; "&amp;MIN($H25:$I25),"")</f>
        <v>Low of score &amp; 50</v>
      </c>
      <c r="ID25" s="18" t="str">
        <f ca="1">IF($D25&lt;&gt;"","Low of score &amp; "&amp;MIN($H25:$J25),"")</f>
        <v>Low of score &amp; 50</v>
      </c>
      <c r="IE25" s="18" t="str">
        <f ca="1">IF($D25&lt;&gt;"","Low of score &amp; "&amp;MIN($H25:$K25),"")</f>
        <v>Low of score &amp; 50</v>
      </c>
      <c r="IF25" s="18">
        <f ca="1">IF($D25&lt;&gt;"",ROUND(MIN((MIN($H25:$L25)-36)*0.96,20),2),"")</f>
        <v>13.44</v>
      </c>
      <c r="IG25" s="353">
        <f ca="1">IF($D25&lt;&gt;"",ROUND(MIN((AVERAGE(SMALL($H25:$M25,1),SMALL($H25:$M25,2))-36)*0.96,20),2),"")</f>
        <v>13.44</v>
      </c>
      <c r="IH25" s="18">
        <f ca="1">IF($D25&lt;&gt;"",ROUND(MIN((AVERAGE(SMALL($H25:$N25,1),SMALL($H25:$N25,2),SMALL($H25:$N25,3))-36)*0.96,20),2),"")</f>
        <v>13.44</v>
      </c>
      <c r="II25" s="18">
        <f ca="1">IF($D25&lt;&gt;"",ROUND(MIN((AVERAGE(SMALL($H25:$O25,1),SMALL($H25:$O25,2),SMALL($H25:$O25,3),SMALL($H25:$O25,4))-36)*0.96,20),2),"")</f>
        <v>13.68</v>
      </c>
      <c r="IJ25" s="18">
        <f ca="1">IF($D25&lt;&gt;"",ROUND(MIN((AVERAGE(SMALL($H25:$P25,1),SMALL($H25:$P25,2),SMALL($H25:$P25,3),SMALL($H25:$P25,4))-36)*0.96,20),2),"")</f>
        <v>13.2</v>
      </c>
      <c r="IK25" s="18">
        <f ca="1">IF($D25&lt;&gt;"",ROUND(MIN((AVERAGE(SMALL($H25:$Q25,1),SMALL($H25:$Q25,2),SMALL($H25:$Q25,3),SMALL($H25:$Q25,4),SMALL($H25:$Q25,5))-36)*0.96,20),2),"")</f>
        <v>13.25</v>
      </c>
      <c r="IL25" s="34"/>
      <c r="IN25" s="18">
        <f ca="1">AO25</f>
        <v>52</v>
      </c>
      <c r="IO25" s="18">
        <f ca="1">AN25</f>
        <v>48</v>
      </c>
      <c r="IP25" s="18">
        <f ca="1">AM25</f>
        <v>46</v>
      </c>
      <c r="IQ25" s="18">
        <f ca="1">AL25</f>
        <v>46</v>
      </c>
      <c r="IR25" s="18">
        <f ca="1">AK25</f>
        <v>47</v>
      </c>
      <c r="IS25" s="18">
        <f ca="1">AJ25</f>
        <v>52</v>
      </c>
      <c r="IT25" s="18">
        <f ca="1">AI25</f>
        <v>52</v>
      </c>
      <c r="IU25" s="18">
        <f ca="1">AH25</f>
        <v>59</v>
      </c>
      <c r="IV25" s="18">
        <f ca="1">AG25</f>
        <v>47</v>
      </c>
      <c r="IW25" s="18">
        <f ca="1">AF25</f>
        <v>61</v>
      </c>
      <c r="IX25" s="19">
        <f ca="1">IF(D25&lt;&gt;"",COUNT(IN25:IW25),"")</f>
        <v>10</v>
      </c>
      <c r="IY25" s="21">
        <f ca="1">IF(D25&lt;&gt;"",INDEX($JA25:$JK25,1,MATCH($IX25,$JA$6:$JK$6,0)), "")</f>
        <v>10.367999999999997</v>
      </c>
      <c r="JA25" s="18" t="str">
        <f ca="1">IF(D25&lt;&gt;"","No Hdcp","")</f>
        <v>No Hdcp</v>
      </c>
      <c r="JB25" s="18" t="str">
        <f ca="1">IF(D25&lt;&gt;"","Low of score &amp; "&amp;MIN($IN25:$IN25),"")</f>
        <v>Low of score &amp; 52</v>
      </c>
      <c r="JC25" s="18" t="str">
        <f ca="1">IF(D25&lt;&gt;"","Low of score &amp; "&amp;MIN($IN25:$IO25),"")</f>
        <v>Low of score &amp; 48</v>
      </c>
      <c r="JD25" s="18" t="str">
        <f ca="1">IF(D25&lt;&gt;"","Low of score &amp; "&amp;MIN($IN25:$IP25),"")</f>
        <v>Low of score &amp; 46</v>
      </c>
      <c r="JE25" s="18" t="str">
        <f ca="1">IF(D25&lt;&gt;"","Low of score &amp; "&amp;MIN($IN25:$IQ25),"")</f>
        <v>Low of score &amp; 46</v>
      </c>
      <c r="JF25" s="18">
        <f ca="1">IF(D25&lt;&gt;"",MIN((MIN($IN25:$IR25)-36)*0.96,20),"")</f>
        <v>9.6</v>
      </c>
      <c r="JG25" s="18">
        <f ca="1">IF(D25&lt;&gt;"",MIN((AVERAGE(SMALL($IN25:$IS25,1),SMALL($IN25:$IS25,2))-36)*0.96,20),"")</f>
        <v>9.6</v>
      </c>
      <c r="JH25" s="18">
        <f ca="1">IF(D25&lt;&gt;"",MIN((AVERAGE(SMALL($IN25:$IT25,1),SMALL($IN25:$IT25,2),SMALL($IN25:$IT25,3))-36)*0.96,20),"")</f>
        <v>9.9200000000000017</v>
      </c>
      <c r="JI25" s="18">
        <f ca="1">IF(D25&lt;&gt;"",MIN((AVERAGE(SMALL($IN25:$IU25,1),SMALL($IN25:$IU25,2),SMALL($IN25:$IU25,3),SMALL($IN25:$IU25,4))-36)*0.96,20),"")</f>
        <v>10.32</v>
      </c>
      <c r="JJ25" s="18">
        <f ca="1">IF(D25&lt;&gt;"",MIN((AVERAGE(SMALL($IN25:$IV25,1),SMALL($IN25:$IV25,2),SMALL($IN25:$IV25,3),SMALL($IN25:$IV25,4))-36)*0.96,20),"")</f>
        <v>10.08</v>
      </c>
      <c r="JK25" s="18">
        <f ca="1">IF(D25&lt;&gt;"",MIN((AVERAGE(SMALL($IN25:$IW25,1),SMALL($IN25:$IW25,2),SMALL($IN25:$IW25,3),SMALL($IN25:$IW25,4),SMALL($IN25:$IW25,5))-36)*0.96,20),"")</f>
        <v>10.367999999999997</v>
      </c>
    </row>
    <row r="26" spans="1:271" x14ac:dyDescent="0.2">
      <c r="A26" s="18" t="s">
        <v>21</v>
      </c>
      <c r="B26" s="19">
        <f>B25+7</f>
        <v>33</v>
      </c>
      <c r="C26" s="22">
        <f t="shared" ca="1" si="54"/>
        <v>0</v>
      </c>
      <c r="D26" s="18">
        <f t="shared" ca="1" si="55"/>
        <v>0</v>
      </c>
      <c r="E26" s="19">
        <f t="shared" ca="1" si="56"/>
        <v>0</v>
      </c>
      <c r="F26" s="19">
        <f ca="1">IF(D26&lt;&gt;"",COUNT($H26:$Q26),"")</f>
        <v>0</v>
      </c>
      <c r="G26" s="21" t="str">
        <f ca="1">IF($D26&lt;&gt;"",INDEX($IA26:$IK26,1,MATCH($F26,$IA$6:$IK$6,0)), "")</f>
        <v>No Hdcp</v>
      </c>
      <c r="H26" s="337" t="str" cm="1">
        <f t="array" aca="1" ref="H26" ca="1">IFERROR(_xlfn.SINGLE(INDEX($AF26:$BH26, , SUMPRODUCT(LARGE((($AF26:$BH26&lt;&gt;0)*($BJ26:$CL26&lt;&gt;1)*($AF$5:$BH$5)), H$6)))), "")</f>
        <v/>
      </c>
      <c r="I26" s="338" t="str" cm="1">
        <f t="array" aca="1" ref="I26" ca="1">IFERROR(_xlfn.SINGLE(INDEX($AF26:$BH26, , SUMPRODUCT(LARGE((($AF26:$BH26&lt;&gt;0)*($BJ26:$CL26&lt;&gt;1)*($AF$5:$BH$5)), I$6)))), "")</f>
        <v/>
      </c>
      <c r="J26" s="338" t="str" cm="1">
        <f t="array" aca="1" ref="J26" ca="1">IFERROR(_xlfn.SINGLE(INDEX($AF26:$BH26, , SUMPRODUCT(LARGE((($AF26:$BH26&lt;&gt;0)*($BJ26:$CL26&lt;&gt;1)*($AF$5:$BH$5)), J$6)))), "")</f>
        <v/>
      </c>
      <c r="K26" s="338" t="str" cm="1">
        <f t="array" aca="1" ref="K26" ca="1">IFERROR(_xlfn.SINGLE(INDEX($AF26:$BH26, , SUMPRODUCT(LARGE((($AF26:$BH26&lt;&gt;0)*($BJ26:$CL26&lt;&gt;1)*($AF$5:$BH$5)), K$6)))), "")</f>
        <v/>
      </c>
      <c r="L26" s="338" t="str" cm="1">
        <f t="array" aca="1" ref="L26" ca="1">IFERROR(_xlfn.SINGLE(INDEX($AF26:$BH26, , SUMPRODUCT(LARGE((($AF26:$BH26&lt;&gt;0)*($BJ26:$CL26&lt;&gt;1)*($AF$5:$BH$5)), L$6)))), "")</f>
        <v/>
      </c>
      <c r="M26" s="338" t="str" cm="1">
        <f t="array" aca="1" ref="M26" ca="1">IFERROR(_xlfn.SINGLE(INDEX($AF26:$BH26, , SUMPRODUCT(LARGE((($AF26:$BH26&lt;&gt;0)*($BJ26:$CL26&lt;&gt;1)*($AF$5:$BH$5)), M$6)))), "")</f>
        <v/>
      </c>
      <c r="N26" s="338" t="str" cm="1">
        <f t="array" aca="1" ref="N26" ca="1">IFERROR(_xlfn.SINGLE(INDEX($AF26:$BH26, , SUMPRODUCT(LARGE((($AF26:$BH26&lt;&gt;0)*($BJ26:$CL26&lt;&gt;1)*($AF$5:$BH$5)), N$6)))), "")</f>
        <v/>
      </c>
      <c r="O26" s="338" t="str" cm="1">
        <f t="array" aca="1" ref="O26" ca="1">IFERROR(_xlfn.SINGLE(INDEX($AF26:$BH26, , SUMPRODUCT(LARGE((($AF26:$BH26&lt;&gt;0)*($BJ26:$CL26&lt;&gt;1)*($AF$5:$BH$5)), O$6)))), "")</f>
        <v/>
      </c>
      <c r="P26" s="338" t="str" cm="1">
        <f t="array" aca="1" ref="P26" ca="1">IFERROR(_xlfn.SINGLE(INDEX($AF26:$BH26, , SUMPRODUCT(LARGE((($AF26:$BH26&lt;&gt;0)*($BJ26:$CL26&lt;&gt;1)*($AF$5:$BH$5)), P$6)))), "")</f>
        <v/>
      </c>
      <c r="Q26" s="339" t="str" cm="1">
        <f t="array" aca="1" ref="Q26" ca="1">IFERROR(_xlfn.SINGLE(INDEX($AF26:$BH26, , SUMPRODUCT(LARGE((($AF26:$BH26&lt;&gt;0)*($BJ26:$CL26&lt;&gt;1)*($AF$5:$BH$5)), Q$6)))), "")</f>
        <v/>
      </c>
      <c r="R26" s="21">
        <v>57.333333333333336</v>
      </c>
      <c r="S26" s="47" t="str">
        <f t="shared" ca="1" si="57"/>
        <v>-</v>
      </c>
      <c r="T26" s="21" t="str">
        <f ca="1">IF($D26&lt;&gt;"", IFERROR(IF($E26&gt;=qualifier, SUMIF($BT26:$CL26,0,$AP26:$BH26)/$E26, TEXT(SUMIF($BT26:$CL26,0,$AP26:$BH26)/$E26, "0.00")&amp;"*"), "-"), "")</f>
        <v>-</v>
      </c>
      <c r="U26" s="21" t="str">
        <f ca="1">IF($D26&lt;&gt;"", IFERROR(IF($E26&gt;=qualifier, SUMIF($BT26:$CL26,0,$CN26:$DF26)/$E26, TEXT(SUMIF($BT26:$CL26,0,$CN26:$DF26)/$E26, "0.00")&amp;"*"), "-"), "")</f>
        <v>-</v>
      </c>
      <c r="V26" s="46" t="str">
        <f ca="1">IF(AND($D26&lt;&gt;"", $E26&lt;&gt;0), _xlfn.MINIFS($AP26:$BH26,$BT26:$CL26,0,$AP26:$BH26,"&lt;&gt;0"), "")</f>
        <v/>
      </c>
      <c r="W26" s="19" t="str">
        <f ca="1">IF(AND($D26&lt;&gt;"", $E26&lt;&gt;0), _xlfn.MINIFS($CN26:$DF26,$BT26:$CL26,0), "")</f>
        <v/>
      </c>
      <c r="X26" s="46">
        <f ca="1">IF($D26&lt;&gt;"", SUM($DH26:$DZ26),  "")</f>
        <v>0</v>
      </c>
      <c r="Y26" s="21" t="str">
        <f ca="1">IF($D26&lt;&gt;"", IFERROR(IF($E26&gt;=qualifier, AVERAGE($DH26:$DZ26), TEXT(AVERAGE($DH26:$DZ26), "0.00")&amp;"*"), "-"), "")</f>
        <v>-</v>
      </c>
      <c r="Z26" s="19">
        <f ca="1">IF($D26&lt;&gt;"", SUM($EB26:$ET26),  "")</f>
        <v>0</v>
      </c>
      <c r="AA26" s="19">
        <f ca="1">IF($D26&lt;&gt;"", SUM($EV26:$FN26),  "")</f>
        <v>0</v>
      </c>
      <c r="AB26" s="46" t="str">
        <f t="shared" ca="1" si="58"/>
        <v>0-0-0</v>
      </c>
      <c r="AC26" s="218">
        <f t="shared" ca="1" si="59"/>
        <v>0</v>
      </c>
      <c r="AD26" s="57">
        <f t="shared" ca="1" si="60"/>
        <v>0</v>
      </c>
      <c r="AE26" s="34"/>
      <c r="AF26" s="341">
        <f ca="1">INDEX(PriorScores[],MATCH($D26,PriorScores[Team / Player],0),2)</f>
        <v>0</v>
      </c>
      <c r="AG26" s="341">
        <f ca="1">INDEX(PriorScores[],MATCH($D26,PriorScores[Team / Player],0),3)</f>
        <v>0</v>
      </c>
      <c r="AH26" s="341">
        <f ca="1">INDEX(PriorScores[],MATCH($D26,PriorScores[Team / Player],0),4)</f>
        <v>0</v>
      </c>
      <c r="AI26" s="341">
        <f ca="1">INDEX(PriorScores[],MATCH($D26,PriorScores[Team / Player],0),5)</f>
        <v>0</v>
      </c>
      <c r="AJ26" s="341">
        <f ca="1">INDEX(PriorScores[],MATCH($D26,PriorScores[Team / Player],0),6)</f>
        <v>0</v>
      </c>
      <c r="AK26" s="341">
        <f ca="1">INDEX(PriorScores[],MATCH($D26,PriorScores[Team / Player],0),7)</f>
        <v>0</v>
      </c>
      <c r="AL26" s="341">
        <f ca="1">INDEX(PriorScores[],MATCH($D26,PriorScores[Team / Player],0),8)</f>
        <v>0</v>
      </c>
      <c r="AM26" s="341">
        <f ca="1">INDEX(PriorScores[],MATCH($D26,PriorScores[Team / Player],0),9)</f>
        <v>0</v>
      </c>
      <c r="AN26" s="341">
        <f ca="1">INDEX(PriorScores[],MATCH($D26,PriorScores[Team / Player],0),10)</f>
        <v>0</v>
      </c>
      <c r="AO26" s="341">
        <f ca="1">INDEX(PriorScores[],MATCH($D26,PriorScores[Team / Player],0),11)</f>
        <v>0</v>
      </c>
      <c r="AP26" s="20">
        <f t="shared" ca="1" si="61"/>
        <v>0</v>
      </c>
      <c r="AQ26" s="20">
        <f t="shared" ca="1" si="61"/>
        <v>0</v>
      </c>
      <c r="AR26" s="20">
        <f t="shared" ca="1" si="61"/>
        <v>0</v>
      </c>
      <c r="AS26" s="20">
        <f t="shared" ca="1" si="61"/>
        <v>0</v>
      </c>
      <c r="AT26" s="20">
        <f t="shared" ca="1" si="61"/>
        <v>0</v>
      </c>
      <c r="AU26" s="20">
        <f t="shared" ca="1" si="61"/>
        <v>0</v>
      </c>
      <c r="AV26" s="20">
        <f t="shared" ca="1" si="61"/>
        <v>0</v>
      </c>
      <c r="AW26" s="20">
        <f t="shared" ca="1" si="61"/>
        <v>0</v>
      </c>
      <c r="AX26" s="20">
        <f t="shared" ca="1" si="61"/>
        <v>0</v>
      </c>
      <c r="AY26" s="20">
        <f t="shared" ca="1" si="61"/>
        <v>0</v>
      </c>
      <c r="AZ26" s="20">
        <f t="shared" ca="1" si="62"/>
        <v>0</v>
      </c>
      <c r="BA26" s="20">
        <f t="shared" ca="1" si="62"/>
        <v>0</v>
      </c>
      <c r="BB26" s="20">
        <f t="shared" ca="1" si="62"/>
        <v>0</v>
      </c>
      <c r="BC26" s="20">
        <f t="shared" ca="1" si="62"/>
        <v>0</v>
      </c>
      <c r="BD26" s="20">
        <f t="shared" ca="1" si="62"/>
        <v>0</v>
      </c>
      <c r="BE26" s="20">
        <f t="shared" ca="1" si="62"/>
        <v>0</v>
      </c>
      <c r="BF26" s="20">
        <f t="shared" ca="1" si="62"/>
        <v>0</v>
      </c>
      <c r="BG26" s="20">
        <f t="shared" ca="1" si="62"/>
        <v>0</v>
      </c>
      <c r="BH26" s="20">
        <f t="shared" ca="1" si="62"/>
        <v>0</v>
      </c>
      <c r="BI26" s="34"/>
      <c r="BJ26" s="341">
        <v>0</v>
      </c>
      <c r="BK26" s="341">
        <v>0</v>
      </c>
      <c r="BL26" s="341">
        <v>0</v>
      </c>
      <c r="BM26" s="341">
        <v>0</v>
      </c>
      <c r="BN26" s="341">
        <v>0</v>
      </c>
      <c r="BO26" s="341">
        <v>0</v>
      </c>
      <c r="BP26" s="341">
        <v>0</v>
      </c>
      <c r="BQ26" s="341">
        <v>0</v>
      </c>
      <c r="BR26" s="341">
        <v>0</v>
      </c>
      <c r="BS26" s="341">
        <v>0</v>
      </c>
      <c r="BT26" s="20">
        <f t="shared" ca="1" si="63"/>
        <v>0</v>
      </c>
      <c r="BU26" s="20">
        <f t="shared" ca="1" si="63"/>
        <v>0</v>
      </c>
      <c r="BV26" s="20">
        <f t="shared" ca="1" si="63"/>
        <v>0</v>
      </c>
      <c r="BW26" s="20">
        <f t="shared" ca="1" si="63"/>
        <v>0</v>
      </c>
      <c r="BX26" s="20">
        <f t="shared" ca="1" si="63"/>
        <v>0</v>
      </c>
      <c r="BY26" s="20">
        <f t="shared" ca="1" si="63"/>
        <v>0</v>
      </c>
      <c r="BZ26" s="20">
        <f t="shared" ca="1" si="63"/>
        <v>0</v>
      </c>
      <c r="CA26" s="20">
        <f t="shared" ca="1" si="63"/>
        <v>0</v>
      </c>
      <c r="CB26" s="20">
        <f t="shared" ca="1" si="63"/>
        <v>0</v>
      </c>
      <c r="CC26" s="20">
        <f t="shared" ca="1" si="63"/>
        <v>0</v>
      </c>
      <c r="CD26" s="20">
        <f t="shared" ca="1" si="64"/>
        <v>0</v>
      </c>
      <c r="CE26" s="20">
        <f t="shared" ca="1" si="64"/>
        <v>0</v>
      </c>
      <c r="CF26" s="20">
        <f t="shared" ca="1" si="64"/>
        <v>0</v>
      </c>
      <c r="CG26" s="20">
        <f t="shared" ca="1" si="64"/>
        <v>0</v>
      </c>
      <c r="CH26" s="20">
        <f t="shared" ca="1" si="64"/>
        <v>0</v>
      </c>
      <c r="CI26" s="20">
        <f t="shared" ca="1" si="64"/>
        <v>0</v>
      </c>
      <c r="CJ26" s="20">
        <f t="shared" ca="1" si="64"/>
        <v>0</v>
      </c>
      <c r="CK26" s="20">
        <f t="shared" ca="1" si="64"/>
        <v>0</v>
      </c>
      <c r="CL26" s="20">
        <f t="shared" ca="1" si="64"/>
        <v>0</v>
      </c>
      <c r="CM26" s="34"/>
      <c r="CN26" s="20" t="str">
        <f t="shared" ca="1" si="65"/>
        <v/>
      </c>
      <c r="CO26" s="20" t="str">
        <f t="shared" ca="1" si="65"/>
        <v/>
      </c>
      <c r="CP26" s="20" t="str">
        <f t="shared" ca="1" si="65"/>
        <v/>
      </c>
      <c r="CQ26" s="20" t="str">
        <f t="shared" ca="1" si="65"/>
        <v/>
      </c>
      <c r="CR26" s="20" t="str">
        <f t="shared" ca="1" si="65"/>
        <v/>
      </c>
      <c r="CS26" s="20" t="str">
        <f t="shared" ca="1" si="65"/>
        <v/>
      </c>
      <c r="CT26" s="20" t="str">
        <f t="shared" ca="1" si="65"/>
        <v/>
      </c>
      <c r="CU26" s="20" t="str">
        <f t="shared" ca="1" si="65"/>
        <v/>
      </c>
      <c r="CV26" s="20" t="str">
        <f t="shared" ca="1" si="65"/>
        <v/>
      </c>
      <c r="CW26" s="20" t="str">
        <f t="shared" ca="1" si="65"/>
        <v/>
      </c>
      <c r="CX26" s="20" t="str">
        <f t="shared" ca="1" si="66"/>
        <v/>
      </c>
      <c r="CY26" s="20" t="str">
        <f t="shared" ca="1" si="66"/>
        <v/>
      </c>
      <c r="CZ26" s="20" t="str">
        <f t="shared" ca="1" si="66"/>
        <v/>
      </c>
      <c r="DA26" s="20" t="str">
        <f t="shared" ca="1" si="66"/>
        <v/>
      </c>
      <c r="DB26" s="20" t="str">
        <f t="shared" ca="1" si="66"/>
        <v/>
      </c>
      <c r="DC26" s="20" t="str">
        <f t="shared" ca="1" si="66"/>
        <v/>
      </c>
      <c r="DD26" s="20" t="str">
        <f t="shared" ca="1" si="66"/>
        <v/>
      </c>
      <c r="DE26" s="20" t="str">
        <f t="shared" ca="1" si="66"/>
        <v/>
      </c>
      <c r="DF26" s="20" t="str">
        <f t="shared" ca="1" si="66"/>
        <v/>
      </c>
      <c r="DG26" s="34"/>
      <c r="DH26" s="20" t="str">
        <f t="shared" ca="1" si="67"/>
        <v/>
      </c>
      <c r="DI26" s="20" t="str">
        <f t="shared" ca="1" si="67"/>
        <v/>
      </c>
      <c r="DJ26" s="20" t="str">
        <f t="shared" ca="1" si="67"/>
        <v/>
      </c>
      <c r="DK26" s="20" t="str">
        <f t="shared" ca="1" si="67"/>
        <v/>
      </c>
      <c r="DL26" s="20" t="str">
        <f t="shared" ca="1" si="67"/>
        <v/>
      </c>
      <c r="DM26" s="20" t="str">
        <f t="shared" ca="1" si="67"/>
        <v/>
      </c>
      <c r="DN26" s="20" t="str">
        <f t="shared" ca="1" si="67"/>
        <v/>
      </c>
      <c r="DO26" s="20" t="str">
        <f t="shared" ca="1" si="67"/>
        <v/>
      </c>
      <c r="DP26" s="20" t="str">
        <f t="shared" ca="1" si="67"/>
        <v/>
      </c>
      <c r="DQ26" s="20" t="str">
        <f t="shared" ca="1" si="67"/>
        <v/>
      </c>
      <c r="DR26" s="20" t="str">
        <f t="shared" ca="1" si="68"/>
        <v/>
      </c>
      <c r="DS26" s="20" t="str">
        <f t="shared" ca="1" si="68"/>
        <v/>
      </c>
      <c r="DT26" s="20" t="str">
        <f t="shared" ca="1" si="68"/>
        <v/>
      </c>
      <c r="DU26" s="20" t="str">
        <f t="shared" ca="1" si="68"/>
        <v/>
      </c>
      <c r="DV26" s="20" t="str">
        <f t="shared" ca="1" si="68"/>
        <v/>
      </c>
      <c r="DW26" s="20" t="str">
        <f t="shared" ca="1" si="68"/>
        <v/>
      </c>
      <c r="DX26" s="20" t="str">
        <f t="shared" ca="1" si="68"/>
        <v/>
      </c>
      <c r="DY26" s="20" t="str">
        <f t="shared" ca="1" si="68"/>
        <v/>
      </c>
      <c r="DZ26" s="20" t="str">
        <f t="shared" ca="1" si="68"/>
        <v/>
      </c>
      <c r="EA26" s="34"/>
      <c r="EB26" s="20" t="str">
        <f t="shared" ca="1" si="69"/>
        <v/>
      </c>
      <c r="EC26" s="20" t="str">
        <f t="shared" ca="1" si="69"/>
        <v/>
      </c>
      <c r="ED26" s="20" t="str">
        <f t="shared" ca="1" si="69"/>
        <v/>
      </c>
      <c r="EE26" s="20" t="str">
        <f t="shared" ca="1" si="69"/>
        <v/>
      </c>
      <c r="EF26" s="20" t="str">
        <f t="shared" ca="1" si="69"/>
        <v/>
      </c>
      <c r="EG26" s="20" t="str">
        <f t="shared" ca="1" si="69"/>
        <v/>
      </c>
      <c r="EH26" s="20" t="str">
        <f t="shared" ca="1" si="69"/>
        <v/>
      </c>
      <c r="EI26" s="20" t="str">
        <f t="shared" ca="1" si="69"/>
        <v/>
      </c>
      <c r="EJ26" s="20" t="str">
        <f t="shared" ca="1" si="69"/>
        <v/>
      </c>
      <c r="EK26" s="20" t="str">
        <f t="shared" ca="1" si="69"/>
        <v/>
      </c>
      <c r="EL26" s="20" t="str">
        <f t="shared" ca="1" si="70"/>
        <v/>
      </c>
      <c r="EM26" s="20" t="str">
        <f t="shared" ca="1" si="70"/>
        <v/>
      </c>
      <c r="EN26" s="20" t="str">
        <f t="shared" ca="1" si="70"/>
        <v/>
      </c>
      <c r="EO26" s="20" t="str">
        <f t="shared" ca="1" si="70"/>
        <v/>
      </c>
      <c r="EP26" s="20" t="str">
        <f t="shared" ca="1" si="70"/>
        <v/>
      </c>
      <c r="EQ26" s="20" t="str">
        <f t="shared" ca="1" si="70"/>
        <v/>
      </c>
      <c r="ER26" s="20" t="str">
        <f t="shared" ca="1" si="70"/>
        <v/>
      </c>
      <c r="ES26" s="20" t="str">
        <f t="shared" ca="1" si="70"/>
        <v/>
      </c>
      <c r="ET26" s="20" t="str">
        <f t="shared" ca="1" si="70"/>
        <v/>
      </c>
      <c r="EU26" s="34"/>
      <c r="EV26" s="20" t="str">
        <f t="shared" ca="1" si="71"/>
        <v/>
      </c>
      <c r="EW26" s="20" t="str">
        <f t="shared" ca="1" si="71"/>
        <v/>
      </c>
      <c r="EX26" s="20" t="str">
        <f t="shared" ca="1" si="71"/>
        <v/>
      </c>
      <c r="EY26" s="20" t="str">
        <f t="shared" ca="1" si="71"/>
        <v/>
      </c>
      <c r="EZ26" s="20" t="str">
        <f t="shared" ca="1" si="71"/>
        <v/>
      </c>
      <c r="FA26" s="20" t="str">
        <f t="shared" ca="1" si="71"/>
        <v/>
      </c>
      <c r="FB26" s="20" t="str">
        <f t="shared" ca="1" si="71"/>
        <v/>
      </c>
      <c r="FC26" s="20" t="str">
        <f t="shared" ca="1" si="71"/>
        <v/>
      </c>
      <c r="FD26" s="20" t="str">
        <f t="shared" ca="1" si="71"/>
        <v/>
      </c>
      <c r="FE26" s="20" t="str">
        <f t="shared" ca="1" si="71"/>
        <v/>
      </c>
      <c r="FF26" s="20" t="str">
        <f t="shared" ca="1" si="72"/>
        <v/>
      </c>
      <c r="FG26" s="20" t="str">
        <f t="shared" ca="1" si="72"/>
        <v/>
      </c>
      <c r="FH26" s="20" t="str">
        <f t="shared" ca="1" si="72"/>
        <v/>
      </c>
      <c r="FI26" s="20" t="str">
        <f t="shared" ca="1" si="72"/>
        <v/>
      </c>
      <c r="FJ26" s="20" t="str">
        <f t="shared" ca="1" si="72"/>
        <v/>
      </c>
      <c r="FK26" s="20" t="str">
        <f t="shared" ca="1" si="72"/>
        <v/>
      </c>
      <c r="FL26" s="20" t="str">
        <f t="shared" ca="1" si="72"/>
        <v/>
      </c>
      <c r="FM26" s="20" t="str">
        <f t="shared" ca="1" si="72"/>
        <v/>
      </c>
      <c r="FN26" s="20" t="str">
        <f t="shared" ca="1" si="72"/>
        <v/>
      </c>
      <c r="FO26" s="34"/>
      <c r="FP26" s="20" t="str">
        <f t="shared" ca="1" si="73"/>
        <v/>
      </c>
      <c r="FQ26" s="20" t="str">
        <f t="shared" ca="1" si="73"/>
        <v/>
      </c>
      <c r="FR26" s="20" t="str">
        <f t="shared" ca="1" si="73"/>
        <v/>
      </c>
      <c r="FS26" s="20" t="str">
        <f t="shared" ca="1" si="73"/>
        <v/>
      </c>
      <c r="FT26" s="20" t="str">
        <f t="shared" ca="1" si="73"/>
        <v/>
      </c>
      <c r="FU26" s="20" t="str">
        <f t="shared" ca="1" si="73"/>
        <v/>
      </c>
      <c r="FV26" s="20" t="str">
        <f t="shared" ca="1" si="73"/>
        <v/>
      </c>
      <c r="FW26" s="20" t="str">
        <f t="shared" ca="1" si="73"/>
        <v/>
      </c>
      <c r="FX26" s="20" t="str">
        <f t="shared" ca="1" si="73"/>
        <v/>
      </c>
      <c r="FY26" s="20" t="str">
        <f t="shared" ca="1" si="73"/>
        <v/>
      </c>
      <c r="FZ26" s="20" t="str">
        <f t="shared" ca="1" si="74"/>
        <v/>
      </c>
      <c r="GA26" s="20" t="str">
        <f t="shared" ca="1" si="74"/>
        <v/>
      </c>
      <c r="GB26" s="20" t="str">
        <f t="shared" ca="1" si="74"/>
        <v/>
      </c>
      <c r="GC26" s="20" t="str">
        <f t="shared" ca="1" si="74"/>
        <v/>
      </c>
      <c r="GD26" s="20" t="str">
        <f t="shared" ca="1" si="74"/>
        <v/>
      </c>
      <c r="GE26" s="20" t="str">
        <f t="shared" ca="1" si="74"/>
        <v/>
      </c>
      <c r="GF26" s="20" t="str">
        <f t="shared" ca="1" si="74"/>
        <v/>
      </c>
      <c r="GG26" s="20" t="str">
        <f t="shared" ca="1" si="74"/>
        <v/>
      </c>
      <c r="GH26" s="20" t="str">
        <f t="shared" ca="1" si="74"/>
        <v/>
      </c>
      <c r="GI26" s="34"/>
      <c r="HE26" s="34"/>
      <c r="HZ26" s="34"/>
      <c r="IA26" s="19" t="str">
        <f t="shared" ca="1" si="75"/>
        <v>No Hdcp</v>
      </c>
      <c r="IB26" s="19" t="str">
        <f ca="1">IF($D26&lt;&gt;"","Low of score &amp; "&amp;MIN($H26:$H26),"")</f>
        <v>Low of score &amp; 0</v>
      </c>
      <c r="IC26" s="19" t="str">
        <f ca="1">IF($D26&lt;&gt;"","Low of score &amp; "&amp;MIN($H26:$I26),"")</f>
        <v>Low of score &amp; 0</v>
      </c>
      <c r="ID26" s="18" t="str">
        <f ca="1">IF($D26&lt;&gt;"","Low of score &amp; "&amp;MIN($H26:$J26),"")</f>
        <v>Low of score &amp; 0</v>
      </c>
      <c r="IE26" s="18" t="str">
        <f ca="1">IF($D26&lt;&gt;"","Low of score &amp; "&amp;MIN($H26:$K26),"")</f>
        <v>Low of score &amp; 0</v>
      </c>
      <c r="IF26" s="18">
        <f ca="1">IF($D26&lt;&gt;"",ROUND(MIN((MIN($H26:$L26)-36)*0.96,20),2),"")</f>
        <v>-34.56</v>
      </c>
      <c r="IG26" s="353" t="e">
        <f ca="1">IF($D26&lt;&gt;"",ROUND(MIN((AVERAGE(SMALL($H26:$M26,1),SMALL($H26:$M26,2))-36)*0.96,20),2),"")</f>
        <v>#NUM!</v>
      </c>
      <c r="IH26" s="18" t="e">
        <f ca="1">IF($D26&lt;&gt;"",ROUND(MIN((AVERAGE(SMALL($H26:$N26,1),SMALL($H26:$N26,2),SMALL($H26:$N26,3))-36)*0.96,20),2),"")</f>
        <v>#NUM!</v>
      </c>
      <c r="II26" s="18" t="e">
        <f ca="1">IF($D26&lt;&gt;"",ROUND(MIN((AVERAGE(SMALL($H26:$O26,1),SMALL($H26:$O26,2),SMALL($H26:$O26,3),SMALL($H26:$O26,4))-36)*0.96,20),2),"")</f>
        <v>#NUM!</v>
      </c>
      <c r="IJ26" s="18" t="e">
        <f ca="1">IF($D26&lt;&gt;"",ROUND(MIN((AVERAGE(SMALL($H26:$P26,1),SMALL($H26:$P26,2),SMALL($H26:$P26,3),SMALL($H26:$P26,4))-36)*0.96,20),2),"")</f>
        <v>#NUM!</v>
      </c>
      <c r="IK26" s="18" t="e">
        <f ca="1">IF($D26&lt;&gt;"",ROUND(MIN((AVERAGE(SMALL($H26:$Q26,1),SMALL($H26:$Q26,2),SMALL($H26:$Q26,3),SMALL($H26:$Q26,4),SMALL($H26:$Q26,5))-36)*0.96,20),2),"")</f>
        <v>#NUM!</v>
      </c>
      <c r="IL26" s="34"/>
      <c r="IN26" s="18">
        <f ca="1">AO26</f>
        <v>0</v>
      </c>
      <c r="IO26" s="18">
        <f ca="1">AN26</f>
        <v>0</v>
      </c>
      <c r="IP26" s="18">
        <f ca="1">AM26</f>
        <v>0</v>
      </c>
      <c r="IQ26" s="18">
        <f ca="1">AL26</f>
        <v>0</v>
      </c>
      <c r="IR26" s="18">
        <f ca="1">AK26</f>
        <v>0</v>
      </c>
      <c r="IS26" s="18">
        <f ca="1">AJ26</f>
        <v>0</v>
      </c>
      <c r="IT26" s="18">
        <f ca="1">AI26</f>
        <v>0</v>
      </c>
      <c r="IU26" s="18">
        <f ca="1">AH26</f>
        <v>0</v>
      </c>
      <c r="IV26" s="18">
        <f ca="1">AG26</f>
        <v>0</v>
      </c>
      <c r="IW26" s="18">
        <f ca="1">AF26</f>
        <v>0</v>
      </c>
      <c r="IX26" s="19">
        <f ca="1">IF(D26&lt;&gt;"",COUNT(IN26:IW26),"")</f>
        <v>10</v>
      </c>
      <c r="IY26" s="21">
        <f ca="1">IF(D26&lt;&gt;"",INDEX($JA26:$JK26,1,MATCH($IX26,$JA$6:$JK$6,0)), "")</f>
        <v>-34.56</v>
      </c>
      <c r="JA26" s="18" t="str">
        <f ca="1">IF(D26&lt;&gt;"","No Hdcp","")</f>
        <v>No Hdcp</v>
      </c>
      <c r="JB26" s="18" t="str">
        <f ca="1">IF(D26&lt;&gt;"","Low of score &amp; "&amp;MIN($IN26:$IN26),"")</f>
        <v>Low of score &amp; 0</v>
      </c>
      <c r="JC26" s="18" t="str">
        <f ca="1">IF(D26&lt;&gt;"","Low of score &amp; "&amp;MIN($IN26:$IO26),"")</f>
        <v>Low of score &amp; 0</v>
      </c>
      <c r="JD26" s="18" t="str">
        <f ca="1">IF(D26&lt;&gt;"","Low of score &amp; "&amp;MIN($IN26:$IP26),"")</f>
        <v>Low of score &amp; 0</v>
      </c>
      <c r="JE26" s="18" t="str">
        <f ca="1">IF(D26&lt;&gt;"","Low of score &amp; "&amp;MIN($IN26:$IQ26),"")</f>
        <v>Low of score &amp; 0</v>
      </c>
      <c r="JF26" s="18">
        <f ca="1">IF(D26&lt;&gt;"",MIN((MIN($IN26:$IR26)-36)*0.96,20),"")</f>
        <v>-34.56</v>
      </c>
      <c r="JG26" s="18">
        <f ca="1">IF(D26&lt;&gt;"",MIN((AVERAGE(SMALL($IN26:$IS26,1),SMALL($IN26:$IS26,2))-36)*0.96,20),"")</f>
        <v>-34.56</v>
      </c>
      <c r="JH26" s="18">
        <f ca="1">IF(D26&lt;&gt;"",MIN((AVERAGE(SMALL($IN26:$IT26,1),SMALL($IN26:$IT26,2),SMALL($IN26:$IT26,3))-36)*0.96,20),"")</f>
        <v>-34.56</v>
      </c>
      <c r="JI26" s="18">
        <f ca="1">IF(D26&lt;&gt;"",MIN((AVERAGE(SMALL($IN26:$IU26,1),SMALL($IN26:$IU26,2),SMALL($IN26:$IU26,3),SMALL($IN26:$IU26,4))-36)*0.96,20),"")</f>
        <v>-34.56</v>
      </c>
      <c r="JJ26" s="18">
        <f ca="1">IF(D26&lt;&gt;"",MIN((AVERAGE(SMALL($IN26:$IV26,1),SMALL($IN26:$IV26,2),SMALL($IN26:$IV26,3),SMALL($IN26:$IV26,4))-36)*0.96,20),"")</f>
        <v>-34.56</v>
      </c>
      <c r="JK26" s="18">
        <f ca="1">IF(D26&lt;&gt;"",MIN((AVERAGE(SMALL($IN26:$IW26,1),SMALL($IN26:$IW26,2),SMALL($IN26:$IW26,3),SMALL($IN26:$IW26,4),SMALL($IN26:$IW26,5))-36)*0.96,20),"")</f>
        <v>-34.56</v>
      </c>
    </row>
    <row r="27" spans="1:271" x14ac:dyDescent="0.2">
      <c r="A27" s="18" t="s">
        <v>21</v>
      </c>
      <c r="B27" s="19">
        <f>B26+7</f>
        <v>40</v>
      </c>
      <c r="C27" s="22">
        <f t="shared" ca="1" si="54"/>
        <v>1.5E-3</v>
      </c>
      <c r="D27" s="18" t="str">
        <f t="shared" ca="1" si="55"/>
        <v>Blind Draw Mickey Mouse Club</v>
      </c>
      <c r="E27" s="19">
        <f t="shared" ca="1" si="56"/>
        <v>1</v>
      </c>
      <c r="F27" s="19">
        <f ca="1">IF($D27&lt;&gt;"", COUNT($AP27:$BH27)-COUNTIF($AP27:$BH27,0), "")</f>
        <v>1</v>
      </c>
      <c r="G27" s="21">
        <v>0</v>
      </c>
      <c r="H27" s="46" cm="1">
        <f t="array" aca="1" ref="H27" ca="1">IFERROR(_xlfn.SINGLE(INDEX($AP27:$BH27, , SUMPRODUCT(LARGE((($AP27:$BH27&lt;&gt;0)*($BT27:$CL27&lt;&gt;1)*(weeks)), H$6)))), "")</f>
        <v>40</v>
      </c>
      <c r="I27" s="19" t="str" cm="1">
        <f t="array" aca="1" ref="I27" ca="1">IFERROR(_xlfn.SINGLE(INDEX($AP27:$BH27, , SUMPRODUCT(LARGE((($AP27:$BH27&lt;&gt;0)*($BT27:$CL27&lt;&gt;1)*(weeks)), I$6)))), "")</f>
        <v/>
      </c>
      <c r="J27" s="19" t="str" cm="1">
        <f t="array" aca="1" ref="J27" ca="1">IFERROR(_xlfn.SINGLE(INDEX($AP27:$BH27, , SUMPRODUCT(LARGE((($AP27:$BH27&lt;&gt;0)*($BT27:$CL27&lt;&gt;1)*(weeks)), J$6)))), "")</f>
        <v/>
      </c>
      <c r="K27" s="19" t="str" cm="1">
        <f t="array" aca="1" ref="K27" ca="1">IFERROR(_xlfn.SINGLE(INDEX($AP27:$BH27, , SUMPRODUCT(LARGE((($AP27:$BH27&lt;&gt;0)*($BT27:$CL27&lt;&gt;1)*(weeks)), K$6)))), "")</f>
        <v/>
      </c>
      <c r="Q27" s="86" t="str" cm="1">
        <f t="array" aca="1" ref="Q27" ca="1">IFERROR(_xlfn.SINGLE(INDEX($AP27:$BH27, , SUMPRODUCT(LARGE((($AP27:$BH27&lt;&gt;0)*($BT27:$CL27&lt;&gt;1)*(weeks)), Q$6)))), "")</f>
        <v/>
      </c>
      <c r="R27" s="21" t="str">
        <f ca="1">IF($D27&lt;&gt;"", INDEX(INDIRECT($A27), $B27+1, 21), "")</f>
        <v/>
      </c>
      <c r="S27" s="47" t="str">
        <f t="shared" ca="1" si="57"/>
        <v>-</v>
      </c>
      <c r="T27" s="59"/>
      <c r="U27" s="59"/>
      <c r="V27" s="46"/>
      <c r="X27" s="46"/>
      <c r="Y27" s="21"/>
      <c r="AB27" s="46" t="str">
        <f t="shared" ca="1" si="58"/>
        <v>1-0-0</v>
      </c>
      <c r="AC27" s="218">
        <f t="shared" ca="1" si="59"/>
        <v>0</v>
      </c>
      <c r="AD27" s="57">
        <f t="shared" ca="1" si="60"/>
        <v>0</v>
      </c>
      <c r="AE27" s="34"/>
      <c r="AF27" s="341">
        <f ca="1">INDEX(PriorScores[],MATCH($D27,PriorScores[Team / Player],0),2)</f>
        <v>0</v>
      </c>
      <c r="AG27" s="341">
        <f ca="1">INDEX(PriorScores[],MATCH($D27,PriorScores[Team / Player],0),3)</f>
        <v>0</v>
      </c>
      <c r="AH27" s="341">
        <f ca="1">INDEX(PriorScores[],MATCH($D27,PriorScores[Team / Player],0),4)</f>
        <v>0</v>
      </c>
      <c r="AI27" s="341">
        <f ca="1">INDEX(PriorScores[],MATCH($D27,PriorScores[Team / Player],0),5)</f>
        <v>0</v>
      </c>
      <c r="AJ27" s="341">
        <f ca="1">INDEX(PriorScores[],MATCH($D27,PriorScores[Team / Player],0),6)</f>
        <v>0</v>
      </c>
      <c r="AK27" s="341">
        <f ca="1">INDEX(PriorScores[],MATCH($D27,PriorScores[Team / Player],0),7)</f>
        <v>0</v>
      </c>
      <c r="AL27" s="341">
        <f ca="1">INDEX(PriorScores[],MATCH($D27,PriorScores[Team / Player],0),8)</f>
        <v>0</v>
      </c>
      <c r="AM27" s="341">
        <f ca="1">INDEX(PriorScores[],MATCH($D27,PriorScores[Team / Player],0),9)</f>
        <v>0</v>
      </c>
      <c r="AN27" s="341">
        <f ca="1">INDEX(PriorScores[],MATCH($D27,PriorScores[Team / Player],0),10)</f>
        <v>0</v>
      </c>
      <c r="AO27" s="341">
        <f ca="1">INDEX(PriorScores[],MATCH($D27,PriorScores[Team / Player],0),11)</f>
        <v>0</v>
      </c>
      <c r="AP27" s="20">
        <f t="shared" ca="1" si="61"/>
        <v>0</v>
      </c>
      <c r="AQ27" s="20">
        <f t="shared" ca="1" si="61"/>
        <v>0</v>
      </c>
      <c r="AR27" s="20">
        <f t="shared" ca="1" si="61"/>
        <v>0</v>
      </c>
      <c r="AS27" s="20">
        <f t="shared" ca="1" si="61"/>
        <v>40</v>
      </c>
      <c r="AT27" s="20">
        <f t="shared" ca="1" si="61"/>
        <v>0</v>
      </c>
      <c r="AU27" s="20">
        <f t="shared" ca="1" si="61"/>
        <v>0</v>
      </c>
      <c r="AV27" s="20">
        <f t="shared" ca="1" si="61"/>
        <v>0</v>
      </c>
      <c r="AW27" s="20">
        <f t="shared" ca="1" si="61"/>
        <v>0</v>
      </c>
      <c r="AX27" s="20">
        <f t="shared" ca="1" si="61"/>
        <v>0</v>
      </c>
      <c r="AY27" s="20">
        <f t="shared" ca="1" si="61"/>
        <v>0</v>
      </c>
      <c r="AZ27" s="20">
        <f t="shared" ca="1" si="62"/>
        <v>0</v>
      </c>
      <c r="BA27" s="20">
        <f t="shared" ca="1" si="62"/>
        <v>0</v>
      </c>
      <c r="BB27" s="20">
        <f t="shared" ca="1" si="62"/>
        <v>0</v>
      </c>
      <c r="BC27" s="20">
        <f t="shared" ca="1" si="62"/>
        <v>0</v>
      </c>
      <c r="BD27" s="20">
        <f t="shared" ca="1" si="62"/>
        <v>0</v>
      </c>
      <c r="BE27" s="20">
        <f t="shared" ca="1" si="62"/>
        <v>0</v>
      </c>
      <c r="BF27" s="20">
        <f t="shared" ca="1" si="62"/>
        <v>0</v>
      </c>
      <c r="BG27" s="20">
        <f t="shared" ca="1" si="62"/>
        <v>0</v>
      </c>
      <c r="BH27" s="20">
        <f t="shared" ca="1" si="62"/>
        <v>0</v>
      </c>
      <c r="BI27" s="34"/>
      <c r="BJ27" s="341">
        <v>0</v>
      </c>
      <c r="BK27" s="341">
        <v>0</v>
      </c>
      <c r="BL27" s="341">
        <v>0</v>
      </c>
      <c r="BM27" s="341">
        <v>0</v>
      </c>
      <c r="BN27" s="341">
        <v>0</v>
      </c>
      <c r="BO27" s="341">
        <v>0</v>
      </c>
      <c r="BP27" s="341">
        <v>0</v>
      </c>
      <c r="BQ27" s="341">
        <v>0</v>
      </c>
      <c r="BR27" s="341">
        <v>0</v>
      </c>
      <c r="BS27" s="341">
        <v>0</v>
      </c>
      <c r="BT27" s="20">
        <f t="shared" ca="1" si="63"/>
        <v>0</v>
      </c>
      <c r="BU27" s="20">
        <f t="shared" ca="1" si="63"/>
        <v>0</v>
      </c>
      <c r="BV27" s="20">
        <f t="shared" ca="1" si="63"/>
        <v>0</v>
      </c>
      <c r="BW27" s="20">
        <f t="shared" ca="1" si="63"/>
        <v>0</v>
      </c>
      <c r="BX27" s="20">
        <f t="shared" ca="1" si="63"/>
        <v>0</v>
      </c>
      <c r="BY27" s="20">
        <f t="shared" ca="1" si="63"/>
        <v>0</v>
      </c>
      <c r="BZ27" s="20">
        <f t="shared" ca="1" si="63"/>
        <v>0</v>
      </c>
      <c r="CA27" s="20">
        <f t="shared" ca="1" si="63"/>
        <v>0</v>
      </c>
      <c r="CB27" s="20">
        <f t="shared" ca="1" si="63"/>
        <v>0</v>
      </c>
      <c r="CC27" s="20">
        <f t="shared" ca="1" si="63"/>
        <v>0</v>
      </c>
      <c r="CD27" s="20">
        <f t="shared" ca="1" si="64"/>
        <v>0</v>
      </c>
      <c r="CE27" s="20">
        <f t="shared" ca="1" si="64"/>
        <v>0</v>
      </c>
      <c r="CF27" s="20">
        <f t="shared" ca="1" si="64"/>
        <v>0</v>
      </c>
      <c r="CG27" s="20">
        <f t="shared" ca="1" si="64"/>
        <v>0</v>
      </c>
      <c r="CH27" s="20">
        <f t="shared" ca="1" si="64"/>
        <v>0</v>
      </c>
      <c r="CI27" s="20">
        <f t="shared" ca="1" si="64"/>
        <v>0</v>
      </c>
      <c r="CJ27" s="20">
        <f t="shared" ca="1" si="64"/>
        <v>0</v>
      </c>
      <c r="CK27" s="20">
        <f t="shared" ca="1" si="64"/>
        <v>0</v>
      </c>
      <c r="CL27" s="20">
        <f t="shared" ca="1" si="64"/>
        <v>0</v>
      </c>
      <c r="CM27" s="34"/>
      <c r="CN27" s="20" t="str">
        <f t="shared" ca="1" si="65"/>
        <v/>
      </c>
      <c r="CO27" s="20" t="str">
        <f t="shared" ca="1" si="65"/>
        <v/>
      </c>
      <c r="CP27" s="20" t="str">
        <f t="shared" ca="1" si="65"/>
        <v/>
      </c>
      <c r="CQ27" s="20">
        <f t="shared" ca="1" si="65"/>
        <v>40</v>
      </c>
      <c r="CR27" s="20" t="str">
        <f t="shared" ca="1" si="65"/>
        <v/>
      </c>
      <c r="CS27" s="20" t="str">
        <f t="shared" ca="1" si="65"/>
        <v/>
      </c>
      <c r="CT27" s="20" t="str">
        <f t="shared" ca="1" si="65"/>
        <v/>
      </c>
      <c r="CU27" s="20" t="str">
        <f t="shared" ca="1" si="65"/>
        <v/>
      </c>
      <c r="CV27" s="20" t="str">
        <f t="shared" ca="1" si="65"/>
        <v/>
      </c>
      <c r="CW27" s="20" t="str">
        <f t="shared" ca="1" si="65"/>
        <v/>
      </c>
      <c r="CX27" s="20" t="str">
        <f t="shared" ca="1" si="66"/>
        <v/>
      </c>
      <c r="CY27" s="20" t="str">
        <f t="shared" ca="1" si="66"/>
        <v/>
      </c>
      <c r="CZ27" s="20" t="str">
        <f t="shared" ca="1" si="66"/>
        <v/>
      </c>
      <c r="DA27" s="20" t="str">
        <f t="shared" ca="1" si="66"/>
        <v/>
      </c>
      <c r="DB27" s="20" t="str">
        <f t="shared" ca="1" si="66"/>
        <v/>
      </c>
      <c r="DC27" s="20" t="str">
        <f t="shared" ca="1" si="66"/>
        <v/>
      </c>
      <c r="DD27" s="20" t="str">
        <f t="shared" ca="1" si="66"/>
        <v/>
      </c>
      <c r="DE27" s="20" t="str">
        <f t="shared" ca="1" si="66"/>
        <v/>
      </c>
      <c r="DF27" s="20" t="str">
        <f t="shared" ca="1" si="66"/>
        <v/>
      </c>
      <c r="DG27" s="34"/>
      <c r="DH27" s="20" t="str">
        <f t="shared" ca="1" si="67"/>
        <v/>
      </c>
      <c r="DI27" s="20" t="str">
        <f t="shared" ca="1" si="67"/>
        <v/>
      </c>
      <c r="DJ27" s="20" t="str">
        <f t="shared" ca="1" si="67"/>
        <v/>
      </c>
      <c r="DK27" s="20" t="str">
        <f t="shared" ca="1" si="67"/>
        <v/>
      </c>
      <c r="DL27" s="20" t="str">
        <f t="shared" ca="1" si="67"/>
        <v/>
      </c>
      <c r="DM27" s="20" t="str">
        <f t="shared" ca="1" si="67"/>
        <v/>
      </c>
      <c r="DN27" s="20" t="str">
        <f t="shared" ca="1" si="67"/>
        <v/>
      </c>
      <c r="DO27" s="20" t="str">
        <f t="shared" ca="1" si="67"/>
        <v/>
      </c>
      <c r="DP27" s="20" t="str">
        <f t="shared" ca="1" si="67"/>
        <v/>
      </c>
      <c r="DQ27" s="20" t="str">
        <f t="shared" ca="1" si="67"/>
        <v/>
      </c>
      <c r="DR27" s="20" t="str">
        <f t="shared" ca="1" si="68"/>
        <v/>
      </c>
      <c r="DS27" s="20" t="str">
        <f t="shared" ca="1" si="68"/>
        <v/>
      </c>
      <c r="DT27" s="20" t="str">
        <f t="shared" ca="1" si="68"/>
        <v/>
      </c>
      <c r="DU27" s="20" t="str">
        <f t="shared" ca="1" si="68"/>
        <v/>
      </c>
      <c r="DV27" s="20" t="str">
        <f t="shared" ca="1" si="68"/>
        <v/>
      </c>
      <c r="DW27" s="20" t="str">
        <f t="shared" ca="1" si="68"/>
        <v/>
      </c>
      <c r="DX27" s="20" t="str">
        <f t="shared" ca="1" si="68"/>
        <v/>
      </c>
      <c r="DY27" s="20" t="str">
        <f t="shared" ca="1" si="68"/>
        <v/>
      </c>
      <c r="DZ27" s="20" t="str">
        <f t="shared" ca="1" si="68"/>
        <v/>
      </c>
      <c r="EA27" s="34"/>
      <c r="EB27" s="20" t="str">
        <f t="shared" ca="1" si="69"/>
        <v/>
      </c>
      <c r="EC27" s="20" t="str">
        <f t="shared" ca="1" si="69"/>
        <v/>
      </c>
      <c r="ED27" s="20" t="str">
        <f t="shared" ca="1" si="69"/>
        <v/>
      </c>
      <c r="EE27" s="20" t="str">
        <f t="shared" ca="1" si="69"/>
        <v/>
      </c>
      <c r="EF27" s="20" t="str">
        <f t="shared" ca="1" si="69"/>
        <v/>
      </c>
      <c r="EG27" s="20" t="str">
        <f t="shared" ca="1" si="69"/>
        <v/>
      </c>
      <c r="EH27" s="20" t="str">
        <f t="shared" ca="1" si="69"/>
        <v/>
      </c>
      <c r="EI27" s="20" t="str">
        <f t="shared" ca="1" si="69"/>
        <v/>
      </c>
      <c r="EJ27" s="20" t="str">
        <f t="shared" ca="1" si="69"/>
        <v/>
      </c>
      <c r="EK27" s="20" t="str">
        <f t="shared" ca="1" si="69"/>
        <v/>
      </c>
      <c r="EL27" s="20" t="str">
        <f t="shared" ca="1" si="70"/>
        <v/>
      </c>
      <c r="EM27" s="20" t="str">
        <f t="shared" ca="1" si="70"/>
        <v/>
      </c>
      <c r="EN27" s="20" t="str">
        <f t="shared" ca="1" si="70"/>
        <v/>
      </c>
      <c r="EO27" s="20" t="str">
        <f t="shared" ca="1" si="70"/>
        <v/>
      </c>
      <c r="EP27" s="20" t="str">
        <f t="shared" ca="1" si="70"/>
        <v/>
      </c>
      <c r="EQ27" s="20" t="str">
        <f t="shared" ca="1" si="70"/>
        <v/>
      </c>
      <c r="ER27" s="20" t="str">
        <f t="shared" ca="1" si="70"/>
        <v/>
      </c>
      <c r="ES27" s="20" t="str">
        <f t="shared" ca="1" si="70"/>
        <v/>
      </c>
      <c r="ET27" s="20" t="str">
        <f t="shared" ca="1" si="70"/>
        <v/>
      </c>
      <c r="EU27" s="34"/>
      <c r="EV27" s="20" t="str">
        <f t="shared" ca="1" si="71"/>
        <v/>
      </c>
      <c r="EW27" s="20" t="str">
        <f t="shared" ca="1" si="71"/>
        <v/>
      </c>
      <c r="EX27" s="20" t="str">
        <f t="shared" ca="1" si="71"/>
        <v/>
      </c>
      <c r="EY27" s="20" t="str">
        <f t="shared" ca="1" si="71"/>
        <v/>
      </c>
      <c r="EZ27" s="20" t="str">
        <f t="shared" ca="1" si="71"/>
        <v/>
      </c>
      <c r="FA27" s="20" t="str">
        <f t="shared" ca="1" si="71"/>
        <v/>
      </c>
      <c r="FB27" s="20" t="str">
        <f t="shared" ca="1" si="71"/>
        <v/>
      </c>
      <c r="FC27" s="20" t="str">
        <f t="shared" ca="1" si="71"/>
        <v/>
      </c>
      <c r="FD27" s="20" t="str">
        <f t="shared" ca="1" si="71"/>
        <v/>
      </c>
      <c r="FE27" s="20" t="str">
        <f t="shared" ca="1" si="71"/>
        <v/>
      </c>
      <c r="FF27" s="20" t="str">
        <f t="shared" ca="1" si="72"/>
        <v/>
      </c>
      <c r="FG27" s="20" t="str">
        <f t="shared" ca="1" si="72"/>
        <v/>
      </c>
      <c r="FH27" s="20" t="str">
        <f t="shared" ca="1" si="72"/>
        <v/>
      </c>
      <c r="FI27" s="20" t="str">
        <f t="shared" ca="1" si="72"/>
        <v/>
      </c>
      <c r="FJ27" s="20" t="str">
        <f t="shared" ca="1" si="72"/>
        <v/>
      </c>
      <c r="FK27" s="20" t="str">
        <f t="shared" ca="1" si="72"/>
        <v/>
      </c>
      <c r="FL27" s="20" t="str">
        <f t="shared" ca="1" si="72"/>
        <v/>
      </c>
      <c r="FM27" s="20" t="str">
        <f t="shared" ca="1" si="72"/>
        <v/>
      </c>
      <c r="FN27" s="20" t="str">
        <f t="shared" ca="1" si="72"/>
        <v/>
      </c>
      <c r="FO27" s="34"/>
      <c r="FP27" s="20" t="str">
        <f t="shared" ca="1" si="73"/>
        <v/>
      </c>
      <c r="FQ27" s="20" t="str">
        <f t="shared" ca="1" si="73"/>
        <v/>
      </c>
      <c r="FR27" s="20" t="str">
        <f t="shared" ca="1" si="73"/>
        <v/>
      </c>
      <c r="FS27" s="20" t="str">
        <f t="shared" ca="1" si="73"/>
        <v>w</v>
      </c>
      <c r="FT27" s="20" t="str">
        <f t="shared" ca="1" si="73"/>
        <v/>
      </c>
      <c r="FU27" s="20" t="str">
        <f t="shared" ca="1" si="73"/>
        <v/>
      </c>
      <c r="FV27" s="20" t="str">
        <f t="shared" ca="1" si="73"/>
        <v/>
      </c>
      <c r="FW27" s="20" t="str">
        <f t="shared" ca="1" si="73"/>
        <v/>
      </c>
      <c r="FX27" s="20" t="str">
        <f t="shared" ca="1" si="73"/>
        <v/>
      </c>
      <c r="FY27" s="20" t="str">
        <f t="shared" ca="1" si="73"/>
        <v/>
      </c>
      <c r="FZ27" s="20" t="str">
        <f t="shared" ca="1" si="74"/>
        <v/>
      </c>
      <c r="GA27" s="20" t="str">
        <f t="shared" ca="1" si="74"/>
        <v/>
      </c>
      <c r="GB27" s="20" t="str">
        <f t="shared" ca="1" si="74"/>
        <v/>
      </c>
      <c r="GC27" s="20" t="str">
        <f t="shared" ca="1" si="74"/>
        <v/>
      </c>
      <c r="GD27" s="20" t="str">
        <f t="shared" ca="1" si="74"/>
        <v/>
      </c>
      <c r="GE27" s="20" t="str">
        <f t="shared" ca="1" si="74"/>
        <v/>
      </c>
      <c r="GF27" s="20" t="str">
        <f t="shared" ca="1" si="74"/>
        <v/>
      </c>
      <c r="GG27" s="20" t="str">
        <f t="shared" ca="1" si="74"/>
        <v/>
      </c>
      <c r="GH27" s="20" t="str">
        <f t="shared" ca="1" si="74"/>
        <v/>
      </c>
      <c r="GI27" s="34"/>
      <c r="HE27" s="34"/>
      <c r="HZ27" s="34"/>
      <c r="IA27" s="19" t="str">
        <f t="shared" ca="1" si="75"/>
        <v>No Hdcp</v>
      </c>
      <c r="IB27" s="19" t="str">
        <f ca="1">IF(D27&lt;&gt;"","1@"&amp;$H27,"")</f>
        <v>1@40</v>
      </c>
      <c r="IC27" s="19" t="str">
        <f ca="1">IF(D27&lt;&gt;"","2@"&amp;$I27&amp;","&amp;$H27,"")</f>
        <v>2@,40</v>
      </c>
      <c r="ID27" s="19" t="str">
        <f ca="1">IF(D27&lt;&gt;"","3@"&amp;$J27&amp;","&amp;$I27&amp;","&amp;$H27,"")</f>
        <v>3@,,40</v>
      </c>
      <c r="IE27" s="19" t="str">
        <f ca="1">IF(D27&lt;&gt;"","4@"&amp;$K27&amp;","&amp;$J27&amp;","&amp;$I27&amp;","&amp;$H27,"")</f>
        <v>4@,,,40</v>
      </c>
      <c r="IF27" s="19"/>
      <c r="IG27" s="19"/>
      <c r="IH27" s="19"/>
      <c r="II27" s="19"/>
      <c r="IJ27" s="19"/>
      <c r="IK27" s="263">
        <f ca="1">IF(D27&lt;&gt;"",MIN(ROUND((AVERAGE($H27:$Q27)-$C$4)*0.9,2),20),"")</f>
        <v>3.6</v>
      </c>
      <c r="IL27" s="34"/>
    </row>
    <row r="28" spans="1:271" ht="21" customHeight="1" x14ac:dyDescent="0.2">
      <c r="A28" s="38" t="s">
        <v>23</v>
      </c>
      <c r="B28" s="39" t="s">
        <v>75</v>
      </c>
      <c r="C28" s="40">
        <f ca="1">IFERROR(VLOOKUP(D28, leagueroster, 2, FALSE), 0)</f>
        <v>0.20399999999999999</v>
      </c>
      <c r="D28" s="38" t="str">
        <f ca="1">INDEX(INDIRECT($A28), 3, 1)</f>
        <v>Stymies</v>
      </c>
      <c r="E28" s="39"/>
      <c r="F28" s="39"/>
      <c r="G28" s="41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41"/>
      <c r="V28" s="39"/>
      <c r="W28" s="39"/>
      <c r="X28" s="39"/>
      <c r="Y28" s="39"/>
      <c r="Z28" s="39"/>
      <c r="AA28" s="39"/>
      <c r="AB28" s="39"/>
      <c r="AE28" s="34"/>
      <c r="AF28" s="341"/>
      <c r="AG28" s="341"/>
      <c r="AH28" s="341"/>
      <c r="AI28" s="341"/>
      <c r="AJ28" s="341"/>
      <c r="AK28" s="341"/>
      <c r="AL28" s="341"/>
      <c r="AM28" s="341"/>
      <c r="AN28" s="341"/>
      <c r="AO28" s="341"/>
      <c r="BI28" s="34"/>
      <c r="BJ28" s="340"/>
      <c r="BK28" s="340"/>
      <c r="BL28" s="340"/>
      <c r="BM28" s="340"/>
      <c r="BN28" s="340"/>
      <c r="BO28" s="340"/>
      <c r="BP28" s="340"/>
      <c r="BQ28" s="340"/>
      <c r="BR28" s="340"/>
      <c r="BS28" s="340"/>
      <c r="CM28" s="34"/>
      <c r="DG28" s="34"/>
      <c r="EA28" s="34"/>
      <c r="EU28" s="34"/>
      <c r="FO28" s="34"/>
      <c r="GI28" s="34"/>
      <c r="GJ28" s="20">
        <f t="shared" ref="GJ28:HB28" ca="1" si="76">IF(INDEX(INDIRECT($A28), 4, GJ$6+2)=0, "", INDEX(INDIRECT($A28), 4, GJ$6+2))</f>
        <v>171</v>
      </c>
      <c r="GK28" s="20">
        <f t="shared" ca="1" si="76"/>
        <v>177</v>
      </c>
      <c r="GL28" s="20">
        <f t="shared" ca="1" si="76"/>
        <v>171</v>
      </c>
      <c r="GM28" s="20">
        <f t="shared" ca="1" si="76"/>
        <v>168</v>
      </c>
      <c r="GN28" s="20">
        <f t="shared" ca="1" si="76"/>
        <v>157</v>
      </c>
      <c r="GO28" s="20">
        <f t="shared" ca="1" si="76"/>
        <v>163</v>
      </c>
      <c r="GP28" s="20">
        <f t="shared" ca="1" si="76"/>
        <v>157</v>
      </c>
      <c r="GQ28" s="20" t="str">
        <f t="shared" ca="1" si="76"/>
        <v/>
      </c>
      <c r="GR28" s="20">
        <f t="shared" ca="1" si="76"/>
        <v>146</v>
      </c>
      <c r="GS28" s="20">
        <f t="shared" ca="1" si="76"/>
        <v>151</v>
      </c>
      <c r="GT28" s="20">
        <f t="shared" ca="1" si="76"/>
        <v>151</v>
      </c>
      <c r="GU28" s="20" t="str">
        <f t="shared" ca="1" si="76"/>
        <v/>
      </c>
      <c r="GV28" s="20">
        <f t="shared" ca="1" si="76"/>
        <v>140</v>
      </c>
      <c r="GW28" s="20">
        <f t="shared" ca="1" si="76"/>
        <v>154</v>
      </c>
      <c r="GX28" s="20" t="str">
        <f t="shared" ca="1" si="76"/>
        <v/>
      </c>
      <c r="GY28" s="20">
        <f t="shared" ca="1" si="76"/>
        <v>160</v>
      </c>
      <c r="GZ28" s="20">
        <f t="shared" ca="1" si="76"/>
        <v>148</v>
      </c>
      <c r="HA28" s="20">
        <f t="shared" ca="1" si="76"/>
        <v>153</v>
      </c>
      <c r="HB28" s="20" t="str">
        <f t="shared" ca="1" si="76"/>
        <v/>
      </c>
      <c r="HC28" s="20" cm="1">
        <f t="array" aca="1" ref="HC28" ca="1">MIN(_xlfn._xlws.FILTER(GJ28:HB28,GJ28:HB28&gt;129))</f>
        <v>140</v>
      </c>
      <c r="HD28" s="42">
        <f ca="1">IF(D28&lt;&gt;"", IFERROR(AVERAGE(GJ28:HA28), "-"), "")</f>
        <v>157.80000000000001</v>
      </c>
      <c r="HE28" s="34"/>
      <c r="HF28" s="20">
        <f t="shared" ref="HF28:HW28" ca="1" si="77">IF(INDEX(INDIRECT($A28), 3, HF$6+2)=0, "", INDEX(INDIRECT($A28), 3, HF$6+2))</f>
        <v>36</v>
      </c>
      <c r="HG28" s="20">
        <f t="shared" ca="1" si="77"/>
        <v>34</v>
      </c>
      <c r="HH28" s="20">
        <f t="shared" ca="1" si="77"/>
        <v>56</v>
      </c>
      <c r="HI28" s="20">
        <f t="shared" ca="1" si="77"/>
        <v>35</v>
      </c>
      <c r="HJ28" s="20">
        <f t="shared" ca="1" si="77"/>
        <v>53</v>
      </c>
      <c r="HK28" s="20">
        <f t="shared" ca="1" si="77"/>
        <v>39</v>
      </c>
      <c r="HL28" s="20">
        <f t="shared" ca="1" si="77"/>
        <v>39</v>
      </c>
      <c r="HM28" s="20" t="str">
        <f t="shared" ca="1" si="77"/>
        <v/>
      </c>
      <c r="HN28" s="20">
        <f t="shared" ca="1" si="77"/>
        <v>50</v>
      </c>
      <c r="HO28" s="20">
        <f t="shared" ca="1" si="77"/>
        <v>48</v>
      </c>
      <c r="HP28" s="20">
        <f t="shared" ca="1" si="77"/>
        <v>48</v>
      </c>
      <c r="HQ28" s="20" t="str">
        <f t="shared" ca="1" si="77"/>
        <v/>
      </c>
      <c r="HR28" s="20">
        <f t="shared" ca="1" si="77"/>
        <v>54</v>
      </c>
      <c r="HS28" s="20">
        <f t="shared" ca="1" si="77"/>
        <v>38</v>
      </c>
      <c r="HT28" s="20">
        <f t="shared" ca="1" si="77"/>
        <v>51</v>
      </c>
      <c r="HU28" s="20">
        <f t="shared" ca="1" si="77"/>
        <v>47</v>
      </c>
      <c r="HV28" s="20">
        <f t="shared" ca="1" si="77"/>
        <v>39</v>
      </c>
      <c r="HW28" s="20">
        <f t="shared" ca="1" si="77"/>
        <v>43</v>
      </c>
      <c r="HX28" s="20"/>
      <c r="HY28" s="20">
        <f ca="1">MAX(HF28:HX28)</f>
        <v>56</v>
      </c>
      <c r="HZ28" s="34"/>
      <c r="IA28" s="118"/>
      <c r="IB28" s="118"/>
      <c r="IC28" s="118"/>
      <c r="ID28" s="118"/>
      <c r="IE28" s="118"/>
      <c r="IF28" s="118"/>
      <c r="IG28" s="118"/>
      <c r="IH28" s="118"/>
      <c r="II28" s="118"/>
      <c r="IJ28" s="118"/>
      <c r="IK28" s="118"/>
      <c r="IL28" s="34"/>
    </row>
    <row r="29" spans="1:271" x14ac:dyDescent="0.2">
      <c r="A29" s="18" t="s">
        <v>23</v>
      </c>
      <c r="B29" s="19">
        <v>5</v>
      </c>
      <c r="C29" s="22">
        <f t="shared" ref="C29:C34" ca="1" si="78">IFERROR(VLOOKUP($D29, leagueroster, 2, FALSE), 0)</f>
        <v>4.8999999999999998E-3</v>
      </c>
      <c r="D29" s="18" t="str">
        <f t="shared" ref="D29:D34" ca="1" si="79">INDEX(INDIRECT($A29), $B29, 1)</f>
        <v>Hegnauer, Clark - green tees</v>
      </c>
      <c r="E29" s="19">
        <f t="shared" ref="E29:E34" ca="1" si="80">IF($D29&lt;&gt;"", COUNTIF($AP29:$BH29,"&lt;&gt;0"), "")</f>
        <v>11</v>
      </c>
      <c r="F29" s="19">
        <f ca="1">IF(D29&lt;&gt;"",COUNT($H29:$Q29),"")</f>
        <v>10</v>
      </c>
      <c r="G29" s="21">
        <f ca="1">IF($D29&lt;&gt;"",INDEX($IA29:$IK29,1,MATCH($F29,$IA$6:$IK$6,0)), "")</f>
        <v>7.87</v>
      </c>
      <c r="H29" s="337" cm="1">
        <f t="array" aca="1" ref="H29" ca="1">IFERROR(_xlfn.SINGLE(INDEX($AF29:$BH29, , SUMPRODUCT(LARGE((($AF29:$BH29&lt;&gt;0)*($BJ29:$CL29&lt;&gt;1)*($AF$5:$BH$5)), H$6)))), "")</f>
        <v>47</v>
      </c>
      <c r="I29" s="338" cm="1">
        <f t="array" aca="1" ref="I29" ca="1">IFERROR(_xlfn.SINGLE(INDEX($AF29:$BH29, , SUMPRODUCT(LARGE((($AF29:$BH29&lt;&gt;0)*($BJ29:$CL29&lt;&gt;1)*($AF$5:$BH$5)), I$6)))), "")</f>
        <v>44</v>
      </c>
      <c r="J29" s="338" cm="1">
        <f t="array" aca="1" ref="J29" ca="1">IFERROR(_xlfn.SINGLE(INDEX($AF29:$BH29, , SUMPRODUCT(LARGE((($AF29:$BH29&lt;&gt;0)*($BJ29:$CL29&lt;&gt;1)*($AF$5:$BH$5)), J$6)))), "")</f>
        <v>50</v>
      </c>
      <c r="K29" s="338" cm="1">
        <f t="array" aca="1" ref="K29" ca="1">IFERROR(_xlfn.SINGLE(INDEX($AF29:$BH29, , SUMPRODUCT(LARGE((($AF29:$BH29&lt;&gt;0)*($BJ29:$CL29&lt;&gt;1)*($AF$5:$BH$5)), K$6)))), "")</f>
        <v>44</v>
      </c>
      <c r="L29" s="338" cm="1">
        <f t="array" aca="1" ref="L29" ca="1">IFERROR(_xlfn.SINGLE(INDEX($AF29:$BH29, , SUMPRODUCT(LARGE((($AF29:$BH29&lt;&gt;0)*($BJ29:$CL29&lt;&gt;1)*($AF$5:$BH$5)), L$6)))), "")</f>
        <v>43</v>
      </c>
      <c r="M29" s="338" cm="1">
        <f t="array" aca="1" ref="M29" ca="1">IFERROR(_xlfn.SINGLE(INDEX($AF29:$BH29, , SUMPRODUCT(LARGE((($AF29:$BH29&lt;&gt;0)*($BJ29:$CL29&lt;&gt;1)*($AF$5:$BH$5)), M$6)))), "")</f>
        <v>49</v>
      </c>
      <c r="N29" s="338" cm="1">
        <f t="array" aca="1" ref="N29" ca="1">IFERROR(_xlfn.SINGLE(INDEX($AF29:$BH29, , SUMPRODUCT(LARGE((($AF29:$BH29&lt;&gt;0)*($BJ29:$CL29&lt;&gt;1)*($AF$5:$BH$5)), N$6)))), "")</f>
        <v>43</v>
      </c>
      <c r="O29" s="338" cm="1">
        <f t="array" aca="1" ref="O29" ca="1">IFERROR(_xlfn.SINGLE(INDEX($AF29:$BH29, , SUMPRODUCT(LARGE((($AF29:$BH29&lt;&gt;0)*($BJ29:$CL29&lt;&gt;1)*($AF$5:$BH$5)), O$6)))), "")</f>
        <v>55</v>
      </c>
      <c r="P29" s="338" cm="1">
        <f t="array" aca="1" ref="P29" ca="1">IFERROR(_xlfn.SINGLE(INDEX($AF29:$BH29, , SUMPRODUCT(LARGE((($AF29:$BH29&lt;&gt;0)*($BJ29:$CL29&lt;&gt;1)*($AF$5:$BH$5)), P$6)))), "")</f>
        <v>54</v>
      </c>
      <c r="Q29" s="339" cm="1">
        <f t="array" aca="1" ref="Q29" ca="1">IFERROR(_xlfn.SINGLE(INDEX($AF29:$BH29, , SUMPRODUCT(LARGE((($AF29:$BH29&lt;&gt;0)*($BJ29:$CL29&lt;&gt;1)*($AF$5:$BH$5)), Q$6)))), "")</f>
        <v>51</v>
      </c>
      <c r="R29" s="21">
        <v>47</v>
      </c>
      <c r="S29" s="47">
        <f t="shared" ref="S29:S34" ca="1" si="81">IF(COUNT($H29:$Q29)&lt;5,"-",AVERAGE(SMALL($H29:$Q29,1),SMALL($H29:$Q29,2),SMALL($H29:$Q29,3),SMALL($H29:$Q29,4),SMALL($H29:$Q29,5)))</f>
        <v>44.2</v>
      </c>
      <c r="T29" s="21">
        <f ca="1">IF($D29&lt;&gt;"", IFERROR(IF($E29&gt;=qualifier, SUMIF($BT29:$CL29,0,$AP29:$BH29)/$E29, TEXT(SUMIF($BT29:$CL29,0,$AP29:$BH29)/$E29, "0.00")&amp;"*"), "-"), "")</f>
        <v>48.090909090909093</v>
      </c>
      <c r="U29" s="21">
        <f ca="1">IF($D29&lt;&gt;"", IFERROR(IF($E29&gt;=qualifier, SUMIF($BT29:$CL29,0,$CN29:$DF29)/$E29, TEXT(SUMIF($BT29:$CL29,0,$CN29:$DF29)/$E29, "0.00")&amp;"*"), "-"), "")</f>
        <v>40.272727272727273</v>
      </c>
      <c r="V29" s="45">
        <f ca="1">IF(AND($D29&lt;&gt;"", $E29&lt;&gt;0), _xlfn.MINIFS($AP29:$BH29,$BT29:$CL29,0,$AP29:$BH29,"&lt;&gt;0"), "")</f>
        <v>43</v>
      </c>
      <c r="W29" s="62">
        <f ca="1">IF(AND($D29&lt;&gt;"", $E29&lt;&gt;0), _xlfn.MINIFS($CN29:$DF29,$BT29:$CL29,0), "")</f>
        <v>34</v>
      </c>
      <c r="X29" s="45">
        <f ca="1">IF($D29&lt;&gt;"", SUM($DH29:$DZ29),  "")</f>
        <v>112</v>
      </c>
      <c r="Y29" s="21">
        <f ca="1">IF($D29&lt;&gt;"", IFERROR(IF($E29&gt;=qualifier, AVERAGE($DH29:$DZ29), TEXT(AVERAGE($DH29:$DZ29), "0.00")&amp;"*"), "-"), "")</f>
        <v>10.181818181818182</v>
      </c>
      <c r="Z29" s="19">
        <f ca="1">IF($D29&lt;&gt;"", SUM($EB29:$ET29),  "")</f>
        <v>0</v>
      </c>
      <c r="AA29" s="19">
        <f ca="1">IF($D29&lt;&gt;"", SUM($EV29:$FN29),  "")</f>
        <v>0</v>
      </c>
      <c r="AB29" s="45" t="str">
        <f t="shared" ref="AB29:AB34" ca="1" si="82">IF($D29&lt;&gt;"", COUNTIF($FP29:$GH29, "w")&amp;"-"&amp;COUNTIF($FP29:$GH29, "l")&amp;"-"&amp;COUNTIF($FP29:$GH29, "t"),  "")</f>
        <v>5-6-0</v>
      </c>
      <c r="AC29" s="218">
        <f t="shared" ref="AC29:AC34" ca="1" si="83">IF($D29&lt;&gt;"", INDEX(INDIRECT($A29), $B29+1, 1), "")</f>
        <v>3308331442</v>
      </c>
      <c r="AD29" s="57" t="str">
        <f t="shared" ref="AD29:AD34" ca="1" si="84">IF($D29&lt;&gt;"", INDEX(INDIRECT($A29), $B29+2, 1), "")</f>
        <v>hegnauer@sssnet.com</v>
      </c>
      <c r="AE29" s="34"/>
      <c r="AF29" s="341">
        <f ca="1">INDEX(PriorScores[],MATCH($D29,PriorScores[Team / Player],0),2)</f>
        <v>53</v>
      </c>
      <c r="AG29" s="341">
        <f ca="1">INDEX(PriorScores[],MATCH($D29,PriorScores[Team / Player],0),3)</f>
        <v>46</v>
      </c>
      <c r="AH29" s="341">
        <f ca="1">INDEX(PriorScores[],MATCH($D29,PriorScores[Team / Player],0),4)</f>
        <v>45</v>
      </c>
      <c r="AI29" s="341">
        <f ca="1">INDEX(PriorScores[],MATCH($D29,PriorScores[Team / Player],0),5)</f>
        <v>45</v>
      </c>
      <c r="AJ29" s="341">
        <f ca="1">INDEX(PriorScores[],MATCH($D29,PriorScores[Team / Player],0),6)</f>
        <v>42</v>
      </c>
      <c r="AK29" s="341">
        <f ca="1">INDEX(PriorScores[],MATCH($D29,PriorScores[Team / Player],0),7)</f>
        <v>42</v>
      </c>
      <c r="AL29" s="341">
        <f ca="1">INDEX(PriorScores[],MATCH($D29,PriorScores[Team / Player],0),8)</f>
        <v>43</v>
      </c>
      <c r="AM29" s="341">
        <f ca="1">INDEX(PriorScores[],MATCH($D29,PriorScores[Team / Player],0),9)</f>
        <v>44</v>
      </c>
      <c r="AN29" s="341">
        <f ca="1">INDEX(PriorScores[],MATCH($D29,PriorScores[Team / Player],0),10)</f>
        <v>46</v>
      </c>
      <c r="AO29" s="341">
        <f ca="1">INDEX(PriorScores[],MATCH($D29,PriorScores[Team / Player],0),11)</f>
        <v>50</v>
      </c>
      <c r="AP29" s="20">
        <f t="shared" ref="AP29:AY34" ca="1" si="85">IF(OR(INDEX(INDIRECT($A29), $B29, AP$6+2)="",INDEX(INDIRECT($A29),$B29+5,AP$6+2)=1), 0, INDEX(INDIRECT($A29), $B29, AP$6+2))</f>
        <v>49</v>
      </c>
      <c r="AQ29" s="20">
        <f t="shared" ca="1" si="85"/>
        <v>51</v>
      </c>
      <c r="AR29" s="20">
        <f t="shared" ca="1" si="85"/>
        <v>54</v>
      </c>
      <c r="AS29" s="20">
        <f t="shared" ca="1" si="85"/>
        <v>55</v>
      </c>
      <c r="AT29" s="20">
        <f t="shared" ca="1" si="85"/>
        <v>43</v>
      </c>
      <c r="AU29" s="20">
        <f t="shared" ca="1" si="85"/>
        <v>49</v>
      </c>
      <c r="AV29" s="20">
        <f t="shared" ca="1" si="85"/>
        <v>0</v>
      </c>
      <c r="AW29" s="20">
        <f t="shared" ca="1" si="85"/>
        <v>0</v>
      </c>
      <c r="AX29" s="20">
        <f t="shared" ca="1" si="85"/>
        <v>43</v>
      </c>
      <c r="AY29" s="20">
        <f t="shared" ca="1" si="85"/>
        <v>44</v>
      </c>
      <c r="AZ29" s="20">
        <f t="shared" ref="AZ29:BH34" ca="1" si="86">IF(OR(INDEX(INDIRECT($A29), $B29, AZ$6+2)="",INDEX(INDIRECT($A29),$B29+5,AZ$6+2)=1), 0, INDEX(INDIRECT($A29), $B29, AZ$6+2))</f>
        <v>50</v>
      </c>
      <c r="BA29" s="20">
        <f t="shared" ca="1" si="86"/>
        <v>0</v>
      </c>
      <c r="BB29" s="20">
        <f t="shared" ca="1" si="86"/>
        <v>44</v>
      </c>
      <c r="BC29" s="20">
        <f t="shared" ca="1" si="86"/>
        <v>47</v>
      </c>
      <c r="BD29" s="20">
        <f t="shared" ca="1" si="86"/>
        <v>0</v>
      </c>
      <c r="BE29" s="20">
        <f t="shared" ca="1" si="86"/>
        <v>0</v>
      </c>
      <c r="BF29" s="20">
        <f t="shared" ca="1" si="86"/>
        <v>0</v>
      </c>
      <c r="BG29" s="20">
        <f t="shared" ca="1" si="86"/>
        <v>0</v>
      </c>
      <c r="BH29" s="20">
        <f t="shared" ca="1" si="86"/>
        <v>0</v>
      </c>
      <c r="BI29" s="34"/>
      <c r="BJ29" s="341">
        <v>0</v>
      </c>
      <c r="BK29" s="341">
        <v>0</v>
      </c>
      <c r="BL29" s="341">
        <v>0</v>
      </c>
      <c r="BM29" s="341">
        <v>0</v>
      </c>
      <c r="BN29" s="341">
        <v>0</v>
      </c>
      <c r="BO29" s="341">
        <v>0</v>
      </c>
      <c r="BP29" s="341">
        <v>0</v>
      </c>
      <c r="BQ29" s="341">
        <v>0</v>
      </c>
      <c r="BR29" s="341">
        <v>0</v>
      </c>
      <c r="BS29" s="341">
        <v>0</v>
      </c>
      <c r="BT29" s="20">
        <f t="shared" ref="BT29:CC34" ca="1" si="87">IF(INDEX(INDIRECT($A29), $B29+5, BT$6+2)="", 0, INDEX(INDIRECT($A29), $B29+5, BT$6+2))</f>
        <v>0</v>
      </c>
      <c r="BU29" s="20">
        <f t="shared" ca="1" si="87"/>
        <v>0</v>
      </c>
      <c r="BV29" s="20">
        <f t="shared" ca="1" si="87"/>
        <v>0</v>
      </c>
      <c r="BW29" s="20">
        <f t="shared" ca="1" si="87"/>
        <v>0</v>
      </c>
      <c r="BX29" s="20">
        <f t="shared" ca="1" si="87"/>
        <v>0</v>
      </c>
      <c r="BY29" s="20">
        <f t="shared" ca="1" si="87"/>
        <v>0</v>
      </c>
      <c r="BZ29" s="20">
        <f t="shared" ca="1" si="87"/>
        <v>0</v>
      </c>
      <c r="CA29" s="20">
        <f t="shared" ca="1" si="87"/>
        <v>0</v>
      </c>
      <c r="CB29" s="20">
        <f t="shared" ca="1" si="87"/>
        <v>0</v>
      </c>
      <c r="CC29" s="20">
        <f t="shared" ca="1" si="87"/>
        <v>0</v>
      </c>
      <c r="CD29" s="20">
        <f t="shared" ref="CD29:CL34" ca="1" si="88">IF(INDEX(INDIRECT($A29), $B29+5, CD$6+2)="", 0, INDEX(INDIRECT($A29), $B29+5, CD$6+2))</f>
        <v>0</v>
      </c>
      <c r="CE29" s="20">
        <f t="shared" ca="1" si="88"/>
        <v>0</v>
      </c>
      <c r="CF29" s="20">
        <f t="shared" ca="1" si="88"/>
        <v>0</v>
      </c>
      <c r="CG29" s="20">
        <f t="shared" ca="1" si="88"/>
        <v>0</v>
      </c>
      <c r="CH29" s="20">
        <f t="shared" ca="1" si="88"/>
        <v>0</v>
      </c>
      <c r="CI29" s="20">
        <f t="shared" ca="1" si="88"/>
        <v>0</v>
      </c>
      <c r="CJ29" s="20">
        <f t="shared" ca="1" si="88"/>
        <v>0</v>
      </c>
      <c r="CK29" s="20">
        <f t="shared" ca="1" si="88"/>
        <v>0</v>
      </c>
      <c r="CL29" s="20">
        <f t="shared" ca="1" si="88"/>
        <v>0</v>
      </c>
      <c r="CM29" s="34"/>
      <c r="CN29" s="20">
        <f t="shared" ref="CN29:CW34" ca="1" si="89">IF(OR(INDEX(INDIRECT($A29), $B29+1, CN$6+2)=0,INDEX(INDIRECT($A29),$B29+5,CN$6+2)=1), "", INDEX(INDIRECT($A29), $B29+1, CN$6+2))</f>
        <v>42</v>
      </c>
      <c r="CO29" s="20">
        <f t="shared" ca="1" si="89"/>
        <v>44</v>
      </c>
      <c r="CP29" s="20">
        <f t="shared" ca="1" si="89"/>
        <v>47</v>
      </c>
      <c r="CQ29" s="20">
        <f t="shared" ca="1" si="89"/>
        <v>48</v>
      </c>
      <c r="CR29" s="20">
        <f t="shared" ca="1" si="89"/>
        <v>36</v>
      </c>
      <c r="CS29" s="20">
        <f t="shared" ca="1" si="89"/>
        <v>42</v>
      </c>
      <c r="CT29" s="20" t="str">
        <f t="shared" ca="1" si="89"/>
        <v/>
      </c>
      <c r="CU29" s="20" t="str">
        <f t="shared" ca="1" si="89"/>
        <v/>
      </c>
      <c r="CV29" s="20">
        <f t="shared" ca="1" si="89"/>
        <v>34</v>
      </c>
      <c r="CW29" s="20">
        <f t="shared" ca="1" si="89"/>
        <v>35</v>
      </c>
      <c r="CX29" s="20">
        <f t="shared" ref="CX29:DF34" ca="1" si="90">IF(OR(INDEX(INDIRECT($A29), $B29+1, CX$6+2)=0,INDEX(INDIRECT($A29),$B29+5,CX$6+2)=1), "", INDEX(INDIRECT($A29), $B29+1, CX$6+2))</f>
        <v>41</v>
      </c>
      <c r="CY29" s="20" t="str">
        <f t="shared" ca="1" si="90"/>
        <v/>
      </c>
      <c r="CZ29" s="20">
        <f t="shared" ca="1" si="90"/>
        <v>35</v>
      </c>
      <c r="DA29" s="20">
        <f t="shared" ca="1" si="90"/>
        <v>39</v>
      </c>
      <c r="DB29" s="20" t="str">
        <f t="shared" ca="1" si="90"/>
        <v/>
      </c>
      <c r="DC29" s="20" t="str">
        <f t="shared" ca="1" si="90"/>
        <v/>
      </c>
      <c r="DD29" s="20" t="str">
        <f t="shared" ca="1" si="90"/>
        <v/>
      </c>
      <c r="DE29" s="20" t="str">
        <f t="shared" ca="1" si="90"/>
        <v/>
      </c>
      <c r="DF29" s="20" t="str">
        <f t="shared" ca="1" si="90"/>
        <v/>
      </c>
      <c r="DG29" s="34"/>
      <c r="DH29" s="20">
        <f t="shared" ref="DH29:DQ34" ca="1" si="91">IF(INDEX(INDIRECT($A29), $B29+2, DH$6+2)=0, "", INDEX(INDIRECT($A29), $B29+2, DH$6+2))</f>
        <v>11</v>
      </c>
      <c r="DI29" s="20">
        <f t="shared" ca="1" si="91"/>
        <v>9</v>
      </c>
      <c r="DJ29" s="20">
        <f t="shared" ca="1" si="91"/>
        <v>7</v>
      </c>
      <c r="DK29" s="20">
        <f t="shared" ca="1" si="91"/>
        <v>5</v>
      </c>
      <c r="DL29" s="20">
        <f t="shared" ca="1" si="91"/>
        <v>15</v>
      </c>
      <c r="DM29" s="20">
        <f t="shared" ca="1" si="91"/>
        <v>8</v>
      </c>
      <c r="DN29" s="20" t="str">
        <f t="shared" ca="1" si="91"/>
        <v/>
      </c>
      <c r="DO29" s="20" t="str">
        <f t="shared" ca="1" si="91"/>
        <v/>
      </c>
      <c r="DP29" s="20">
        <f t="shared" ca="1" si="91"/>
        <v>13</v>
      </c>
      <c r="DQ29" s="20">
        <f t="shared" ca="1" si="91"/>
        <v>15</v>
      </c>
      <c r="DR29" s="20">
        <f t="shared" ref="DR29:DZ34" ca="1" si="92">IF(INDEX(INDIRECT($A29), $B29+2, DR$6+2)=0, "", INDEX(INDIRECT($A29), $B29+2, DR$6+2))</f>
        <v>5</v>
      </c>
      <c r="DS29" s="20" t="str">
        <f t="shared" ca="1" si="92"/>
        <v/>
      </c>
      <c r="DT29" s="20">
        <f t="shared" ca="1" si="92"/>
        <v>16</v>
      </c>
      <c r="DU29" s="20">
        <f t="shared" ca="1" si="92"/>
        <v>8</v>
      </c>
      <c r="DV29" s="20" t="str">
        <f t="shared" ca="1" si="92"/>
        <v/>
      </c>
      <c r="DW29" s="20" t="str">
        <f t="shared" ca="1" si="92"/>
        <v/>
      </c>
      <c r="DX29" s="20" t="str">
        <f t="shared" ca="1" si="92"/>
        <v/>
      </c>
      <c r="DY29" s="20" t="str">
        <f t="shared" ca="1" si="92"/>
        <v/>
      </c>
      <c r="DZ29" s="20" t="str">
        <f t="shared" ca="1" si="92"/>
        <v/>
      </c>
      <c r="EA29" s="34"/>
      <c r="EB29" s="20" t="str">
        <f t="shared" ref="EB29:EK34" ca="1" si="93">IF(INDEX(INDIRECT($A29), $B29+3, EB$6+2)=0, "", INDEX(INDIRECT($A29), $B29+3, EB$6+2))</f>
        <v/>
      </c>
      <c r="EC29" s="20" t="str">
        <f t="shared" ca="1" si="93"/>
        <v/>
      </c>
      <c r="ED29" s="20" t="str">
        <f t="shared" ca="1" si="93"/>
        <v/>
      </c>
      <c r="EE29" s="20" t="str">
        <f t="shared" ca="1" si="93"/>
        <v/>
      </c>
      <c r="EF29" s="20" t="str">
        <f t="shared" ca="1" si="93"/>
        <v/>
      </c>
      <c r="EG29" s="20" t="str">
        <f t="shared" ca="1" si="93"/>
        <v/>
      </c>
      <c r="EH29" s="20" t="str">
        <f t="shared" ca="1" si="93"/>
        <v/>
      </c>
      <c r="EI29" s="20" t="str">
        <f t="shared" ca="1" si="93"/>
        <v/>
      </c>
      <c r="EJ29" s="20" t="str">
        <f t="shared" ca="1" si="93"/>
        <v/>
      </c>
      <c r="EK29" s="20" t="str">
        <f t="shared" ca="1" si="93"/>
        <v/>
      </c>
      <c r="EL29" s="20" t="str">
        <f t="shared" ref="EL29:ET34" ca="1" si="94">IF(INDEX(INDIRECT($A29), $B29+3, EL$6+2)=0, "", INDEX(INDIRECT($A29), $B29+3, EL$6+2))</f>
        <v/>
      </c>
      <c r="EM29" s="20" t="str">
        <f t="shared" ca="1" si="94"/>
        <v/>
      </c>
      <c r="EN29" s="20" t="str">
        <f t="shared" ca="1" si="94"/>
        <v/>
      </c>
      <c r="EO29" s="20" t="str">
        <f t="shared" ca="1" si="94"/>
        <v/>
      </c>
      <c r="EP29" s="20" t="str">
        <f t="shared" ca="1" si="94"/>
        <v/>
      </c>
      <c r="EQ29" s="20" t="str">
        <f t="shared" ca="1" si="94"/>
        <v/>
      </c>
      <c r="ER29" s="20" t="str">
        <f t="shared" ca="1" si="94"/>
        <v/>
      </c>
      <c r="ES29" s="20" t="str">
        <f t="shared" ca="1" si="94"/>
        <v/>
      </c>
      <c r="ET29" s="20" t="str">
        <f t="shared" ca="1" si="94"/>
        <v/>
      </c>
      <c r="EU29" s="34"/>
      <c r="EV29" s="20" t="str">
        <f t="shared" ref="EV29:FE34" ca="1" si="95">IF(INDEX(INDIRECT($A29), $B29+4, EV$6+2)=0, "", INDEX(INDIRECT($A29), $B29+4, EV$6+2))</f>
        <v/>
      </c>
      <c r="EW29" s="20" t="str">
        <f t="shared" ca="1" si="95"/>
        <v/>
      </c>
      <c r="EX29" s="20" t="str">
        <f t="shared" ca="1" si="95"/>
        <v/>
      </c>
      <c r="EY29" s="20" t="str">
        <f t="shared" ca="1" si="95"/>
        <v/>
      </c>
      <c r="EZ29" s="20" t="str">
        <f t="shared" ca="1" si="95"/>
        <v/>
      </c>
      <c r="FA29" s="20" t="str">
        <f t="shared" ca="1" si="95"/>
        <v/>
      </c>
      <c r="FB29" s="20" t="str">
        <f t="shared" ca="1" si="95"/>
        <v/>
      </c>
      <c r="FC29" s="20" t="str">
        <f t="shared" ca="1" si="95"/>
        <v/>
      </c>
      <c r="FD29" s="20" t="str">
        <f t="shared" ca="1" si="95"/>
        <v/>
      </c>
      <c r="FE29" s="20" t="str">
        <f t="shared" ca="1" si="95"/>
        <v/>
      </c>
      <c r="FF29" s="20" t="str">
        <f t="shared" ref="FF29:FN34" ca="1" si="96">IF(INDEX(INDIRECT($A29), $B29+4, FF$6+2)=0, "", INDEX(INDIRECT($A29), $B29+4, FF$6+2))</f>
        <v/>
      </c>
      <c r="FG29" s="20" t="str">
        <f t="shared" ca="1" si="96"/>
        <v/>
      </c>
      <c r="FH29" s="20" t="str">
        <f t="shared" ca="1" si="96"/>
        <v/>
      </c>
      <c r="FI29" s="20" t="str">
        <f t="shared" ca="1" si="96"/>
        <v/>
      </c>
      <c r="FJ29" s="20" t="str">
        <f t="shared" ca="1" si="96"/>
        <v/>
      </c>
      <c r="FK29" s="20" t="str">
        <f t="shared" ca="1" si="96"/>
        <v/>
      </c>
      <c r="FL29" s="20" t="str">
        <f t="shared" ca="1" si="96"/>
        <v/>
      </c>
      <c r="FM29" s="20" t="str">
        <f t="shared" ca="1" si="96"/>
        <v/>
      </c>
      <c r="FN29" s="20" t="str">
        <f t="shared" ca="1" si="96"/>
        <v/>
      </c>
      <c r="FO29" s="34"/>
      <c r="FP29" s="20" t="str">
        <f t="shared" ref="FP29:FY34" ca="1" si="97">IF(INDEX(INDIRECT($A29), $B29+6, FP$6+2)=0, "", INDEX(INDIRECT($A29), $B29+6, FP$6+2))</f>
        <v>w</v>
      </c>
      <c r="FQ29" s="20" t="str">
        <f t="shared" ca="1" si="97"/>
        <v>l</v>
      </c>
      <c r="FR29" s="20" t="str">
        <f t="shared" ca="1" si="97"/>
        <v>l</v>
      </c>
      <c r="FS29" s="20" t="str">
        <f t="shared" ca="1" si="97"/>
        <v>l</v>
      </c>
      <c r="FT29" s="20" t="str">
        <f t="shared" ca="1" si="97"/>
        <v>w</v>
      </c>
      <c r="FU29" s="20" t="str">
        <f t="shared" ca="1" si="97"/>
        <v>l</v>
      </c>
      <c r="FV29" s="20" t="str">
        <f t="shared" ca="1" si="97"/>
        <v/>
      </c>
      <c r="FW29" s="20" t="str">
        <f t="shared" ca="1" si="97"/>
        <v/>
      </c>
      <c r="FX29" s="20" t="str">
        <f t="shared" ca="1" si="97"/>
        <v>w</v>
      </c>
      <c r="FY29" s="20" t="str">
        <f t="shared" ca="1" si="97"/>
        <v>w</v>
      </c>
      <c r="FZ29" s="20" t="str">
        <f t="shared" ref="FZ29:GH34" ca="1" si="98">IF(INDEX(INDIRECT($A29), $B29+6, FZ$6+2)=0, "", INDEX(INDIRECT($A29), $B29+6, FZ$6+2))</f>
        <v>l</v>
      </c>
      <c r="GA29" s="20" t="str">
        <f t="shared" ca="1" si="98"/>
        <v/>
      </c>
      <c r="GB29" s="20" t="str">
        <f t="shared" ca="1" si="98"/>
        <v>w</v>
      </c>
      <c r="GC29" s="20" t="str">
        <f t="shared" ca="1" si="98"/>
        <v>l</v>
      </c>
      <c r="GD29" s="20" t="str">
        <f t="shared" ca="1" si="98"/>
        <v/>
      </c>
      <c r="GE29" s="20" t="str">
        <f t="shared" ca="1" si="98"/>
        <v/>
      </c>
      <c r="GF29" s="20" t="str">
        <f t="shared" ca="1" si="98"/>
        <v/>
      </c>
      <c r="GG29" s="20" t="str">
        <f t="shared" ca="1" si="98"/>
        <v/>
      </c>
      <c r="GH29" s="20" t="str">
        <f t="shared" ca="1" si="98"/>
        <v/>
      </c>
      <c r="GI29" s="34"/>
      <c r="HE29" s="34"/>
      <c r="HZ29" s="34"/>
      <c r="IA29" s="19" t="str">
        <f t="shared" ref="IA29:IA34" ca="1" si="99">IF(D29&lt;&gt;"","No Hdcp","")</f>
        <v>No Hdcp</v>
      </c>
      <c r="IB29" s="19" t="str">
        <f ca="1">IF($D29&lt;&gt;"","Low of score &amp; "&amp;MIN($H29:$H29),"")</f>
        <v>Low of score &amp; 47</v>
      </c>
      <c r="IC29" s="19" t="str">
        <f ca="1">IF($D29&lt;&gt;"","Low of score &amp; "&amp;MIN($H29:$I29),"")</f>
        <v>Low of score &amp; 44</v>
      </c>
      <c r="ID29" s="18" t="str">
        <f ca="1">IF($D29&lt;&gt;"","Low of score &amp; "&amp;MIN($H29:$J29),"")</f>
        <v>Low of score &amp; 44</v>
      </c>
      <c r="IE29" s="18" t="str">
        <f ca="1">IF($D29&lt;&gt;"","Low of score &amp; "&amp;MIN($H29:$K29),"")</f>
        <v>Low of score &amp; 44</v>
      </c>
      <c r="IF29" s="18">
        <f ca="1">IF($D29&lt;&gt;"",ROUND(MIN((MIN($H29:$L29)-36)*0.96,20),2),"")</f>
        <v>6.72</v>
      </c>
      <c r="IG29" s="353">
        <f ca="1">IF($D29&lt;&gt;"",ROUND(MIN((AVERAGE(SMALL($H29:$M29,1),SMALL($H29:$M29,2))-36)*0.96,20),2),"")</f>
        <v>7.2</v>
      </c>
      <c r="IH29" s="18">
        <f ca="1">IF($D29&lt;&gt;"",ROUND(MIN((AVERAGE(SMALL($H29:$N29,1),SMALL($H29:$N29,2),SMALL($H29:$N29,3))-36)*0.96,20),2),"")</f>
        <v>7.04</v>
      </c>
      <c r="II29" s="18">
        <f ca="1">IF($D29&lt;&gt;"",ROUND(MIN((AVERAGE(SMALL($H29:$O29,1),SMALL($H29:$O29,2),SMALL($H29:$O29,3),SMALL($H29:$O29,4))-36)*0.96,20),2),"")</f>
        <v>7.2</v>
      </c>
      <c r="IJ29" s="18">
        <f ca="1">IF($D29&lt;&gt;"",ROUND(MIN((AVERAGE(SMALL($H29:$P29,1),SMALL($H29:$P29,2),SMALL($H29:$P29,3),SMALL($H29:$P29,4))-36)*0.96,20),2),"")</f>
        <v>7.2</v>
      </c>
      <c r="IK29" s="18">
        <f ca="1">IF($D29&lt;&gt;"",ROUND(MIN((AVERAGE(SMALL($H29:$Q29,1),SMALL($H29:$Q29,2),SMALL($H29:$Q29,3),SMALL($H29:$Q29,4),SMALL($H29:$Q29,5))-36)*0.96,20),2),"")</f>
        <v>7.87</v>
      </c>
      <c r="IL29" s="34"/>
      <c r="IN29" s="18">
        <f ca="1">AO29</f>
        <v>50</v>
      </c>
      <c r="IO29" s="18">
        <f ca="1">AN29</f>
        <v>46</v>
      </c>
      <c r="IP29" s="18">
        <f ca="1">AM29</f>
        <v>44</v>
      </c>
      <c r="IQ29" s="18">
        <f ca="1">AL29</f>
        <v>43</v>
      </c>
      <c r="IR29" s="18">
        <f ca="1">AK29</f>
        <v>42</v>
      </c>
      <c r="IS29" s="18">
        <f ca="1">AJ29</f>
        <v>42</v>
      </c>
      <c r="IT29" s="18">
        <f ca="1">AI29</f>
        <v>45</v>
      </c>
      <c r="IU29" s="18">
        <f ca="1">AH29</f>
        <v>45</v>
      </c>
      <c r="IV29" s="18">
        <f ca="1">AG29</f>
        <v>46</v>
      </c>
      <c r="IW29" s="18">
        <f ca="1">AF29</f>
        <v>53</v>
      </c>
      <c r="IX29" s="19">
        <f ca="1">IF(D29&lt;&gt;"",COUNT(IN29:IW29),"")</f>
        <v>10</v>
      </c>
      <c r="IY29" s="21">
        <f ca="1">IF(D29&lt;&gt;"",INDEX($JA29:$JK29,1,MATCH($IX29,$JA$6:$JK$6,0)), "")</f>
        <v>6.9120000000000026</v>
      </c>
      <c r="JA29" s="18" t="str">
        <f ca="1">IF(D29&lt;&gt;"","No Hdcp","")</f>
        <v>No Hdcp</v>
      </c>
      <c r="JB29" s="18" t="str">
        <f ca="1">IF(D29&lt;&gt;"","Low of score &amp; "&amp;MIN($IN29:$IN29),"")</f>
        <v>Low of score &amp; 50</v>
      </c>
      <c r="JC29" s="18" t="str">
        <f ca="1">IF(D29&lt;&gt;"","Low of score &amp; "&amp;MIN($IN29:$IO29),"")</f>
        <v>Low of score &amp; 46</v>
      </c>
      <c r="JD29" s="18" t="str">
        <f ca="1">IF(D29&lt;&gt;"","Low of score &amp; "&amp;MIN($IN29:$IP29),"")</f>
        <v>Low of score &amp; 44</v>
      </c>
      <c r="JE29" s="18" t="str">
        <f ca="1">IF(D29&lt;&gt;"","Low of score &amp; "&amp;MIN($IN29:$IQ29),"")</f>
        <v>Low of score &amp; 43</v>
      </c>
      <c r="JF29" s="18">
        <f ca="1">IF(D29&lt;&gt;"",MIN((MIN($IN29:$IR29)-36)*0.96,20),"")</f>
        <v>5.76</v>
      </c>
      <c r="JG29" s="18">
        <f ca="1">IF(D29&lt;&gt;"",MIN((AVERAGE(SMALL($IN29:$IS29,1),SMALL($IN29:$IS29,2))-36)*0.96,20),"")</f>
        <v>5.76</v>
      </c>
      <c r="JH29" s="18">
        <f ca="1">IF(D29&lt;&gt;"",MIN((AVERAGE(SMALL($IN29:$IT29,1),SMALL($IN29:$IT29,2),SMALL($IN29:$IT29,3))-36)*0.96,20),"")</f>
        <v>6.0800000000000018</v>
      </c>
      <c r="JI29" s="18">
        <f ca="1">IF(D29&lt;&gt;"",MIN((AVERAGE(SMALL($IN29:$IU29,1),SMALL($IN29:$IU29,2),SMALL($IN29:$IU29,3),SMALL($IN29:$IU29,4))-36)*0.96,20),"")</f>
        <v>6.4799999999999995</v>
      </c>
      <c r="JJ29" s="18">
        <f ca="1">IF(D29&lt;&gt;"",MIN((AVERAGE(SMALL($IN29:$IV29,1),SMALL($IN29:$IV29,2),SMALL($IN29:$IV29,3),SMALL($IN29:$IV29,4))-36)*0.96,20),"")</f>
        <v>6.4799999999999995</v>
      </c>
      <c r="JK29" s="18">
        <f ca="1">IF(D29&lt;&gt;"",MIN((AVERAGE(SMALL($IN29:$IW29,1),SMALL($IN29:$IW29,2),SMALL($IN29:$IW29,3),SMALL($IN29:$IW29,4),SMALL($IN29:$IW29,5))-36)*0.96,20),"")</f>
        <v>6.9120000000000026</v>
      </c>
    </row>
    <row r="30" spans="1:271" x14ac:dyDescent="0.2">
      <c r="A30" s="18" t="s">
        <v>23</v>
      </c>
      <c r="B30" s="19">
        <f>B29+7</f>
        <v>12</v>
      </c>
      <c r="C30" s="22">
        <f t="shared" ca="1" si="78"/>
        <v>4.0000000000000001E-3</v>
      </c>
      <c r="D30" s="18" t="str">
        <f t="shared" ca="1" si="79"/>
        <v>Evans, Ryan</v>
      </c>
      <c r="E30" s="19">
        <f t="shared" ca="1" si="80"/>
        <v>14</v>
      </c>
      <c r="F30" s="19">
        <f ca="1">IF(D30&lt;&gt;"",COUNT($H30:$Q30),"")</f>
        <v>10</v>
      </c>
      <c r="G30" s="21">
        <f ca="1">IF($D30&lt;&gt;"",INDEX($IA30:$IK30,1,MATCH($F30,$IA$6:$IK$6,0)), "")</f>
        <v>6.91</v>
      </c>
      <c r="H30" s="337">
        <f ca="1">IFERROR(INDEX($AF30:$BH30, , SUMPRODUCT(LARGE((($AF30:$BH30&lt;&gt;0)*($BJ30:$CL30&lt;&gt;1)*($AF$5:$BH$5)), H$6))), "")</f>
        <v>51</v>
      </c>
      <c r="I30" s="338" cm="1">
        <f t="array" aca="1" ref="I30" ca="1">IFERROR(_xlfn.SINGLE(INDEX($AF30:$BH30, , SUMPRODUCT(LARGE((($AF30:$BH30&lt;&gt;0)*($BJ30:$CL30&lt;&gt;1)*($AF$5:$BH$5)), I$6)))), "")</f>
        <v>41</v>
      </c>
      <c r="J30" s="338" cm="1">
        <f t="array" aca="1" ref="J30" ca="1">IFERROR(_xlfn.SINGLE(INDEX($AF30:$BH30, , SUMPRODUCT(LARGE((($AF30:$BH30&lt;&gt;0)*($BJ30:$CL30&lt;&gt;1)*($AF$5:$BH$5)), J$6)))), "")</f>
        <v>48</v>
      </c>
      <c r="K30" s="338" cm="1">
        <f t="array" aca="1" ref="K30" ca="1">IFERROR(_xlfn.SINGLE(INDEX($AF30:$BH30, , SUMPRODUCT(LARGE((($AF30:$BH30&lt;&gt;0)*($BJ30:$CL30&lt;&gt;1)*($AF$5:$BH$5)), K$6)))), "")</f>
        <v>45</v>
      </c>
      <c r="L30" s="338" cm="1">
        <f t="array" aca="1" ref="L30" ca="1">IFERROR(_xlfn.SINGLE(INDEX($AF30:$BH30, , SUMPRODUCT(LARGE((($AF30:$BH30&lt;&gt;0)*($BJ30:$CL30&lt;&gt;1)*($AF$5:$BH$5)), L$6)))), "")</f>
        <v>38</v>
      </c>
      <c r="M30" s="338" cm="1">
        <f t="array" aca="1" ref="M30" ca="1">IFERROR(_xlfn.SINGLE(INDEX($AF30:$BH30, , SUMPRODUCT(LARGE((($AF30:$BH30&lt;&gt;0)*($BJ30:$CL30&lt;&gt;1)*($AF$5:$BH$5)), M$6)))), "")</f>
        <v>48</v>
      </c>
      <c r="N30" s="338" cm="1">
        <f t="array" aca="1" ref="N30" ca="1">IFERROR(_xlfn.SINGLE(INDEX($AF30:$BH30, , SUMPRODUCT(LARGE((($AF30:$BH30&lt;&gt;0)*($BJ30:$CL30&lt;&gt;1)*($AF$5:$BH$5)), N$6)))), "")</f>
        <v>50</v>
      </c>
      <c r="O30" s="338" cm="1">
        <f t="array" aca="1" ref="O30" ca="1">IFERROR(_xlfn.SINGLE(INDEX($AF30:$BH30, , SUMPRODUCT(LARGE((($AF30:$BH30&lt;&gt;0)*($BJ30:$CL30&lt;&gt;1)*($AF$5:$BH$5)), O$6)))), "")</f>
        <v>45</v>
      </c>
      <c r="P30" s="338" cm="1">
        <f t="array" aca="1" ref="P30" ca="1">IFERROR(_xlfn.SINGLE(INDEX($AF30:$BH30, , SUMPRODUCT(LARGE((($AF30:$BH30&lt;&gt;0)*($BJ30:$CL30&lt;&gt;1)*($AF$5:$BH$5)), P$6)))), "")</f>
        <v>47</v>
      </c>
      <c r="Q30" s="339" cm="1">
        <f t="array" aca="1" ref="Q30" ca="1">IFERROR(_xlfn.SINGLE(INDEX($AF30:$BH30, , SUMPRODUCT(LARGE((($AF30:$BH30&lt;&gt;0)*($BJ30:$CL30&lt;&gt;1)*($AF$5:$BH$5)), Q$6)))), "")</f>
        <v>55</v>
      </c>
      <c r="R30" s="21">
        <v>47.571428571428569</v>
      </c>
      <c r="S30" s="47">
        <f t="shared" ca="1" si="81"/>
        <v>43.2</v>
      </c>
      <c r="T30" s="21">
        <f ca="1">IF($D30&lt;&gt;"", IFERROR(IF($E30&gt;=qualifier, SUMIF($BT30:$CL30,0,$AP30:$BH30)/$E30, TEXT(SUMIF($BT30:$CL30,0,$AP30:$BH30)/$E30, "0.00")&amp;"*"), "-"), "")</f>
        <v>47.428571428571431</v>
      </c>
      <c r="U30" s="21">
        <f ca="1">IF($D30&lt;&gt;"", IFERROR(IF($E30&gt;=qualifier, SUMIF($BT30:$CL30,0,$CN30:$DF30)/$E30, TEXT(SUMIF($BT30:$CL30,0,$CN30:$DF30)/$E30, "0.00")&amp;"*"), "-"), "")</f>
        <v>38.928571428571431</v>
      </c>
      <c r="V30" s="46">
        <f ca="1">IF(AND($D30&lt;&gt;"", $E30&lt;&gt;0), _xlfn.MINIFS($AP30:$BH30,$BT30:$CL30,0,$AP30:$BH30,"&lt;&gt;0"), "")</f>
        <v>38</v>
      </c>
      <c r="W30" s="19">
        <f ca="1">IF(AND($D30&lt;&gt;"", $E30&lt;&gt;0), _xlfn.MINIFS($CN30:$DF30,$BT30:$CL30,0), "")</f>
        <v>28</v>
      </c>
      <c r="X30" s="46">
        <f ca="1">IF($D30&lt;&gt;"", SUM($DH30:$DZ30),  "")</f>
        <v>151</v>
      </c>
      <c r="Y30" s="21">
        <f ca="1">IF($D30&lt;&gt;"", IFERROR(IF($E30&gt;=qualifier, AVERAGE($DH30:$DZ30), TEXT(AVERAGE($DH30:$DZ30), "0.00")&amp;"*"), "-"), "")</f>
        <v>10.785714285714286</v>
      </c>
      <c r="Z30" s="19">
        <f ca="1">IF($D30&lt;&gt;"", SUM($EB30:$ET30),  "")</f>
        <v>3</v>
      </c>
      <c r="AA30" s="19">
        <f ca="1">IF($D30&lt;&gt;"", SUM($EV30:$FN30),  "")</f>
        <v>0</v>
      </c>
      <c r="AB30" s="46" t="str">
        <f t="shared" ca="1" si="82"/>
        <v>10-4-1</v>
      </c>
      <c r="AC30" s="218">
        <f t="shared" ca="1" si="83"/>
        <v>3307548403</v>
      </c>
      <c r="AD30" s="57" t="str">
        <f t="shared" ca="1" si="84"/>
        <v>ryan.evans@timken.com</v>
      </c>
      <c r="AE30" s="34"/>
      <c r="AF30" s="341">
        <f ca="1">INDEX(PriorScores[],MATCH($D30,PriorScores[Team / Player],0),2)</f>
        <v>57</v>
      </c>
      <c r="AG30" s="341">
        <f ca="1">INDEX(PriorScores[],MATCH($D30,PriorScores[Team / Player],0),3)</f>
        <v>48</v>
      </c>
      <c r="AH30" s="341">
        <f ca="1">INDEX(PriorScores[],MATCH($D30,PriorScores[Team / Player],0),4)</f>
        <v>39</v>
      </c>
      <c r="AI30" s="341">
        <f ca="1">INDEX(PriorScores[],MATCH($D30,PriorScores[Team / Player],0),5)</f>
        <v>46</v>
      </c>
      <c r="AJ30" s="341">
        <f ca="1">INDEX(PriorScores[],MATCH($D30,PriorScores[Team / Player],0),6)</f>
        <v>48</v>
      </c>
      <c r="AK30" s="341">
        <f ca="1">INDEX(PriorScores[],MATCH($D30,PriorScores[Team / Player],0),7)</f>
        <v>44</v>
      </c>
      <c r="AL30" s="341">
        <f ca="1">INDEX(PriorScores[],MATCH($D30,PriorScores[Team / Player],0),8)</f>
        <v>43</v>
      </c>
      <c r="AM30" s="341">
        <f ca="1">INDEX(PriorScores[],MATCH($D30,PriorScores[Team / Player],0),9)</f>
        <v>47</v>
      </c>
      <c r="AN30" s="341">
        <f ca="1">INDEX(PriorScores[],MATCH($D30,PriorScores[Team / Player],0),10)</f>
        <v>49</v>
      </c>
      <c r="AO30" s="341">
        <f ca="1">INDEX(PriorScores[],MATCH($D30,PriorScores[Team / Player],0),11)</f>
        <v>46</v>
      </c>
      <c r="AP30" s="20">
        <f t="shared" ca="1" si="85"/>
        <v>47</v>
      </c>
      <c r="AQ30" s="20">
        <f t="shared" ca="1" si="85"/>
        <v>53</v>
      </c>
      <c r="AR30" s="20">
        <f t="shared" ca="1" si="85"/>
        <v>49</v>
      </c>
      <c r="AS30" s="20">
        <f t="shared" ca="1" si="85"/>
        <v>47</v>
      </c>
      <c r="AT30" s="20">
        <f t="shared" ca="1" si="85"/>
        <v>55</v>
      </c>
      <c r="AU30" s="20">
        <f t="shared" ca="1" si="85"/>
        <v>0</v>
      </c>
      <c r="AV30" s="20">
        <f t="shared" ca="1" si="85"/>
        <v>47</v>
      </c>
      <c r="AW30" s="20">
        <f t="shared" ca="1" si="85"/>
        <v>0</v>
      </c>
      <c r="AX30" s="20">
        <f t="shared" ca="1" si="85"/>
        <v>45</v>
      </c>
      <c r="AY30" s="20">
        <f t="shared" ca="1" si="85"/>
        <v>50</v>
      </c>
      <c r="AZ30" s="20">
        <f t="shared" ca="1" si="86"/>
        <v>48</v>
      </c>
      <c r="BA30" s="20">
        <f t="shared" ca="1" si="86"/>
        <v>0</v>
      </c>
      <c r="BB30" s="20">
        <f t="shared" ca="1" si="86"/>
        <v>38</v>
      </c>
      <c r="BC30" s="20">
        <f t="shared" ca="1" si="86"/>
        <v>45</v>
      </c>
      <c r="BD30" s="20">
        <f t="shared" ca="1" si="86"/>
        <v>0</v>
      </c>
      <c r="BE30" s="20">
        <f t="shared" ca="1" si="86"/>
        <v>48</v>
      </c>
      <c r="BF30" s="20">
        <f t="shared" ca="1" si="86"/>
        <v>41</v>
      </c>
      <c r="BG30" s="20">
        <f t="shared" ca="1" si="86"/>
        <v>0</v>
      </c>
      <c r="BH30" s="20">
        <f t="shared" ca="1" si="86"/>
        <v>51</v>
      </c>
      <c r="BI30" s="34"/>
      <c r="BJ30" s="341">
        <v>0</v>
      </c>
      <c r="BK30" s="341">
        <v>0</v>
      </c>
      <c r="BL30" s="341">
        <v>0</v>
      </c>
      <c r="BM30" s="341">
        <v>0</v>
      </c>
      <c r="BN30" s="341">
        <v>0</v>
      </c>
      <c r="BO30" s="341">
        <v>0</v>
      </c>
      <c r="BP30" s="341">
        <v>0</v>
      </c>
      <c r="BQ30" s="341">
        <v>0</v>
      </c>
      <c r="BR30" s="341">
        <v>0</v>
      </c>
      <c r="BS30" s="341">
        <v>0</v>
      </c>
      <c r="BT30" s="20">
        <f t="shared" ca="1" si="87"/>
        <v>0</v>
      </c>
      <c r="BU30" s="20">
        <f t="shared" ca="1" si="87"/>
        <v>0</v>
      </c>
      <c r="BV30" s="20">
        <f t="shared" ca="1" si="87"/>
        <v>0</v>
      </c>
      <c r="BW30" s="20">
        <f t="shared" ca="1" si="87"/>
        <v>0</v>
      </c>
      <c r="BX30" s="20">
        <f t="shared" ca="1" si="87"/>
        <v>0</v>
      </c>
      <c r="BY30" s="20">
        <f t="shared" ca="1" si="87"/>
        <v>0</v>
      </c>
      <c r="BZ30" s="20">
        <f t="shared" ca="1" si="87"/>
        <v>0</v>
      </c>
      <c r="CA30" s="20">
        <f t="shared" ca="1" si="87"/>
        <v>0</v>
      </c>
      <c r="CB30" s="20">
        <f t="shared" ca="1" si="87"/>
        <v>0</v>
      </c>
      <c r="CC30" s="20">
        <f t="shared" ca="1" si="87"/>
        <v>0</v>
      </c>
      <c r="CD30" s="20">
        <f t="shared" ca="1" si="88"/>
        <v>0</v>
      </c>
      <c r="CE30" s="20">
        <f t="shared" ca="1" si="88"/>
        <v>0</v>
      </c>
      <c r="CF30" s="20">
        <f t="shared" ca="1" si="88"/>
        <v>0</v>
      </c>
      <c r="CG30" s="20">
        <f t="shared" ca="1" si="88"/>
        <v>0</v>
      </c>
      <c r="CH30" s="20">
        <f t="shared" ca="1" si="88"/>
        <v>0</v>
      </c>
      <c r="CI30" s="20">
        <f t="shared" ca="1" si="88"/>
        <v>0</v>
      </c>
      <c r="CJ30" s="20">
        <f t="shared" ca="1" si="88"/>
        <v>0</v>
      </c>
      <c r="CK30" s="20">
        <f t="shared" ca="1" si="88"/>
        <v>1</v>
      </c>
      <c r="CL30" s="20">
        <f t="shared" ca="1" si="88"/>
        <v>0</v>
      </c>
      <c r="CM30" s="34"/>
      <c r="CN30" s="20">
        <f t="shared" ca="1" si="89"/>
        <v>40</v>
      </c>
      <c r="CO30" s="20">
        <f t="shared" ca="1" si="89"/>
        <v>46</v>
      </c>
      <c r="CP30" s="20">
        <f t="shared" ca="1" si="89"/>
        <v>42</v>
      </c>
      <c r="CQ30" s="20">
        <f t="shared" ca="1" si="89"/>
        <v>38</v>
      </c>
      <c r="CR30" s="20">
        <f t="shared" ca="1" si="89"/>
        <v>46</v>
      </c>
      <c r="CS30" s="20" t="str">
        <f t="shared" ca="1" si="89"/>
        <v/>
      </c>
      <c r="CT30" s="20">
        <f t="shared" ca="1" si="89"/>
        <v>38</v>
      </c>
      <c r="CU30" s="20" t="str">
        <f t="shared" ca="1" si="89"/>
        <v/>
      </c>
      <c r="CV30" s="20">
        <f t="shared" ca="1" si="89"/>
        <v>35</v>
      </c>
      <c r="CW30" s="20">
        <f t="shared" ca="1" si="89"/>
        <v>40</v>
      </c>
      <c r="CX30" s="20">
        <f t="shared" ca="1" si="90"/>
        <v>38</v>
      </c>
      <c r="CY30" s="20" t="str">
        <f t="shared" ca="1" si="90"/>
        <v/>
      </c>
      <c r="CZ30" s="20">
        <f t="shared" ca="1" si="90"/>
        <v>28</v>
      </c>
      <c r="DA30" s="20">
        <f t="shared" ca="1" si="90"/>
        <v>37</v>
      </c>
      <c r="DB30" s="20" t="str">
        <f t="shared" ca="1" si="90"/>
        <v/>
      </c>
      <c r="DC30" s="20">
        <f t="shared" ca="1" si="90"/>
        <v>40</v>
      </c>
      <c r="DD30" s="20">
        <f t="shared" ca="1" si="90"/>
        <v>33</v>
      </c>
      <c r="DE30" s="20" t="str">
        <f t="shared" ca="1" si="90"/>
        <v/>
      </c>
      <c r="DF30" s="20">
        <f t="shared" ca="1" si="90"/>
        <v>44</v>
      </c>
      <c r="DG30" s="34"/>
      <c r="DH30" s="20">
        <f t="shared" ca="1" si="91"/>
        <v>11</v>
      </c>
      <c r="DI30" s="20">
        <f t="shared" ca="1" si="91"/>
        <v>4</v>
      </c>
      <c r="DJ30" s="20">
        <f t="shared" ca="1" si="91"/>
        <v>12</v>
      </c>
      <c r="DK30" s="20">
        <f t="shared" ca="1" si="91"/>
        <v>8</v>
      </c>
      <c r="DL30" s="20">
        <f t="shared" ca="1" si="91"/>
        <v>8</v>
      </c>
      <c r="DM30" s="20" t="str">
        <f t="shared" ca="1" si="91"/>
        <v/>
      </c>
      <c r="DN30" s="20">
        <f t="shared" ca="1" si="91"/>
        <v>12</v>
      </c>
      <c r="DO30" s="20" t="str">
        <f t="shared" ca="1" si="91"/>
        <v/>
      </c>
      <c r="DP30" s="20">
        <f t="shared" ca="1" si="91"/>
        <v>12</v>
      </c>
      <c r="DQ30" s="20">
        <f t="shared" ca="1" si="91"/>
        <v>7</v>
      </c>
      <c r="DR30" s="20">
        <f t="shared" ca="1" si="92"/>
        <v>14</v>
      </c>
      <c r="DS30" s="20" t="str">
        <f t="shared" ca="1" si="92"/>
        <v/>
      </c>
      <c r="DT30" s="20">
        <f t="shared" ca="1" si="92"/>
        <v>17</v>
      </c>
      <c r="DU30" s="20">
        <f t="shared" ca="1" si="92"/>
        <v>11</v>
      </c>
      <c r="DV30" s="20" t="str">
        <f t="shared" ca="1" si="92"/>
        <v/>
      </c>
      <c r="DW30" s="20">
        <f t="shared" ca="1" si="92"/>
        <v>11</v>
      </c>
      <c r="DX30" s="20">
        <f t="shared" ca="1" si="92"/>
        <v>10</v>
      </c>
      <c r="DY30" s="20">
        <f t="shared" ca="1" si="92"/>
        <v>14</v>
      </c>
      <c r="DZ30" s="20" t="str">
        <f t="shared" ca="1" si="92"/>
        <v/>
      </c>
      <c r="EA30" s="34"/>
      <c r="EB30" s="20" t="str">
        <f t="shared" ca="1" si="93"/>
        <v/>
      </c>
      <c r="EC30" s="20" t="str">
        <f t="shared" ca="1" si="93"/>
        <v/>
      </c>
      <c r="ED30" s="20" t="str">
        <f t="shared" ca="1" si="93"/>
        <v/>
      </c>
      <c r="EE30" s="20">
        <f t="shared" ca="1" si="93"/>
        <v>1</v>
      </c>
      <c r="EF30" s="20" t="str">
        <f t="shared" ca="1" si="93"/>
        <v/>
      </c>
      <c r="EG30" s="20" t="str">
        <f t="shared" ca="1" si="93"/>
        <v/>
      </c>
      <c r="EH30" s="20" t="str">
        <f t="shared" ca="1" si="93"/>
        <v/>
      </c>
      <c r="EI30" s="20" t="str">
        <f t="shared" ca="1" si="93"/>
        <v/>
      </c>
      <c r="EJ30" s="20" t="str">
        <f t="shared" ca="1" si="93"/>
        <v/>
      </c>
      <c r="EK30" s="20" t="str">
        <f t="shared" ca="1" si="93"/>
        <v/>
      </c>
      <c r="EL30" s="20" t="str">
        <f t="shared" ca="1" si="94"/>
        <v/>
      </c>
      <c r="EM30" s="20" t="str">
        <f t="shared" ca="1" si="94"/>
        <v/>
      </c>
      <c r="EN30" s="20">
        <f t="shared" ca="1" si="94"/>
        <v>1</v>
      </c>
      <c r="EO30" s="20" t="str">
        <f t="shared" ca="1" si="94"/>
        <v/>
      </c>
      <c r="EP30" s="20" t="str">
        <f t="shared" ca="1" si="94"/>
        <v/>
      </c>
      <c r="EQ30" s="20" t="str">
        <f t="shared" ca="1" si="94"/>
        <v/>
      </c>
      <c r="ER30" s="20">
        <f t="shared" ca="1" si="94"/>
        <v>1</v>
      </c>
      <c r="ES30" s="20" t="str">
        <f t="shared" ca="1" si="94"/>
        <v/>
      </c>
      <c r="ET30" s="20" t="str">
        <f t="shared" ca="1" si="94"/>
        <v/>
      </c>
      <c r="EU30" s="34"/>
      <c r="EV30" s="20" t="str">
        <f t="shared" ca="1" si="95"/>
        <v/>
      </c>
      <c r="EW30" s="20" t="str">
        <f t="shared" ca="1" si="95"/>
        <v/>
      </c>
      <c r="EX30" s="20" t="str">
        <f t="shared" ca="1" si="95"/>
        <v/>
      </c>
      <c r="EY30" s="20" t="str">
        <f t="shared" ca="1" si="95"/>
        <v/>
      </c>
      <c r="EZ30" s="20" t="str">
        <f t="shared" ca="1" si="95"/>
        <v/>
      </c>
      <c r="FA30" s="20" t="str">
        <f t="shared" ca="1" si="95"/>
        <v/>
      </c>
      <c r="FB30" s="20" t="str">
        <f t="shared" ca="1" si="95"/>
        <v/>
      </c>
      <c r="FC30" s="20" t="str">
        <f t="shared" ca="1" si="95"/>
        <v/>
      </c>
      <c r="FD30" s="20" t="str">
        <f t="shared" ca="1" si="95"/>
        <v/>
      </c>
      <c r="FE30" s="20" t="str">
        <f t="shared" ca="1" si="95"/>
        <v/>
      </c>
      <c r="FF30" s="20" t="str">
        <f t="shared" ca="1" si="96"/>
        <v/>
      </c>
      <c r="FG30" s="20" t="str">
        <f t="shared" ca="1" si="96"/>
        <v/>
      </c>
      <c r="FH30" s="20" t="str">
        <f t="shared" ca="1" si="96"/>
        <v/>
      </c>
      <c r="FI30" s="20" t="str">
        <f t="shared" ca="1" si="96"/>
        <v/>
      </c>
      <c r="FJ30" s="20" t="str">
        <f t="shared" ca="1" si="96"/>
        <v/>
      </c>
      <c r="FK30" s="20" t="str">
        <f t="shared" ca="1" si="96"/>
        <v/>
      </c>
      <c r="FL30" s="20" t="str">
        <f t="shared" ca="1" si="96"/>
        <v/>
      </c>
      <c r="FM30" s="20" t="str">
        <f t="shared" ca="1" si="96"/>
        <v/>
      </c>
      <c r="FN30" s="20" t="str">
        <f t="shared" ca="1" si="96"/>
        <v/>
      </c>
      <c r="FO30" s="34"/>
      <c r="FP30" s="20" t="str">
        <f t="shared" ca="1" si="97"/>
        <v>w</v>
      </c>
      <c r="FQ30" s="20" t="str">
        <f t="shared" ca="1" si="97"/>
        <v>l</v>
      </c>
      <c r="FR30" s="20" t="str">
        <f t="shared" ca="1" si="97"/>
        <v>w</v>
      </c>
      <c r="FS30" s="20" t="str">
        <f t="shared" ca="1" si="97"/>
        <v>l</v>
      </c>
      <c r="FT30" s="20" t="str">
        <f t="shared" ca="1" si="97"/>
        <v>l</v>
      </c>
      <c r="FU30" s="20" t="str">
        <f t="shared" ca="1" si="97"/>
        <v/>
      </c>
      <c r="FV30" s="20" t="str">
        <f t="shared" ca="1" si="97"/>
        <v>w</v>
      </c>
      <c r="FW30" s="20" t="str">
        <f t="shared" ca="1" si="97"/>
        <v/>
      </c>
      <c r="FX30" s="20" t="str">
        <f t="shared" ca="1" si="97"/>
        <v>w</v>
      </c>
      <c r="FY30" s="20" t="str">
        <f t="shared" ca="1" si="97"/>
        <v>l</v>
      </c>
      <c r="FZ30" s="20" t="str">
        <f t="shared" ca="1" si="98"/>
        <v>w</v>
      </c>
      <c r="GA30" s="20" t="str">
        <f t="shared" ca="1" si="98"/>
        <v/>
      </c>
      <c r="GB30" s="20" t="str">
        <f t="shared" ca="1" si="98"/>
        <v>w</v>
      </c>
      <c r="GC30" s="20" t="str">
        <f t="shared" ca="1" si="98"/>
        <v>w</v>
      </c>
      <c r="GD30" s="20" t="str">
        <f t="shared" ca="1" si="98"/>
        <v/>
      </c>
      <c r="GE30" s="20" t="str">
        <f t="shared" ca="1" si="98"/>
        <v>w</v>
      </c>
      <c r="GF30" s="20" t="str">
        <f t="shared" ca="1" si="98"/>
        <v>t</v>
      </c>
      <c r="GG30" s="20" t="str">
        <f t="shared" ca="1" si="98"/>
        <v>w</v>
      </c>
      <c r="GH30" s="20" t="str">
        <f t="shared" ca="1" si="98"/>
        <v>w</v>
      </c>
      <c r="GI30" s="34"/>
      <c r="HE30" s="34"/>
      <c r="HZ30" s="34"/>
      <c r="IA30" s="19" t="str">
        <f t="shared" ca="1" si="99"/>
        <v>No Hdcp</v>
      </c>
      <c r="IB30" s="19" t="str">
        <f ca="1">IF($D30&lt;&gt;"","Low of score &amp; "&amp;MIN($H30:$H30),"")</f>
        <v>Low of score &amp; 51</v>
      </c>
      <c r="IC30" s="19" t="str">
        <f ca="1">IF($D30&lt;&gt;"","Low of score &amp; "&amp;MIN($H30:$I30),"")</f>
        <v>Low of score &amp; 41</v>
      </c>
      <c r="ID30" s="18" t="str">
        <f ca="1">IF($D30&lt;&gt;"","Low of score &amp; "&amp;MIN($H30:$J30),"")</f>
        <v>Low of score &amp; 41</v>
      </c>
      <c r="IE30" s="18" t="str">
        <f ca="1">IF($D30&lt;&gt;"","Low of score &amp; "&amp;MIN($H30:$K30),"")</f>
        <v>Low of score &amp; 41</v>
      </c>
      <c r="IF30" s="18">
        <f ca="1">IF($D30&lt;&gt;"",ROUND(MIN((MIN($H30:$L30)-36)*0.96,20),2),"")</f>
        <v>1.92</v>
      </c>
      <c r="IG30" s="353">
        <f ca="1">IF($D30&lt;&gt;"",ROUND(MIN((AVERAGE(SMALL($H30:$M30,1),SMALL($H30:$M30,2))-36)*0.96,20),2),"")</f>
        <v>3.36</v>
      </c>
      <c r="IH30" s="18">
        <f ca="1">IF($D30&lt;&gt;"",ROUND(MIN((AVERAGE(SMALL($H30:$N30,1),SMALL($H30:$N30,2),SMALL($H30:$N30,3))-36)*0.96,20),2),"")</f>
        <v>5.12</v>
      </c>
      <c r="II30" s="18">
        <f ca="1">IF($D30&lt;&gt;"",ROUND(MIN((AVERAGE(SMALL($H30:$O30,1),SMALL($H30:$O30,2),SMALL($H30:$O30,3),SMALL($H30:$O30,4))-36)*0.96,20),2),"")</f>
        <v>6</v>
      </c>
      <c r="IJ30" s="18">
        <f ca="1">IF($D30&lt;&gt;"",ROUND(MIN((AVERAGE(SMALL($H30:$P30,1),SMALL($H30:$P30,2),SMALL($H30:$P30,3),SMALL($H30:$P30,4))-36)*0.96,20),2),"")</f>
        <v>6</v>
      </c>
      <c r="IK30" s="18">
        <f ca="1">IF($D30&lt;&gt;"",ROUND(MIN((AVERAGE(SMALL($H30:$Q30,1),SMALL($H30:$Q30,2),SMALL($H30:$Q30,3),SMALL($H30:$Q30,4),SMALL($H30:$Q30,5))-36)*0.96,20),2),"")</f>
        <v>6.91</v>
      </c>
      <c r="IL30" s="34"/>
      <c r="IN30" s="18">
        <f ca="1">AO30</f>
        <v>46</v>
      </c>
      <c r="IO30" s="18">
        <f ca="1">AN30</f>
        <v>49</v>
      </c>
      <c r="IP30" s="18">
        <f ca="1">AM30</f>
        <v>47</v>
      </c>
      <c r="IQ30" s="18">
        <f ca="1">AL30</f>
        <v>43</v>
      </c>
      <c r="IR30" s="18">
        <f ca="1">AK30</f>
        <v>44</v>
      </c>
      <c r="IS30" s="18">
        <f ca="1">AJ30</f>
        <v>48</v>
      </c>
      <c r="IT30" s="18">
        <f ca="1">AI30</f>
        <v>46</v>
      </c>
      <c r="IU30" s="18">
        <f ca="1">AH30</f>
        <v>39</v>
      </c>
      <c r="IV30" s="18">
        <f ca="1">AG30</f>
        <v>48</v>
      </c>
      <c r="IW30" s="18">
        <f ca="1">AF30</f>
        <v>57</v>
      </c>
      <c r="IX30" s="19">
        <f ca="1">IF(D30&lt;&gt;"",COUNT(IN30:IW30),"")</f>
        <v>10</v>
      </c>
      <c r="IY30" s="21">
        <f ca="1">IF(D30&lt;&gt;"",INDEX($JA30:$JK30,1,MATCH($IX30,$JA$6:$JK$6,0)), "")</f>
        <v>7.2960000000000012</v>
      </c>
      <c r="JA30" s="18" t="str">
        <f ca="1">IF(D30&lt;&gt;"","No Hdcp","")</f>
        <v>No Hdcp</v>
      </c>
      <c r="JB30" s="18" t="str">
        <f ca="1">IF(D30&lt;&gt;"","Low of score &amp; "&amp;MIN($IN30:$IN30),"")</f>
        <v>Low of score &amp; 46</v>
      </c>
      <c r="JC30" s="18" t="str">
        <f ca="1">IF(D30&lt;&gt;"","Low of score &amp; "&amp;MIN($IN30:$IO30),"")</f>
        <v>Low of score &amp; 46</v>
      </c>
      <c r="JD30" s="18" t="str">
        <f ca="1">IF(D30&lt;&gt;"","Low of score &amp; "&amp;MIN($IN30:$IP30),"")</f>
        <v>Low of score &amp; 46</v>
      </c>
      <c r="JE30" s="18" t="str">
        <f ca="1">IF(D30&lt;&gt;"","Low of score &amp; "&amp;MIN($IN30:$IQ30),"")</f>
        <v>Low of score &amp; 43</v>
      </c>
      <c r="JF30" s="18">
        <f ca="1">IF(D30&lt;&gt;"",MIN((MIN($IN30:$IR30)-36)*0.96,20),"")</f>
        <v>6.72</v>
      </c>
      <c r="JG30" s="18">
        <f ca="1">IF(D30&lt;&gt;"",MIN((AVERAGE(SMALL($IN30:$IS30,1),SMALL($IN30:$IS30,2))-36)*0.96,20),"")</f>
        <v>7.1999999999999993</v>
      </c>
      <c r="JH30" s="18">
        <f ca="1">IF(D30&lt;&gt;"",MIN((AVERAGE(SMALL($IN30:$IT30,1),SMALL($IN30:$IT30,2),SMALL($IN30:$IT30,3))-36)*0.96,20),"")</f>
        <v>8.0000000000000018</v>
      </c>
      <c r="JI30" s="18">
        <f ca="1">IF(D30&lt;&gt;"",MIN((AVERAGE(SMALL($IN30:$IU30,1),SMALL($IN30:$IU30,2),SMALL($IN30:$IU30,3),SMALL($IN30:$IU30,4))-36)*0.96,20),"")</f>
        <v>6.72</v>
      </c>
      <c r="JJ30" s="18">
        <f ca="1">IF(D30&lt;&gt;"",MIN((AVERAGE(SMALL($IN30:$IV30,1),SMALL($IN30:$IV30,2),SMALL($IN30:$IV30,3),SMALL($IN30:$IV30,4))-36)*0.96,20),"")</f>
        <v>6.72</v>
      </c>
      <c r="JK30" s="18">
        <f ca="1">IF(D30&lt;&gt;"",MIN((AVERAGE(SMALL($IN30:$IW30,1),SMALL($IN30:$IW30,2),SMALL($IN30:$IW30,3),SMALL($IN30:$IW30,4),SMALL($IN30:$IW30,5))-36)*0.96,20),"")</f>
        <v>7.2960000000000012</v>
      </c>
    </row>
    <row r="31" spans="1:271" x14ac:dyDescent="0.2">
      <c r="A31" s="18" t="s">
        <v>23</v>
      </c>
      <c r="B31" s="19">
        <f>B30+7</f>
        <v>19</v>
      </c>
      <c r="C31" s="22">
        <f t="shared" ca="1" si="78"/>
        <v>5.8999999999999999E-3</v>
      </c>
      <c r="D31" s="18" t="str">
        <f t="shared" ca="1" si="79"/>
        <v>Kirkpatrick, Tom - gold tees</v>
      </c>
      <c r="E31" s="19">
        <f t="shared" ca="1" si="80"/>
        <v>14</v>
      </c>
      <c r="F31" s="19">
        <f ca="1">IF(D31&lt;&gt;"",COUNT($H31:$Q31),"")</f>
        <v>10</v>
      </c>
      <c r="G31" s="21">
        <f ca="1">IF($D31&lt;&gt;"",INDEX($IA31:$IK31,1,MATCH($F31,$IA$6:$IK$6,0)), "")</f>
        <v>14.4</v>
      </c>
      <c r="H31" s="337" cm="1">
        <f t="array" aca="1" ref="H31" ca="1">IFERROR(_xlfn.SINGLE(INDEX($AF31:$BH31, , SUMPRODUCT(LARGE((($AF31:$BH31&lt;&gt;0)*($BJ31:$CL31&lt;&gt;1)*($AF$5:$BH$5)), H$6)))), "")</f>
        <v>49</v>
      </c>
      <c r="I31" s="338" cm="1">
        <f t="array" aca="1" ref="I31" ca="1">IFERROR(_xlfn.SINGLE(INDEX($AF31:$BH31, , SUMPRODUCT(LARGE((($AF31:$BH31&lt;&gt;0)*($BJ31:$CL31&lt;&gt;1)*($AF$5:$BH$5)), I$6)))), "")</f>
        <v>49</v>
      </c>
      <c r="J31" s="338" cm="1">
        <f t="array" aca="1" ref="J31" ca="1">IFERROR(_xlfn.SINGLE(INDEX($AF31:$BH31, , SUMPRODUCT(LARGE((($AF31:$BH31&lt;&gt;0)*($BJ31:$CL31&lt;&gt;1)*($AF$5:$BH$5)), J$6)))), "")</f>
        <v>54</v>
      </c>
      <c r="K31" s="338" cm="1">
        <f t="array" aca="1" ref="K31" ca="1">IFERROR(_xlfn.SINGLE(INDEX($AF31:$BH31, , SUMPRODUCT(LARGE((($AF31:$BH31&lt;&gt;0)*($BJ31:$CL31&lt;&gt;1)*($AF$5:$BH$5)), K$6)))), "")</f>
        <v>57</v>
      </c>
      <c r="L31" s="338" cm="1">
        <f t="array" aca="1" ref="L31" ca="1">IFERROR(_xlfn.SINGLE(INDEX($AF31:$BH31, , SUMPRODUCT(LARGE((($AF31:$BH31&lt;&gt;0)*($BJ31:$CL31&lt;&gt;1)*($AF$5:$BH$5)), L$6)))), "")</f>
        <v>56</v>
      </c>
      <c r="M31" s="338" cm="1">
        <f t="array" aca="1" ref="M31" ca="1">IFERROR(_xlfn.SINGLE(INDEX($AF31:$BH31, , SUMPRODUCT(LARGE((($AF31:$BH31&lt;&gt;0)*($BJ31:$CL31&lt;&gt;1)*($AF$5:$BH$5)), M$6)))), "")</f>
        <v>51</v>
      </c>
      <c r="N31" s="338" cm="1">
        <f t="array" aca="1" ref="N31" ca="1">IFERROR(_xlfn.SINGLE(INDEX($AF31:$BH31, , SUMPRODUCT(LARGE((($AF31:$BH31&lt;&gt;0)*($BJ31:$CL31&lt;&gt;1)*($AF$5:$BH$5)), N$6)))), "")</f>
        <v>53</v>
      </c>
      <c r="O31" s="338" cm="1">
        <f t="array" aca="1" ref="O31" ca="1">IFERROR(_xlfn.SINGLE(INDEX($AF31:$BH31, , SUMPRODUCT(LARGE((($AF31:$BH31&lt;&gt;0)*($BJ31:$CL31&lt;&gt;1)*($AF$5:$BH$5)), O$6)))), "")</f>
        <v>54</v>
      </c>
      <c r="P31" s="338" cm="1">
        <f t="array" aca="1" ref="P31" ca="1">IFERROR(_xlfn.SINGLE(INDEX($AF31:$BH31, , SUMPRODUCT(LARGE((($AF31:$BH31&lt;&gt;0)*($BJ31:$CL31&lt;&gt;1)*($AF$5:$BH$5)), P$6)))), "")</f>
        <v>56</v>
      </c>
      <c r="Q31" s="339" cm="1">
        <f t="array" aca="1" ref="Q31" ca="1">IFERROR(_xlfn.SINGLE(INDEX($AF31:$BH31, , SUMPRODUCT(LARGE((($AF31:$BH31&lt;&gt;0)*($BJ31:$CL31&lt;&gt;1)*($AF$5:$BH$5)), Q$6)))), "")</f>
        <v>53</v>
      </c>
      <c r="R31" s="21">
        <v>53.857142857142854</v>
      </c>
      <c r="S31" s="47">
        <f t="shared" ca="1" si="81"/>
        <v>51</v>
      </c>
      <c r="T31" s="21">
        <f ca="1">IF($D31&lt;&gt;"", IFERROR(IF($E31&gt;=qualifier, SUMIF($BT31:$CL31,0,$AP31:$BH31)/$E31, TEXT(SUMIF($BT31:$CL31,0,$AP31:$BH31)/$E31, "0.00")&amp;"*"), "-"), "")</f>
        <v>54.071428571428569</v>
      </c>
      <c r="U31" s="21">
        <f ca="1">IF($D31&lt;&gt;"", IFERROR(IF($E31&gt;=qualifier, SUMIF($BT31:$CL31,0,$CN31:$DF31)/$E31, TEXT(SUMIF($BT31:$CL31,0,$CN31:$DF31)/$E31, "0.00")&amp;"*"), "-"), "")</f>
        <v>39.5</v>
      </c>
      <c r="V31" s="46">
        <f ca="1">IF(AND($D31&lt;&gt;"", $E31&lt;&gt;0), _xlfn.MINIFS($AP31:$BH31,$BT31:$CL31,0,$AP31:$BH31,"&lt;&gt;0"), "")</f>
        <v>49</v>
      </c>
      <c r="W31" s="19">
        <f ca="1">IF(AND($D31&lt;&gt;"", $E31&lt;&gt;0), _xlfn.MINIFS($CN31:$DF31,$BT31:$CL31,0), "")</f>
        <v>33</v>
      </c>
      <c r="X31" s="46">
        <f ca="1">IF($D31&lt;&gt;"", SUM($DH31:$DZ31),  "")</f>
        <v>165</v>
      </c>
      <c r="Y31" s="21">
        <f ca="1">IF($D31&lt;&gt;"", IFERROR(IF($E31&gt;=qualifier, AVERAGE($DH31:$DZ31), TEXT(AVERAGE($DH31:$DZ31), "0.00")&amp;"*"), "-"), "")</f>
        <v>11</v>
      </c>
      <c r="Z31" s="19">
        <f ca="1">IF($D31&lt;&gt;"", SUM($EB31:$ET31),  "")</f>
        <v>1</v>
      </c>
      <c r="AA31" s="19">
        <f ca="1">IF($D31&lt;&gt;"", SUM($EV31:$FN31),  "")</f>
        <v>0</v>
      </c>
      <c r="AB31" s="46" t="str">
        <f t="shared" ca="1" si="82"/>
        <v>10-5-1</v>
      </c>
      <c r="AC31" s="218">
        <f t="shared" ca="1" si="83"/>
        <v>2342623948</v>
      </c>
      <c r="AD31" s="57" t="str">
        <f t="shared" ca="1" si="84"/>
        <v>thomas.kirkpatrick@timken.com</v>
      </c>
      <c r="AE31" s="34"/>
      <c r="AF31" s="341">
        <f ca="1">INDEX(PriorScores[],MATCH($D31,PriorScores[Team / Player],0),2)</f>
        <v>57</v>
      </c>
      <c r="AG31" s="341">
        <f ca="1">INDEX(PriorScores[],MATCH($D31,PriorScores[Team / Player],0),3)</f>
        <v>58</v>
      </c>
      <c r="AH31" s="341">
        <f ca="1">INDEX(PriorScores[],MATCH($D31,PriorScores[Team / Player],0),4)</f>
        <v>50</v>
      </c>
      <c r="AI31" s="341">
        <f ca="1">INDEX(PriorScores[],MATCH($D31,PriorScores[Team / Player],0),5)</f>
        <v>51</v>
      </c>
      <c r="AJ31" s="341">
        <f ca="1">INDEX(PriorScores[],MATCH($D31,PriorScores[Team / Player],0),6)</f>
        <v>48</v>
      </c>
      <c r="AK31" s="341">
        <f ca="1">INDEX(PriorScores[],MATCH($D31,PriorScores[Team / Player],0),7)</f>
        <v>60</v>
      </c>
      <c r="AL31" s="341">
        <f ca="1">INDEX(PriorScores[],MATCH($D31,PriorScores[Team / Player],0),8)</f>
        <v>48</v>
      </c>
      <c r="AM31" s="341">
        <f ca="1">INDEX(PriorScores[],MATCH($D31,PriorScores[Team / Player],0),9)</f>
        <v>49</v>
      </c>
      <c r="AN31" s="341">
        <f ca="1">INDEX(PriorScores[],MATCH($D31,PriorScores[Team / Player],0),10)</f>
        <v>52</v>
      </c>
      <c r="AO31" s="341">
        <f ca="1">INDEX(PriorScores[],MATCH($D31,PriorScores[Team / Player],0),11)</f>
        <v>54</v>
      </c>
      <c r="AP31" s="20">
        <f t="shared" ca="1" si="85"/>
        <v>60</v>
      </c>
      <c r="AQ31" s="20">
        <f t="shared" ca="1" si="85"/>
        <v>53</v>
      </c>
      <c r="AR31" s="20">
        <f t="shared" ca="1" si="85"/>
        <v>56</v>
      </c>
      <c r="AS31" s="20">
        <f t="shared" ca="1" si="85"/>
        <v>56</v>
      </c>
      <c r="AT31" s="20">
        <f t="shared" ca="1" si="85"/>
        <v>53</v>
      </c>
      <c r="AU31" s="20">
        <f t="shared" ca="1" si="85"/>
        <v>0</v>
      </c>
      <c r="AV31" s="20">
        <f t="shared" ca="1" si="85"/>
        <v>56</v>
      </c>
      <c r="AW31" s="20">
        <f t="shared" ca="1" si="85"/>
        <v>0</v>
      </c>
      <c r="AX31" s="20">
        <f t="shared" ca="1" si="85"/>
        <v>54</v>
      </c>
      <c r="AY31" s="20">
        <f t="shared" ca="1" si="85"/>
        <v>53</v>
      </c>
      <c r="AZ31" s="20">
        <f t="shared" ca="1" si="86"/>
        <v>51</v>
      </c>
      <c r="BA31" s="20">
        <f t="shared" ca="1" si="86"/>
        <v>0</v>
      </c>
      <c r="BB31" s="20">
        <f t="shared" ca="1" si="86"/>
        <v>56</v>
      </c>
      <c r="BC31" s="20">
        <f t="shared" ca="1" si="86"/>
        <v>57</v>
      </c>
      <c r="BD31" s="20">
        <f t="shared" ca="1" si="86"/>
        <v>0</v>
      </c>
      <c r="BE31" s="20">
        <f t="shared" ca="1" si="86"/>
        <v>54</v>
      </c>
      <c r="BF31" s="20">
        <f t="shared" ca="1" si="86"/>
        <v>49</v>
      </c>
      <c r="BG31" s="20">
        <f t="shared" ca="1" si="86"/>
        <v>0</v>
      </c>
      <c r="BH31" s="20">
        <f t="shared" ca="1" si="86"/>
        <v>49</v>
      </c>
      <c r="BI31" s="34"/>
      <c r="BJ31" s="341">
        <v>0</v>
      </c>
      <c r="BK31" s="341">
        <v>0</v>
      </c>
      <c r="BL31" s="341">
        <v>0</v>
      </c>
      <c r="BM31" s="341">
        <v>0</v>
      </c>
      <c r="BN31" s="341">
        <v>0</v>
      </c>
      <c r="BO31" s="341">
        <v>0</v>
      </c>
      <c r="BP31" s="341">
        <v>0</v>
      </c>
      <c r="BQ31" s="341">
        <v>0</v>
      </c>
      <c r="BR31" s="341">
        <v>0</v>
      </c>
      <c r="BS31" s="341">
        <v>0</v>
      </c>
      <c r="BT31" s="20">
        <f t="shared" ca="1" si="87"/>
        <v>0</v>
      </c>
      <c r="BU31" s="20">
        <f t="shared" ca="1" si="87"/>
        <v>0</v>
      </c>
      <c r="BV31" s="20">
        <f t="shared" ca="1" si="87"/>
        <v>0</v>
      </c>
      <c r="BW31" s="20">
        <f t="shared" ca="1" si="87"/>
        <v>0</v>
      </c>
      <c r="BX31" s="20">
        <f t="shared" ca="1" si="87"/>
        <v>0</v>
      </c>
      <c r="BY31" s="20">
        <f t="shared" ca="1" si="87"/>
        <v>0</v>
      </c>
      <c r="BZ31" s="20">
        <f t="shared" ca="1" si="87"/>
        <v>0</v>
      </c>
      <c r="CA31" s="20">
        <f t="shared" ca="1" si="87"/>
        <v>0</v>
      </c>
      <c r="CB31" s="20">
        <f t="shared" ca="1" si="87"/>
        <v>0</v>
      </c>
      <c r="CC31" s="20">
        <f t="shared" ca="1" si="87"/>
        <v>0</v>
      </c>
      <c r="CD31" s="20">
        <f t="shared" ca="1" si="88"/>
        <v>0</v>
      </c>
      <c r="CE31" s="20">
        <f t="shared" ca="1" si="88"/>
        <v>0</v>
      </c>
      <c r="CF31" s="20">
        <f t="shared" ca="1" si="88"/>
        <v>0</v>
      </c>
      <c r="CG31" s="20">
        <f t="shared" ca="1" si="88"/>
        <v>0</v>
      </c>
      <c r="CH31" s="20">
        <f t="shared" ca="1" si="88"/>
        <v>1</v>
      </c>
      <c r="CI31" s="20">
        <f t="shared" ca="1" si="88"/>
        <v>0</v>
      </c>
      <c r="CJ31" s="20">
        <f t="shared" ca="1" si="88"/>
        <v>0</v>
      </c>
      <c r="CK31" s="20">
        <f t="shared" ca="1" si="88"/>
        <v>1</v>
      </c>
      <c r="CL31" s="20">
        <f t="shared" ca="1" si="88"/>
        <v>0</v>
      </c>
      <c r="CM31" s="34"/>
      <c r="CN31" s="20">
        <f t="shared" ca="1" si="89"/>
        <v>47</v>
      </c>
      <c r="CO31" s="20">
        <f t="shared" ca="1" si="89"/>
        <v>40</v>
      </c>
      <c r="CP31" s="20">
        <f t="shared" ca="1" si="89"/>
        <v>43</v>
      </c>
      <c r="CQ31" s="20">
        <f t="shared" ca="1" si="89"/>
        <v>43</v>
      </c>
      <c r="CR31" s="20">
        <f t="shared" ca="1" si="89"/>
        <v>40</v>
      </c>
      <c r="CS31" s="20" t="str">
        <f t="shared" ca="1" si="89"/>
        <v/>
      </c>
      <c r="CT31" s="20">
        <f t="shared" ca="1" si="89"/>
        <v>42</v>
      </c>
      <c r="CU31" s="20" t="str">
        <f t="shared" ca="1" si="89"/>
        <v/>
      </c>
      <c r="CV31" s="20">
        <f t="shared" ca="1" si="89"/>
        <v>40</v>
      </c>
      <c r="CW31" s="20">
        <f t="shared" ca="1" si="89"/>
        <v>37</v>
      </c>
      <c r="CX31" s="20">
        <f t="shared" ca="1" si="90"/>
        <v>35</v>
      </c>
      <c r="CY31" s="20" t="str">
        <f t="shared" ca="1" si="90"/>
        <v/>
      </c>
      <c r="CZ31" s="20">
        <f t="shared" ca="1" si="90"/>
        <v>40</v>
      </c>
      <c r="DA31" s="20">
        <f t="shared" ca="1" si="90"/>
        <v>41</v>
      </c>
      <c r="DB31" s="20" t="str">
        <f t="shared" ca="1" si="90"/>
        <v/>
      </c>
      <c r="DC31" s="20">
        <f t="shared" ca="1" si="90"/>
        <v>38</v>
      </c>
      <c r="DD31" s="20">
        <f t="shared" ca="1" si="90"/>
        <v>33</v>
      </c>
      <c r="DE31" s="20" t="str">
        <f t="shared" ca="1" si="90"/>
        <v/>
      </c>
      <c r="DF31" s="20">
        <f t="shared" ca="1" si="90"/>
        <v>34</v>
      </c>
      <c r="DG31" s="34"/>
      <c r="DH31" s="20">
        <f t="shared" ca="1" si="91"/>
        <v>6</v>
      </c>
      <c r="DI31" s="20">
        <f t="shared" ca="1" si="91"/>
        <v>14</v>
      </c>
      <c r="DJ31" s="20">
        <f t="shared" ca="1" si="91"/>
        <v>13</v>
      </c>
      <c r="DK31" s="20">
        <f t="shared" ca="1" si="91"/>
        <v>13</v>
      </c>
      <c r="DL31" s="20">
        <f t="shared" ca="1" si="91"/>
        <v>11</v>
      </c>
      <c r="DM31" s="20" t="str">
        <f t="shared" ca="1" si="91"/>
        <v/>
      </c>
      <c r="DN31" s="20">
        <f t="shared" ca="1" si="91"/>
        <v>7</v>
      </c>
      <c r="DO31" s="20" t="str">
        <f t="shared" ca="1" si="91"/>
        <v/>
      </c>
      <c r="DP31" s="20">
        <f t="shared" ca="1" si="91"/>
        <v>9</v>
      </c>
      <c r="DQ31" s="20">
        <f t="shared" ca="1" si="91"/>
        <v>13</v>
      </c>
      <c r="DR31" s="20">
        <f t="shared" ca="1" si="92"/>
        <v>13</v>
      </c>
      <c r="DS31" s="20" t="str">
        <f t="shared" ca="1" si="92"/>
        <v/>
      </c>
      <c r="DT31" s="20">
        <f t="shared" ca="1" si="92"/>
        <v>10</v>
      </c>
      <c r="DU31" s="20">
        <f t="shared" ca="1" si="92"/>
        <v>8</v>
      </c>
      <c r="DV31" s="20">
        <f t="shared" ca="1" si="92"/>
        <v>14</v>
      </c>
      <c r="DW31" s="20">
        <f t="shared" ca="1" si="92"/>
        <v>9</v>
      </c>
      <c r="DX31" s="20">
        <f t="shared" ca="1" si="92"/>
        <v>12</v>
      </c>
      <c r="DY31" s="20">
        <f t="shared" ca="1" si="92"/>
        <v>13</v>
      </c>
      <c r="DZ31" s="20" t="str">
        <f t="shared" ca="1" si="92"/>
        <v/>
      </c>
      <c r="EA31" s="34"/>
      <c r="EB31" s="20" t="str">
        <f t="shared" ca="1" si="93"/>
        <v/>
      </c>
      <c r="EC31" s="20" t="str">
        <f t="shared" ca="1" si="93"/>
        <v/>
      </c>
      <c r="ED31" s="20" t="str">
        <f t="shared" ca="1" si="93"/>
        <v/>
      </c>
      <c r="EE31" s="20" t="str">
        <f t="shared" ca="1" si="93"/>
        <v/>
      </c>
      <c r="EF31" s="20" t="str">
        <f t="shared" ca="1" si="93"/>
        <v/>
      </c>
      <c r="EG31" s="20" t="str">
        <f t="shared" ca="1" si="93"/>
        <v/>
      </c>
      <c r="EH31" s="20" t="str">
        <f t="shared" ca="1" si="93"/>
        <v/>
      </c>
      <c r="EI31" s="20" t="str">
        <f t="shared" ca="1" si="93"/>
        <v/>
      </c>
      <c r="EJ31" s="20" t="str">
        <f t="shared" ca="1" si="93"/>
        <v/>
      </c>
      <c r="EK31" s="20" t="str">
        <f t="shared" ca="1" si="93"/>
        <v/>
      </c>
      <c r="EL31" s="20" t="str">
        <f t="shared" ca="1" si="94"/>
        <v/>
      </c>
      <c r="EM31" s="20" t="str">
        <f t="shared" ca="1" si="94"/>
        <v/>
      </c>
      <c r="EN31" s="20" t="str">
        <f t="shared" ca="1" si="94"/>
        <v/>
      </c>
      <c r="EO31" s="20" t="str">
        <f t="shared" ca="1" si="94"/>
        <v/>
      </c>
      <c r="EP31" s="20" t="str">
        <f t="shared" ca="1" si="94"/>
        <v/>
      </c>
      <c r="EQ31" s="20" t="str">
        <f t="shared" ca="1" si="94"/>
        <v/>
      </c>
      <c r="ER31" s="20" t="str">
        <f t="shared" ca="1" si="94"/>
        <v/>
      </c>
      <c r="ES31" s="20" t="str">
        <f t="shared" ca="1" si="94"/>
        <v/>
      </c>
      <c r="ET31" s="20">
        <f t="shared" ca="1" si="94"/>
        <v>1</v>
      </c>
      <c r="EU31" s="34"/>
      <c r="EV31" s="20" t="str">
        <f t="shared" ca="1" si="95"/>
        <v/>
      </c>
      <c r="EW31" s="20" t="str">
        <f t="shared" ca="1" si="95"/>
        <v/>
      </c>
      <c r="EX31" s="20" t="str">
        <f t="shared" ca="1" si="95"/>
        <v/>
      </c>
      <c r="EY31" s="20" t="str">
        <f t="shared" ca="1" si="95"/>
        <v/>
      </c>
      <c r="EZ31" s="20" t="str">
        <f t="shared" ca="1" si="95"/>
        <v/>
      </c>
      <c r="FA31" s="20" t="str">
        <f t="shared" ca="1" si="95"/>
        <v/>
      </c>
      <c r="FB31" s="20" t="str">
        <f t="shared" ca="1" si="95"/>
        <v/>
      </c>
      <c r="FC31" s="20" t="str">
        <f t="shared" ca="1" si="95"/>
        <v/>
      </c>
      <c r="FD31" s="20" t="str">
        <f t="shared" ca="1" si="95"/>
        <v/>
      </c>
      <c r="FE31" s="20" t="str">
        <f t="shared" ca="1" si="95"/>
        <v/>
      </c>
      <c r="FF31" s="20" t="str">
        <f t="shared" ca="1" si="96"/>
        <v/>
      </c>
      <c r="FG31" s="20" t="str">
        <f t="shared" ca="1" si="96"/>
        <v/>
      </c>
      <c r="FH31" s="20" t="str">
        <f t="shared" ca="1" si="96"/>
        <v/>
      </c>
      <c r="FI31" s="20" t="str">
        <f t="shared" ca="1" si="96"/>
        <v/>
      </c>
      <c r="FJ31" s="20" t="str">
        <f t="shared" ca="1" si="96"/>
        <v/>
      </c>
      <c r="FK31" s="20" t="str">
        <f t="shared" ca="1" si="96"/>
        <v/>
      </c>
      <c r="FL31" s="20" t="str">
        <f t="shared" ca="1" si="96"/>
        <v/>
      </c>
      <c r="FM31" s="20" t="str">
        <f t="shared" ca="1" si="96"/>
        <v/>
      </c>
      <c r="FN31" s="20" t="str">
        <f t="shared" ca="1" si="96"/>
        <v/>
      </c>
      <c r="FO31" s="34"/>
      <c r="FP31" s="20" t="str">
        <f t="shared" ca="1" si="97"/>
        <v>l</v>
      </c>
      <c r="FQ31" s="20" t="str">
        <f t="shared" ca="1" si="97"/>
        <v>w</v>
      </c>
      <c r="FR31" s="20" t="str">
        <f t="shared" ca="1" si="97"/>
        <v>w</v>
      </c>
      <c r="FS31" s="20" t="str">
        <f t="shared" ca="1" si="97"/>
        <v>w</v>
      </c>
      <c r="FT31" s="20" t="str">
        <f t="shared" ca="1" si="97"/>
        <v>w</v>
      </c>
      <c r="FU31" s="20" t="str">
        <f t="shared" ca="1" si="97"/>
        <v/>
      </c>
      <c r="FV31" s="20" t="str">
        <f t="shared" ca="1" si="97"/>
        <v>l</v>
      </c>
      <c r="FW31" s="20" t="str">
        <f t="shared" ca="1" si="97"/>
        <v/>
      </c>
      <c r="FX31" s="20" t="str">
        <f t="shared" ca="1" si="97"/>
        <v>l</v>
      </c>
      <c r="FY31" s="20" t="str">
        <f t="shared" ca="1" si="97"/>
        <v>w</v>
      </c>
      <c r="FZ31" s="20" t="str">
        <f t="shared" ca="1" si="98"/>
        <v>w</v>
      </c>
      <c r="GA31" s="20" t="str">
        <f t="shared" ca="1" si="98"/>
        <v/>
      </c>
      <c r="GB31" s="20" t="str">
        <f t="shared" ca="1" si="98"/>
        <v>t</v>
      </c>
      <c r="GC31" s="20" t="str">
        <f t="shared" ca="1" si="98"/>
        <v>l</v>
      </c>
      <c r="GD31" s="20" t="str">
        <f t="shared" ca="1" si="98"/>
        <v>w</v>
      </c>
      <c r="GE31" s="20" t="str">
        <f t="shared" ca="1" si="98"/>
        <v>l</v>
      </c>
      <c r="GF31" s="20" t="str">
        <f t="shared" ca="1" si="98"/>
        <v>w</v>
      </c>
      <c r="GG31" s="20" t="str">
        <f t="shared" ca="1" si="98"/>
        <v>w</v>
      </c>
      <c r="GH31" s="20" t="str">
        <f t="shared" ca="1" si="98"/>
        <v>w</v>
      </c>
      <c r="GI31" s="34"/>
      <c r="HE31" s="34"/>
      <c r="HZ31" s="34"/>
      <c r="IA31" s="19" t="str">
        <f t="shared" ca="1" si="99"/>
        <v>No Hdcp</v>
      </c>
      <c r="IB31" s="19" t="str">
        <f ca="1">IF($D31&lt;&gt;"","Low of score &amp; "&amp;MIN($H31:$H31),"")</f>
        <v>Low of score &amp; 49</v>
      </c>
      <c r="IC31" s="19" t="str">
        <f ca="1">IF($D31&lt;&gt;"","Low of score &amp; "&amp;MIN($H31:$I31),"")</f>
        <v>Low of score &amp; 49</v>
      </c>
      <c r="ID31" s="18" t="str">
        <f ca="1">IF($D31&lt;&gt;"","Low of score &amp; "&amp;MIN($H31:$J31),"")</f>
        <v>Low of score &amp; 49</v>
      </c>
      <c r="IE31" s="18" t="str">
        <f ca="1">IF($D31&lt;&gt;"","Low of score &amp; "&amp;MIN($H31:$K31),"")</f>
        <v>Low of score &amp; 49</v>
      </c>
      <c r="IF31" s="18">
        <f ca="1">IF($D31&lt;&gt;"",ROUND(MIN((MIN($H31:$L31)-36)*0.96,20),2),"")</f>
        <v>12.48</v>
      </c>
      <c r="IG31" s="353">
        <f ca="1">IF($D31&lt;&gt;"",ROUND(MIN((AVERAGE(SMALL($H31:$M31,1),SMALL($H31:$M31,2))-36)*0.96,20),2),"")</f>
        <v>12.48</v>
      </c>
      <c r="IH31" s="18">
        <f ca="1">IF($D31&lt;&gt;"",ROUND(MIN((AVERAGE(SMALL($H31:$N31,1),SMALL($H31:$N31,2),SMALL($H31:$N31,3))-36)*0.96,20),2),"")</f>
        <v>13.12</v>
      </c>
      <c r="II31" s="18">
        <f ca="1">IF($D31&lt;&gt;"",ROUND(MIN((AVERAGE(SMALL($H31:$O31,1),SMALL($H31:$O31,2),SMALL($H31:$O31,3),SMALL($H31:$O31,4))-36)*0.96,20),2),"")</f>
        <v>13.92</v>
      </c>
      <c r="IJ31" s="18">
        <f ca="1">IF($D31&lt;&gt;"",ROUND(MIN((AVERAGE(SMALL($H31:$P31,1),SMALL($H31:$P31,2),SMALL($H31:$P31,3),SMALL($H31:$P31,4))-36)*0.96,20),2),"")</f>
        <v>13.92</v>
      </c>
      <c r="IK31" s="18">
        <f ca="1">IF($D31&lt;&gt;"",ROUND(MIN((AVERAGE(SMALL($H31:$Q31,1),SMALL($H31:$Q31,2),SMALL($H31:$Q31,3),SMALL($H31:$Q31,4),SMALL($H31:$Q31,5))-36)*0.96,20),2),"")</f>
        <v>14.4</v>
      </c>
      <c r="IL31" s="34"/>
      <c r="IN31" s="18">
        <f ca="1">AO31</f>
        <v>54</v>
      </c>
      <c r="IO31" s="18">
        <f ca="1">AN31</f>
        <v>52</v>
      </c>
      <c r="IP31" s="18">
        <f ca="1">AM31</f>
        <v>49</v>
      </c>
      <c r="IQ31" s="18">
        <f ca="1">AL31</f>
        <v>48</v>
      </c>
      <c r="IR31" s="18">
        <f ca="1">AK31</f>
        <v>60</v>
      </c>
      <c r="IS31" s="18">
        <f ca="1">AJ31</f>
        <v>48</v>
      </c>
      <c r="IT31" s="18">
        <f ca="1">AI31</f>
        <v>51</v>
      </c>
      <c r="IU31" s="18">
        <f ca="1">AH31</f>
        <v>50</v>
      </c>
      <c r="IV31" s="18">
        <f ca="1">AG31</f>
        <v>58</v>
      </c>
      <c r="IW31" s="18">
        <f ca="1">AF31</f>
        <v>57</v>
      </c>
      <c r="IX31" s="19">
        <f ca="1">IF(D31&lt;&gt;"",COUNT(IN31:IW31),"")</f>
        <v>10</v>
      </c>
      <c r="IY31" s="21">
        <f ca="1">IF(D31&lt;&gt;"",INDEX($JA31:$JK31,1,MATCH($IX31,$JA$6:$JK$6,0)), "")</f>
        <v>12.672000000000002</v>
      </c>
      <c r="JA31" s="18" t="str">
        <f ca="1">IF(D31&lt;&gt;"","No Hdcp","")</f>
        <v>No Hdcp</v>
      </c>
      <c r="JB31" s="18" t="str">
        <f ca="1">IF(D31&lt;&gt;"","Low of score &amp; "&amp;MIN($IN31:$IN31),"")</f>
        <v>Low of score &amp; 54</v>
      </c>
      <c r="JC31" s="18" t="str">
        <f ca="1">IF(D31&lt;&gt;"","Low of score &amp; "&amp;MIN($IN31:$IO31),"")</f>
        <v>Low of score &amp; 52</v>
      </c>
      <c r="JD31" s="18" t="str">
        <f ca="1">IF(D31&lt;&gt;"","Low of score &amp; "&amp;MIN($IN31:$IP31),"")</f>
        <v>Low of score &amp; 49</v>
      </c>
      <c r="JE31" s="18" t="str">
        <f ca="1">IF(D31&lt;&gt;"","Low of score &amp; "&amp;MIN($IN31:$IQ31),"")</f>
        <v>Low of score &amp; 48</v>
      </c>
      <c r="JF31" s="18">
        <f ca="1">IF(D31&lt;&gt;"",MIN((MIN($IN31:$IR31)-36)*0.96,20),"")</f>
        <v>11.52</v>
      </c>
      <c r="JG31" s="18">
        <f ca="1">IF(D31&lt;&gt;"",MIN((AVERAGE(SMALL($IN31:$IS31,1),SMALL($IN31:$IS31,2))-36)*0.96,20),"")</f>
        <v>11.52</v>
      </c>
      <c r="JH31" s="18">
        <f ca="1">IF(D31&lt;&gt;"",MIN((AVERAGE(SMALL($IN31:$IT31,1),SMALL($IN31:$IT31,2),SMALL($IN31:$IT31,3))-36)*0.96,20),"")</f>
        <v>11.840000000000002</v>
      </c>
      <c r="JI31" s="18">
        <f ca="1">IF(D31&lt;&gt;"",MIN((AVERAGE(SMALL($IN31:$IU31,1),SMALL($IN31:$IU31,2),SMALL($IN31:$IU31,3),SMALL($IN31:$IU31,4))-36)*0.96,20),"")</f>
        <v>12.24</v>
      </c>
      <c r="JJ31" s="18">
        <f ca="1">IF(D31&lt;&gt;"",MIN((AVERAGE(SMALL($IN31:$IV31,1),SMALL($IN31:$IV31,2),SMALL($IN31:$IV31,3),SMALL($IN31:$IV31,4))-36)*0.96,20),"")</f>
        <v>12.24</v>
      </c>
      <c r="JK31" s="18">
        <f ca="1">IF(D31&lt;&gt;"",MIN((AVERAGE(SMALL($IN31:$IW31,1),SMALL($IN31:$IW31,2),SMALL($IN31:$IW31,3),SMALL($IN31:$IW31,4),SMALL($IN31:$IW31,5))-36)*0.96,20),"")</f>
        <v>12.672000000000002</v>
      </c>
    </row>
    <row r="32" spans="1:271" x14ac:dyDescent="0.2">
      <c r="A32" s="18" t="s">
        <v>23</v>
      </c>
      <c r="B32" s="19">
        <f>B31+7</f>
        <v>26</v>
      </c>
      <c r="C32" s="22">
        <f t="shared" ca="1" si="78"/>
        <v>6.4000000000000003E-3</v>
      </c>
      <c r="D32" s="18" t="str">
        <f t="shared" ca="1" si="79"/>
        <v>Lapole, Chris - C - gold tees</v>
      </c>
      <c r="E32" s="19">
        <f t="shared" ca="1" si="80"/>
        <v>13</v>
      </c>
      <c r="F32" s="19">
        <f ca="1">IF(D32&lt;&gt;"",COUNT($H32:$Q32),"")</f>
        <v>10</v>
      </c>
      <c r="G32" s="21">
        <f ca="1">IF($D32&lt;&gt;"",INDEX($IA32:$IK32,1,MATCH($F32,$IA$6:$IK$6,0)), "")</f>
        <v>16.7</v>
      </c>
      <c r="H32" s="337" cm="1">
        <f t="array" aca="1" ref="H32" ca="1">IFERROR(_xlfn.SINGLE(INDEX($AF32:$BH32, , SUMPRODUCT(LARGE((($AF32:$BH32&lt;&gt;0)*($BJ32:$CL32&lt;&gt;1)*($AF$5:$BH$5)), H$6)))), "")</f>
        <v>50</v>
      </c>
      <c r="I32" s="338" cm="1">
        <f t="array" aca="1" ref="I32" ca="1">IFERROR(_xlfn.SINGLE(INDEX($AF32:$BH32, , SUMPRODUCT(LARGE((($AF32:$BH32&lt;&gt;0)*($BJ32:$CL32&lt;&gt;1)*($AF$5:$BH$5)), I$6)))), "")</f>
        <v>62</v>
      </c>
      <c r="J32" s="338" cm="1">
        <f t="array" aca="1" ref="J32" ca="1">IFERROR(_xlfn.SINGLE(INDEX($AF32:$BH32, , SUMPRODUCT(LARGE((($AF32:$BH32&lt;&gt;0)*($BJ32:$CL32&lt;&gt;1)*($AF$5:$BH$5)), J$6)))), "")</f>
        <v>55</v>
      </c>
      <c r="K32" s="338" cm="1">
        <f t="array" aca="1" ref="K32" ca="1">IFERROR(_xlfn.SINGLE(INDEX($AF32:$BH32, , SUMPRODUCT(LARGE((($AF32:$BH32&lt;&gt;0)*($BJ32:$CL32&lt;&gt;1)*($AF$5:$BH$5)), K$6)))), "")</f>
        <v>55</v>
      </c>
      <c r="L32" s="338" cm="1">
        <f t="array" aca="1" ref="L32" ca="1">IFERROR(_xlfn.SINGLE(INDEX($AF32:$BH32, , SUMPRODUCT(LARGE((($AF32:$BH32&lt;&gt;0)*($BJ32:$CL32&lt;&gt;1)*($AF$5:$BH$5)), L$6)))), "")</f>
        <v>55</v>
      </c>
      <c r="M32" s="338" cm="1">
        <f t="array" aca="1" ref="M32" ca="1">IFERROR(_xlfn.SINGLE(INDEX($AF32:$BH32, , SUMPRODUCT(LARGE((($AF32:$BH32&lt;&gt;0)*($BJ32:$CL32&lt;&gt;1)*($AF$5:$BH$5)), M$6)))), "")</f>
        <v>55</v>
      </c>
      <c r="N32" s="338" cm="1">
        <f t="array" aca="1" ref="N32" ca="1">IFERROR(_xlfn.SINGLE(INDEX($AF32:$BH32, , SUMPRODUCT(LARGE((($AF32:$BH32&lt;&gt;0)*($BJ32:$CL32&lt;&gt;1)*($AF$5:$BH$5)), N$6)))), "")</f>
        <v>56</v>
      </c>
      <c r="O32" s="338" cm="1">
        <f t="array" aca="1" ref="O32" ca="1">IFERROR(_xlfn.SINGLE(INDEX($AF32:$BH32, , SUMPRODUCT(LARGE((($AF32:$BH32&lt;&gt;0)*($BJ32:$CL32&lt;&gt;1)*($AF$5:$BH$5)), O$6)))), "")</f>
        <v>59</v>
      </c>
      <c r="P32" s="338" cm="1">
        <f t="array" aca="1" ref="P32" ca="1">IFERROR(_xlfn.SINGLE(INDEX($AF32:$BH32, , SUMPRODUCT(LARGE((($AF32:$BH32&lt;&gt;0)*($BJ32:$CL32&lt;&gt;1)*($AF$5:$BH$5)), P$6)))), "")</f>
        <v>52</v>
      </c>
      <c r="Q32" s="339" cm="1">
        <f t="array" aca="1" ref="Q32" ca="1">IFERROR(_xlfn.SINGLE(INDEX($AF32:$BH32, , SUMPRODUCT(LARGE((($AF32:$BH32&lt;&gt;0)*($BJ32:$CL32&lt;&gt;1)*($AF$5:$BH$5)), Q$6)))), "")</f>
        <v>56</v>
      </c>
      <c r="R32" s="21">
        <v>55</v>
      </c>
      <c r="S32" s="47">
        <f t="shared" ca="1" si="81"/>
        <v>53.4</v>
      </c>
      <c r="T32" s="21">
        <f ca="1">IF($D32&lt;&gt;"", IFERROR(IF($E32&gt;=qualifier, SUMIF($BT32:$CL32,0,$AP32:$BH32)/$E32, TEXT(SUMIF($BT32:$CL32,0,$AP32:$BH32)/$E32, "0.00")&amp;"*"), "-"), "")</f>
        <v>56.307692307692307</v>
      </c>
      <c r="U32" s="21">
        <f ca="1">IF($D32&lt;&gt;"", IFERROR(IF($E32&gt;=qualifier, SUMIF($BT32:$CL32,0,$CN32:$DF32)/$E32, TEXT(SUMIF($BT32:$CL32,0,$CN32:$DF32)/$E32, "0.00")&amp;"*"), "-"), "")</f>
        <v>38.92307692307692</v>
      </c>
      <c r="V32" s="46">
        <f ca="1">IF(AND($D32&lt;&gt;"", $E32&lt;&gt;0), _xlfn.MINIFS($AP32:$BH32,$BT32:$CL32,0,$AP32:$BH32,"&lt;&gt;0"), "")</f>
        <v>50</v>
      </c>
      <c r="W32" s="19">
        <f ca="1">IF(AND($D32&lt;&gt;"", $E32&lt;&gt;0), _xlfn.MINIFS($CN32:$DF32,$BT32:$CL32,0), "")</f>
        <v>32</v>
      </c>
      <c r="X32" s="46">
        <f ca="1">IF($D32&lt;&gt;"", SUM($DH32:$DZ32),  "")</f>
        <v>154</v>
      </c>
      <c r="Y32" s="21">
        <f ca="1">IF($D32&lt;&gt;"", IFERROR(IF($E32&gt;=qualifier, AVERAGE($DH32:$DZ32), TEXT(AVERAGE($DH32:$DZ32), "0.00")&amp;"*"), "-"), "")</f>
        <v>11</v>
      </c>
      <c r="Z32" s="19">
        <f ca="1">IF($D32&lt;&gt;"", SUM($EB32:$ET32),  "")</f>
        <v>0</v>
      </c>
      <c r="AA32" s="19">
        <f ca="1">IF($D32&lt;&gt;"", SUM($EV32:$FN32),  "")</f>
        <v>0</v>
      </c>
      <c r="AB32" s="46" t="str">
        <f t="shared" ca="1" si="82"/>
        <v>9-6-0</v>
      </c>
      <c r="AC32" s="218">
        <f t="shared" ca="1" si="83"/>
        <v>3303097690</v>
      </c>
      <c r="AD32" s="57" t="str">
        <f t="shared" ca="1" si="84"/>
        <v>cjlapole@yahoo.com</v>
      </c>
      <c r="AE32" s="34"/>
      <c r="AF32" s="341">
        <f ca="1">INDEX(PriorScores[],MATCH($D32,PriorScores[Team / Player],0),2)</f>
        <v>53</v>
      </c>
      <c r="AG32" s="341">
        <f ca="1">INDEX(PriorScores[],MATCH($D32,PriorScores[Team / Player],0),3)</f>
        <v>53</v>
      </c>
      <c r="AH32" s="341">
        <f ca="1">INDEX(PriorScores[],MATCH($D32,PriorScores[Team / Player],0),4)</f>
        <v>55</v>
      </c>
      <c r="AI32" s="341">
        <f ca="1">INDEX(PriorScores[],MATCH($D32,PriorScores[Team / Player],0),5)</f>
        <v>57</v>
      </c>
      <c r="AJ32" s="341">
        <f ca="1">INDEX(PriorScores[],MATCH($D32,PriorScores[Team / Player],0),6)</f>
        <v>48</v>
      </c>
      <c r="AK32" s="341">
        <f ca="1">INDEX(PriorScores[],MATCH($D32,PriorScores[Team / Player],0),7)</f>
        <v>53</v>
      </c>
      <c r="AL32" s="341">
        <f ca="1">INDEX(PriorScores[],MATCH($D32,PriorScores[Team / Player],0),8)</f>
        <v>60</v>
      </c>
      <c r="AM32" s="341">
        <f ca="1">INDEX(PriorScores[],MATCH($D32,PriorScores[Team / Player],0),9)</f>
        <v>61</v>
      </c>
      <c r="AN32" s="341">
        <f ca="1">INDEX(PriorScores[],MATCH($D32,PriorScores[Team / Player],0),10)</f>
        <v>58</v>
      </c>
      <c r="AO32" s="341">
        <f ca="1">INDEX(PriorScores[],MATCH($D32,PriorScores[Team / Player],0),11)</f>
        <v>54</v>
      </c>
      <c r="AP32" s="20">
        <f t="shared" ca="1" si="85"/>
        <v>58</v>
      </c>
      <c r="AQ32" s="20">
        <f t="shared" ca="1" si="85"/>
        <v>63</v>
      </c>
      <c r="AR32" s="20">
        <f t="shared" ca="1" si="85"/>
        <v>56</v>
      </c>
      <c r="AS32" s="20">
        <f t="shared" ca="1" si="85"/>
        <v>56</v>
      </c>
      <c r="AT32" s="20">
        <f t="shared" ca="1" si="85"/>
        <v>52</v>
      </c>
      <c r="AU32" s="20">
        <f t="shared" ca="1" si="85"/>
        <v>59</v>
      </c>
      <c r="AV32" s="20">
        <f t="shared" ca="1" si="85"/>
        <v>56</v>
      </c>
      <c r="AW32" s="20">
        <f t="shared" ca="1" si="85"/>
        <v>0</v>
      </c>
      <c r="AX32" s="20">
        <f t="shared" ca="1" si="85"/>
        <v>55</v>
      </c>
      <c r="AY32" s="20">
        <f t="shared" ca="1" si="85"/>
        <v>0</v>
      </c>
      <c r="AZ32" s="20">
        <f t="shared" ca="1" si="86"/>
        <v>55</v>
      </c>
      <c r="BA32" s="20">
        <f t="shared" ca="1" si="86"/>
        <v>0</v>
      </c>
      <c r="BB32" s="20">
        <f t="shared" ca="1" si="86"/>
        <v>55</v>
      </c>
      <c r="BC32" s="20">
        <f t="shared" ca="1" si="86"/>
        <v>55</v>
      </c>
      <c r="BD32" s="20">
        <f t="shared" ca="1" si="86"/>
        <v>0</v>
      </c>
      <c r="BE32" s="20">
        <f t="shared" ca="1" si="86"/>
        <v>0</v>
      </c>
      <c r="BF32" s="20">
        <f t="shared" ca="1" si="86"/>
        <v>62</v>
      </c>
      <c r="BG32" s="20">
        <f t="shared" ca="1" si="86"/>
        <v>0</v>
      </c>
      <c r="BH32" s="20">
        <f t="shared" ca="1" si="86"/>
        <v>50</v>
      </c>
      <c r="BI32" s="34"/>
      <c r="BJ32" s="341">
        <v>0</v>
      </c>
      <c r="BK32" s="341">
        <v>0</v>
      </c>
      <c r="BL32" s="341">
        <v>0</v>
      </c>
      <c r="BM32" s="341">
        <v>0</v>
      </c>
      <c r="BN32" s="341">
        <v>0</v>
      </c>
      <c r="BO32" s="341">
        <v>0</v>
      </c>
      <c r="BP32" s="341">
        <v>0</v>
      </c>
      <c r="BQ32" s="341">
        <v>0</v>
      </c>
      <c r="BR32" s="341">
        <v>0</v>
      </c>
      <c r="BS32" s="341">
        <v>0</v>
      </c>
      <c r="BT32" s="20">
        <f t="shared" ca="1" si="87"/>
        <v>0</v>
      </c>
      <c r="BU32" s="20">
        <f t="shared" ca="1" si="87"/>
        <v>0</v>
      </c>
      <c r="BV32" s="20">
        <f t="shared" ca="1" si="87"/>
        <v>0</v>
      </c>
      <c r="BW32" s="20">
        <f t="shared" ca="1" si="87"/>
        <v>0</v>
      </c>
      <c r="BX32" s="20">
        <f t="shared" ca="1" si="87"/>
        <v>0</v>
      </c>
      <c r="BY32" s="20">
        <f t="shared" ca="1" si="87"/>
        <v>0</v>
      </c>
      <c r="BZ32" s="20">
        <f t="shared" ca="1" si="87"/>
        <v>0</v>
      </c>
      <c r="CA32" s="20">
        <f t="shared" ca="1" si="87"/>
        <v>0</v>
      </c>
      <c r="CB32" s="20">
        <f t="shared" ca="1" si="87"/>
        <v>0</v>
      </c>
      <c r="CC32" s="20">
        <f t="shared" ca="1" si="87"/>
        <v>0</v>
      </c>
      <c r="CD32" s="20">
        <f t="shared" ca="1" si="88"/>
        <v>0</v>
      </c>
      <c r="CE32" s="20">
        <f t="shared" ca="1" si="88"/>
        <v>0</v>
      </c>
      <c r="CF32" s="20">
        <f t="shared" ca="1" si="88"/>
        <v>0</v>
      </c>
      <c r="CG32" s="20">
        <f t="shared" ca="1" si="88"/>
        <v>0</v>
      </c>
      <c r="CH32" s="20">
        <f t="shared" ca="1" si="88"/>
        <v>1</v>
      </c>
      <c r="CI32" s="20">
        <f t="shared" ca="1" si="88"/>
        <v>0</v>
      </c>
      <c r="CJ32" s="20">
        <f t="shared" ca="1" si="88"/>
        <v>0</v>
      </c>
      <c r="CK32" s="20">
        <f t="shared" ca="1" si="88"/>
        <v>1</v>
      </c>
      <c r="CL32" s="20">
        <f t="shared" ca="1" si="88"/>
        <v>0</v>
      </c>
      <c r="CM32" s="34"/>
      <c r="CN32" s="20">
        <f t="shared" ca="1" si="89"/>
        <v>42</v>
      </c>
      <c r="CO32" s="20">
        <f t="shared" ca="1" si="89"/>
        <v>47</v>
      </c>
      <c r="CP32" s="20">
        <f t="shared" ca="1" si="89"/>
        <v>39</v>
      </c>
      <c r="CQ32" s="20">
        <f t="shared" ca="1" si="89"/>
        <v>39</v>
      </c>
      <c r="CR32" s="20">
        <f t="shared" ca="1" si="89"/>
        <v>35</v>
      </c>
      <c r="CS32" s="20">
        <f t="shared" ca="1" si="89"/>
        <v>42</v>
      </c>
      <c r="CT32" s="20">
        <f t="shared" ca="1" si="89"/>
        <v>38</v>
      </c>
      <c r="CU32" s="20" t="str">
        <f t="shared" ca="1" si="89"/>
        <v/>
      </c>
      <c r="CV32" s="20">
        <f t="shared" ca="1" si="89"/>
        <v>37</v>
      </c>
      <c r="CW32" s="20" t="str">
        <f t="shared" ca="1" si="89"/>
        <v/>
      </c>
      <c r="CX32" s="20">
        <f t="shared" ca="1" si="90"/>
        <v>37</v>
      </c>
      <c r="CY32" s="20" t="str">
        <f t="shared" ca="1" si="90"/>
        <v/>
      </c>
      <c r="CZ32" s="20">
        <f t="shared" ca="1" si="90"/>
        <v>37</v>
      </c>
      <c r="DA32" s="20">
        <f t="shared" ca="1" si="90"/>
        <v>37</v>
      </c>
      <c r="DB32" s="20" t="str">
        <f t="shared" ca="1" si="90"/>
        <v/>
      </c>
      <c r="DC32" s="20" t="str">
        <f t="shared" ca="1" si="90"/>
        <v/>
      </c>
      <c r="DD32" s="20">
        <f t="shared" ca="1" si="90"/>
        <v>44</v>
      </c>
      <c r="DE32" s="20" t="str">
        <f t="shared" ca="1" si="90"/>
        <v/>
      </c>
      <c r="DF32" s="20">
        <f t="shared" ca="1" si="90"/>
        <v>32</v>
      </c>
      <c r="DG32" s="34"/>
      <c r="DH32" s="20">
        <f t="shared" ca="1" si="91"/>
        <v>8</v>
      </c>
      <c r="DI32" s="20">
        <f t="shared" ca="1" si="91"/>
        <v>7</v>
      </c>
      <c r="DJ32" s="20">
        <f t="shared" ca="1" si="91"/>
        <v>20</v>
      </c>
      <c r="DK32" s="20">
        <f t="shared" ca="1" si="91"/>
        <v>9</v>
      </c>
      <c r="DL32" s="20">
        <f t="shared" ca="1" si="91"/>
        <v>15</v>
      </c>
      <c r="DM32" s="20">
        <f t="shared" ca="1" si="91"/>
        <v>14</v>
      </c>
      <c r="DN32" s="20">
        <f t="shared" ca="1" si="91"/>
        <v>12</v>
      </c>
      <c r="DO32" s="20" t="str">
        <f t="shared" ca="1" si="91"/>
        <v/>
      </c>
      <c r="DP32" s="20">
        <f t="shared" ca="1" si="91"/>
        <v>12</v>
      </c>
      <c r="DQ32" s="20" t="str">
        <f t="shared" ca="1" si="91"/>
        <v/>
      </c>
      <c r="DR32" s="20">
        <f t="shared" ca="1" si="92"/>
        <v>12</v>
      </c>
      <c r="DS32" s="20" t="str">
        <f t="shared" ca="1" si="92"/>
        <v/>
      </c>
      <c r="DT32" s="20">
        <f t="shared" ca="1" si="92"/>
        <v>7</v>
      </c>
      <c r="DU32" s="20">
        <f t="shared" ca="1" si="92"/>
        <v>11</v>
      </c>
      <c r="DV32" s="20">
        <f t="shared" ca="1" si="92"/>
        <v>13</v>
      </c>
      <c r="DW32" s="20" t="str">
        <f t="shared" ca="1" si="92"/>
        <v/>
      </c>
      <c r="DX32" s="20">
        <f t="shared" ca="1" si="92"/>
        <v>7</v>
      </c>
      <c r="DY32" s="20">
        <f t="shared" ca="1" si="92"/>
        <v>7</v>
      </c>
      <c r="DZ32" s="20" t="str">
        <f t="shared" ca="1" si="92"/>
        <v/>
      </c>
      <c r="EA32" s="34"/>
      <c r="EB32" s="20" t="str">
        <f t="shared" ca="1" si="93"/>
        <v/>
      </c>
      <c r="EC32" s="20" t="str">
        <f t="shared" ca="1" si="93"/>
        <v/>
      </c>
      <c r="ED32" s="20" t="str">
        <f t="shared" ca="1" si="93"/>
        <v/>
      </c>
      <c r="EE32" s="20" t="str">
        <f t="shared" ca="1" si="93"/>
        <v/>
      </c>
      <c r="EF32" s="20" t="str">
        <f t="shared" ca="1" si="93"/>
        <v/>
      </c>
      <c r="EG32" s="20" t="str">
        <f t="shared" ca="1" si="93"/>
        <v/>
      </c>
      <c r="EH32" s="20" t="str">
        <f t="shared" ca="1" si="93"/>
        <v/>
      </c>
      <c r="EI32" s="20" t="str">
        <f t="shared" ca="1" si="93"/>
        <v/>
      </c>
      <c r="EJ32" s="20" t="str">
        <f t="shared" ca="1" si="93"/>
        <v/>
      </c>
      <c r="EK32" s="20" t="str">
        <f t="shared" ca="1" si="93"/>
        <v/>
      </c>
      <c r="EL32" s="20" t="str">
        <f t="shared" ca="1" si="94"/>
        <v/>
      </c>
      <c r="EM32" s="20" t="str">
        <f t="shared" ca="1" si="94"/>
        <v/>
      </c>
      <c r="EN32" s="20" t="str">
        <f t="shared" ca="1" si="94"/>
        <v/>
      </c>
      <c r="EO32" s="20" t="str">
        <f t="shared" ca="1" si="94"/>
        <v/>
      </c>
      <c r="EP32" s="20" t="str">
        <f t="shared" ca="1" si="94"/>
        <v/>
      </c>
      <c r="EQ32" s="20" t="str">
        <f t="shared" ca="1" si="94"/>
        <v/>
      </c>
      <c r="ER32" s="20" t="str">
        <f t="shared" ca="1" si="94"/>
        <v/>
      </c>
      <c r="ES32" s="20" t="str">
        <f t="shared" ca="1" si="94"/>
        <v/>
      </c>
      <c r="ET32" s="20" t="str">
        <f t="shared" ca="1" si="94"/>
        <v/>
      </c>
      <c r="EU32" s="34"/>
      <c r="EV32" s="20" t="str">
        <f t="shared" ca="1" si="95"/>
        <v/>
      </c>
      <c r="EW32" s="20" t="str">
        <f t="shared" ca="1" si="95"/>
        <v/>
      </c>
      <c r="EX32" s="20" t="str">
        <f t="shared" ca="1" si="95"/>
        <v/>
      </c>
      <c r="EY32" s="20" t="str">
        <f t="shared" ca="1" si="95"/>
        <v/>
      </c>
      <c r="EZ32" s="20" t="str">
        <f t="shared" ca="1" si="95"/>
        <v/>
      </c>
      <c r="FA32" s="20" t="str">
        <f t="shared" ca="1" si="95"/>
        <v/>
      </c>
      <c r="FB32" s="20" t="str">
        <f t="shared" ca="1" si="95"/>
        <v/>
      </c>
      <c r="FC32" s="20" t="str">
        <f t="shared" ca="1" si="95"/>
        <v/>
      </c>
      <c r="FD32" s="20" t="str">
        <f t="shared" ca="1" si="95"/>
        <v/>
      </c>
      <c r="FE32" s="20" t="str">
        <f t="shared" ca="1" si="95"/>
        <v/>
      </c>
      <c r="FF32" s="20" t="str">
        <f t="shared" ca="1" si="96"/>
        <v/>
      </c>
      <c r="FG32" s="20" t="str">
        <f t="shared" ca="1" si="96"/>
        <v/>
      </c>
      <c r="FH32" s="20" t="str">
        <f t="shared" ca="1" si="96"/>
        <v/>
      </c>
      <c r="FI32" s="20" t="str">
        <f t="shared" ca="1" si="96"/>
        <v/>
      </c>
      <c r="FJ32" s="20" t="str">
        <f t="shared" ca="1" si="96"/>
        <v/>
      </c>
      <c r="FK32" s="20" t="str">
        <f t="shared" ca="1" si="96"/>
        <v/>
      </c>
      <c r="FL32" s="20" t="str">
        <f t="shared" ca="1" si="96"/>
        <v/>
      </c>
      <c r="FM32" s="20" t="str">
        <f t="shared" ca="1" si="96"/>
        <v/>
      </c>
      <c r="FN32" s="20" t="str">
        <f t="shared" ca="1" si="96"/>
        <v/>
      </c>
      <c r="FO32" s="34"/>
      <c r="FP32" s="20" t="str">
        <f t="shared" ca="1" si="97"/>
        <v>l</v>
      </c>
      <c r="FQ32" s="20" t="str">
        <f t="shared" ca="1" si="97"/>
        <v>l</v>
      </c>
      <c r="FR32" s="20" t="str">
        <f t="shared" ca="1" si="97"/>
        <v>w</v>
      </c>
      <c r="FS32" s="20" t="str">
        <f t="shared" ca="1" si="97"/>
        <v>l</v>
      </c>
      <c r="FT32" s="20" t="str">
        <f t="shared" ca="1" si="97"/>
        <v>w</v>
      </c>
      <c r="FU32" s="20" t="str">
        <f t="shared" ca="1" si="97"/>
        <v>w</v>
      </c>
      <c r="FV32" s="20" t="str">
        <f t="shared" ca="1" si="97"/>
        <v>w</v>
      </c>
      <c r="FW32" s="20" t="str">
        <f t="shared" ca="1" si="97"/>
        <v/>
      </c>
      <c r="FX32" s="20" t="str">
        <f t="shared" ca="1" si="97"/>
        <v>w</v>
      </c>
      <c r="FY32" s="20" t="str">
        <f t="shared" ca="1" si="97"/>
        <v/>
      </c>
      <c r="FZ32" s="20" t="str">
        <f t="shared" ca="1" si="98"/>
        <v>w</v>
      </c>
      <c r="GA32" s="20" t="str">
        <f t="shared" ca="1" si="98"/>
        <v/>
      </c>
      <c r="GB32" s="20" t="str">
        <f t="shared" ca="1" si="98"/>
        <v>l</v>
      </c>
      <c r="GC32" s="20" t="str">
        <f t="shared" ca="1" si="98"/>
        <v>w</v>
      </c>
      <c r="GD32" s="20" t="str">
        <f t="shared" ca="1" si="98"/>
        <v>w</v>
      </c>
      <c r="GE32" s="20" t="str">
        <f t="shared" ca="1" si="98"/>
        <v/>
      </c>
      <c r="GF32" s="20" t="str">
        <f t="shared" ca="1" si="98"/>
        <v>l</v>
      </c>
      <c r="GG32" s="20" t="str">
        <f t="shared" ca="1" si="98"/>
        <v>l</v>
      </c>
      <c r="GH32" s="20" t="str">
        <f t="shared" ca="1" si="98"/>
        <v>w</v>
      </c>
      <c r="GI32" s="34"/>
      <c r="HE32" s="34"/>
      <c r="HZ32" s="34"/>
      <c r="IA32" s="19" t="str">
        <f t="shared" ca="1" si="99"/>
        <v>No Hdcp</v>
      </c>
      <c r="IB32" s="19" t="str">
        <f ca="1">IF($D32&lt;&gt;"","Low of score &amp; "&amp;MIN($H32:$H32),"")</f>
        <v>Low of score &amp; 50</v>
      </c>
      <c r="IC32" s="19" t="str">
        <f ca="1">IF($D32&lt;&gt;"","Low of score &amp; "&amp;MIN($H32:$I32),"")</f>
        <v>Low of score &amp; 50</v>
      </c>
      <c r="ID32" s="18" t="str">
        <f ca="1">IF($D32&lt;&gt;"","Low of score &amp; "&amp;MIN($H32:$J32),"")</f>
        <v>Low of score &amp; 50</v>
      </c>
      <c r="IE32" s="18" t="str">
        <f ca="1">IF($D32&lt;&gt;"","Low of score &amp; "&amp;MIN($H32:$K32),"")</f>
        <v>Low of score &amp; 50</v>
      </c>
      <c r="IF32" s="18">
        <f ca="1">IF($D32&lt;&gt;"",ROUND(MIN((MIN($H32:$L32)-36)*0.96,20),2),"")</f>
        <v>13.44</v>
      </c>
      <c r="IG32" s="353">
        <f ca="1">IF($D32&lt;&gt;"",ROUND(MIN((AVERAGE(SMALL($H32:$M32,1),SMALL($H32:$M32,2))-36)*0.96,20),2),"")</f>
        <v>15.84</v>
      </c>
      <c r="IH32" s="18">
        <f ca="1">IF($D32&lt;&gt;"",ROUND(MIN((AVERAGE(SMALL($H32:$N32,1),SMALL($H32:$N32,2),SMALL($H32:$N32,3))-36)*0.96,20),2),"")</f>
        <v>16.64</v>
      </c>
      <c r="II32" s="18">
        <f ca="1">IF($D32&lt;&gt;"",ROUND(MIN((AVERAGE(SMALL($H32:$O32,1),SMALL($H32:$O32,2),SMALL($H32:$O32,3),SMALL($H32:$O32,4))-36)*0.96,20),2),"")</f>
        <v>17.04</v>
      </c>
      <c r="IJ32" s="18">
        <f ca="1">IF($D32&lt;&gt;"",ROUND(MIN((AVERAGE(SMALL($H32:$P32,1),SMALL($H32:$P32,2),SMALL($H32:$P32,3),SMALL($H32:$P32,4))-36)*0.96,20),2),"")</f>
        <v>16.32</v>
      </c>
      <c r="IK32" s="18">
        <f ca="1">IF($D32&lt;&gt;"",ROUND(MIN((AVERAGE(SMALL($H32:$Q32,1),SMALL($H32:$Q32,2),SMALL($H32:$Q32,3),SMALL($H32:$Q32,4),SMALL($H32:$Q32,5))-36)*0.96,20),2),"")</f>
        <v>16.7</v>
      </c>
      <c r="IL32" s="34"/>
      <c r="IN32" s="18">
        <f ca="1">AO32</f>
        <v>54</v>
      </c>
      <c r="IO32" s="18">
        <f ca="1">AN32</f>
        <v>58</v>
      </c>
      <c r="IP32" s="18">
        <f ca="1">AM32</f>
        <v>61</v>
      </c>
      <c r="IQ32" s="18">
        <f ca="1">AL32</f>
        <v>60</v>
      </c>
      <c r="IR32" s="18">
        <f ca="1">AK32</f>
        <v>53</v>
      </c>
      <c r="IS32" s="18">
        <f ca="1">AJ32</f>
        <v>48</v>
      </c>
      <c r="IT32" s="18">
        <f ca="1">AI32</f>
        <v>57</v>
      </c>
      <c r="IU32" s="18">
        <f ca="1">AH32</f>
        <v>55</v>
      </c>
      <c r="IV32" s="18">
        <f ca="1">AG32</f>
        <v>53</v>
      </c>
      <c r="IW32" s="18">
        <f ca="1">AF32</f>
        <v>53</v>
      </c>
      <c r="IX32" s="19">
        <f ca="1">IF(D32&lt;&gt;"",COUNT(IN32:IW32),"")</f>
        <v>10</v>
      </c>
      <c r="IY32" s="21">
        <f ca="1">IF(D32&lt;&gt;"",INDEX($JA32:$JK32,1,MATCH($IX32,$JA$6:$JK$6,0)), "")</f>
        <v>15.552000000000001</v>
      </c>
      <c r="JA32" s="18" t="str">
        <f ca="1">IF(D32&lt;&gt;"","No Hdcp","")</f>
        <v>No Hdcp</v>
      </c>
      <c r="JB32" s="18" t="str">
        <f ca="1">IF(D32&lt;&gt;"","Low of score &amp; "&amp;MIN($IN32:$IN32),"")</f>
        <v>Low of score &amp; 54</v>
      </c>
      <c r="JC32" s="18" t="str">
        <f ca="1">IF(D32&lt;&gt;"","Low of score &amp; "&amp;MIN($IN32:$IO32),"")</f>
        <v>Low of score &amp; 54</v>
      </c>
      <c r="JD32" s="18" t="str">
        <f ca="1">IF(D32&lt;&gt;"","Low of score &amp; "&amp;MIN($IN32:$IP32),"")</f>
        <v>Low of score &amp; 54</v>
      </c>
      <c r="JE32" s="18" t="str">
        <f ca="1">IF(D32&lt;&gt;"","Low of score &amp; "&amp;MIN($IN32:$IQ32),"")</f>
        <v>Low of score &amp; 54</v>
      </c>
      <c r="JF32" s="18">
        <f ca="1">IF(D32&lt;&gt;"",MIN((MIN($IN32:$IR32)-36)*0.96,20),"")</f>
        <v>16.32</v>
      </c>
      <c r="JG32" s="18">
        <f ca="1">IF(D32&lt;&gt;"",MIN((AVERAGE(SMALL($IN32:$IS32,1),SMALL($IN32:$IS32,2))-36)*0.96,20),"")</f>
        <v>13.92</v>
      </c>
      <c r="JH32" s="18">
        <f ca="1">IF(D32&lt;&gt;"",MIN((AVERAGE(SMALL($IN32:$IT32,1),SMALL($IN32:$IT32,2),SMALL($IN32:$IT32,3))-36)*0.96,20),"")</f>
        <v>15.039999999999997</v>
      </c>
      <c r="JI32" s="18">
        <f ca="1">IF(D32&lt;&gt;"",MIN((AVERAGE(SMALL($IN32:$IU32,1),SMALL($IN32:$IU32,2),SMALL($IN32:$IU32,3),SMALL($IN32:$IU32,4))-36)*0.96,20),"")</f>
        <v>15.84</v>
      </c>
      <c r="JJ32" s="18">
        <f ca="1">IF(D32&lt;&gt;"",MIN((AVERAGE(SMALL($IN32:$IV32,1),SMALL($IN32:$IV32,2),SMALL($IN32:$IV32,3),SMALL($IN32:$IV32,4))-36)*0.96,20),"")</f>
        <v>15.36</v>
      </c>
      <c r="JK32" s="18">
        <f ca="1">IF(D32&lt;&gt;"",MIN((AVERAGE(SMALL($IN32:$IW32,1),SMALL($IN32:$IW32,2),SMALL($IN32:$IW32,3),SMALL($IN32:$IW32,4),SMALL($IN32:$IW32,5))-36)*0.96,20),"")</f>
        <v>15.552000000000001</v>
      </c>
    </row>
    <row r="33" spans="1:271" x14ac:dyDescent="0.2">
      <c r="A33" s="18" t="s">
        <v>23</v>
      </c>
      <c r="B33" s="19">
        <f>B32+7</f>
        <v>33</v>
      </c>
      <c r="C33" s="22">
        <f t="shared" ca="1" si="78"/>
        <v>0</v>
      </c>
      <c r="D33" s="18" t="str">
        <f t="shared" ca="1" si="79"/>
        <v xml:space="preserve"> </v>
      </c>
      <c r="E33" s="19">
        <f t="shared" ca="1" si="80"/>
        <v>0</v>
      </c>
      <c r="F33" s="19">
        <f ca="1">IF(D33&lt;&gt;"",COUNT($H33:$Q33),"")</f>
        <v>0</v>
      </c>
      <c r="G33" s="21" t="str">
        <f ca="1">IF($D33&lt;&gt;"",INDEX($IA33:$IK33,1,MATCH($F33,$IA$6:$IK$6,0)), "")</f>
        <v>No Hdcp</v>
      </c>
      <c r="H33" s="337" t="str" cm="1">
        <f t="array" aca="1" ref="H33" ca="1">IFERROR(_xlfn.SINGLE(INDEX($AF33:$BH33, , SUMPRODUCT(LARGE((($AF33:$BH33&lt;&gt;0)*($BJ33:$CL33&lt;&gt;1)*($AF$5:$BH$5)), H$6)))), "")</f>
        <v/>
      </c>
      <c r="I33" s="338" t="str" cm="1">
        <f t="array" aca="1" ref="I33" ca="1">IFERROR(_xlfn.SINGLE(INDEX($AF33:$BH33, , SUMPRODUCT(LARGE((($AF33:$BH33&lt;&gt;0)*($BJ33:$CL33&lt;&gt;1)*($AF$5:$BH$5)), I$6)))), "")</f>
        <v/>
      </c>
      <c r="J33" s="338" t="str" cm="1">
        <f t="array" aca="1" ref="J33" ca="1">IFERROR(_xlfn.SINGLE(INDEX($AF33:$BH33, , SUMPRODUCT(LARGE((($AF33:$BH33&lt;&gt;0)*($BJ33:$CL33&lt;&gt;1)*($AF$5:$BH$5)), J$6)))), "")</f>
        <v/>
      </c>
      <c r="K33" s="338" t="str" cm="1">
        <f t="array" aca="1" ref="K33" ca="1">IFERROR(_xlfn.SINGLE(INDEX($AF33:$BH33, , SUMPRODUCT(LARGE((($AF33:$BH33&lt;&gt;0)*($BJ33:$CL33&lt;&gt;1)*($AF$5:$BH$5)), K$6)))), "")</f>
        <v/>
      </c>
      <c r="L33" s="338" t="str" cm="1">
        <f t="array" aca="1" ref="L33" ca="1">IFERROR(_xlfn.SINGLE(INDEX($AF33:$BH33, , SUMPRODUCT(LARGE((($AF33:$BH33&lt;&gt;0)*($BJ33:$CL33&lt;&gt;1)*($AF$5:$BH$5)), L$6)))), "")</f>
        <v/>
      </c>
      <c r="M33" s="338" t="str" cm="1">
        <f t="array" aca="1" ref="M33" ca="1">IFERROR(_xlfn.SINGLE(INDEX($AF33:$BH33, , SUMPRODUCT(LARGE((($AF33:$BH33&lt;&gt;0)*($BJ33:$CL33&lt;&gt;1)*($AF$5:$BH$5)), M$6)))), "")</f>
        <v/>
      </c>
      <c r="N33" s="338" t="str" cm="1">
        <f t="array" aca="1" ref="N33" ca="1">IFERROR(_xlfn.SINGLE(INDEX($AF33:$BH33, , SUMPRODUCT(LARGE((($AF33:$BH33&lt;&gt;0)*($BJ33:$CL33&lt;&gt;1)*($AF$5:$BH$5)), N$6)))), "")</f>
        <v/>
      </c>
      <c r="O33" s="338" t="str" cm="1">
        <f t="array" aca="1" ref="O33" ca="1">IFERROR(_xlfn.SINGLE(INDEX($AF33:$BH33, , SUMPRODUCT(LARGE((($AF33:$BH33&lt;&gt;0)*($BJ33:$CL33&lt;&gt;1)*($AF$5:$BH$5)), O$6)))), "")</f>
        <v/>
      </c>
      <c r="P33" s="338" t="str" cm="1">
        <f t="array" aca="1" ref="P33" ca="1">IFERROR(_xlfn.SINGLE(INDEX($AF33:$BH33, , SUMPRODUCT(LARGE((($AF33:$BH33&lt;&gt;0)*($BJ33:$CL33&lt;&gt;1)*($AF$5:$BH$5)), P$6)))), "")</f>
        <v/>
      </c>
      <c r="Q33" s="339" t="str" cm="1">
        <f t="array" aca="1" ref="Q33" ca="1">IFERROR(_xlfn.SINGLE(INDEX($AF33:$BH33, , SUMPRODUCT(LARGE((($AF33:$BH33&lt;&gt;0)*($BJ33:$CL33&lt;&gt;1)*($AF$5:$BH$5)), Q$6)))), "")</f>
        <v/>
      </c>
      <c r="R33" s="21" t="str">
        <f ca="1">IF($D33&lt;&gt;"", INDEX(INDIRECT($A33), $B33+1, 21), "")</f>
        <v/>
      </c>
      <c r="S33" s="47" t="str">
        <f t="shared" ca="1" si="81"/>
        <v>-</v>
      </c>
      <c r="T33" s="21"/>
      <c r="U33" s="21"/>
      <c r="V33" s="46"/>
      <c r="X33" s="46"/>
      <c r="Y33" s="21"/>
      <c r="AB33" s="46" t="str">
        <f t="shared" ca="1" si="82"/>
        <v>0-0-0</v>
      </c>
      <c r="AC33" s="218">
        <f t="shared" ca="1" si="83"/>
        <v>0</v>
      </c>
      <c r="AD33" s="57">
        <f t="shared" ca="1" si="84"/>
        <v>0</v>
      </c>
      <c r="AE33" s="34"/>
      <c r="AF33" s="341">
        <f ca="1">INDEX(PriorScores[],MATCH($D33,PriorScores[Team / Player],0),2)</f>
        <v>0</v>
      </c>
      <c r="AG33" s="341">
        <f ca="1">INDEX(PriorScores[],MATCH($D33,PriorScores[Team / Player],0),3)</f>
        <v>0</v>
      </c>
      <c r="AH33" s="341">
        <f ca="1">INDEX(PriorScores[],MATCH($D33,PriorScores[Team / Player],0),4)</f>
        <v>0</v>
      </c>
      <c r="AI33" s="341">
        <f ca="1">INDEX(PriorScores[],MATCH($D33,PriorScores[Team / Player],0),5)</f>
        <v>0</v>
      </c>
      <c r="AJ33" s="341">
        <f ca="1">INDEX(PriorScores[],MATCH($D33,PriorScores[Team / Player],0),6)</f>
        <v>0</v>
      </c>
      <c r="AK33" s="341">
        <f ca="1">INDEX(PriorScores[],MATCH($D33,PriorScores[Team / Player],0),7)</f>
        <v>0</v>
      </c>
      <c r="AL33" s="341">
        <f ca="1">INDEX(PriorScores[],MATCH($D33,PriorScores[Team / Player],0),8)</f>
        <v>0</v>
      </c>
      <c r="AM33" s="341">
        <f ca="1">INDEX(PriorScores[],MATCH($D33,PriorScores[Team / Player],0),9)</f>
        <v>0</v>
      </c>
      <c r="AN33" s="341">
        <f ca="1">INDEX(PriorScores[],MATCH($D33,PriorScores[Team / Player],0),10)</f>
        <v>0</v>
      </c>
      <c r="AO33" s="341">
        <f ca="1">INDEX(PriorScores[],MATCH($D33,PriorScores[Team / Player],0),11)</f>
        <v>0</v>
      </c>
      <c r="AP33" s="20">
        <f t="shared" ca="1" si="85"/>
        <v>0</v>
      </c>
      <c r="AQ33" s="20">
        <f t="shared" ca="1" si="85"/>
        <v>0</v>
      </c>
      <c r="AR33" s="20">
        <f t="shared" ca="1" si="85"/>
        <v>0</v>
      </c>
      <c r="AS33" s="20">
        <f t="shared" ca="1" si="85"/>
        <v>0</v>
      </c>
      <c r="AT33" s="20">
        <f t="shared" ca="1" si="85"/>
        <v>0</v>
      </c>
      <c r="AU33" s="20">
        <f t="shared" ca="1" si="85"/>
        <v>0</v>
      </c>
      <c r="AV33" s="20">
        <f t="shared" ca="1" si="85"/>
        <v>0</v>
      </c>
      <c r="AW33" s="20">
        <f t="shared" ca="1" si="85"/>
        <v>0</v>
      </c>
      <c r="AX33" s="20">
        <f t="shared" ca="1" si="85"/>
        <v>0</v>
      </c>
      <c r="AY33" s="20">
        <f t="shared" ca="1" si="85"/>
        <v>0</v>
      </c>
      <c r="AZ33" s="20">
        <f t="shared" ca="1" si="86"/>
        <v>0</v>
      </c>
      <c r="BA33" s="20">
        <f t="shared" ca="1" si="86"/>
        <v>0</v>
      </c>
      <c r="BB33" s="20">
        <f t="shared" ca="1" si="86"/>
        <v>0</v>
      </c>
      <c r="BC33" s="20">
        <f t="shared" ca="1" si="86"/>
        <v>0</v>
      </c>
      <c r="BD33" s="20">
        <f t="shared" ca="1" si="86"/>
        <v>0</v>
      </c>
      <c r="BE33" s="20">
        <f t="shared" ca="1" si="86"/>
        <v>0</v>
      </c>
      <c r="BF33" s="20">
        <f t="shared" ca="1" si="86"/>
        <v>0</v>
      </c>
      <c r="BG33" s="20">
        <f t="shared" ca="1" si="86"/>
        <v>0</v>
      </c>
      <c r="BH33" s="20">
        <f t="shared" ca="1" si="86"/>
        <v>0</v>
      </c>
      <c r="BI33" s="34"/>
      <c r="BJ33" s="341">
        <v>0</v>
      </c>
      <c r="BK33" s="341">
        <v>0</v>
      </c>
      <c r="BL33" s="341">
        <v>0</v>
      </c>
      <c r="BM33" s="341">
        <v>0</v>
      </c>
      <c r="BN33" s="341">
        <v>0</v>
      </c>
      <c r="BO33" s="341">
        <v>0</v>
      </c>
      <c r="BP33" s="341">
        <v>0</v>
      </c>
      <c r="BQ33" s="341">
        <v>0</v>
      </c>
      <c r="BR33" s="341">
        <v>0</v>
      </c>
      <c r="BS33" s="341">
        <v>0</v>
      </c>
      <c r="BT33" s="20">
        <f t="shared" ca="1" si="87"/>
        <v>0</v>
      </c>
      <c r="BU33" s="20">
        <f t="shared" ca="1" si="87"/>
        <v>0</v>
      </c>
      <c r="BV33" s="20">
        <f t="shared" ca="1" si="87"/>
        <v>0</v>
      </c>
      <c r="BW33" s="20">
        <f t="shared" ca="1" si="87"/>
        <v>0</v>
      </c>
      <c r="BX33" s="20">
        <f t="shared" ca="1" si="87"/>
        <v>0</v>
      </c>
      <c r="BY33" s="20">
        <f t="shared" ca="1" si="87"/>
        <v>0</v>
      </c>
      <c r="BZ33" s="20">
        <f t="shared" ca="1" si="87"/>
        <v>0</v>
      </c>
      <c r="CA33" s="20">
        <f t="shared" ca="1" si="87"/>
        <v>0</v>
      </c>
      <c r="CB33" s="20">
        <f t="shared" ca="1" si="87"/>
        <v>0</v>
      </c>
      <c r="CC33" s="20">
        <f t="shared" ca="1" si="87"/>
        <v>0</v>
      </c>
      <c r="CD33" s="20">
        <f t="shared" ca="1" si="88"/>
        <v>0</v>
      </c>
      <c r="CE33" s="20">
        <f t="shared" ca="1" si="88"/>
        <v>0</v>
      </c>
      <c r="CF33" s="20">
        <f t="shared" ca="1" si="88"/>
        <v>0</v>
      </c>
      <c r="CG33" s="20">
        <f t="shared" ca="1" si="88"/>
        <v>0</v>
      </c>
      <c r="CH33" s="20">
        <f t="shared" ca="1" si="88"/>
        <v>0</v>
      </c>
      <c r="CI33" s="20">
        <f t="shared" ca="1" si="88"/>
        <v>0</v>
      </c>
      <c r="CJ33" s="20">
        <f t="shared" ca="1" si="88"/>
        <v>0</v>
      </c>
      <c r="CK33" s="20">
        <f t="shared" ca="1" si="88"/>
        <v>0</v>
      </c>
      <c r="CL33" s="20">
        <f t="shared" ca="1" si="88"/>
        <v>0</v>
      </c>
      <c r="CM33" s="34"/>
      <c r="CN33" s="20" t="str">
        <f t="shared" ca="1" si="89"/>
        <v/>
      </c>
      <c r="CO33" s="20" t="str">
        <f t="shared" ca="1" si="89"/>
        <v/>
      </c>
      <c r="CP33" s="20" t="str">
        <f t="shared" ca="1" si="89"/>
        <v/>
      </c>
      <c r="CQ33" s="20" t="str">
        <f t="shared" ca="1" si="89"/>
        <v/>
      </c>
      <c r="CR33" s="20" t="str">
        <f t="shared" ca="1" si="89"/>
        <v/>
      </c>
      <c r="CS33" s="20" t="str">
        <f t="shared" ca="1" si="89"/>
        <v/>
      </c>
      <c r="CT33" s="20" t="str">
        <f t="shared" ca="1" si="89"/>
        <v/>
      </c>
      <c r="CU33" s="20" t="str">
        <f t="shared" ca="1" si="89"/>
        <v/>
      </c>
      <c r="CV33" s="20" t="str">
        <f t="shared" ca="1" si="89"/>
        <v/>
      </c>
      <c r="CW33" s="20" t="str">
        <f t="shared" ca="1" si="89"/>
        <v/>
      </c>
      <c r="CX33" s="20" t="str">
        <f t="shared" ca="1" si="90"/>
        <v/>
      </c>
      <c r="CY33" s="20" t="str">
        <f t="shared" ca="1" si="90"/>
        <v/>
      </c>
      <c r="CZ33" s="20" t="str">
        <f t="shared" ca="1" si="90"/>
        <v/>
      </c>
      <c r="DA33" s="20" t="str">
        <f t="shared" ca="1" si="90"/>
        <v/>
      </c>
      <c r="DB33" s="20" t="str">
        <f t="shared" ca="1" si="90"/>
        <v/>
      </c>
      <c r="DC33" s="20" t="str">
        <f t="shared" ca="1" si="90"/>
        <v/>
      </c>
      <c r="DD33" s="20" t="str">
        <f t="shared" ca="1" si="90"/>
        <v/>
      </c>
      <c r="DE33" s="20" t="str">
        <f t="shared" ca="1" si="90"/>
        <v/>
      </c>
      <c r="DF33" s="20" t="str">
        <f t="shared" ca="1" si="90"/>
        <v/>
      </c>
      <c r="DG33" s="34"/>
      <c r="DH33" s="20" t="str">
        <f t="shared" ca="1" si="91"/>
        <v/>
      </c>
      <c r="DI33" s="20" t="str">
        <f t="shared" ca="1" si="91"/>
        <v/>
      </c>
      <c r="DJ33" s="20" t="str">
        <f t="shared" ca="1" si="91"/>
        <v/>
      </c>
      <c r="DK33" s="20" t="str">
        <f t="shared" ca="1" si="91"/>
        <v/>
      </c>
      <c r="DL33" s="20" t="str">
        <f t="shared" ca="1" si="91"/>
        <v/>
      </c>
      <c r="DM33" s="20" t="str">
        <f t="shared" ca="1" si="91"/>
        <v/>
      </c>
      <c r="DN33" s="20" t="str">
        <f t="shared" ca="1" si="91"/>
        <v/>
      </c>
      <c r="DO33" s="20" t="str">
        <f t="shared" ca="1" si="91"/>
        <v/>
      </c>
      <c r="DP33" s="20" t="str">
        <f t="shared" ca="1" si="91"/>
        <v/>
      </c>
      <c r="DQ33" s="20" t="str">
        <f t="shared" ca="1" si="91"/>
        <v/>
      </c>
      <c r="DR33" s="20" t="str">
        <f t="shared" ca="1" si="92"/>
        <v/>
      </c>
      <c r="DS33" s="20" t="str">
        <f t="shared" ca="1" si="92"/>
        <v/>
      </c>
      <c r="DT33" s="20" t="str">
        <f t="shared" ca="1" si="92"/>
        <v/>
      </c>
      <c r="DU33" s="20" t="str">
        <f t="shared" ca="1" si="92"/>
        <v/>
      </c>
      <c r="DV33" s="20" t="str">
        <f t="shared" ca="1" si="92"/>
        <v/>
      </c>
      <c r="DW33" s="20" t="str">
        <f t="shared" ca="1" si="92"/>
        <v/>
      </c>
      <c r="DX33" s="20" t="str">
        <f t="shared" ca="1" si="92"/>
        <v/>
      </c>
      <c r="DY33" s="20" t="str">
        <f t="shared" ca="1" si="92"/>
        <v/>
      </c>
      <c r="DZ33" s="20" t="str">
        <f t="shared" ca="1" si="92"/>
        <v/>
      </c>
      <c r="EA33" s="34"/>
      <c r="EB33" s="20" t="str">
        <f t="shared" ca="1" si="93"/>
        <v/>
      </c>
      <c r="EC33" s="20" t="str">
        <f t="shared" ca="1" si="93"/>
        <v/>
      </c>
      <c r="ED33" s="20" t="str">
        <f t="shared" ca="1" si="93"/>
        <v/>
      </c>
      <c r="EE33" s="20" t="str">
        <f t="shared" ca="1" si="93"/>
        <v/>
      </c>
      <c r="EF33" s="20" t="str">
        <f t="shared" ca="1" si="93"/>
        <v/>
      </c>
      <c r="EG33" s="20" t="str">
        <f t="shared" ca="1" si="93"/>
        <v/>
      </c>
      <c r="EH33" s="20" t="str">
        <f t="shared" ca="1" si="93"/>
        <v/>
      </c>
      <c r="EI33" s="20" t="str">
        <f t="shared" ca="1" si="93"/>
        <v/>
      </c>
      <c r="EJ33" s="20" t="str">
        <f t="shared" ca="1" si="93"/>
        <v/>
      </c>
      <c r="EK33" s="20" t="str">
        <f t="shared" ca="1" si="93"/>
        <v/>
      </c>
      <c r="EL33" s="20" t="str">
        <f t="shared" ca="1" si="94"/>
        <v/>
      </c>
      <c r="EM33" s="20" t="str">
        <f t="shared" ca="1" si="94"/>
        <v/>
      </c>
      <c r="EN33" s="20" t="str">
        <f t="shared" ca="1" si="94"/>
        <v/>
      </c>
      <c r="EO33" s="20" t="str">
        <f t="shared" ca="1" si="94"/>
        <v/>
      </c>
      <c r="EP33" s="20" t="str">
        <f t="shared" ca="1" si="94"/>
        <v/>
      </c>
      <c r="EQ33" s="20" t="str">
        <f t="shared" ca="1" si="94"/>
        <v/>
      </c>
      <c r="ER33" s="20" t="str">
        <f t="shared" ca="1" si="94"/>
        <v/>
      </c>
      <c r="ES33" s="20" t="str">
        <f t="shared" ca="1" si="94"/>
        <v/>
      </c>
      <c r="ET33" s="20" t="str">
        <f t="shared" ca="1" si="94"/>
        <v/>
      </c>
      <c r="EU33" s="34"/>
      <c r="EV33" s="20" t="str">
        <f t="shared" ca="1" si="95"/>
        <v/>
      </c>
      <c r="EW33" s="20" t="str">
        <f t="shared" ca="1" si="95"/>
        <v/>
      </c>
      <c r="EX33" s="20" t="str">
        <f t="shared" ca="1" si="95"/>
        <v/>
      </c>
      <c r="EY33" s="20" t="str">
        <f t="shared" ca="1" si="95"/>
        <v/>
      </c>
      <c r="EZ33" s="20" t="str">
        <f t="shared" ca="1" si="95"/>
        <v/>
      </c>
      <c r="FA33" s="20" t="str">
        <f t="shared" ca="1" si="95"/>
        <v/>
      </c>
      <c r="FB33" s="20" t="str">
        <f t="shared" ca="1" si="95"/>
        <v/>
      </c>
      <c r="FC33" s="20" t="str">
        <f t="shared" ca="1" si="95"/>
        <v/>
      </c>
      <c r="FD33" s="20" t="str">
        <f t="shared" ca="1" si="95"/>
        <v/>
      </c>
      <c r="FE33" s="20" t="str">
        <f t="shared" ca="1" si="95"/>
        <v/>
      </c>
      <c r="FF33" s="20" t="str">
        <f t="shared" ca="1" si="96"/>
        <v/>
      </c>
      <c r="FG33" s="20" t="str">
        <f t="shared" ca="1" si="96"/>
        <v/>
      </c>
      <c r="FH33" s="20" t="str">
        <f t="shared" ca="1" si="96"/>
        <v/>
      </c>
      <c r="FI33" s="20" t="str">
        <f t="shared" ca="1" si="96"/>
        <v/>
      </c>
      <c r="FJ33" s="20" t="str">
        <f t="shared" ca="1" si="96"/>
        <v/>
      </c>
      <c r="FK33" s="20" t="str">
        <f t="shared" ca="1" si="96"/>
        <v/>
      </c>
      <c r="FL33" s="20" t="str">
        <f t="shared" ca="1" si="96"/>
        <v/>
      </c>
      <c r="FM33" s="20" t="str">
        <f t="shared" ca="1" si="96"/>
        <v/>
      </c>
      <c r="FN33" s="20" t="str">
        <f t="shared" ca="1" si="96"/>
        <v/>
      </c>
      <c r="FO33" s="34"/>
      <c r="FP33" s="20" t="str">
        <f t="shared" ca="1" si="97"/>
        <v/>
      </c>
      <c r="FQ33" s="20" t="str">
        <f t="shared" ca="1" si="97"/>
        <v/>
      </c>
      <c r="FR33" s="20" t="str">
        <f t="shared" ca="1" si="97"/>
        <v/>
      </c>
      <c r="FS33" s="20" t="str">
        <f t="shared" ca="1" si="97"/>
        <v/>
      </c>
      <c r="FT33" s="20" t="str">
        <f t="shared" ca="1" si="97"/>
        <v/>
      </c>
      <c r="FU33" s="20" t="str">
        <f t="shared" ca="1" si="97"/>
        <v/>
      </c>
      <c r="FV33" s="20" t="str">
        <f t="shared" ca="1" si="97"/>
        <v/>
      </c>
      <c r="FW33" s="20" t="str">
        <f t="shared" ca="1" si="97"/>
        <v/>
      </c>
      <c r="FX33" s="20" t="str">
        <f t="shared" ca="1" si="97"/>
        <v/>
      </c>
      <c r="FY33" s="20" t="str">
        <f t="shared" ca="1" si="97"/>
        <v/>
      </c>
      <c r="FZ33" s="20" t="str">
        <f t="shared" ca="1" si="98"/>
        <v/>
      </c>
      <c r="GA33" s="20" t="str">
        <f t="shared" ca="1" si="98"/>
        <v/>
      </c>
      <c r="GB33" s="20" t="str">
        <f t="shared" ca="1" si="98"/>
        <v/>
      </c>
      <c r="GC33" s="20" t="str">
        <f t="shared" ca="1" si="98"/>
        <v/>
      </c>
      <c r="GD33" s="20" t="str">
        <f t="shared" ca="1" si="98"/>
        <v/>
      </c>
      <c r="GE33" s="20" t="str">
        <f t="shared" ca="1" si="98"/>
        <v/>
      </c>
      <c r="GF33" s="20" t="str">
        <f t="shared" ca="1" si="98"/>
        <v/>
      </c>
      <c r="GG33" s="20" t="str">
        <f t="shared" ca="1" si="98"/>
        <v/>
      </c>
      <c r="GH33" s="20" t="str">
        <f t="shared" ca="1" si="98"/>
        <v/>
      </c>
      <c r="GI33" s="34"/>
      <c r="HE33" s="34"/>
      <c r="HZ33" s="34"/>
      <c r="IA33" s="19" t="str">
        <f t="shared" ca="1" si="99"/>
        <v>No Hdcp</v>
      </c>
      <c r="IB33" s="19" t="str">
        <f ca="1">IF(D33&lt;&gt;"","1@"&amp;$H33,"")</f>
        <v>1@</v>
      </c>
      <c r="IC33" s="19" t="str">
        <f ca="1">IF(D33&lt;&gt;"","2@"&amp;$I33&amp;","&amp;$H33,"")</f>
        <v>2@,</v>
      </c>
      <c r="ID33" s="19" t="str">
        <f ca="1">IF(D33&lt;&gt;"","3@"&amp;$J33&amp;","&amp;$I33&amp;","&amp;$H33,"")</f>
        <v>3@,,</v>
      </c>
      <c r="IE33" s="19" t="str">
        <f ca="1">IF(D33&lt;&gt;"","4@"&amp;$K33&amp;","&amp;$J33&amp;","&amp;$I33&amp;","&amp;$H33,"")</f>
        <v>4@,,,</v>
      </c>
      <c r="IF33" s="19"/>
      <c r="IG33" s="19"/>
      <c r="IH33" s="19"/>
      <c r="II33" s="19"/>
      <c r="IJ33" s="19"/>
      <c r="IK33" s="263" t="e">
        <f ca="1">IF(D33&lt;&gt;"",MIN(ROUND((AVERAGE($H33:$Q33)-$C$4)*0.9,2),20),"")</f>
        <v>#DIV/0!</v>
      </c>
      <c r="IL33" s="34"/>
      <c r="IN33" s="18" t="str" cm="1">
        <f t="array" aca="1" ref="IN33" ca="1">IFERROR(_xlfn.SINGLE(INDEX($AP33:$BH33, , SUMPRODUCT(LARGE((($AP33:$BH33&lt;&gt;0)*($BT33:$CL33&lt;&gt;1)*(weeks)), IN$6)))), "")</f>
        <v/>
      </c>
      <c r="IO33" s="18" t="str" cm="1">
        <f t="array" aca="1" ref="IO33" ca="1">IFERROR(_xlfn.SINGLE(INDEX($AP33:$BH33, , SUMPRODUCT(LARGE((($AP33:$BH33&lt;&gt;0)*($BT33:$CL33&lt;&gt;1)*(weeks)), IO$6)))), "")</f>
        <v/>
      </c>
      <c r="IP33" s="18" t="str" cm="1">
        <f t="array" aca="1" ref="IP33" ca="1">IFERROR(_xlfn.SINGLE(INDEX($AP33:$BH33, , SUMPRODUCT(LARGE((($AP33:$BH33&lt;&gt;0)*($BT33:$CL33&lt;&gt;1)*(weeks)), IP$6)))), "")</f>
        <v/>
      </c>
      <c r="IQ33" s="18" t="str" cm="1">
        <f t="array" aca="1" ref="IQ33" ca="1">IFERROR(_xlfn.SINGLE(INDEX($AP33:$BH33, , SUMPRODUCT(LARGE((($AP33:$BH33&lt;&gt;0)*($BT33:$CL33&lt;&gt;1)*(weeks)), IQ$6)))), "")</f>
        <v/>
      </c>
      <c r="IR33" s="18" t="str" cm="1">
        <f t="array" aca="1" ref="IR33" ca="1">IFERROR(_xlfn.SINGLE(INDEX($AP33:$BH33, , SUMPRODUCT(LARGE((($AP33:$BH33&lt;&gt;0)*($BT33:$CL33&lt;&gt;1)*(weeks)), IR$6)))), "")</f>
        <v/>
      </c>
      <c r="IS33" s="18" t="str" cm="1">
        <f t="array" aca="1" ref="IS33" ca="1">IFERROR(_xlfn.SINGLE(INDEX($AP33:$BH33, , SUMPRODUCT(LARGE((($AP33:$BH33&lt;&gt;0)*($BT33:$CL33&lt;&gt;1)*(weeks)), IS$6)))), "")</f>
        <v/>
      </c>
      <c r="IT33" s="18" t="str" cm="1">
        <f t="array" aca="1" ref="IT33" ca="1">IFERROR(_xlfn.SINGLE(INDEX($AP33:$BH33, , SUMPRODUCT(LARGE((($AP33:$BH33&lt;&gt;0)*($BT33:$CL33&lt;&gt;1)*(weeks)), IT$6)))), "")</f>
        <v/>
      </c>
      <c r="IU33" s="18" t="str" cm="1">
        <f t="array" aca="1" ref="IU33" ca="1">IFERROR(_xlfn.SINGLE(INDEX($AP33:$BH33, , SUMPRODUCT(LARGE((($AP33:$BH33&lt;&gt;0)*($BT33:$CL33&lt;&gt;1)*(weeks)), IU$6)))), "")</f>
        <v/>
      </c>
      <c r="IV33" s="18" t="str" cm="1">
        <f t="array" aca="1" ref="IV33" ca="1">IFERROR(_xlfn.SINGLE(INDEX($AP33:$BH33, , SUMPRODUCT(LARGE((($AP33:$BH33&lt;&gt;0)*($BT33:$CL33&lt;&gt;1)*(weeks)), IV$6)))), "")</f>
        <v/>
      </c>
      <c r="IW33" s="18" t="str" cm="1">
        <f t="array" aca="1" ref="IW33" ca="1">IFERROR(_xlfn.SINGLE(INDEX($AP33:$BH33, , SUMPRODUCT(LARGE((($AP33:$BH33&lt;&gt;0)*($BT33:$CL33&lt;&gt;1)*(weeks)), IW$6)))), "")</f>
        <v/>
      </c>
      <c r="IX33" s="19">
        <f ca="1">IF(D33&lt;&gt;"",COUNT(IN33:IW33),"")</f>
        <v>0</v>
      </c>
      <c r="IY33" s="21" t="str">
        <f ca="1">IF(D33&lt;&gt;"",INDEX($JA33:$JK33,1,MATCH($IX33,$JA$6:$JK$6,0)), "")</f>
        <v>No Hdcp</v>
      </c>
      <c r="JA33" s="18" t="str">
        <f ca="1">IF(D33&lt;&gt;"","No Hdcp","")</f>
        <v>No Hdcp</v>
      </c>
      <c r="JB33" s="18" t="str">
        <f ca="1">IF(D33&lt;&gt;"","Low of score &amp; "&amp;MIN($IN33:$IN33),"")</f>
        <v>Low of score &amp; 0</v>
      </c>
      <c r="JC33" s="18" t="str">
        <f ca="1">IF(D33&lt;&gt;"","Low of score &amp; "&amp;MIN($IN33:$IO33),"")</f>
        <v>Low of score &amp; 0</v>
      </c>
      <c r="JD33" s="18" t="str">
        <f ca="1">IF(D33&lt;&gt;"","Low of score &amp; "&amp;MIN($IN33:$IP33),"")</f>
        <v>Low of score &amp; 0</v>
      </c>
      <c r="JE33" s="18" t="str">
        <f ca="1">IF(D33&lt;&gt;"","Low of score &amp; "&amp;MIN($IN33:$IQ33),"")</f>
        <v>Low of score &amp; 0</v>
      </c>
      <c r="JF33" s="18">
        <f ca="1">IF(D33&lt;&gt;"",MIN((MIN($IN33:$IR33)-36)*0.96,20),"")</f>
        <v>-34.56</v>
      </c>
      <c r="JG33" s="18" t="e">
        <f ca="1">IF(D33&lt;&gt;"",MIN((AVERAGE(SMALL($IN33:$IS33,1),SMALL($IN33:$IS33,2))-36)*0.96,20),"")</f>
        <v>#NUM!</v>
      </c>
      <c r="JH33" s="18" t="e">
        <f ca="1">IF(D33&lt;&gt;"",MIN((AVERAGE(SMALL($IN33:$IT33,1),SMALL($IN33:$IT33,2),SMALL($IN33:$IT33,3))-36)*0.96,20),"")</f>
        <v>#NUM!</v>
      </c>
      <c r="JI33" s="18" t="e">
        <f ca="1">IF(D33&lt;&gt;"",MIN((AVERAGE(SMALL($IN33:$IU33,1),SMALL($IN33:$IU33,2),SMALL($IN33:$IU33,3),SMALL($IN33:$IU33,4))-36)*0.96,20),"")</f>
        <v>#NUM!</v>
      </c>
      <c r="JJ33" s="18" t="e">
        <f ca="1">IF(D33&lt;&gt;"",MIN((AVERAGE(SMALL($IN33:$IV33,1),SMALL($IN33:$IV33,2),SMALL($IN33:$IV33,3),SMALL($IN33:$IV33,4))-36)*0.96,20),"")</f>
        <v>#NUM!</v>
      </c>
      <c r="JK33" s="18" t="e">
        <f ca="1">IF(D33&lt;&gt;"",MIN((AVERAGE(SMALL($IN33:$IW33,1),SMALL($IN33:$IW33,2),SMALL($IN33:$IW33,3),SMALL($IN33:$IW33,4),SMALL($IN33:$IW33,5))-36)*0.96,20),"")</f>
        <v>#NUM!</v>
      </c>
    </row>
    <row r="34" spans="1:271" x14ac:dyDescent="0.2">
      <c r="A34" s="18" t="s">
        <v>23</v>
      </c>
      <c r="B34" s="19">
        <f>B33+7</f>
        <v>40</v>
      </c>
      <c r="C34" s="22">
        <f t="shared" ca="1" si="78"/>
        <v>1.6000000000000001E-3</v>
      </c>
      <c r="D34" s="18" t="str">
        <f t="shared" ca="1" si="79"/>
        <v>Blind Draw Stymies</v>
      </c>
      <c r="E34" s="19">
        <f t="shared" ca="1" si="80"/>
        <v>1</v>
      </c>
      <c r="F34" s="19">
        <v>0</v>
      </c>
      <c r="G34" s="21">
        <v>0</v>
      </c>
      <c r="H34" s="46"/>
      <c r="J34" s="19" t="str" cm="1">
        <f t="array" aca="1" ref="J34" ca="1">IFERROR(_xlfn.SINGLE(INDEX($AP34:$BH34, , SUMPRODUCT(LARGE((($AP34:$BH34&lt;&gt;0)*($BT34:$CL34&lt;&gt;1)*(weeks)), J$6)))), "")</f>
        <v/>
      </c>
      <c r="K34" s="19" t="str" cm="1">
        <f t="array" aca="1" ref="K34" ca="1">IFERROR(_xlfn.SINGLE(INDEX($AP34:$BH34, , SUMPRODUCT(LARGE((($AP34:$BH34&lt;&gt;0)*($BT34:$CL34&lt;&gt;1)*(weeks)), K$6)))), "")</f>
        <v/>
      </c>
      <c r="Q34" s="86" t="str" cm="1">
        <f t="array" aca="1" ref="Q34" ca="1">IFERROR(_xlfn.SINGLE(INDEX($AP34:$BH34, , SUMPRODUCT(LARGE((($AP34:$BH34&lt;&gt;0)*($BT34:$CL34&lt;&gt;1)*(weeks)), Q$6)))), "")</f>
        <v/>
      </c>
      <c r="R34" s="21" t="str">
        <f ca="1">IF($D34&lt;&gt;"", INDEX(INDIRECT($A34), $B34+1, 21), "")</f>
        <v/>
      </c>
      <c r="S34" s="47" t="str">
        <f t="shared" ca="1" si="81"/>
        <v>-</v>
      </c>
      <c r="T34" s="59"/>
      <c r="U34" s="59"/>
      <c r="V34" s="46"/>
      <c r="X34" s="46"/>
      <c r="Y34" s="21"/>
      <c r="AB34" s="46" t="str">
        <f t="shared" ca="1" si="82"/>
        <v>1-0-0</v>
      </c>
      <c r="AC34" s="218">
        <f t="shared" ca="1" si="83"/>
        <v>0</v>
      </c>
      <c r="AD34" s="57">
        <f t="shared" ca="1" si="84"/>
        <v>0</v>
      </c>
      <c r="AE34" s="34"/>
      <c r="AF34" s="341">
        <f ca="1">INDEX(PriorScores[],MATCH($D34,PriorScores[Team / Player],0),2)</f>
        <v>0</v>
      </c>
      <c r="AG34" s="341">
        <f ca="1">INDEX(PriorScores[],MATCH($D34,PriorScores[Team / Player],0),3)</f>
        <v>0</v>
      </c>
      <c r="AH34" s="341">
        <f ca="1">INDEX(PriorScores[],MATCH($D34,PriorScores[Team / Player],0),4)</f>
        <v>0</v>
      </c>
      <c r="AI34" s="341">
        <f ca="1">INDEX(PriorScores[],MATCH($D34,PriorScores[Team / Player],0),5)</f>
        <v>0</v>
      </c>
      <c r="AJ34" s="341">
        <f ca="1">INDEX(PriorScores[],MATCH($D34,PriorScores[Team / Player],0),6)</f>
        <v>0</v>
      </c>
      <c r="AK34" s="341">
        <f ca="1">INDEX(PriorScores[],MATCH($D34,PriorScores[Team / Player],0),7)</f>
        <v>0</v>
      </c>
      <c r="AL34" s="341">
        <f ca="1">INDEX(PriorScores[],MATCH($D34,PriorScores[Team / Player],0),8)</f>
        <v>0</v>
      </c>
      <c r="AM34" s="341">
        <f ca="1">INDEX(PriorScores[],MATCH($D34,PriorScores[Team / Player],0),9)</f>
        <v>0</v>
      </c>
      <c r="AN34" s="341">
        <f ca="1">INDEX(PriorScores[],MATCH($D34,PriorScores[Team / Player],0),10)</f>
        <v>0</v>
      </c>
      <c r="AO34" s="341">
        <f ca="1">INDEX(PriorScores[],MATCH($D34,PriorScores[Team / Player],0),11)</f>
        <v>0</v>
      </c>
      <c r="AP34" s="20">
        <f t="shared" ca="1" si="85"/>
        <v>0</v>
      </c>
      <c r="AQ34" s="20">
        <f t="shared" ca="1" si="85"/>
        <v>0</v>
      </c>
      <c r="AR34" s="20">
        <f t="shared" ca="1" si="85"/>
        <v>0</v>
      </c>
      <c r="AS34" s="20">
        <f t="shared" ca="1" si="85"/>
        <v>0</v>
      </c>
      <c r="AT34" s="20">
        <f t="shared" ca="1" si="85"/>
        <v>0</v>
      </c>
      <c r="AU34" s="20">
        <f t="shared" ca="1" si="85"/>
        <v>40</v>
      </c>
      <c r="AV34" s="20">
        <f t="shared" ca="1" si="85"/>
        <v>0</v>
      </c>
      <c r="AW34" s="20">
        <f t="shared" ca="1" si="85"/>
        <v>0</v>
      </c>
      <c r="AX34" s="20">
        <f t="shared" ca="1" si="85"/>
        <v>0</v>
      </c>
      <c r="AY34" s="20">
        <f t="shared" ca="1" si="85"/>
        <v>0</v>
      </c>
      <c r="AZ34" s="20">
        <f t="shared" ca="1" si="86"/>
        <v>0</v>
      </c>
      <c r="BA34" s="20">
        <f t="shared" ca="1" si="86"/>
        <v>0</v>
      </c>
      <c r="BB34" s="20">
        <f t="shared" ca="1" si="86"/>
        <v>0</v>
      </c>
      <c r="BC34" s="20">
        <f t="shared" ca="1" si="86"/>
        <v>0</v>
      </c>
      <c r="BD34" s="20">
        <f t="shared" ca="1" si="86"/>
        <v>0</v>
      </c>
      <c r="BE34" s="20">
        <f t="shared" ca="1" si="86"/>
        <v>0</v>
      </c>
      <c r="BF34" s="20">
        <f t="shared" ca="1" si="86"/>
        <v>0</v>
      </c>
      <c r="BG34" s="20">
        <f t="shared" ca="1" si="86"/>
        <v>0</v>
      </c>
      <c r="BH34" s="20">
        <f t="shared" ca="1" si="86"/>
        <v>0</v>
      </c>
      <c r="BI34" s="34"/>
      <c r="BJ34" s="341">
        <v>0</v>
      </c>
      <c r="BK34" s="341">
        <v>0</v>
      </c>
      <c r="BL34" s="341">
        <v>0</v>
      </c>
      <c r="BM34" s="341">
        <v>0</v>
      </c>
      <c r="BN34" s="341">
        <v>0</v>
      </c>
      <c r="BO34" s="341">
        <v>0</v>
      </c>
      <c r="BP34" s="341">
        <v>0</v>
      </c>
      <c r="BQ34" s="341">
        <v>0</v>
      </c>
      <c r="BR34" s="341">
        <v>0</v>
      </c>
      <c r="BS34" s="341">
        <v>0</v>
      </c>
      <c r="BT34" s="20">
        <f t="shared" ca="1" si="87"/>
        <v>0</v>
      </c>
      <c r="BU34" s="20">
        <f t="shared" ca="1" si="87"/>
        <v>0</v>
      </c>
      <c r="BV34" s="20">
        <f t="shared" ca="1" si="87"/>
        <v>0</v>
      </c>
      <c r="BW34" s="20">
        <f t="shared" ca="1" si="87"/>
        <v>0</v>
      </c>
      <c r="BX34" s="20">
        <f t="shared" ca="1" si="87"/>
        <v>0</v>
      </c>
      <c r="BY34" s="20">
        <f t="shared" ca="1" si="87"/>
        <v>0</v>
      </c>
      <c r="BZ34" s="20">
        <f t="shared" ca="1" si="87"/>
        <v>0</v>
      </c>
      <c r="CA34" s="20">
        <f t="shared" ca="1" si="87"/>
        <v>0</v>
      </c>
      <c r="CB34" s="20">
        <f t="shared" ca="1" si="87"/>
        <v>0</v>
      </c>
      <c r="CC34" s="20">
        <f t="shared" ca="1" si="87"/>
        <v>0</v>
      </c>
      <c r="CD34" s="20">
        <f t="shared" ca="1" si="88"/>
        <v>0</v>
      </c>
      <c r="CE34" s="20">
        <f t="shared" ca="1" si="88"/>
        <v>0</v>
      </c>
      <c r="CF34" s="20">
        <f t="shared" ca="1" si="88"/>
        <v>0</v>
      </c>
      <c r="CG34" s="20">
        <f t="shared" ca="1" si="88"/>
        <v>0</v>
      </c>
      <c r="CH34" s="20">
        <f t="shared" ca="1" si="88"/>
        <v>0</v>
      </c>
      <c r="CI34" s="20">
        <f t="shared" ca="1" si="88"/>
        <v>0</v>
      </c>
      <c r="CJ34" s="20">
        <f t="shared" ca="1" si="88"/>
        <v>0</v>
      </c>
      <c r="CK34" s="20">
        <f t="shared" ca="1" si="88"/>
        <v>0</v>
      </c>
      <c r="CL34" s="20">
        <f t="shared" ca="1" si="88"/>
        <v>0</v>
      </c>
      <c r="CM34" s="34"/>
      <c r="CN34" s="20" t="str">
        <f t="shared" ca="1" si="89"/>
        <v/>
      </c>
      <c r="CO34" s="20" t="str">
        <f t="shared" ca="1" si="89"/>
        <v/>
      </c>
      <c r="CP34" s="20" t="str">
        <f t="shared" ca="1" si="89"/>
        <v/>
      </c>
      <c r="CQ34" s="20" t="str">
        <f t="shared" ca="1" si="89"/>
        <v/>
      </c>
      <c r="CR34" s="20" t="str">
        <f t="shared" ca="1" si="89"/>
        <v/>
      </c>
      <c r="CS34" s="20">
        <f t="shared" ca="1" si="89"/>
        <v>40</v>
      </c>
      <c r="CT34" s="20" t="str">
        <f t="shared" ca="1" si="89"/>
        <v/>
      </c>
      <c r="CU34" s="20" t="str">
        <f t="shared" ca="1" si="89"/>
        <v/>
      </c>
      <c r="CV34" s="20" t="str">
        <f t="shared" ca="1" si="89"/>
        <v/>
      </c>
      <c r="CW34" s="20" t="str">
        <f t="shared" ca="1" si="89"/>
        <v/>
      </c>
      <c r="CX34" s="20" t="str">
        <f t="shared" ca="1" si="90"/>
        <v/>
      </c>
      <c r="CY34" s="20" t="str">
        <f t="shared" ca="1" si="90"/>
        <v/>
      </c>
      <c r="CZ34" s="20" t="str">
        <f t="shared" ca="1" si="90"/>
        <v/>
      </c>
      <c r="DA34" s="20" t="str">
        <f t="shared" ca="1" si="90"/>
        <v/>
      </c>
      <c r="DB34" s="20" t="str">
        <f t="shared" ca="1" si="90"/>
        <v/>
      </c>
      <c r="DC34" s="20" t="str">
        <f t="shared" ca="1" si="90"/>
        <v/>
      </c>
      <c r="DD34" s="20" t="str">
        <f t="shared" ca="1" si="90"/>
        <v/>
      </c>
      <c r="DE34" s="20" t="str">
        <f t="shared" ca="1" si="90"/>
        <v/>
      </c>
      <c r="DF34" s="20" t="str">
        <f t="shared" ca="1" si="90"/>
        <v/>
      </c>
      <c r="DG34" s="34"/>
      <c r="DH34" s="20" t="str">
        <f t="shared" ca="1" si="91"/>
        <v/>
      </c>
      <c r="DI34" s="20" t="str">
        <f t="shared" ca="1" si="91"/>
        <v/>
      </c>
      <c r="DJ34" s="20" t="str">
        <f t="shared" ca="1" si="91"/>
        <v/>
      </c>
      <c r="DK34" s="20" t="str">
        <f t="shared" ca="1" si="91"/>
        <v/>
      </c>
      <c r="DL34" s="20" t="str">
        <f t="shared" ca="1" si="91"/>
        <v/>
      </c>
      <c r="DM34" s="20">
        <f t="shared" ca="1" si="91"/>
        <v>15</v>
      </c>
      <c r="DN34" s="20" t="str">
        <f t="shared" ca="1" si="91"/>
        <v/>
      </c>
      <c r="DO34" s="20" t="str">
        <f t="shared" ca="1" si="91"/>
        <v/>
      </c>
      <c r="DP34" s="20" t="str">
        <f t="shared" ca="1" si="91"/>
        <v/>
      </c>
      <c r="DQ34" s="20" t="str">
        <f t="shared" ca="1" si="91"/>
        <v/>
      </c>
      <c r="DR34" s="20" t="str">
        <f t="shared" ca="1" si="92"/>
        <v/>
      </c>
      <c r="DS34" s="20" t="str">
        <f t="shared" ca="1" si="92"/>
        <v/>
      </c>
      <c r="DT34" s="20" t="str">
        <f t="shared" ca="1" si="92"/>
        <v/>
      </c>
      <c r="DU34" s="20" t="str">
        <f t="shared" ca="1" si="92"/>
        <v/>
      </c>
      <c r="DV34" s="20" t="str">
        <f t="shared" ca="1" si="92"/>
        <v/>
      </c>
      <c r="DW34" s="20" t="str">
        <f t="shared" ca="1" si="92"/>
        <v/>
      </c>
      <c r="DX34" s="20" t="str">
        <f t="shared" ca="1" si="92"/>
        <v/>
      </c>
      <c r="DY34" s="20" t="str">
        <f t="shared" ca="1" si="92"/>
        <v/>
      </c>
      <c r="DZ34" s="20" t="str">
        <f t="shared" ca="1" si="92"/>
        <v/>
      </c>
      <c r="EA34" s="34"/>
      <c r="EB34" s="20" t="str">
        <f t="shared" ca="1" si="93"/>
        <v/>
      </c>
      <c r="EC34" s="20" t="str">
        <f t="shared" ca="1" si="93"/>
        <v/>
      </c>
      <c r="ED34" s="20" t="str">
        <f t="shared" ca="1" si="93"/>
        <v/>
      </c>
      <c r="EE34" s="20" t="str">
        <f t="shared" ca="1" si="93"/>
        <v/>
      </c>
      <c r="EF34" s="20" t="str">
        <f t="shared" ca="1" si="93"/>
        <v/>
      </c>
      <c r="EG34" s="20" t="str">
        <f t="shared" ca="1" si="93"/>
        <v/>
      </c>
      <c r="EH34" s="20" t="str">
        <f t="shared" ca="1" si="93"/>
        <v/>
      </c>
      <c r="EI34" s="20" t="str">
        <f t="shared" ca="1" si="93"/>
        <v/>
      </c>
      <c r="EJ34" s="20" t="str">
        <f t="shared" ca="1" si="93"/>
        <v/>
      </c>
      <c r="EK34" s="20" t="str">
        <f t="shared" ca="1" si="93"/>
        <v/>
      </c>
      <c r="EL34" s="20" t="str">
        <f t="shared" ca="1" si="94"/>
        <v/>
      </c>
      <c r="EM34" s="20" t="str">
        <f t="shared" ca="1" si="94"/>
        <v/>
      </c>
      <c r="EN34" s="20" t="str">
        <f t="shared" ca="1" si="94"/>
        <v/>
      </c>
      <c r="EO34" s="20" t="str">
        <f t="shared" ca="1" si="94"/>
        <v/>
      </c>
      <c r="EP34" s="20" t="str">
        <f t="shared" ca="1" si="94"/>
        <v/>
      </c>
      <c r="EQ34" s="20" t="str">
        <f t="shared" ca="1" si="94"/>
        <v/>
      </c>
      <c r="ER34" s="20" t="str">
        <f t="shared" ca="1" si="94"/>
        <v/>
      </c>
      <c r="ES34" s="20" t="str">
        <f t="shared" ca="1" si="94"/>
        <v/>
      </c>
      <c r="ET34" s="20" t="str">
        <f t="shared" ca="1" si="94"/>
        <v/>
      </c>
      <c r="EU34" s="34"/>
      <c r="EV34" s="20" t="str">
        <f t="shared" ca="1" si="95"/>
        <v/>
      </c>
      <c r="EW34" s="20" t="str">
        <f t="shared" ca="1" si="95"/>
        <v/>
      </c>
      <c r="EX34" s="20" t="str">
        <f t="shared" ca="1" si="95"/>
        <v/>
      </c>
      <c r="EY34" s="20" t="str">
        <f t="shared" ca="1" si="95"/>
        <v/>
      </c>
      <c r="EZ34" s="20" t="str">
        <f t="shared" ca="1" si="95"/>
        <v/>
      </c>
      <c r="FA34" s="20" t="str">
        <f t="shared" ca="1" si="95"/>
        <v/>
      </c>
      <c r="FB34" s="20" t="str">
        <f t="shared" ca="1" si="95"/>
        <v/>
      </c>
      <c r="FC34" s="20" t="str">
        <f t="shared" ca="1" si="95"/>
        <v/>
      </c>
      <c r="FD34" s="20" t="str">
        <f t="shared" ca="1" si="95"/>
        <v/>
      </c>
      <c r="FE34" s="20" t="str">
        <f t="shared" ca="1" si="95"/>
        <v/>
      </c>
      <c r="FF34" s="20" t="str">
        <f t="shared" ca="1" si="96"/>
        <v/>
      </c>
      <c r="FG34" s="20" t="str">
        <f t="shared" ca="1" si="96"/>
        <v/>
      </c>
      <c r="FH34" s="20" t="str">
        <f t="shared" ca="1" si="96"/>
        <v/>
      </c>
      <c r="FI34" s="20" t="str">
        <f t="shared" ca="1" si="96"/>
        <v/>
      </c>
      <c r="FJ34" s="20" t="str">
        <f t="shared" ca="1" si="96"/>
        <v/>
      </c>
      <c r="FK34" s="20" t="str">
        <f t="shared" ca="1" si="96"/>
        <v/>
      </c>
      <c r="FL34" s="20" t="str">
        <f t="shared" ca="1" si="96"/>
        <v/>
      </c>
      <c r="FM34" s="20" t="str">
        <f t="shared" ca="1" si="96"/>
        <v/>
      </c>
      <c r="FN34" s="20" t="str">
        <f t="shared" ca="1" si="96"/>
        <v/>
      </c>
      <c r="FO34" s="34"/>
      <c r="FP34" s="20" t="str">
        <f t="shared" ca="1" si="97"/>
        <v/>
      </c>
      <c r="FQ34" s="20" t="str">
        <f t="shared" ca="1" si="97"/>
        <v/>
      </c>
      <c r="FR34" s="20" t="str">
        <f t="shared" ca="1" si="97"/>
        <v/>
      </c>
      <c r="FS34" s="20" t="str">
        <f t="shared" ca="1" si="97"/>
        <v/>
      </c>
      <c r="FT34" s="20" t="str">
        <f t="shared" ca="1" si="97"/>
        <v/>
      </c>
      <c r="FU34" s="20" t="str">
        <f t="shared" ca="1" si="97"/>
        <v>w</v>
      </c>
      <c r="FV34" s="20" t="str">
        <f t="shared" ca="1" si="97"/>
        <v/>
      </c>
      <c r="FW34" s="20" t="str">
        <f t="shared" ca="1" si="97"/>
        <v/>
      </c>
      <c r="FX34" s="20" t="str">
        <f t="shared" ca="1" si="97"/>
        <v/>
      </c>
      <c r="FY34" s="20" t="str">
        <f t="shared" ca="1" si="97"/>
        <v/>
      </c>
      <c r="FZ34" s="20" t="str">
        <f t="shared" ca="1" si="98"/>
        <v/>
      </c>
      <c r="GA34" s="20" t="str">
        <f t="shared" ca="1" si="98"/>
        <v/>
      </c>
      <c r="GB34" s="20" t="str">
        <f t="shared" ca="1" si="98"/>
        <v/>
      </c>
      <c r="GC34" s="20" t="str">
        <f t="shared" ca="1" si="98"/>
        <v/>
      </c>
      <c r="GD34" s="20" t="str">
        <f t="shared" ca="1" si="98"/>
        <v/>
      </c>
      <c r="GE34" s="20" t="str">
        <f t="shared" ca="1" si="98"/>
        <v/>
      </c>
      <c r="GF34" s="20" t="str">
        <f t="shared" ca="1" si="98"/>
        <v/>
      </c>
      <c r="GG34" s="20" t="str">
        <f t="shared" ca="1" si="98"/>
        <v/>
      </c>
      <c r="GH34" s="20" t="str">
        <f t="shared" ca="1" si="98"/>
        <v/>
      </c>
      <c r="GI34" s="34"/>
      <c r="HE34" s="34"/>
      <c r="HZ34" s="34"/>
      <c r="IA34" s="19" t="str">
        <f t="shared" ca="1" si="99"/>
        <v>No Hdcp</v>
      </c>
      <c r="IB34" s="19" t="str">
        <f ca="1">IF(D34&lt;&gt;"","1@"&amp;$H34,"")</f>
        <v>1@</v>
      </c>
      <c r="IC34" s="19" t="str">
        <f ca="1">IF(D34&lt;&gt;"","2@"&amp;$I34&amp;","&amp;$H34,"")</f>
        <v>2@,</v>
      </c>
      <c r="ID34" s="19" t="str">
        <f ca="1">IF(D34&lt;&gt;"","3@"&amp;$J34&amp;","&amp;$I34&amp;","&amp;$H34,"")</f>
        <v>3@,,</v>
      </c>
      <c r="IE34" s="19" t="str">
        <f ca="1">IF(D34&lt;&gt;"","4@"&amp;$K34&amp;","&amp;$J34&amp;","&amp;$I34&amp;","&amp;$H34,"")</f>
        <v>4@,,,</v>
      </c>
      <c r="IF34" s="19"/>
      <c r="IG34" s="19"/>
      <c r="IH34" s="19"/>
      <c r="II34" s="19"/>
      <c r="IJ34" s="19"/>
      <c r="IK34" s="263" t="e">
        <f ca="1">IF(D34&lt;&gt;"",MIN(ROUND((AVERAGE($H34:$Q34)-$C$4)*0.9,2),20),"")</f>
        <v>#DIV/0!</v>
      </c>
      <c r="IL34" s="34"/>
    </row>
    <row r="35" spans="1:271" ht="21" customHeight="1" x14ac:dyDescent="0.2">
      <c r="A35" s="38" t="s">
        <v>25</v>
      </c>
      <c r="B35" s="39" t="s">
        <v>75</v>
      </c>
      <c r="C35" s="40">
        <f ca="1">IFERROR(VLOOKUP(D35, leagueroster, 2, FALSE), 0)</f>
        <v>0.20499999999999999</v>
      </c>
      <c r="D35" s="38" t="str">
        <f ca="1">INDEX(INDIRECT($A35), 3, 1)</f>
        <v>The Four Puttz</v>
      </c>
      <c r="E35" s="39"/>
      <c r="F35" s="39"/>
      <c r="G35" s="41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41"/>
      <c r="V35" s="39"/>
      <c r="W35" s="39"/>
      <c r="X35" s="39"/>
      <c r="Y35" s="39"/>
      <c r="Z35" s="39"/>
      <c r="AA35" s="39"/>
      <c r="AB35" s="39"/>
      <c r="AE35" s="34"/>
      <c r="AF35" s="341"/>
      <c r="AG35" s="341"/>
      <c r="AH35" s="341"/>
      <c r="AI35" s="341"/>
      <c r="AJ35" s="341"/>
      <c r="AK35" s="341"/>
      <c r="AL35" s="341"/>
      <c r="AM35" s="341"/>
      <c r="AN35" s="341"/>
      <c r="AO35" s="341"/>
      <c r="BI35" s="34"/>
      <c r="BJ35" s="340"/>
      <c r="BK35" s="340"/>
      <c r="BL35" s="340"/>
      <c r="BM35" s="340"/>
      <c r="BN35" s="340"/>
      <c r="BO35" s="340"/>
      <c r="BP35" s="340"/>
      <c r="BQ35" s="340"/>
      <c r="BR35" s="340"/>
      <c r="BS35" s="340"/>
      <c r="CM35" s="34"/>
      <c r="DG35" s="34"/>
      <c r="EA35" s="34"/>
      <c r="EU35" s="34"/>
      <c r="FO35" s="34"/>
      <c r="GI35" s="34"/>
      <c r="GJ35" s="20">
        <f t="shared" ref="GJ35:HB35" ca="1" si="100">IF(INDEX(INDIRECT($A35), 4, GJ$6+2)=0, "", INDEX(INDIRECT($A35), 4, GJ$6+2))</f>
        <v>181</v>
      </c>
      <c r="GK35" s="20">
        <f t="shared" ca="1" si="100"/>
        <v>176</v>
      </c>
      <c r="GL35" s="20">
        <f t="shared" ca="1" si="100"/>
        <v>161</v>
      </c>
      <c r="GM35" s="20">
        <f t="shared" ca="1" si="100"/>
        <v>179</v>
      </c>
      <c r="GN35" s="20">
        <f t="shared" ca="1" si="100"/>
        <v>151</v>
      </c>
      <c r="GO35" s="20">
        <f t="shared" ca="1" si="100"/>
        <v>172</v>
      </c>
      <c r="GP35" s="20">
        <f t="shared" ca="1" si="100"/>
        <v>162</v>
      </c>
      <c r="GQ35" s="20" t="str">
        <f t="shared" ca="1" si="100"/>
        <v/>
      </c>
      <c r="GR35" s="20">
        <f t="shared" ca="1" si="100"/>
        <v>156</v>
      </c>
      <c r="GS35" s="20">
        <f t="shared" ca="1" si="100"/>
        <v>147</v>
      </c>
      <c r="GT35" s="20">
        <f t="shared" ca="1" si="100"/>
        <v>155</v>
      </c>
      <c r="GU35" s="20" t="str">
        <f t="shared" ca="1" si="100"/>
        <v/>
      </c>
      <c r="GV35" s="20">
        <f t="shared" ca="1" si="100"/>
        <v>155</v>
      </c>
      <c r="GW35" s="20">
        <f t="shared" ca="1" si="100"/>
        <v>150</v>
      </c>
      <c r="GX35" s="20">
        <f t="shared" ca="1" si="100"/>
        <v>75</v>
      </c>
      <c r="GY35" s="20">
        <f t="shared" ca="1" si="100"/>
        <v>160</v>
      </c>
      <c r="GZ35" s="20">
        <f t="shared" ca="1" si="100"/>
        <v>157</v>
      </c>
      <c r="HA35" s="20">
        <f t="shared" ca="1" si="100"/>
        <v>154</v>
      </c>
      <c r="HB35" s="20" t="str">
        <f t="shared" ca="1" si="100"/>
        <v/>
      </c>
      <c r="HC35" s="20" cm="1">
        <f t="array" aca="1" ref="HC35" ca="1">MIN(_xlfn._xlws.FILTER(GJ35:HB35,GJ35:HB35&gt;129))</f>
        <v>147</v>
      </c>
      <c r="HD35" s="42">
        <f ca="1">IF(D35&lt;&gt;"", IFERROR(AVERAGE(GJ35:HA35), "-"), "")</f>
        <v>155.6875</v>
      </c>
      <c r="HE35" s="34"/>
      <c r="HF35" s="20">
        <f t="shared" ref="HF35:HW35" ca="1" si="101">IF(INDEX(INDIRECT($A35), 3, HF$6+2)=0, "", INDEX(INDIRECT($A35), 3, HF$6+2))</f>
        <v>37</v>
      </c>
      <c r="HG35" s="20">
        <f t="shared" ca="1" si="101"/>
        <v>33</v>
      </c>
      <c r="HH35" s="20">
        <f t="shared" ca="1" si="101"/>
        <v>34</v>
      </c>
      <c r="HI35" s="20">
        <f t="shared" ca="1" si="101"/>
        <v>23</v>
      </c>
      <c r="HJ35" s="20">
        <f t="shared" ca="1" si="101"/>
        <v>51</v>
      </c>
      <c r="HK35" s="20">
        <f t="shared" ca="1" si="101"/>
        <v>30</v>
      </c>
      <c r="HL35" s="20">
        <f t="shared" ca="1" si="101"/>
        <v>33</v>
      </c>
      <c r="HM35" s="20" t="str">
        <f t="shared" ca="1" si="101"/>
        <v/>
      </c>
      <c r="HN35" s="20">
        <f t="shared" ca="1" si="101"/>
        <v>49</v>
      </c>
      <c r="HO35" s="20">
        <f t="shared" ca="1" si="101"/>
        <v>52</v>
      </c>
      <c r="HP35" s="20">
        <f t="shared" ca="1" si="101"/>
        <v>42</v>
      </c>
      <c r="HQ35" s="20" t="str">
        <f t="shared" ca="1" si="101"/>
        <v/>
      </c>
      <c r="HR35" s="20">
        <f t="shared" ca="1" si="101"/>
        <v>20</v>
      </c>
      <c r="HS35" s="20">
        <f t="shared" ca="1" si="101"/>
        <v>42</v>
      </c>
      <c r="HT35" s="20">
        <f t="shared" ca="1" si="101"/>
        <v>47</v>
      </c>
      <c r="HU35" s="20">
        <f t="shared" ca="1" si="101"/>
        <v>38</v>
      </c>
      <c r="HV35" s="20">
        <f t="shared" ca="1" si="101"/>
        <v>38</v>
      </c>
      <c r="HW35" s="20">
        <f t="shared" ca="1" si="101"/>
        <v>39</v>
      </c>
      <c r="HX35" s="20"/>
      <c r="HY35" s="20">
        <f ca="1">MAX(HF35:HX35)</f>
        <v>52</v>
      </c>
      <c r="HZ35" s="34"/>
      <c r="IA35" s="118"/>
      <c r="IB35" s="118"/>
      <c r="IC35" s="118"/>
      <c r="ID35" s="118"/>
      <c r="IE35" s="118"/>
      <c r="IF35" s="118"/>
      <c r="IG35" s="118"/>
      <c r="IH35" s="118"/>
      <c r="II35" s="118"/>
      <c r="IJ35" s="118"/>
      <c r="IK35" s="118"/>
      <c r="IL35" s="34"/>
    </row>
    <row r="36" spans="1:271" x14ac:dyDescent="0.2">
      <c r="A36" s="18" t="s">
        <v>25</v>
      </c>
      <c r="B36" s="19">
        <v>5</v>
      </c>
      <c r="C36" s="22">
        <f t="shared" ref="C36:C41" ca="1" si="102">IFERROR(VLOOKUP($D36, leagueroster, 2, FALSE), 0)</f>
        <v>9.1000000000000004E-3</v>
      </c>
      <c r="D36" s="18" t="str">
        <f t="shared" ref="D36:D41" ca="1" si="103">INDEX(INDIRECT($A36), $B36, 1)</f>
        <v>Shreeve, Tim - C</v>
      </c>
      <c r="E36" s="19">
        <f t="shared" ref="E36:E41" ca="1" si="104">IF($D36&lt;&gt;"", COUNTIF($AP36:$BH36,"&lt;&gt;0"), "")</f>
        <v>13</v>
      </c>
      <c r="F36" s="19">
        <f ca="1">IF(D36&lt;&gt;"",COUNT($H36:$Q36),"")</f>
        <v>10</v>
      </c>
      <c r="G36" s="21">
        <f ca="1">IF($D36&lt;&gt;"",INDEX($IA36:$IK36,1,MATCH($F36,$IA$6:$IK$6,0)), "")</f>
        <v>4.99</v>
      </c>
      <c r="H36" s="337" cm="1">
        <f t="array" aca="1" ref="H36" ca="1">IFERROR(_xlfn.SINGLE(INDEX($AF36:$BH36, , SUMPRODUCT(LARGE((($AF36:$BH36&lt;&gt;0)*($BJ36:$CL36&lt;&gt;1)*($AF$5:$BH$5)), H$6)))), "")</f>
        <v>45</v>
      </c>
      <c r="I36" s="338" cm="1">
        <f t="array" aca="1" ref="I36" ca="1">IFERROR(_xlfn.SINGLE(INDEX($AF36:$BH36, , SUMPRODUCT(LARGE((($AF36:$BH36&lt;&gt;0)*($BJ36:$CL36&lt;&gt;1)*($AF$5:$BH$5)), I$6)))), "")</f>
        <v>41</v>
      </c>
      <c r="J36" s="338" cm="1">
        <f t="array" aca="1" ref="J36" ca="1">IFERROR(_xlfn.SINGLE(INDEX($AF36:$BH36, , SUMPRODUCT(LARGE((($AF36:$BH36&lt;&gt;0)*($BJ36:$CL36&lt;&gt;1)*($AF$5:$BH$5)), J$6)))), "")</f>
        <v>40</v>
      </c>
      <c r="K36" s="338" cm="1">
        <f t="array" aca="1" ref="K36" ca="1">IFERROR(_xlfn.SINGLE(INDEX($AF36:$BH36, , SUMPRODUCT(LARGE((($AF36:$BH36&lt;&gt;0)*($BJ36:$CL36&lt;&gt;1)*($AF$5:$BH$5)), K$6)))), "")</f>
        <v>43</v>
      </c>
      <c r="L36" s="338" cm="1">
        <f t="array" aca="1" ref="L36" ca="1">IFERROR(_xlfn.SINGLE(INDEX($AF36:$BH36, , SUMPRODUCT(LARGE((($AF36:$BH36&lt;&gt;0)*($BJ36:$CL36&lt;&gt;1)*($AF$5:$BH$5)), L$6)))), "")</f>
        <v>41</v>
      </c>
      <c r="M36" s="338" cm="1">
        <f t="array" aca="1" ref="M36" ca="1">IFERROR(_xlfn.SINGLE(INDEX($AF36:$BH36, , SUMPRODUCT(LARGE((($AF36:$BH36&lt;&gt;0)*($BJ36:$CL36&lt;&gt;1)*($AF$5:$BH$5)), M$6)))), "")</f>
        <v>43</v>
      </c>
      <c r="N36" s="338" cm="1">
        <f t="array" aca="1" ref="N36" ca="1">IFERROR(_xlfn.SINGLE(INDEX($AF36:$BH36, , SUMPRODUCT(LARGE((($AF36:$BH36&lt;&gt;0)*($BJ36:$CL36&lt;&gt;1)*($AF$5:$BH$5)), N$6)))), "")</f>
        <v>43</v>
      </c>
      <c r="O36" s="338" cm="1">
        <f t="array" aca="1" ref="O36" ca="1">IFERROR(_xlfn.SINGLE(INDEX($AF36:$BH36, , SUMPRODUCT(LARGE((($AF36:$BH36&lt;&gt;0)*($BJ36:$CL36&lt;&gt;1)*($AF$5:$BH$5)), O$6)))), "")</f>
        <v>50</v>
      </c>
      <c r="P36" s="338" cm="1">
        <f t="array" aca="1" ref="P36" ca="1">IFERROR(_xlfn.SINGLE(INDEX($AF36:$BH36, , SUMPRODUCT(LARGE((($AF36:$BH36&lt;&gt;0)*($BJ36:$CL36&lt;&gt;1)*($AF$5:$BH$5)), P$6)))), "")</f>
        <v>45</v>
      </c>
      <c r="Q36" s="339" cm="1">
        <f t="array" aca="1" ref="Q36" ca="1">IFERROR(_xlfn.SINGLE(INDEX($AF36:$BH36, , SUMPRODUCT(LARGE((($AF36:$BH36&lt;&gt;0)*($BJ36:$CL36&lt;&gt;1)*($AF$5:$BH$5)), Q$6)))), "")</f>
        <v>41</v>
      </c>
      <c r="R36" s="21">
        <v>44.133333333333333</v>
      </c>
      <c r="S36" s="47">
        <f t="shared" ref="S36:S41" ca="1" si="105">IF(COUNT($H36:$Q36)&lt;5,"-",AVERAGE(SMALL($H36:$Q36,1),SMALL($H36:$Q36,2),SMALL($H36:$Q36,3),SMALL($H36:$Q36,4),SMALL($H36:$Q36,5)))</f>
        <v>41.2</v>
      </c>
      <c r="T36" s="21">
        <f ca="1">IF($D36&lt;&gt;"", IFERROR(IF($E36&gt;=qualifier, SUMIF($BT36:$CL36,0,$AP36:$BH36)/$E36, TEXT(SUMIF($BT36:$CL36,0,$AP36:$BH36)/$E36, "0.00")&amp;"*"), "-"), "")</f>
        <v>43.230769230769234</v>
      </c>
      <c r="U36" s="21">
        <f ca="1">IF($D36&lt;&gt;"", IFERROR(IF($E36&gt;=qualifier, SUMIF($BT36:$CL36,0,$CN36:$DF36)/$E36, TEXT(SUMIF($BT36:$CL36,0,$CN36:$DF36)/$E36, "0.00")&amp;"*"), "-"), "")</f>
        <v>38.53846153846154</v>
      </c>
      <c r="V36" s="45">
        <f ca="1">IF(AND($D36&lt;&gt;"", $E36&lt;&gt;0), _xlfn.MINIFS($AP36:$BH36,$BT36:$CL36,0,$AP36:$BH36,"&lt;&gt;0"), "")</f>
        <v>39</v>
      </c>
      <c r="W36" s="62">
        <f ca="1">IF(AND($D36&lt;&gt;"", $E36&lt;&gt;0), _xlfn.MINIFS($CN36:$DF36,$BT36:$CL36,0), "")</f>
        <v>34</v>
      </c>
      <c r="X36" s="45">
        <f ca="1">IF($D36&lt;&gt;"", SUM($DH36:$DZ36),  "")</f>
        <v>140</v>
      </c>
      <c r="Y36" s="21">
        <f ca="1">IF($D36&lt;&gt;"", IFERROR(IF($E36&gt;=qualifier, AVERAGE($DH36:$DZ36), TEXT(AVERAGE($DH36:$DZ36), "0.00")&amp;"*"), "-"), "")</f>
        <v>10</v>
      </c>
      <c r="Z36" s="19">
        <f ca="1">IF($D36&lt;&gt;"", SUM($EB36:$ET36),  "")</f>
        <v>7</v>
      </c>
      <c r="AA36" s="19">
        <f ca="1">IF($D36&lt;&gt;"", SUM($EV36:$FN36),  "")</f>
        <v>0</v>
      </c>
      <c r="AB36" s="45" t="str">
        <f t="shared" ref="AB36:AB41" ca="1" si="106">IF($D36&lt;&gt;"", COUNTIF($FP36:$GH36, "w")&amp;"-"&amp;COUNTIF($FP36:$GH36, "l")&amp;"-"&amp;COUNTIF($FP36:$GH36, "t"),  "")</f>
        <v>8-6-0</v>
      </c>
      <c r="AC36" s="218">
        <f t="shared" ref="AC36:AC41" ca="1" si="107">IF($D36&lt;&gt;"", INDEX(INDIRECT($A36), $B36+1, 1), "")</f>
        <v>3304027784</v>
      </c>
      <c r="AD36" s="57" t="str">
        <f t="shared" ref="AD36:AD41" ca="1" si="108">IF($D36&lt;&gt;"", INDEX(INDIRECT($A36), $B36+2, 1), "")</f>
        <v>tpshreeve@gmail.com</v>
      </c>
      <c r="AE36" s="34"/>
      <c r="AF36" s="341">
        <f ca="1">INDEX(PriorScores[],MATCH($D36,PriorScores[Team / Player],0),2)</f>
        <v>42</v>
      </c>
      <c r="AG36" s="341">
        <f ca="1">INDEX(PriorScores[],MATCH($D36,PriorScores[Team / Player],0),3)</f>
        <v>42</v>
      </c>
      <c r="AH36" s="341">
        <f ca="1">INDEX(PriorScores[],MATCH($D36,PriorScores[Team / Player],0),4)</f>
        <v>45</v>
      </c>
      <c r="AI36" s="341">
        <f ca="1">INDEX(PriorScores[],MATCH($D36,PriorScores[Team / Player],0),5)</f>
        <v>44</v>
      </c>
      <c r="AJ36" s="341">
        <f ca="1">INDEX(PriorScores[],MATCH($D36,PriorScores[Team / Player],0),6)</f>
        <v>43</v>
      </c>
      <c r="AK36" s="341">
        <f ca="1">INDEX(PriorScores[],MATCH($D36,PriorScores[Team / Player],0),7)</f>
        <v>47</v>
      </c>
      <c r="AL36" s="341">
        <f ca="1">INDEX(PriorScores[],MATCH($D36,PriorScores[Team / Player],0),8)</f>
        <v>41</v>
      </c>
      <c r="AM36" s="341">
        <f ca="1">INDEX(PriorScores[],MATCH($D36,PriorScores[Team / Player],0),9)</f>
        <v>42</v>
      </c>
      <c r="AN36" s="341">
        <f ca="1">INDEX(PriorScores[],MATCH($D36,PriorScores[Team / Player],0),10)</f>
        <v>39</v>
      </c>
      <c r="AO36" s="341">
        <f ca="1">INDEX(PriorScores[],MATCH($D36,PriorScores[Team / Player],0),11)</f>
        <v>49</v>
      </c>
      <c r="AP36" s="20">
        <f t="shared" ref="AP36:AY41" ca="1" si="109">IF(OR(INDEX(INDIRECT($A36), $B36, AP$6+2)="",INDEX(INDIRECT($A36),$B36+5,AP$6+2)=1), 0, INDEX(INDIRECT($A36), $B36, AP$6+2))</f>
        <v>39</v>
      </c>
      <c r="AQ36" s="20">
        <f t="shared" ca="1" si="109"/>
        <v>47</v>
      </c>
      <c r="AR36" s="20">
        <f t="shared" ca="1" si="109"/>
        <v>44</v>
      </c>
      <c r="AS36" s="20">
        <f t="shared" ca="1" si="109"/>
        <v>0</v>
      </c>
      <c r="AT36" s="20">
        <f t="shared" ca="1" si="109"/>
        <v>41</v>
      </c>
      <c r="AU36" s="20">
        <f t="shared" ca="1" si="109"/>
        <v>45</v>
      </c>
      <c r="AV36" s="20">
        <f t="shared" ca="1" si="109"/>
        <v>50</v>
      </c>
      <c r="AW36" s="20">
        <f t="shared" ca="1" si="109"/>
        <v>0</v>
      </c>
      <c r="AX36" s="20">
        <f t="shared" ca="1" si="109"/>
        <v>43</v>
      </c>
      <c r="AY36" s="20">
        <f t="shared" ca="1" si="109"/>
        <v>43</v>
      </c>
      <c r="AZ36" s="20">
        <f t="shared" ref="AZ36:BH41" ca="1" si="110">IF(OR(INDEX(INDIRECT($A36), $B36, AZ$6+2)="",INDEX(INDIRECT($A36),$B36+5,AZ$6+2)=1), 0, INDEX(INDIRECT($A36), $B36, AZ$6+2))</f>
        <v>41</v>
      </c>
      <c r="BA36" s="20">
        <f t="shared" ca="1" si="110"/>
        <v>0</v>
      </c>
      <c r="BB36" s="20">
        <f t="shared" ca="1" si="110"/>
        <v>43</v>
      </c>
      <c r="BC36" s="20">
        <f t="shared" ca="1" si="110"/>
        <v>40</v>
      </c>
      <c r="BD36" s="20">
        <f t="shared" ca="1" si="110"/>
        <v>0</v>
      </c>
      <c r="BE36" s="20">
        <f t="shared" ca="1" si="110"/>
        <v>41</v>
      </c>
      <c r="BF36" s="20">
        <f t="shared" ca="1" si="110"/>
        <v>45</v>
      </c>
      <c r="BG36" s="20">
        <f t="shared" ca="1" si="110"/>
        <v>0</v>
      </c>
      <c r="BH36" s="20">
        <f t="shared" ca="1" si="110"/>
        <v>0</v>
      </c>
      <c r="BI36" s="34"/>
      <c r="BJ36" s="341">
        <v>0</v>
      </c>
      <c r="BK36" s="341">
        <v>0</v>
      </c>
      <c r="BL36" s="341">
        <v>0</v>
      </c>
      <c r="BM36" s="341">
        <v>0</v>
      </c>
      <c r="BN36" s="341">
        <v>0</v>
      </c>
      <c r="BO36" s="341">
        <v>0</v>
      </c>
      <c r="BP36" s="341">
        <v>0</v>
      </c>
      <c r="BQ36" s="341">
        <v>0</v>
      </c>
      <c r="BR36" s="341">
        <v>0</v>
      </c>
      <c r="BS36" s="341">
        <v>0</v>
      </c>
      <c r="BT36" s="20">
        <f t="shared" ref="BT36:CC41" ca="1" si="111">IF(INDEX(INDIRECT($A36), $B36+5, BT$6+2)="", 0, INDEX(INDIRECT($A36), $B36+5, BT$6+2))</f>
        <v>0</v>
      </c>
      <c r="BU36" s="20">
        <f t="shared" ca="1" si="111"/>
        <v>0</v>
      </c>
      <c r="BV36" s="20">
        <f t="shared" ca="1" si="111"/>
        <v>0</v>
      </c>
      <c r="BW36" s="20">
        <f t="shared" ca="1" si="111"/>
        <v>0</v>
      </c>
      <c r="BX36" s="20">
        <f t="shared" ca="1" si="111"/>
        <v>0</v>
      </c>
      <c r="BY36" s="20">
        <f t="shared" ca="1" si="111"/>
        <v>0</v>
      </c>
      <c r="BZ36" s="20">
        <f t="shared" ca="1" si="111"/>
        <v>0</v>
      </c>
      <c r="CA36" s="20">
        <f t="shared" ca="1" si="111"/>
        <v>0</v>
      </c>
      <c r="CB36" s="20">
        <f t="shared" ca="1" si="111"/>
        <v>0</v>
      </c>
      <c r="CC36" s="20">
        <f t="shared" ca="1" si="111"/>
        <v>0</v>
      </c>
      <c r="CD36" s="20">
        <f t="shared" ref="CD36:CL41" ca="1" si="112">IF(INDEX(INDIRECT($A36), $B36+5, CD$6+2)="", 0, INDEX(INDIRECT($A36), $B36+5, CD$6+2))</f>
        <v>0</v>
      </c>
      <c r="CE36" s="20">
        <f t="shared" ca="1" si="112"/>
        <v>0</v>
      </c>
      <c r="CF36" s="20">
        <f t="shared" ca="1" si="112"/>
        <v>0</v>
      </c>
      <c r="CG36" s="20">
        <f t="shared" ca="1" si="112"/>
        <v>0</v>
      </c>
      <c r="CH36" s="20">
        <f t="shared" ca="1" si="112"/>
        <v>0</v>
      </c>
      <c r="CI36" s="20">
        <f t="shared" ca="1" si="112"/>
        <v>0</v>
      </c>
      <c r="CJ36" s="20">
        <f t="shared" ca="1" si="112"/>
        <v>0</v>
      </c>
      <c r="CK36" s="20">
        <f t="shared" ca="1" si="112"/>
        <v>1</v>
      </c>
      <c r="CL36" s="20">
        <f t="shared" ca="1" si="112"/>
        <v>0</v>
      </c>
      <c r="CM36" s="34"/>
      <c r="CN36" s="20">
        <f t="shared" ref="CN36:CW41" ca="1" si="113">IF(OR(INDEX(INDIRECT($A36), $B36+1, CN$6+2)=0,INDEX(INDIRECT($A36),$B36+5,CN$6+2)=1), "", INDEX(INDIRECT($A36), $B36+1, CN$6+2))</f>
        <v>34</v>
      </c>
      <c r="CO36" s="20">
        <f t="shared" ca="1" si="113"/>
        <v>43</v>
      </c>
      <c r="CP36" s="20">
        <f t="shared" ca="1" si="113"/>
        <v>39</v>
      </c>
      <c r="CQ36" s="20" t="str">
        <f t="shared" ca="1" si="113"/>
        <v/>
      </c>
      <c r="CR36" s="20">
        <f t="shared" ca="1" si="113"/>
        <v>36</v>
      </c>
      <c r="CS36" s="20">
        <f t="shared" ca="1" si="113"/>
        <v>41</v>
      </c>
      <c r="CT36" s="20">
        <f t="shared" ca="1" si="113"/>
        <v>46</v>
      </c>
      <c r="CU36" s="20" t="str">
        <f t="shared" ca="1" si="113"/>
        <v/>
      </c>
      <c r="CV36" s="20">
        <f t="shared" ca="1" si="113"/>
        <v>39</v>
      </c>
      <c r="CW36" s="20">
        <f t="shared" ca="1" si="113"/>
        <v>38</v>
      </c>
      <c r="CX36" s="20">
        <f t="shared" ref="CX36:DF41" ca="1" si="114">IF(OR(INDEX(INDIRECT($A36), $B36+1, CX$6+2)=0,INDEX(INDIRECT($A36),$B36+5,CX$6+2)=1), "", INDEX(INDIRECT($A36), $B36+1, CX$6+2))</f>
        <v>36</v>
      </c>
      <c r="CY36" s="20" t="str">
        <f t="shared" ca="1" si="114"/>
        <v/>
      </c>
      <c r="CZ36" s="20">
        <f t="shared" ca="1" si="114"/>
        <v>38</v>
      </c>
      <c r="DA36" s="20">
        <f t="shared" ca="1" si="114"/>
        <v>35</v>
      </c>
      <c r="DB36" s="20" t="str">
        <f t="shared" ca="1" si="114"/>
        <v/>
      </c>
      <c r="DC36" s="20">
        <f t="shared" ca="1" si="114"/>
        <v>36</v>
      </c>
      <c r="DD36" s="20">
        <f t="shared" ca="1" si="114"/>
        <v>40</v>
      </c>
      <c r="DE36" s="20" t="str">
        <f t="shared" ca="1" si="114"/>
        <v/>
      </c>
      <c r="DF36" s="20" t="str">
        <f t="shared" ca="1" si="114"/>
        <v/>
      </c>
      <c r="DG36" s="34"/>
      <c r="DH36" s="20">
        <f t="shared" ref="DH36:DQ41" ca="1" si="115">IF(INDEX(INDIRECT($A36), $B36+2, DH$6+2)=0, "", INDEX(INDIRECT($A36), $B36+2, DH$6+2))</f>
        <v>16</v>
      </c>
      <c r="DI36" s="20">
        <f t="shared" ca="1" si="115"/>
        <v>6</v>
      </c>
      <c r="DJ36" s="20">
        <f t="shared" ca="1" si="115"/>
        <v>6</v>
      </c>
      <c r="DK36" s="20" t="str">
        <f t="shared" ca="1" si="115"/>
        <v/>
      </c>
      <c r="DL36" s="20">
        <f t="shared" ca="1" si="115"/>
        <v>14</v>
      </c>
      <c r="DM36" s="20">
        <f t="shared" ca="1" si="115"/>
        <v>12</v>
      </c>
      <c r="DN36" s="20">
        <f t="shared" ca="1" si="115"/>
        <v>7</v>
      </c>
      <c r="DO36" s="20" t="str">
        <f t="shared" ca="1" si="115"/>
        <v/>
      </c>
      <c r="DP36" s="20">
        <f t="shared" ca="1" si="115"/>
        <v>8</v>
      </c>
      <c r="DQ36" s="20">
        <f t="shared" ca="1" si="115"/>
        <v>12</v>
      </c>
      <c r="DR36" s="20">
        <f t="shared" ref="DR36:DZ41" ca="1" si="116">IF(INDEX(INDIRECT($A36), $B36+2, DR$6+2)=0, "", INDEX(INDIRECT($A36), $B36+2, DR$6+2))</f>
        <v>12</v>
      </c>
      <c r="DS36" s="20" t="str">
        <f t="shared" ca="1" si="116"/>
        <v/>
      </c>
      <c r="DT36" s="20">
        <f t="shared" ca="1" si="116"/>
        <v>3</v>
      </c>
      <c r="DU36" s="20">
        <f t="shared" ca="1" si="116"/>
        <v>12</v>
      </c>
      <c r="DV36" s="20" t="str">
        <f t="shared" ca="1" si="116"/>
        <v/>
      </c>
      <c r="DW36" s="20">
        <f t="shared" ca="1" si="116"/>
        <v>12</v>
      </c>
      <c r="DX36" s="20">
        <f t="shared" ca="1" si="116"/>
        <v>9</v>
      </c>
      <c r="DY36" s="20">
        <f t="shared" ca="1" si="116"/>
        <v>11</v>
      </c>
      <c r="DZ36" s="20" t="str">
        <f t="shared" ca="1" si="116"/>
        <v/>
      </c>
      <c r="EA36" s="34"/>
      <c r="EB36" s="20">
        <f t="shared" ref="EB36:EK41" ca="1" si="117">IF(INDEX(INDIRECT($A36), $B36+3, EB$6+2)=0, "", INDEX(INDIRECT($A36), $B36+3, EB$6+2))</f>
        <v>2</v>
      </c>
      <c r="EC36" s="20" t="str">
        <f t="shared" ca="1" si="117"/>
        <v/>
      </c>
      <c r="ED36" s="20" t="str">
        <f t="shared" ca="1" si="117"/>
        <v/>
      </c>
      <c r="EE36" s="20" t="str">
        <f t="shared" ca="1" si="117"/>
        <v/>
      </c>
      <c r="EF36" s="20">
        <f t="shared" ca="1" si="117"/>
        <v>1</v>
      </c>
      <c r="EG36" s="20" t="str">
        <f t="shared" ca="1" si="117"/>
        <v/>
      </c>
      <c r="EH36" s="20" t="str">
        <f t="shared" ca="1" si="117"/>
        <v/>
      </c>
      <c r="EI36" s="20" t="str">
        <f t="shared" ca="1" si="117"/>
        <v/>
      </c>
      <c r="EJ36" s="20" t="str">
        <f t="shared" ca="1" si="117"/>
        <v/>
      </c>
      <c r="EK36" s="20" t="str">
        <f t="shared" ca="1" si="117"/>
        <v/>
      </c>
      <c r="EL36" s="20" t="str">
        <f t="shared" ref="EL36:ET41" ca="1" si="118">IF(INDEX(INDIRECT($A36), $B36+3, EL$6+2)=0, "", INDEX(INDIRECT($A36), $B36+3, EL$6+2))</f>
        <v/>
      </c>
      <c r="EM36" s="20" t="str">
        <f t="shared" ca="1" si="118"/>
        <v/>
      </c>
      <c r="EN36" s="20" t="str">
        <f t="shared" ca="1" si="118"/>
        <v/>
      </c>
      <c r="EO36" s="20">
        <f t="shared" ca="1" si="118"/>
        <v>2</v>
      </c>
      <c r="EP36" s="20" t="str">
        <f t="shared" ca="1" si="118"/>
        <v/>
      </c>
      <c r="EQ36" s="20" t="str">
        <f t="shared" ca="1" si="118"/>
        <v/>
      </c>
      <c r="ER36" s="20">
        <f t="shared" ca="1" si="118"/>
        <v>1</v>
      </c>
      <c r="ES36" s="20">
        <f t="shared" ca="1" si="118"/>
        <v>1</v>
      </c>
      <c r="ET36" s="20" t="str">
        <f t="shared" ca="1" si="118"/>
        <v/>
      </c>
      <c r="EU36" s="34"/>
      <c r="EV36" s="20" t="str">
        <f t="shared" ref="EV36:FE41" ca="1" si="119">IF(INDEX(INDIRECT($A36), $B36+4, EV$6+2)=0, "", INDEX(INDIRECT($A36), $B36+4, EV$6+2))</f>
        <v/>
      </c>
      <c r="EW36" s="20" t="str">
        <f t="shared" ca="1" si="119"/>
        <v/>
      </c>
      <c r="EX36" s="20" t="str">
        <f t="shared" ca="1" si="119"/>
        <v/>
      </c>
      <c r="EY36" s="20" t="str">
        <f t="shared" ca="1" si="119"/>
        <v/>
      </c>
      <c r="EZ36" s="20" t="str">
        <f t="shared" ca="1" si="119"/>
        <v/>
      </c>
      <c r="FA36" s="20" t="str">
        <f t="shared" ca="1" si="119"/>
        <v/>
      </c>
      <c r="FB36" s="20" t="str">
        <f t="shared" ca="1" si="119"/>
        <v/>
      </c>
      <c r="FC36" s="20" t="str">
        <f t="shared" ca="1" si="119"/>
        <v/>
      </c>
      <c r="FD36" s="20" t="str">
        <f t="shared" ca="1" si="119"/>
        <v/>
      </c>
      <c r="FE36" s="20" t="str">
        <f t="shared" ca="1" si="119"/>
        <v/>
      </c>
      <c r="FF36" s="20" t="str">
        <f t="shared" ref="FF36:FN41" ca="1" si="120">IF(INDEX(INDIRECT($A36), $B36+4, FF$6+2)=0, "", INDEX(INDIRECT($A36), $B36+4, FF$6+2))</f>
        <v/>
      </c>
      <c r="FG36" s="20" t="str">
        <f t="shared" ca="1" si="120"/>
        <v/>
      </c>
      <c r="FH36" s="20" t="str">
        <f t="shared" ca="1" si="120"/>
        <v/>
      </c>
      <c r="FI36" s="20" t="str">
        <f t="shared" ca="1" si="120"/>
        <v/>
      </c>
      <c r="FJ36" s="20" t="str">
        <f t="shared" ca="1" si="120"/>
        <v/>
      </c>
      <c r="FK36" s="20" t="str">
        <f t="shared" ca="1" si="120"/>
        <v/>
      </c>
      <c r="FL36" s="20" t="str">
        <f t="shared" ca="1" si="120"/>
        <v/>
      </c>
      <c r="FM36" s="20" t="str">
        <f t="shared" ca="1" si="120"/>
        <v/>
      </c>
      <c r="FN36" s="20" t="str">
        <f t="shared" ca="1" si="120"/>
        <v/>
      </c>
      <c r="FO36" s="34"/>
      <c r="FP36" s="20" t="str">
        <f t="shared" ref="FP36:FY41" ca="1" si="121">IF(INDEX(INDIRECT($A36), $B36+6, FP$6+2)=0, "", INDEX(INDIRECT($A36), $B36+6, FP$6+2))</f>
        <v>w</v>
      </c>
      <c r="FQ36" s="20" t="str">
        <f t="shared" ca="1" si="121"/>
        <v>l</v>
      </c>
      <c r="FR36" s="20" t="str">
        <f t="shared" ca="1" si="121"/>
        <v>l</v>
      </c>
      <c r="FS36" s="20" t="str">
        <f t="shared" ca="1" si="121"/>
        <v/>
      </c>
      <c r="FT36" s="20" t="str">
        <f t="shared" ca="1" si="121"/>
        <v>w</v>
      </c>
      <c r="FU36" s="20" t="str">
        <f t="shared" ca="1" si="121"/>
        <v>w</v>
      </c>
      <c r="FV36" s="20" t="str">
        <f t="shared" ca="1" si="121"/>
        <v>l</v>
      </c>
      <c r="FW36" s="20" t="str">
        <f t="shared" ca="1" si="121"/>
        <v/>
      </c>
      <c r="FX36" s="20" t="str">
        <f t="shared" ca="1" si="121"/>
        <v>l</v>
      </c>
      <c r="FY36" s="20" t="str">
        <f t="shared" ca="1" si="121"/>
        <v>w</v>
      </c>
      <c r="FZ36" s="20" t="str">
        <f t="shared" ref="FZ36:GH41" ca="1" si="122">IF(INDEX(INDIRECT($A36), $B36+6, FZ$6+2)=0, "", INDEX(INDIRECT($A36), $B36+6, FZ$6+2))</f>
        <v>w</v>
      </c>
      <c r="GA36" s="20" t="str">
        <f t="shared" ca="1" si="122"/>
        <v/>
      </c>
      <c r="GB36" s="20" t="str">
        <f t="shared" ca="1" si="122"/>
        <v>l</v>
      </c>
      <c r="GC36" s="20" t="str">
        <f t="shared" ca="1" si="122"/>
        <v>w</v>
      </c>
      <c r="GD36" s="20" t="str">
        <f t="shared" ca="1" si="122"/>
        <v/>
      </c>
      <c r="GE36" s="20" t="str">
        <f t="shared" ca="1" si="122"/>
        <v>w</v>
      </c>
      <c r="GF36" s="20" t="str">
        <f t="shared" ca="1" si="122"/>
        <v>l</v>
      </c>
      <c r="GG36" s="20" t="str">
        <f t="shared" ca="1" si="122"/>
        <v>w</v>
      </c>
      <c r="GH36" s="20" t="str">
        <f t="shared" ca="1" si="122"/>
        <v/>
      </c>
      <c r="GI36" s="34"/>
      <c r="HE36" s="34"/>
      <c r="HZ36" s="34"/>
      <c r="IA36" s="19" t="str">
        <f t="shared" ref="IA36:IA41" ca="1" si="123">IF(D36&lt;&gt;"","No Hdcp","")</f>
        <v>No Hdcp</v>
      </c>
      <c r="IB36" s="19" t="str">
        <f ca="1">IF($D36&lt;&gt;"","Low of score &amp; "&amp;MIN($H36:$H36),"")</f>
        <v>Low of score &amp; 45</v>
      </c>
      <c r="IC36" s="19" t="str">
        <f ca="1">IF($D36&lt;&gt;"","Low of score &amp; "&amp;MIN($H36:$I36),"")</f>
        <v>Low of score &amp; 41</v>
      </c>
      <c r="ID36" s="18" t="str">
        <f ca="1">IF($D36&lt;&gt;"","Low of score &amp; "&amp;MIN($H36:$J36),"")</f>
        <v>Low of score &amp; 40</v>
      </c>
      <c r="IE36" s="18" t="str">
        <f ca="1">IF($D36&lt;&gt;"","Low of score &amp; "&amp;MIN($H36:$K36),"")</f>
        <v>Low of score &amp; 40</v>
      </c>
      <c r="IF36" s="18">
        <f ca="1">IF($D36&lt;&gt;"",ROUND(MIN((MIN($H36:$L36)-36)*0.96,20),2),"")</f>
        <v>3.84</v>
      </c>
      <c r="IG36" s="353">
        <f ca="1">IF($D36&lt;&gt;"",ROUND(MIN((AVERAGE(SMALL($H36:$M36,1),SMALL($H36:$M36,2))-36)*0.96,20),2),"")</f>
        <v>4.32</v>
      </c>
      <c r="IH36" s="18">
        <f ca="1">IF($D36&lt;&gt;"",ROUND(MIN((AVERAGE(SMALL($H36:$N36,1),SMALL($H36:$N36,2),SMALL($H36:$N36,3))-36)*0.96,20),2),"")</f>
        <v>4.4800000000000004</v>
      </c>
      <c r="II36" s="18">
        <f ca="1">IF($D36&lt;&gt;"",ROUND(MIN((AVERAGE(SMALL($H36:$O36,1),SMALL($H36:$O36,2),SMALL($H36:$O36,3),SMALL($H36:$O36,4))-36)*0.96,20),2),"")</f>
        <v>5.04</v>
      </c>
      <c r="IJ36" s="18">
        <f ca="1">IF($D36&lt;&gt;"",ROUND(MIN((AVERAGE(SMALL($H36:$P36,1),SMALL($H36:$P36,2),SMALL($H36:$P36,3),SMALL($H36:$P36,4))-36)*0.96,20),2),"")</f>
        <v>5.04</v>
      </c>
      <c r="IK36" s="18">
        <f ca="1">IF($D36&lt;&gt;"",ROUND(MIN((AVERAGE(SMALL($H36:$Q36,1),SMALL($H36:$Q36,2),SMALL($H36:$Q36,3),SMALL($H36:$Q36,4),SMALL($H36:$Q36,5))-36)*0.96,20),2),"")</f>
        <v>4.99</v>
      </c>
      <c r="IL36" s="34"/>
      <c r="IN36" s="18">
        <f ca="1">AO36</f>
        <v>49</v>
      </c>
      <c r="IO36" s="18">
        <f ca="1">AN36</f>
        <v>39</v>
      </c>
      <c r="IP36" s="18">
        <f ca="1">AM36</f>
        <v>42</v>
      </c>
      <c r="IQ36" s="18">
        <f ca="1">AL36</f>
        <v>41</v>
      </c>
      <c r="IR36" s="18">
        <f ca="1">AK36</f>
        <v>47</v>
      </c>
      <c r="IS36" s="18">
        <f ca="1">AJ36</f>
        <v>43</v>
      </c>
      <c r="IT36" s="18">
        <f ca="1">AI36</f>
        <v>44</v>
      </c>
      <c r="IU36" s="18">
        <f ca="1">AH36</f>
        <v>45</v>
      </c>
      <c r="IV36" s="18">
        <f ca="1">AG36</f>
        <v>42</v>
      </c>
      <c r="IW36" s="18">
        <f ca="1">AF36</f>
        <v>42</v>
      </c>
      <c r="IX36" s="19">
        <f ca="1">IF(D36&lt;&gt;"",COUNT(IN36:IW36),"")</f>
        <v>10</v>
      </c>
      <c r="IY36" s="21">
        <f ca="1">IF(D36&lt;&gt;"",INDEX($JA36:$JK36,1,MATCH($IX36,$JA$6:$JK$6,0)), "")</f>
        <v>4.9920000000000027</v>
      </c>
      <c r="JA36" s="18" t="str">
        <f ca="1">IF(D36&lt;&gt;"","No Hdcp","")</f>
        <v>No Hdcp</v>
      </c>
      <c r="JB36" s="18" t="str">
        <f ca="1">IF(D36&lt;&gt;"","Low of score &amp; "&amp;MIN($IN36:$IN36),"")</f>
        <v>Low of score &amp; 49</v>
      </c>
      <c r="JC36" s="18" t="str">
        <f ca="1">IF(D36&lt;&gt;"","Low of score &amp; "&amp;MIN($IN36:$IO36),"")</f>
        <v>Low of score &amp; 39</v>
      </c>
      <c r="JD36" s="18" t="str">
        <f ca="1">IF(D36&lt;&gt;"","Low of score &amp; "&amp;MIN($IN36:$IP36),"")</f>
        <v>Low of score &amp; 39</v>
      </c>
      <c r="JE36" s="18" t="str">
        <f ca="1">IF(D36&lt;&gt;"","Low of score &amp; "&amp;MIN($IN36:$IQ36),"")</f>
        <v>Low of score &amp; 39</v>
      </c>
      <c r="JF36" s="18">
        <f ca="1">IF(D36&lt;&gt;"",MIN((MIN($IN36:$IR36)-36)*0.96,20),"")</f>
        <v>2.88</v>
      </c>
      <c r="JG36" s="18">
        <f ca="1">IF(D36&lt;&gt;"",MIN((AVERAGE(SMALL($IN36:$IS36,1),SMALL($IN36:$IS36,2))-36)*0.96,20),"")</f>
        <v>3.84</v>
      </c>
      <c r="JH36" s="18">
        <f ca="1">IF(D36&lt;&gt;"",MIN((AVERAGE(SMALL($IN36:$IT36,1),SMALL($IN36:$IT36,2),SMALL($IN36:$IT36,3))-36)*0.96,20),"")</f>
        <v>4.4799999999999978</v>
      </c>
      <c r="JI36" s="18">
        <f ca="1">IF(D36&lt;&gt;"",MIN((AVERAGE(SMALL($IN36:$IU36,1),SMALL($IN36:$IU36,2),SMALL($IN36:$IU36,3),SMALL($IN36:$IU36,4))-36)*0.96,20),"")</f>
        <v>5.04</v>
      </c>
      <c r="JJ36" s="18">
        <f ca="1">IF(D36&lt;&gt;"",MIN((AVERAGE(SMALL($IN36:$IV36,1),SMALL($IN36:$IV36,2),SMALL($IN36:$IV36,3),SMALL($IN36:$IV36,4))-36)*0.96,20),"")</f>
        <v>4.8</v>
      </c>
      <c r="JK36" s="18">
        <f ca="1">IF(D36&lt;&gt;"",MIN((AVERAGE(SMALL($IN36:$IW36,1),SMALL($IN36:$IW36,2),SMALL($IN36:$IW36,3),SMALL($IN36:$IW36,4),SMALL($IN36:$IW36,5))-36)*0.96,20),"")</f>
        <v>4.9920000000000027</v>
      </c>
    </row>
    <row r="37" spans="1:271" x14ac:dyDescent="0.2">
      <c r="A37" s="18" t="s">
        <v>25</v>
      </c>
      <c r="B37" s="19">
        <f>B36+7</f>
        <v>12</v>
      </c>
      <c r="C37" s="22">
        <f t="shared" ca="1" si="102"/>
        <v>8.5000000000000006E-3</v>
      </c>
      <c r="D37" s="18" t="str">
        <f t="shared" ca="1" si="103"/>
        <v>Rundquist, Chuck</v>
      </c>
      <c r="E37" s="19">
        <f t="shared" ca="1" si="104"/>
        <v>12</v>
      </c>
      <c r="F37" s="19">
        <f ca="1">IF(D37&lt;&gt;"",COUNT($H37:$Q37),"")</f>
        <v>10</v>
      </c>
      <c r="G37" s="21">
        <f ca="1">IF($D37&lt;&gt;"",INDEX($IA37:$IK37,1,MATCH($F37,$IA$6:$IK$6,0)), "")</f>
        <v>12.86</v>
      </c>
      <c r="H37" s="337">
        <f ca="1">IFERROR(INDEX($AF37:$BH37, , SUMPRODUCT(LARGE((($AF37:$BH37&lt;&gt;0)*($BJ37:$CL37&lt;&gt;1)*($AF$5:$BH$5)), H$6))), "")</f>
        <v>55</v>
      </c>
      <c r="I37" s="338" cm="1">
        <f t="array" aca="1" ref="I37" ca="1">IFERROR(_xlfn.SINGLE(INDEX($AF37:$BH37, , SUMPRODUCT(LARGE((($AF37:$BH37&lt;&gt;0)*($BJ37:$CL37&lt;&gt;1)*($AF$5:$BH$5)), I$6)))), "")</f>
        <v>49</v>
      </c>
      <c r="J37" s="338" cm="1">
        <f t="array" aca="1" ref="J37" ca="1">IFERROR(_xlfn.SINGLE(INDEX($AF37:$BH37, , SUMPRODUCT(LARGE((($AF37:$BH37&lt;&gt;0)*($BJ37:$CL37&lt;&gt;1)*($AF$5:$BH$5)), J$6)))), "")</f>
        <v>51</v>
      </c>
      <c r="K37" s="338" cm="1">
        <f t="array" aca="1" ref="K37" ca="1">IFERROR(_xlfn.SINGLE(INDEX($AF37:$BH37, , SUMPRODUCT(LARGE((($AF37:$BH37&lt;&gt;0)*($BJ37:$CL37&lt;&gt;1)*($AF$5:$BH$5)), K$6)))), "")</f>
        <v>50</v>
      </c>
      <c r="L37" s="338" cm="1">
        <f t="array" aca="1" ref="L37" ca="1">IFERROR(_xlfn.SINGLE(INDEX($AF37:$BH37, , SUMPRODUCT(LARGE((($AF37:$BH37&lt;&gt;0)*($BJ37:$CL37&lt;&gt;1)*($AF$5:$BH$5)), L$6)))), "")</f>
        <v>49</v>
      </c>
      <c r="M37" s="338" cm="1">
        <f t="array" aca="1" ref="M37" ca="1">IFERROR(_xlfn.SINGLE(INDEX($AF37:$BH37, , SUMPRODUCT(LARGE((($AF37:$BH37&lt;&gt;0)*($BJ37:$CL37&lt;&gt;1)*($AF$5:$BH$5)), M$6)))), "")</f>
        <v>54</v>
      </c>
      <c r="N37" s="338" cm="1">
        <f t="array" aca="1" ref="N37" ca="1">IFERROR(_xlfn.SINGLE(INDEX($AF37:$BH37, , SUMPRODUCT(LARGE((($AF37:$BH37&lt;&gt;0)*($BJ37:$CL37&lt;&gt;1)*($AF$5:$BH$5)), N$6)))), "")</f>
        <v>52</v>
      </c>
      <c r="O37" s="338" cm="1">
        <f t="array" aca="1" ref="O37" ca="1">IFERROR(_xlfn.SINGLE(INDEX($AF37:$BH37, , SUMPRODUCT(LARGE((($AF37:$BH37&lt;&gt;0)*($BJ37:$CL37&lt;&gt;1)*($AF$5:$BH$5)), O$6)))), "")</f>
        <v>53</v>
      </c>
      <c r="P37" s="338" cm="1">
        <f t="array" aca="1" ref="P37" ca="1">IFERROR(_xlfn.SINGLE(INDEX($AF37:$BH37, , SUMPRODUCT(LARGE((($AF37:$BH37&lt;&gt;0)*($BJ37:$CL37&lt;&gt;1)*($AF$5:$BH$5)), P$6)))), "")</f>
        <v>55</v>
      </c>
      <c r="Q37" s="339" cm="1">
        <f t="array" aca="1" ref="Q37" ca="1">IFERROR(_xlfn.SINGLE(INDEX($AF37:$BH37, , SUMPRODUCT(LARGE((($AF37:$BH37&lt;&gt;0)*($BJ37:$CL37&lt;&gt;1)*($AF$5:$BH$5)), Q$6)))), "")</f>
        <v>48</v>
      </c>
      <c r="R37" s="21">
        <v>51.357142857142854</v>
      </c>
      <c r="S37" s="47">
        <f t="shared" ca="1" si="105"/>
        <v>49.4</v>
      </c>
      <c r="T37" s="21">
        <f ca="1">IF($D37&lt;&gt;"", IFERROR(IF($E37&gt;=qualifier, SUMIF($BT37:$CL37,0,$AP37:$BH37)/$E37, TEXT(SUMIF($BT37:$CL37,0,$AP37:$BH37)/$E37, "0.00")&amp;"*"), "-"), "")</f>
        <v>53.166666666666664</v>
      </c>
      <c r="U37" s="21">
        <f ca="1">IF($D37&lt;&gt;"", IFERROR(IF($E37&gt;=qualifier, SUMIF($BT37:$CL37,0,$CN37:$DF37)/$E37, TEXT(SUMIF($BT37:$CL37,0,$CN37:$DF37)/$E37, "0.00")&amp;"*"), "-"), "")</f>
        <v>40.333333333333336</v>
      </c>
      <c r="V37" s="46">
        <f ca="1">IF(AND($D37&lt;&gt;"", $E37&lt;&gt;0), _xlfn.MINIFS($AP37:$BH37,$BT37:$CL37,0,$AP37:$BH37,"&lt;&gt;0"), "")</f>
        <v>48</v>
      </c>
      <c r="W37" s="19">
        <f ca="1">IF(AND($D37&lt;&gt;"", $E37&lt;&gt;0), _xlfn.MINIFS($CN37:$DF37,$BT37:$CL37,0), "")</f>
        <v>35</v>
      </c>
      <c r="X37" s="46">
        <f ca="1">IF($D37&lt;&gt;"", SUM($DH37:$DZ37),  "")</f>
        <v>140</v>
      </c>
      <c r="Y37" s="21">
        <f ca="1">IF($D37&lt;&gt;"", IFERROR(IF($E37&gt;=qualifier, AVERAGE($DH37:$DZ37), TEXT(AVERAGE($DH37:$DZ37), "0.00")&amp;"*"), "-"), "")</f>
        <v>10</v>
      </c>
      <c r="Z37" s="19">
        <f ca="1">IF($D37&lt;&gt;"", SUM($EB37:$ET37),  "")</f>
        <v>1</v>
      </c>
      <c r="AA37" s="19">
        <f ca="1">IF($D37&lt;&gt;"", SUM($EV37:$FN37),  "")</f>
        <v>0</v>
      </c>
      <c r="AB37" s="46" t="str">
        <f t="shared" ca="1" si="106"/>
        <v>6-7-1</v>
      </c>
      <c r="AC37" s="218">
        <f t="shared" ca="1" si="107"/>
        <v>3304715044</v>
      </c>
      <c r="AD37" s="57" t="str">
        <f t="shared" ca="1" si="108"/>
        <v>Charles.rundquist@metallus.com</v>
      </c>
      <c r="AE37" s="34"/>
      <c r="AF37" s="341">
        <f ca="1">INDEX(PriorScores[],MATCH($D37,PriorScores[Team / Player],0),2)</f>
        <v>52</v>
      </c>
      <c r="AG37" s="341">
        <f ca="1">INDEX(PriorScores[],MATCH($D37,PriorScores[Team / Player],0),3)</f>
        <v>56</v>
      </c>
      <c r="AH37" s="341">
        <f ca="1">INDEX(PriorScores[],MATCH($D37,PriorScores[Team / Player],0),4)</f>
        <v>50</v>
      </c>
      <c r="AI37" s="341">
        <f ca="1">INDEX(PriorScores[],MATCH($D37,PriorScores[Team / Player],0),5)</f>
        <v>44</v>
      </c>
      <c r="AJ37" s="341">
        <f ca="1">INDEX(PriorScores[],MATCH($D37,PriorScores[Team / Player],0),6)</f>
        <v>52</v>
      </c>
      <c r="AK37" s="341">
        <f ca="1">INDEX(PriorScores[],MATCH($D37,PriorScores[Team / Player],0),7)</f>
        <v>51</v>
      </c>
      <c r="AL37" s="341">
        <f ca="1">INDEX(PriorScores[],MATCH($D37,PriorScores[Team / Player],0),8)</f>
        <v>53</v>
      </c>
      <c r="AM37" s="341">
        <f ca="1">INDEX(PriorScores[],MATCH($D37,PriorScores[Team / Player],0),9)</f>
        <v>54</v>
      </c>
      <c r="AN37" s="341">
        <f ca="1">INDEX(PriorScores[],MATCH($D37,PriorScores[Team / Player],0),10)</f>
        <v>47</v>
      </c>
      <c r="AO37" s="341">
        <f ca="1">INDEX(PriorScores[],MATCH($D37,PriorScores[Team / Player],0),11)</f>
        <v>51</v>
      </c>
      <c r="AP37" s="20">
        <f t="shared" ca="1" si="109"/>
        <v>60</v>
      </c>
      <c r="AQ37" s="20">
        <f t="shared" ca="1" si="109"/>
        <v>62</v>
      </c>
      <c r="AR37" s="20">
        <f t="shared" ca="1" si="109"/>
        <v>0</v>
      </c>
      <c r="AS37" s="20">
        <f t="shared" ca="1" si="109"/>
        <v>48</v>
      </c>
      <c r="AT37" s="20">
        <f t="shared" ca="1" si="109"/>
        <v>55</v>
      </c>
      <c r="AU37" s="20">
        <f t="shared" ca="1" si="109"/>
        <v>53</v>
      </c>
      <c r="AV37" s="20">
        <f t="shared" ca="1" si="109"/>
        <v>52</v>
      </c>
      <c r="AW37" s="20">
        <f t="shared" ca="1" si="109"/>
        <v>0</v>
      </c>
      <c r="AX37" s="20">
        <f t="shared" ca="1" si="109"/>
        <v>54</v>
      </c>
      <c r="AY37" s="20">
        <f t="shared" ca="1" si="109"/>
        <v>49</v>
      </c>
      <c r="AZ37" s="20">
        <f t="shared" ca="1" si="110"/>
        <v>50</v>
      </c>
      <c r="BA37" s="20">
        <f t="shared" ca="1" si="110"/>
        <v>0</v>
      </c>
      <c r="BB37" s="20">
        <f t="shared" ca="1" si="110"/>
        <v>0</v>
      </c>
      <c r="BC37" s="20">
        <f t="shared" ca="1" si="110"/>
        <v>51</v>
      </c>
      <c r="BD37" s="20">
        <f t="shared" ca="1" si="110"/>
        <v>0</v>
      </c>
      <c r="BE37" s="20">
        <f t="shared" ca="1" si="110"/>
        <v>49</v>
      </c>
      <c r="BF37" s="20">
        <f t="shared" ca="1" si="110"/>
        <v>55</v>
      </c>
      <c r="BG37" s="20">
        <f t="shared" ca="1" si="110"/>
        <v>0</v>
      </c>
      <c r="BH37" s="20">
        <f t="shared" ca="1" si="110"/>
        <v>0</v>
      </c>
      <c r="BI37" s="34"/>
      <c r="BJ37" s="341">
        <v>0</v>
      </c>
      <c r="BK37" s="341">
        <v>0</v>
      </c>
      <c r="BL37" s="341">
        <v>0</v>
      </c>
      <c r="BM37" s="341">
        <v>0</v>
      </c>
      <c r="BN37" s="341">
        <v>0</v>
      </c>
      <c r="BO37" s="341">
        <v>0</v>
      </c>
      <c r="BP37" s="341">
        <v>0</v>
      </c>
      <c r="BQ37" s="341">
        <v>0</v>
      </c>
      <c r="BR37" s="341">
        <v>0</v>
      </c>
      <c r="BS37" s="341">
        <v>0</v>
      </c>
      <c r="BT37" s="20">
        <f t="shared" ca="1" si="111"/>
        <v>0</v>
      </c>
      <c r="BU37" s="20">
        <f t="shared" ca="1" si="111"/>
        <v>0</v>
      </c>
      <c r="BV37" s="20">
        <f t="shared" ca="1" si="111"/>
        <v>0</v>
      </c>
      <c r="BW37" s="20">
        <f t="shared" ca="1" si="111"/>
        <v>0</v>
      </c>
      <c r="BX37" s="20">
        <f t="shared" ca="1" si="111"/>
        <v>0</v>
      </c>
      <c r="BY37" s="20">
        <f t="shared" ca="1" si="111"/>
        <v>0</v>
      </c>
      <c r="BZ37" s="20">
        <f t="shared" ca="1" si="111"/>
        <v>0</v>
      </c>
      <c r="CA37" s="20">
        <f t="shared" ca="1" si="111"/>
        <v>0</v>
      </c>
      <c r="CB37" s="20">
        <f t="shared" ca="1" si="111"/>
        <v>0</v>
      </c>
      <c r="CC37" s="20">
        <f t="shared" ca="1" si="111"/>
        <v>0</v>
      </c>
      <c r="CD37" s="20">
        <f t="shared" ca="1" si="112"/>
        <v>0</v>
      </c>
      <c r="CE37" s="20">
        <f t="shared" ca="1" si="112"/>
        <v>0</v>
      </c>
      <c r="CF37" s="20">
        <f t="shared" ca="1" si="112"/>
        <v>0</v>
      </c>
      <c r="CG37" s="20">
        <f t="shared" ca="1" si="112"/>
        <v>0</v>
      </c>
      <c r="CH37" s="20">
        <f t="shared" ca="1" si="112"/>
        <v>1</v>
      </c>
      <c r="CI37" s="20">
        <f t="shared" ca="1" si="112"/>
        <v>0</v>
      </c>
      <c r="CJ37" s="20">
        <f t="shared" ca="1" si="112"/>
        <v>0</v>
      </c>
      <c r="CK37" s="20">
        <f t="shared" ca="1" si="112"/>
        <v>1</v>
      </c>
      <c r="CL37" s="20">
        <f t="shared" ca="1" si="112"/>
        <v>0</v>
      </c>
      <c r="CM37" s="34"/>
      <c r="CN37" s="20">
        <f t="shared" ca="1" si="113"/>
        <v>48</v>
      </c>
      <c r="CO37" s="20">
        <f t="shared" ca="1" si="113"/>
        <v>50</v>
      </c>
      <c r="CP37" s="20" t="str">
        <f t="shared" ca="1" si="113"/>
        <v/>
      </c>
      <c r="CQ37" s="20">
        <f t="shared" ca="1" si="113"/>
        <v>36</v>
      </c>
      <c r="CR37" s="20">
        <f t="shared" ca="1" si="113"/>
        <v>43</v>
      </c>
      <c r="CS37" s="20">
        <f t="shared" ca="1" si="113"/>
        <v>40</v>
      </c>
      <c r="CT37" s="20">
        <f t="shared" ca="1" si="113"/>
        <v>39</v>
      </c>
      <c r="CU37" s="20" t="str">
        <f t="shared" ca="1" si="113"/>
        <v/>
      </c>
      <c r="CV37" s="20">
        <f t="shared" ca="1" si="113"/>
        <v>40</v>
      </c>
      <c r="CW37" s="20">
        <f t="shared" ca="1" si="113"/>
        <v>35</v>
      </c>
      <c r="CX37" s="20">
        <f t="shared" ca="1" si="114"/>
        <v>37</v>
      </c>
      <c r="CY37" s="20" t="str">
        <f t="shared" ca="1" si="114"/>
        <v/>
      </c>
      <c r="CZ37" s="20" t="str">
        <f t="shared" ca="1" si="114"/>
        <v/>
      </c>
      <c r="DA37" s="20">
        <f t="shared" ca="1" si="114"/>
        <v>38</v>
      </c>
      <c r="DB37" s="20" t="str">
        <f t="shared" ca="1" si="114"/>
        <v/>
      </c>
      <c r="DC37" s="20">
        <f t="shared" ca="1" si="114"/>
        <v>36</v>
      </c>
      <c r="DD37" s="20">
        <f t="shared" ca="1" si="114"/>
        <v>42</v>
      </c>
      <c r="DE37" s="20" t="str">
        <f t="shared" ca="1" si="114"/>
        <v/>
      </c>
      <c r="DF37" s="20" t="str">
        <f t="shared" ca="1" si="114"/>
        <v/>
      </c>
      <c r="DG37" s="34"/>
      <c r="DH37" s="20">
        <f t="shared" ca="1" si="115"/>
        <v>6</v>
      </c>
      <c r="DI37" s="20">
        <f t="shared" ca="1" si="115"/>
        <v>8</v>
      </c>
      <c r="DJ37" s="20" t="str">
        <f t="shared" ca="1" si="115"/>
        <v/>
      </c>
      <c r="DK37" s="20">
        <f t="shared" ca="1" si="115"/>
        <v>10</v>
      </c>
      <c r="DL37" s="20">
        <f t="shared" ca="1" si="115"/>
        <v>9</v>
      </c>
      <c r="DM37" s="20">
        <f t="shared" ca="1" si="115"/>
        <v>7</v>
      </c>
      <c r="DN37" s="20">
        <f t="shared" ca="1" si="115"/>
        <v>8</v>
      </c>
      <c r="DO37" s="20" t="str">
        <f t="shared" ca="1" si="115"/>
        <v/>
      </c>
      <c r="DP37" s="20">
        <f t="shared" ca="1" si="115"/>
        <v>14</v>
      </c>
      <c r="DQ37" s="20">
        <f t="shared" ca="1" si="115"/>
        <v>13</v>
      </c>
      <c r="DR37" s="20">
        <f t="shared" ca="1" si="116"/>
        <v>12</v>
      </c>
      <c r="DS37" s="20" t="str">
        <f t="shared" ca="1" si="116"/>
        <v/>
      </c>
      <c r="DT37" s="20" t="str">
        <f t="shared" ca="1" si="116"/>
        <v/>
      </c>
      <c r="DU37" s="20">
        <f t="shared" ca="1" si="116"/>
        <v>7</v>
      </c>
      <c r="DV37" s="20">
        <f t="shared" ca="1" si="116"/>
        <v>8</v>
      </c>
      <c r="DW37" s="20">
        <f t="shared" ca="1" si="116"/>
        <v>12</v>
      </c>
      <c r="DX37" s="20">
        <f t="shared" ca="1" si="116"/>
        <v>13</v>
      </c>
      <c r="DY37" s="20">
        <f t="shared" ca="1" si="116"/>
        <v>13</v>
      </c>
      <c r="DZ37" s="20" t="str">
        <f t="shared" ca="1" si="116"/>
        <v/>
      </c>
      <c r="EA37" s="34"/>
      <c r="EB37" s="20" t="str">
        <f t="shared" ca="1" si="117"/>
        <v/>
      </c>
      <c r="EC37" s="20" t="str">
        <f t="shared" ca="1" si="117"/>
        <v/>
      </c>
      <c r="ED37" s="20" t="str">
        <f t="shared" ca="1" si="117"/>
        <v/>
      </c>
      <c r="EE37" s="20">
        <f t="shared" ca="1" si="117"/>
        <v>1</v>
      </c>
      <c r="EF37" s="20" t="str">
        <f t="shared" ca="1" si="117"/>
        <v/>
      </c>
      <c r="EG37" s="20" t="str">
        <f t="shared" ca="1" si="117"/>
        <v/>
      </c>
      <c r="EH37" s="20" t="str">
        <f t="shared" ca="1" si="117"/>
        <v/>
      </c>
      <c r="EI37" s="20" t="str">
        <f t="shared" ca="1" si="117"/>
        <v/>
      </c>
      <c r="EJ37" s="20" t="str">
        <f t="shared" ca="1" si="117"/>
        <v/>
      </c>
      <c r="EK37" s="20" t="str">
        <f t="shared" ca="1" si="117"/>
        <v/>
      </c>
      <c r="EL37" s="20" t="str">
        <f t="shared" ca="1" si="118"/>
        <v/>
      </c>
      <c r="EM37" s="20" t="str">
        <f t="shared" ca="1" si="118"/>
        <v/>
      </c>
      <c r="EN37" s="20" t="str">
        <f t="shared" ca="1" si="118"/>
        <v/>
      </c>
      <c r="EO37" s="20" t="str">
        <f t="shared" ca="1" si="118"/>
        <v/>
      </c>
      <c r="EP37" s="20" t="str">
        <f t="shared" ca="1" si="118"/>
        <v/>
      </c>
      <c r="EQ37" s="20" t="str">
        <f t="shared" ca="1" si="118"/>
        <v/>
      </c>
      <c r="ER37" s="20" t="str">
        <f t="shared" ca="1" si="118"/>
        <v/>
      </c>
      <c r="ES37" s="20" t="str">
        <f t="shared" ca="1" si="118"/>
        <v/>
      </c>
      <c r="ET37" s="20" t="str">
        <f t="shared" ca="1" si="118"/>
        <v/>
      </c>
      <c r="EU37" s="34"/>
      <c r="EV37" s="20" t="str">
        <f t="shared" ca="1" si="119"/>
        <v/>
      </c>
      <c r="EW37" s="20" t="str">
        <f t="shared" ca="1" si="119"/>
        <v/>
      </c>
      <c r="EX37" s="20" t="str">
        <f t="shared" ca="1" si="119"/>
        <v/>
      </c>
      <c r="EY37" s="20" t="str">
        <f t="shared" ca="1" si="119"/>
        <v/>
      </c>
      <c r="EZ37" s="20" t="str">
        <f t="shared" ca="1" si="119"/>
        <v/>
      </c>
      <c r="FA37" s="20" t="str">
        <f t="shared" ca="1" si="119"/>
        <v/>
      </c>
      <c r="FB37" s="20" t="str">
        <f t="shared" ca="1" si="119"/>
        <v/>
      </c>
      <c r="FC37" s="20" t="str">
        <f t="shared" ca="1" si="119"/>
        <v/>
      </c>
      <c r="FD37" s="20" t="str">
        <f t="shared" ca="1" si="119"/>
        <v/>
      </c>
      <c r="FE37" s="20" t="str">
        <f t="shared" ca="1" si="119"/>
        <v/>
      </c>
      <c r="FF37" s="20" t="str">
        <f t="shared" ca="1" si="120"/>
        <v/>
      </c>
      <c r="FG37" s="20" t="str">
        <f t="shared" ca="1" si="120"/>
        <v/>
      </c>
      <c r="FH37" s="20" t="str">
        <f t="shared" ca="1" si="120"/>
        <v/>
      </c>
      <c r="FI37" s="20" t="str">
        <f t="shared" ca="1" si="120"/>
        <v/>
      </c>
      <c r="FJ37" s="20" t="str">
        <f t="shared" ca="1" si="120"/>
        <v/>
      </c>
      <c r="FK37" s="20" t="str">
        <f t="shared" ca="1" si="120"/>
        <v/>
      </c>
      <c r="FL37" s="20" t="str">
        <f t="shared" ca="1" si="120"/>
        <v/>
      </c>
      <c r="FM37" s="20" t="str">
        <f t="shared" ca="1" si="120"/>
        <v/>
      </c>
      <c r="FN37" s="20" t="str">
        <f t="shared" ca="1" si="120"/>
        <v/>
      </c>
      <c r="FO37" s="34"/>
      <c r="FP37" s="20" t="str">
        <f t="shared" ca="1" si="121"/>
        <v>l</v>
      </c>
      <c r="FQ37" s="20" t="str">
        <f t="shared" ca="1" si="121"/>
        <v>l</v>
      </c>
      <c r="FR37" s="20" t="str">
        <f t="shared" ca="1" si="121"/>
        <v/>
      </c>
      <c r="FS37" s="20" t="str">
        <f t="shared" ca="1" si="121"/>
        <v>t</v>
      </c>
      <c r="FT37" s="20" t="str">
        <f t="shared" ca="1" si="121"/>
        <v>l</v>
      </c>
      <c r="FU37" s="20" t="str">
        <f t="shared" ca="1" si="121"/>
        <v>l</v>
      </c>
      <c r="FV37" s="20" t="str">
        <f t="shared" ca="1" si="121"/>
        <v>l</v>
      </c>
      <c r="FW37" s="20" t="str">
        <f t="shared" ca="1" si="121"/>
        <v/>
      </c>
      <c r="FX37" s="20" t="str">
        <f t="shared" ca="1" si="121"/>
        <v>w</v>
      </c>
      <c r="FY37" s="20" t="str">
        <f t="shared" ca="1" si="121"/>
        <v>w</v>
      </c>
      <c r="FZ37" s="20" t="str">
        <f t="shared" ca="1" si="122"/>
        <v>w</v>
      </c>
      <c r="GA37" s="20" t="str">
        <f t="shared" ca="1" si="122"/>
        <v/>
      </c>
      <c r="GB37" s="20" t="str">
        <f t="shared" ca="1" si="122"/>
        <v/>
      </c>
      <c r="GC37" s="20" t="str">
        <f t="shared" ca="1" si="122"/>
        <v>l</v>
      </c>
      <c r="GD37" s="20" t="str">
        <f t="shared" ca="1" si="122"/>
        <v>l</v>
      </c>
      <c r="GE37" s="20" t="str">
        <f t="shared" ca="1" si="122"/>
        <v>w</v>
      </c>
      <c r="GF37" s="20" t="str">
        <f t="shared" ca="1" si="122"/>
        <v>w</v>
      </c>
      <c r="GG37" s="20" t="str">
        <f t="shared" ca="1" si="122"/>
        <v>w</v>
      </c>
      <c r="GH37" s="20" t="str">
        <f t="shared" ca="1" si="122"/>
        <v/>
      </c>
      <c r="GI37" s="34"/>
      <c r="HE37" s="34"/>
      <c r="HZ37" s="34"/>
      <c r="IA37" s="19" t="str">
        <f t="shared" ca="1" si="123"/>
        <v>No Hdcp</v>
      </c>
      <c r="IB37" s="19" t="str">
        <f ca="1">IF($D37&lt;&gt;"","Low of score &amp; "&amp;MIN($H37:$H37),"")</f>
        <v>Low of score &amp; 55</v>
      </c>
      <c r="IC37" s="19" t="str">
        <f ca="1">IF($D37&lt;&gt;"","Low of score &amp; "&amp;MIN($H37:$I37),"")</f>
        <v>Low of score &amp; 49</v>
      </c>
      <c r="ID37" s="18" t="str">
        <f ca="1">IF($D37&lt;&gt;"","Low of score &amp; "&amp;MIN($H37:$J37),"")</f>
        <v>Low of score &amp; 49</v>
      </c>
      <c r="IE37" s="18" t="str">
        <f ca="1">IF($D37&lt;&gt;"","Low of score &amp; "&amp;MIN($H37:$K37),"")</f>
        <v>Low of score &amp; 49</v>
      </c>
      <c r="IF37" s="18">
        <f ca="1">IF($D37&lt;&gt;"",ROUND(MIN((MIN($H37:$L37)-36)*0.96,20),2),"")</f>
        <v>12.48</v>
      </c>
      <c r="IG37" s="353">
        <f ca="1">IF($D37&lt;&gt;"",ROUND(MIN((AVERAGE(SMALL($H37:$M37,1),SMALL($H37:$M37,2))-36)*0.96,20),2),"")</f>
        <v>12.48</v>
      </c>
      <c r="IH37" s="18">
        <f ca="1">IF($D37&lt;&gt;"",ROUND(MIN((AVERAGE(SMALL($H37:$N37,1),SMALL($H37:$N37,2),SMALL($H37:$N37,3))-36)*0.96,20),2),"")</f>
        <v>12.8</v>
      </c>
      <c r="II37" s="18">
        <f ca="1">IF($D37&lt;&gt;"",ROUND(MIN((AVERAGE(SMALL($H37:$O37,1),SMALL($H37:$O37,2),SMALL($H37:$O37,3),SMALL($H37:$O37,4))-36)*0.96,20),2),"")</f>
        <v>13.2</v>
      </c>
      <c r="IJ37" s="18">
        <f ca="1">IF($D37&lt;&gt;"",ROUND(MIN((AVERAGE(SMALL($H37:$P37,1),SMALL($H37:$P37,2),SMALL($H37:$P37,3),SMALL($H37:$P37,4))-36)*0.96,20),2),"")</f>
        <v>13.2</v>
      </c>
      <c r="IK37" s="18">
        <f ca="1">IF($D37&lt;&gt;"",ROUND(MIN((AVERAGE(SMALL($H37:$Q37,1),SMALL($H37:$Q37,2),SMALL($H37:$Q37,3),SMALL($H37:$Q37,4),SMALL($H37:$Q37,5))-36)*0.96,20),2),"")</f>
        <v>12.86</v>
      </c>
      <c r="IL37" s="34"/>
      <c r="IN37" s="18">
        <f ca="1">AO37</f>
        <v>51</v>
      </c>
      <c r="IO37" s="18">
        <f ca="1">AN37</f>
        <v>47</v>
      </c>
      <c r="IP37" s="18">
        <f ca="1">AM37</f>
        <v>54</v>
      </c>
      <c r="IQ37" s="18">
        <f ca="1">AL37</f>
        <v>53</v>
      </c>
      <c r="IR37" s="18">
        <f ca="1">AK37</f>
        <v>51</v>
      </c>
      <c r="IS37" s="18">
        <f ca="1">AJ37</f>
        <v>52</v>
      </c>
      <c r="IT37" s="18">
        <f ca="1">AI37</f>
        <v>44</v>
      </c>
      <c r="IU37" s="18">
        <f ca="1">AH37</f>
        <v>50</v>
      </c>
      <c r="IV37" s="18">
        <f ca="1">AG37</f>
        <v>56</v>
      </c>
      <c r="IW37" s="18">
        <f ca="1">AF37</f>
        <v>52</v>
      </c>
      <c r="IX37" s="19">
        <f ca="1">IF(D37&lt;&gt;"",COUNT(IN37:IW37),"")</f>
        <v>10</v>
      </c>
      <c r="IY37" s="21">
        <f ca="1">IF(D37&lt;&gt;"",INDEX($JA37:$JK37,1,MATCH($IX37,$JA$6:$JK$6,0)), "")</f>
        <v>12.096</v>
      </c>
      <c r="JA37" s="18" t="str">
        <f ca="1">IF(D37&lt;&gt;"","No Hdcp","")</f>
        <v>No Hdcp</v>
      </c>
      <c r="JB37" s="18" t="str">
        <f ca="1">IF(D37&lt;&gt;"","Low of score &amp; "&amp;MIN($IN37:$IN37),"")</f>
        <v>Low of score &amp; 51</v>
      </c>
      <c r="JC37" s="18" t="str">
        <f ca="1">IF(D37&lt;&gt;"","Low of score &amp; "&amp;MIN($IN37:$IO37),"")</f>
        <v>Low of score &amp; 47</v>
      </c>
      <c r="JD37" s="18" t="str">
        <f ca="1">IF(D37&lt;&gt;"","Low of score &amp; "&amp;MIN($IN37:$IP37),"")</f>
        <v>Low of score &amp; 47</v>
      </c>
      <c r="JE37" s="18" t="str">
        <f ca="1">IF(D37&lt;&gt;"","Low of score &amp; "&amp;MIN($IN37:$IQ37),"")</f>
        <v>Low of score &amp; 47</v>
      </c>
      <c r="JF37" s="18">
        <f ca="1">IF(D37&lt;&gt;"",MIN((MIN($IN37:$IR37)-36)*0.96,20),"")</f>
        <v>10.559999999999999</v>
      </c>
      <c r="JG37" s="18">
        <f ca="1">IF(D37&lt;&gt;"",MIN((AVERAGE(SMALL($IN37:$IS37,1),SMALL($IN37:$IS37,2))-36)*0.96,20),"")</f>
        <v>12.48</v>
      </c>
      <c r="JH37" s="18">
        <f ca="1">IF(D37&lt;&gt;"",MIN((AVERAGE(SMALL($IN37:$IT37,1),SMALL($IN37:$IT37,2),SMALL($IN37:$IT37,3))-36)*0.96,20),"")</f>
        <v>10.880000000000003</v>
      </c>
      <c r="JI37" s="18">
        <f ca="1">IF(D37&lt;&gt;"",MIN((AVERAGE(SMALL($IN37:$IU37,1),SMALL($IN37:$IU37,2),SMALL($IN37:$IU37,3),SMALL($IN37:$IU37,4))-36)*0.96,20),"")</f>
        <v>11.52</v>
      </c>
      <c r="JJ37" s="18">
        <f ca="1">IF(D37&lt;&gt;"",MIN((AVERAGE(SMALL($IN37:$IV37,1),SMALL($IN37:$IV37,2),SMALL($IN37:$IV37,3),SMALL($IN37:$IV37,4))-36)*0.96,20),"")</f>
        <v>11.52</v>
      </c>
      <c r="JK37" s="18">
        <f ca="1">IF(D37&lt;&gt;"",MIN((AVERAGE(SMALL($IN37:$IW37,1),SMALL($IN37:$IW37,2),SMALL($IN37:$IW37,3),SMALL($IN37:$IW37,4),SMALL($IN37:$IW37,5))-36)*0.96,20),"")</f>
        <v>12.096</v>
      </c>
    </row>
    <row r="38" spans="1:271" x14ac:dyDescent="0.2">
      <c r="A38" s="18" t="s">
        <v>25</v>
      </c>
      <c r="B38" s="19">
        <f>B37+7</f>
        <v>19</v>
      </c>
      <c r="C38" s="22">
        <f t="shared" ca="1" si="102"/>
        <v>5.1999999999999998E-3</v>
      </c>
      <c r="D38" s="18" t="str">
        <f t="shared" ca="1" si="103"/>
        <v>Holzer, John</v>
      </c>
      <c r="E38" s="19">
        <f t="shared" ca="1" si="104"/>
        <v>10</v>
      </c>
      <c r="F38" s="19">
        <f ca="1">IF(D38&lt;&gt;"",COUNT($H38:$Q38),"")</f>
        <v>10</v>
      </c>
      <c r="G38" s="21">
        <f ca="1">IF($D38&lt;&gt;"",INDEX($IA38:$IK38,1,MATCH($F38,$IA$6:$IK$6,0)), "")</f>
        <v>13.63</v>
      </c>
      <c r="H38" s="337" cm="1">
        <f t="array" aca="1" ref="H38" ca="1">IFERROR(_xlfn.SINGLE(INDEX($AF38:$BH38, , SUMPRODUCT(LARGE((($AF38:$BH38&lt;&gt;0)*($BJ38:$CL38&lt;&gt;1)*($AF$5:$BH$5)), H$6)))), "")</f>
        <v>49</v>
      </c>
      <c r="I38" s="338" cm="1">
        <f t="array" aca="1" ref="I38" ca="1">IFERROR(_xlfn.SINGLE(INDEX($AF38:$BH38, , SUMPRODUCT(LARGE((($AF38:$BH38&lt;&gt;0)*($BJ38:$CL38&lt;&gt;1)*($AF$5:$BH$5)), I$6)))), "")</f>
        <v>49</v>
      </c>
      <c r="J38" s="338" cm="1">
        <f t="array" aca="1" ref="J38" ca="1">IFERROR(_xlfn.SINGLE(INDEX($AF38:$BH38, , SUMPRODUCT(LARGE((($AF38:$BH38&lt;&gt;0)*($BJ38:$CL38&lt;&gt;1)*($AF$5:$BH$5)), J$6)))), "")</f>
        <v>48</v>
      </c>
      <c r="K38" s="338" cm="1">
        <f t="array" aca="1" ref="K38" ca="1">IFERROR(_xlfn.SINGLE(INDEX($AF38:$BH38, , SUMPRODUCT(LARGE((($AF38:$BH38&lt;&gt;0)*($BJ38:$CL38&lt;&gt;1)*($AF$5:$BH$5)), K$6)))), "")</f>
        <v>52</v>
      </c>
      <c r="L38" s="338" cm="1">
        <f t="array" aca="1" ref="L38" ca="1">IFERROR(_xlfn.SINGLE(INDEX($AF38:$BH38, , SUMPRODUCT(LARGE((($AF38:$BH38&lt;&gt;0)*($BJ38:$CL38&lt;&gt;1)*($AF$5:$BH$5)), L$6)))), "")</f>
        <v>54</v>
      </c>
      <c r="M38" s="338" cm="1">
        <f t="array" aca="1" ref="M38" ca="1">IFERROR(_xlfn.SINGLE(INDEX($AF38:$BH38, , SUMPRODUCT(LARGE((($AF38:$BH38&lt;&gt;0)*($BJ38:$CL38&lt;&gt;1)*($AF$5:$BH$5)), M$6)))), "")</f>
        <v>53</v>
      </c>
      <c r="N38" s="338" cm="1">
        <f t="array" aca="1" ref="N38" ca="1">IFERROR(_xlfn.SINGLE(INDEX($AF38:$BH38, , SUMPRODUCT(LARGE((($AF38:$BH38&lt;&gt;0)*($BJ38:$CL38&lt;&gt;1)*($AF$5:$BH$5)), N$6)))), "")</f>
        <v>61</v>
      </c>
      <c r="O38" s="338" cm="1">
        <f t="array" aca="1" ref="O38" ca="1">IFERROR(_xlfn.SINGLE(INDEX($AF38:$BH38, , SUMPRODUCT(LARGE((($AF38:$BH38&lt;&gt;0)*($BJ38:$CL38&lt;&gt;1)*($AF$5:$BH$5)), O$6)))), "")</f>
        <v>61</v>
      </c>
      <c r="P38" s="338" cm="1">
        <f t="array" aca="1" ref="P38" ca="1">IFERROR(_xlfn.SINGLE(INDEX($AF38:$BH38, , SUMPRODUCT(LARGE((($AF38:$BH38&lt;&gt;0)*($BJ38:$CL38&lt;&gt;1)*($AF$5:$BH$5)), P$6)))), "")</f>
        <v>55</v>
      </c>
      <c r="Q38" s="339" cm="1">
        <f t="array" aca="1" ref="Q38" ca="1">IFERROR(_xlfn.SINGLE(INDEX($AF38:$BH38, , SUMPRODUCT(LARGE((($AF38:$BH38&lt;&gt;0)*($BJ38:$CL38&lt;&gt;1)*($AF$5:$BH$5)), Q$6)))), "")</f>
        <v>70</v>
      </c>
      <c r="R38" s="21">
        <v>53.625</v>
      </c>
      <c r="S38" s="47">
        <f t="shared" ca="1" si="105"/>
        <v>50.2</v>
      </c>
      <c r="T38" s="21">
        <f ca="1">IF($D38&lt;&gt;"", IFERROR(IF($E38&gt;=qualifier, SUMIF($BT38:$CL38,0,$AP38:$BH38)/$E38, TEXT(SUMIF($BT38:$CL38,0,$AP38:$BH38)/$E38, "0.00")&amp;"*"), "-"), "")</f>
        <v>55.2</v>
      </c>
      <c r="U38" s="21">
        <f ca="1">IF($D38&lt;&gt;"", IFERROR(IF($E38&gt;=qualifier, SUMIF($BT38:$CL38,0,$CN38:$DF38)/$E38, TEXT(SUMIF($BT38:$CL38,0,$CN38:$DF38)/$E38, "0.00")&amp;"*"), "-"), "")</f>
        <v>40.6</v>
      </c>
      <c r="V38" s="46">
        <f ca="1">IF(AND($D38&lt;&gt;"", $E38&lt;&gt;0), _xlfn.MINIFS($AP38:$BH38,$BT38:$CL38,0,$AP38:$BH38,"&lt;&gt;0"), "")</f>
        <v>48</v>
      </c>
      <c r="W38" s="19">
        <f ca="1">IF(AND($D38&lt;&gt;"", $E38&lt;&gt;0), _xlfn.MINIFS($CN38:$DF38,$BT38:$CL38,0), "")</f>
        <v>33</v>
      </c>
      <c r="X38" s="46">
        <f ca="1">IF($D38&lt;&gt;"", SUM($DH38:$DZ38),  "")</f>
        <v>104</v>
      </c>
      <c r="Y38" s="21">
        <f ca="1">IF($D38&lt;&gt;"", IFERROR(IF($E38&gt;=qualifier, AVERAGE($DH38:$DZ38), TEXT(AVERAGE($DH38:$DZ38), "0.00")&amp;"*"), "-"), "")</f>
        <v>9.454545454545455</v>
      </c>
      <c r="Z38" s="19">
        <f ca="1">IF($D38&lt;&gt;"", SUM($EB38:$ET38),  "")</f>
        <v>1</v>
      </c>
      <c r="AA38" s="19">
        <f ca="1">IF($D38&lt;&gt;"", SUM($EV38:$FN38),  "")</f>
        <v>0</v>
      </c>
      <c r="AB38" s="46" t="str">
        <f t="shared" ca="1" si="106"/>
        <v>5-4-2</v>
      </c>
      <c r="AC38" s="218">
        <f t="shared" ca="1" si="107"/>
        <v>3304714416</v>
      </c>
      <c r="AD38" s="57" t="str">
        <f t="shared" ca="1" si="108"/>
        <v>john.a.holzer@metallus.com</v>
      </c>
      <c r="AE38" s="34"/>
      <c r="AF38" s="341">
        <f ca="1">INDEX(PriorScores[],MATCH($D38,PriorScores[Team / Player],0),2)</f>
        <v>0</v>
      </c>
      <c r="AG38" s="341">
        <f ca="1">INDEX(PriorScores[],MATCH($D38,PriorScores[Team / Player],0),3)</f>
        <v>0</v>
      </c>
      <c r="AH38" s="341">
        <f ca="1">INDEX(PriorScores[],MATCH($D38,PriorScores[Team / Player],0),4)</f>
        <v>59</v>
      </c>
      <c r="AI38" s="341">
        <f ca="1">INDEX(PriorScores[],MATCH($D38,PriorScores[Team / Player],0),5)</f>
        <v>55</v>
      </c>
      <c r="AJ38" s="341">
        <f ca="1">INDEX(PriorScores[],MATCH($D38,PriorScores[Team / Player],0),6)</f>
        <v>53</v>
      </c>
      <c r="AK38" s="341">
        <f ca="1">INDEX(PriorScores[],MATCH($D38,PriorScores[Team / Player],0),7)</f>
        <v>55</v>
      </c>
      <c r="AL38" s="341">
        <f ca="1">INDEX(PriorScores[],MATCH($D38,PriorScores[Team / Player],0),8)</f>
        <v>50</v>
      </c>
      <c r="AM38" s="341">
        <f ca="1">INDEX(PriorScores[],MATCH($D38,PriorScores[Team / Player],0),9)</f>
        <v>59</v>
      </c>
      <c r="AN38" s="341">
        <f ca="1">INDEX(PriorScores[],MATCH($D38,PriorScores[Team / Player],0),10)</f>
        <v>49</v>
      </c>
      <c r="AO38" s="341">
        <f ca="1">INDEX(PriorScores[],MATCH($D38,PriorScores[Team / Player],0),11)</f>
        <v>49</v>
      </c>
      <c r="AP38" s="20">
        <f t="shared" ca="1" si="109"/>
        <v>70</v>
      </c>
      <c r="AQ38" s="20">
        <f t="shared" ca="1" si="109"/>
        <v>55</v>
      </c>
      <c r="AR38" s="20">
        <f t="shared" ca="1" si="109"/>
        <v>0</v>
      </c>
      <c r="AS38" s="20">
        <f t="shared" ca="1" si="109"/>
        <v>61</v>
      </c>
      <c r="AT38" s="20">
        <f t="shared" ca="1" si="109"/>
        <v>0</v>
      </c>
      <c r="AU38" s="20">
        <f t="shared" ca="1" si="109"/>
        <v>61</v>
      </c>
      <c r="AV38" s="20">
        <f t="shared" ca="1" si="109"/>
        <v>53</v>
      </c>
      <c r="AW38" s="20">
        <f t="shared" ca="1" si="109"/>
        <v>0</v>
      </c>
      <c r="AX38" s="20">
        <f t="shared" ca="1" si="109"/>
        <v>54</v>
      </c>
      <c r="AY38" s="20">
        <f t="shared" ca="1" si="109"/>
        <v>52</v>
      </c>
      <c r="AZ38" s="20">
        <f t="shared" ca="1" si="110"/>
        <v>0</v>
      </c>
      <c r="BA38" s="20">
        <f t="shared" ca="1" si="110"/>
        <v>0</v>
      </c>
      <c r="BB38" s="20">
        <f t="shared" ca="1" si="110"/>
        <v>48</v>
      </c>
      <c r="BC38" s="20">
        <f t="shared" ca="1" si="110"/>
        <v>49</v>
      </c>
      <c r="BD38" s="20">
        <f t="shared" ca="1" si="110"/>
        <v>0</v>
      </c>
      <c r="BE38" s="20">
        <f t="shared" ca="1" si="110"/>
        <v>0</v>
      </c>
      <c r="BF38" s="20">
        <f t="shared" ca="1" si="110"/>
        <v>49</v>
      </c>
      <c r="BG38" s="20">
        <f t="shared" ca="1" si="110"/>
        <v>0</v>
      </c>
      <c r="BH38" s="20">
        <f t="shared" ca="1" si="110"/>
        <v>0</v>
      </c>
      <c r="BI38" s="34"/>
      <c r="BJ38" s="341">
        <v>0</v>
      </c>
      <c r="BK38" s="341">
        <v>0</v>
      </c>
      <c r="BL38" s="341">
        <v>0</v>
      </c>
      <c r="BM38" s="341">
        <v>0</v>
      </c>
      <c r="BN38" s="341">
        <v>0</v>
      </c>
      <c r="BO38" s="341">
        <v>0</v>
      </c>
      <c r="BP38" s="341">
        <v>0</v>
      </c>
      <c r="BQ38" s="341">
        <v>0</v>
      </c>
      <c r="BR38" s="341">
        <v>0</v>
      </c>
      <c r="BS38" s="341">
        <v>0</v>
      </c>
      <c r="BT38" s="20">
        <f t="shared" ca="1" si="111"/>
        <v>0</v>
      </c>
      <c r="BU38" s="20">
        <f t="shared" ca="1" si="111"/>
        <v>0</v>
      </c>
      <c r="BV38" s="20">
        <f t="shared" ca="1" si="111"/>
        <v>0</v>
      </c>
      <c r="BW38" s="20">
        <f t="shared" ca="1" si="111"/>
        <v>0</v>
      </c>
      <c r="BX38" s="20">
        <f t="shared" ca="1" si="111"/>
        <v>0</v>
      </c>
      <c r="BY38" s="20">
        <f t="shared" ca="1" si="111"/>
        <v>0</v>
      </c>
      <c r="BZ38" s="20">
        <f t="shared" ca="1" si="111"/>
        <v>0</v>
      </c>
      <c r="CA38" s="20">
        <f t="shared" ca="1" si="111"/>
        <v>0</v>
      </c>
      <c r="CB38" s="20">
        <f t="shared" ca="1" si="111"/>
        <v>0</v>
      </c>
      <c r="CC38" s="20">
        <f t="shared" ca="1" si="111"/>
        <v>0</v>
      </c>
      <c r="CD38" s="20">
        <f t="shared" ca="1" si="112"/>
        <v>0</v>
      </c>
      <c r="CE38" s="20">
        <f t="shared" ca="1" si="112"/>
        <v>0</v>
      </c>
      <c r="CF38" s="20">
        <f t="shared" ca="1" si="112"/>
        <v>0</v>
      </c>
      <c r="CG38" s="20">
        <f t="shared" ca="1" si="112"/>
        <v>0</v>
      </c>
      <c r="CH38" s="20">
        <f t="shared" ca="1" si="112"/>
        <v>1</v>
      </c>
      <c r="CI38" s="20">
        <f t="shared" ca="1" si="112"/>
        <v>0</v>
      </c>
      <c r="CJ38" s="20">
        <f t="shared" ca="1" si="112"/>
        <v>0</v>
      </c>
      <c r="CK38" s="20">
        <f t="shared" ca="1" si="112"/>
        <v>0</v>
      </c>
      <c r="CL38" s="20">
        <f t="shared" ca="1" si="112"/>
        <v>0</v>
      </c>
      <c r="CM38" s="34"/>
      <c r="CN38" s="20">
        <f t="shared" ca="1" si="113"/>
        <v>55</v>
      </c>
      <c r="CO38" s="20">
        <f t="shared" ca="1" si="113"/>
        <v>41</v>
      </c>
      <c r="CP38" s="20" t="str">
        <f t="shared" ca="1" si="113"/>
        <v/>
      </c>
      <c r="CQ38" s="20">
        <f t="shared" ca="1" si="113"/>
        <v>46</v>
      </c>
      <c r="CR38" s="20" t="str">
        <f t="shared" ca="1" si="113"/>
        <v/>
      </c>
      <c r="CS38" s="20">
        <f t="shared" ca="1" si="113"/>
        <v>46</v>
      </c>
      <c r="CT38" s="20">
        <f t="shared" ca="1" si="113"/>
        <v>38</v>
      </c>
      <c r="CU38" s="20" t="str">
        <f t="shared" ca="1" si="113"/>
        <v/>
      </c>
      <c r="CV38" s="20">
        <f t="shared" ca="1" si="113"/>
        <v>39</v>
      </c>
      <c r="CW38" s="20">
        <f t="shared" ca="1" si="113"/>
        <v>38</v>
      </c>
      <c r="CX38" s="20" t="str">
        <f t="shared" ca="1" si="114"/>
        <v/>
      </c>
      <c r="CY38" s="20" t="str">
        <f t="shared" ca="1" si="114"/>
        <v/>
      </c>
      <c r="CZ38" s="20">
        <f t="shared" ca="1" si="114"/>
        <v>33</v>
      </c>
      <c r="DA38" s="20">
        <f t="shared" ca="1" si="114"/>
        <v>35</v>
      </c>
      <c r="DB38" s="20" t="str">
        <f t="shared" ca="1" si="114"/>
        <v/>
      </c>
      <c r="DC38" s="20" t="str">
        <f t="shared" ca="1" si="114"/>
        <v/>
      </c>
      <c r="DD38" s="20">
        <f t="shared" ca="1" si="114"/>
        <v>35</v>
      </c>
      <c r="DE38" s="20" t="str">
        <f t="shared" ca="1" si="114"/>
        <v/>
      </c>
      <c r="DF38" s="20" t="str">
        <f t="shared" ca="1" si="114"/>
        <v/>
      </c>
      <c r="DG38" s="34"/>
      <c r="DH38" s="20">
        <f t="shared" ca="1" si="115"/>
        <v>4</v>
      </c>
      <c r="DI38" s="20">
        <f t="shared" ca="1" si="115"/>
        <v>11</v>
      </c>
      <c r="DJ38" s="20" t="str">
        <f t="shared" ca="1" si="115"/>
        <v/>
      </c>
      <c r="DK38" s="20">
        <f t="shared" ca="1" si="115"/>
        <v>6</v>
      </c>
      <c r="DL38" s="20" t="str">
        <f t="shared" ca="1" si="115"/>
        <v/>
      </c>
      <c r="DM38" s="20">
        <f t="shared" ca="1" si="115"/>
        <v>6</v>
      </c>
      <c r="DN38" s="20">
        <f t="shared" ca="1" si="115"/>
        <v>5</v>
      </c>
      <c r="DO38" s="20" t="str">
        <f t="shared" ca="1" si="115"/>
        <v/>
      </c>
      <c r="DP38" s="20">
        <f t="shared" ca="1" si="115"/>
        <v>13</v>
      </c>
      <c r="DQ38" s="20">
        <f t="shared" ca="1" si="115"/>
        <v>10</v>
      </c>
      <c r="DR38" s="20" t="str">
        <f t="shared" ca="1" si="116"/>
        <v/>
      </c>
      <c r="DS38" s="20" t="str">
        <f t="shared" ca="1" si="116"/>
        <v/>
      </c>
      <c r="DT38" s="20">
        <f t="shared" ca="1" si="116"/>
        <v>13</v>
      </c>
      <c r="DU38" s="20">
        <f t="shared" ca="1" si="116"/>
        <v>14</v>
      </c>
      <c r="DV38" s="20">
        <f t="shared" ca="1" si="116"/>
        <v>10</v>
      </c>
      <c r="DW38" s="20" t="str">
        <f t="shared" ca="1" si="116"/>
        <v/>
      </c>
      <c r="DX38" s="20">
        <f t="shared" ca="1" si="116"/>
        <v>12</v>
      </c>
      <c r="DY38" s="20" t="str">
        <f t="shared" ca="1" si="116"/>
        <v/>
      </c>
      <c r="DZ38" s="20" t="str">
        <f t="shared" ca="1" si="116"/>
        <v/>
      </c>
      <c r="EA38" s="34"/>
      <c r="EB38" s="20" t="str">
        <f t="shared" ca="1" si="117"/>
        <v/>
      </c>
      <c r="EC38" s="20" t="str">
        <f t="shared" ca="1" si="117"/>
        <v/>
      </c>
      <c r="ED38" s="20" t="str">
        <f t="shared" ca="1" si="117"/>
        <v/>
      </c>
      <c r="EE38" s="20" t="str">
        <f t="shared" ca="1" si="117"/>
        <v/>
      </c>
      <c r="EF38" s="20" t="str">
        <f t="shared" ca="1" si="117"/>
        <v/>
      </c>
      <c r="EG38" s="20" t="str">
        <f t="shared" ca="1" si="117"/>
        <v/>
      </c>
      <c r="EH38" s="20" t="str">
        <f t="shared" ca="1" si="117"/>
        <v/>
      </c>
      <c r="EI38" s="20" t="str">
        <f t="shared" ca="1" si="117"/>
        <v/>
      </c>
      <c r="EJ38" s="20" t="str">
        <f t="shared" ca="1" si="117"/>
        <v/>
      </c>
      <c r="EK38" s="20" t="str">
        <f t="shared" ca="1" si="117"/>
        <v/>
      </c>
      <c r="EL38" s="20" t="str">
        <f t="shared" ca="1" si="118"/>
        <v/>
      </c>
      <c r="EM38" s="20" t="str">
        <f t="shared" ca="1" si="118"/>
        <v/>
      </c>
      <c r="EN38" s="20">
        <f t="shared" ca="1" si="118"/>
        <v>1</v>
      </c>
      <c r="EO38" s="20" t="str">
        <f t="shared" ca="1" si="118"/>
        <v/>
      </c>
      <c r="EP38" s="20" t="str">
        <f t="shared" ca="1" si="118"/>
        <v/>
      </c>
      <c r="EQ38" s="20" t="str">
        <f t="shared" ca="1" si="118"/>
        <v/>
      </c>
      <c r="ER38" s="20" t="str">
        <f t="shared" ca="1" si="118"/>
        <v/>
      </c>
      <c r="ES38" s="20" t="str">
        <f t="shared" ca="1" si="118"/>
        <v/>
      </c>
      <c r="ET38" s="20" t="str">
        <f t="shared" ca="1" si="118"/>
        <v/>
      </c>
      <c r="EU38" s="34"/>
      <c r="EV38" s="20" t="str">
        <f t="shared" ca="1" si="119"/>
        <v/>
      </c>
      <c r="EW38" s="20" t="str">
        <f t="shared" ca="1" si="119"/>
        <v/>
      </c>
      <c r="EX38" s="20" t="str">
        <f t="shared" ca="1" si="119"/>
        <v/>
      </c>
      <c r="EY38" s="20" t="str">
        <f t="shared" ca="1" si="119"/>
        <v/>
      </c>
      <c r="EZ38" s="20" t="str">
        <f t="shared" ca="1" si="119"/>
        <v/>
      </c>
      <c r="FA38" s="20" t="str">
        <f t="shared" ca="1" si="119"/>
        <v/>
      </c>
      <c r="FB38" s="20" t="str">
        <f t="shared" ca="1" si="119"/>
        <v/>
      </c>
      <c r="FC38" s="20" t="str">
        <f t="shared" ca="1" si="119"/>
        <v/>
      </c>
      <c r="FD38" s="20" t="str">
        <f t="shared" ca="1" si="119"/>
        <v/>
      </c>
      <c r="FE38" s="20" t="str">
        <f t="shared" ca="1" si="119"/>
        <v/>
      </c>
      <c r="FF38" s="20" t="str">
        <f t="shared" ca="1" si="120"/>
        <v/>
      </c>
      <c r="FG38" s="20" t="str">
        <f t="shared" ca="1" si="120"/>
        <v/>
      </c>
      <c r="FH38" s="20" t="str">
        <f t="shared" ca="1" si="120"/>
        <v/>
      </c>
      <c r="FI38" s="20" t="str">
        <f t="shared" ca="1" si="120"/>
        <v/>
      </c>
      <c r="FJ38" s="20" t="str">
        <f t="shared" ca="1" si="120"/>
        <v/>
      </c>
      <c r="FK38" s="20" t="str">
        <f t="shared" ca="1" si="120"/>
        <v/>
      </c>
      <c r="FL38" s="20" t="str">
        <f t="shared" ca="1" si="120"/>
        <v/>
      </c>
      <c r="FM38" s="20" t="str">
        <f t="shared" ca="1" si="120"/>
        <v/>
      </c>
      <c r="FN38" s="20" t="str">
        <f t="shared" ca="1" si="120"/>
        <v/>
      </c>
      <c r="FO38" s="34"/>
      <c r="FP38" s="20" t="str">
        <f t="shared" ca="1" si="121"/>
        <v>l</v>
      </c>
      <c r="FQ38" s="20" t="str">
        <f t="shared" ca="1" si="121"/>
        <v>w</v>
      </c>
      <c r="FR38" s="20" t="str">
        <f t="shared" ca="1" si="121"/>
        <v/>
      </c>
      <c r="FS38" s="20" t="str">
        <f t="shared" ca="1" si="121"/>
        <v>l</v>
      </c>
      <c r="FT38" s="20" t="str">
        <f t="shared" ca="1" si="121"/>
        <v/>
      </c>
      <c r="FU38" s="20" t="str">
        <f t="shared" ca="1" si="121"/>
        <v>l</v>
      </c>
      <c r="FV38" s="20" t="str">
        <f t="shared" ca="1" si="121"/>
        <v>l</v>
      </c>
      <c r="FW38" s="20" t="str">
        <f t="shared" ca="1" si="121"/>
        <v/>
      </c>
      <c r="FX38" s="20" t="str">
        <f t="shared" ca="1" si="121"/>
        <v>w</v>
      </c>
      <c r="FY38" s="20" t="str">
        <f t="shared" ca="1" si="121"/>
        <v>t</v>
      </c>
      <c r="FZ38" s="20" t="str">
        <f t="shared" ca="1" si="122"/>
        <v/>
      </c>
      <c r="GA38" s="20" t="str">
        <f t="shared" ca="1" si="122"/>
        <v/>
      </c>
      <c r="GB38" s="20" t="str">
        <f t="shared" ca="1" si="122"/>
        <v>w</v>
      </c>
      <c r="GC38" s="20" t="str">
        <f t="shared" ca="1" si="122"/>
        <v>w</v>
      </c>
      <c r="GD38" s="20" t="str">
        <f t="shared" ca="1" si="122"/>
        <v>t</v>
      </c>
      <c r="GE38" s="20" t="str">
        <f t="shared" ca="1" si="122"/>
        <v/>
      </c>
      <c r="GF38" s="20" t="str">
        <f t="shared" ca="1" si="122"/>
        <v>w</v>
      </c>
      <c r="GG38" s="20" t="str">
        <f t="shared" ca="1" si="122"/>
        <v/>
      </c>
      <c r="GH38" s="20" t="str">
        <f t="shared" ca="1" si="122"/>
        <v/>
      </c>
      <c r="GI38" s="34"/>
      <c r="HE38" s="34"/>
      <c r="HZ38" s="34"/>
      <c r="IA38" s="19" t="str">
        <f t="shared" ca="1" si="123"/>
        <v>No Hdcp</v>
      </c>
      <c r="IB38" s="19" t="str">
        <f ca="1">IF($D38&lt;&gt;"","Low of score &amp; "&amp;MIN($H38:$H38),"")</f>
        <v>Low of score &amp; 49</v>
      </c>
      <c r="IC38" s="19" t="str">
        <f ca="1">IF($D38&lt;&gt;"","Low of score &amp; "&amp;MIN($H38:$I38),"")</f>
        <v>Low of score &amp; 49</v>
      </c>
      <c r="ID38" s="18" t="str">
        <f ca="1">IF($D38&lt;&gt;"","Low of score &amp; "&amp;MIN($H38:$J38),"")</f>
        <v>Low of score &amp; 48</v>
      </c>
      <c r="IE38" s="18" t="str">
        <f ca="1">IF($D38&lt;&gt;"","Low of score &amp; "&amp;MIN($H38:$K38),"")</f>
        <v>Low of score &amp; 48</v>
      </c>
      <c r="IF38" s="18">
        <f ca="1">IF($D38&lt;&gt;"",ROUND(MIN((MIN($H38:$L38)-36)*0.96,20),2),"")</f>
        <v>11.52</v>
      </c>
      <c r="IG38" s="353">
        <f ca="1">IF($D38&lt;&gt;"",ROUND(MIN((AVERAGE(SMALL($H38:$M38,1),SMALL($H38:$M38,2))-36)*0.96,20),2),"")</f>
        <v>12</v>
      </c>
      <c r="IH38" s="18">
        <f ca="1">IF($D38&lt;&gt;"",ROUND(MIN((AVERAGE(SMALL($H38:$N38,1),SMALL($H38:$N38,2),SMALL($H38:$N38,3))-36)*0.96,20),2),"")</f>
        <v>12.16</v>
      </c>
      <c r="II38" s="18">
        <f ca="1">IF($D38&lt;&gt;"",ROUND(MIN((AVERAGE(SMALL($H38:$O38,1),SMALL($H38:$O38,2),SMALL($H38:$O38,3),SMALL($H38:$O38,4))-36)*0.96,20),2),"")</f>
        <v>12.96</v>
      </c>
      <c r="IJ38" s="18">
        <f ca="1">IF($D38&lt;&gt;"",ROUND(MIN((AVERAGE(SMALL($H38:$P38,1),SMALL($H38:$P38,2),SMALL($H38:$P38,3),SMALL($H38:$P38,4))-36)*0.96,20),2),"")</f>
        <v>12.96</v>
      </c>
      <c r="IK38" s="18">
        <f ca="1">IF($D38&lt;&gt;"",ROUND(MIN((AVERAGE(SMALL($H38:$Q38,1),SMALL($H38:$Q38,2),SMALL($H38:$Q38,3),SMALL($H38:$Q38,4),SMALL($H38:$Q38,5))-36)*0.96,20),2),"")</f>
        <v>13.63</v>
      </c>
      <c r="IL38" s="34"/>
      <c r="IN38" s="18">
        <f ca="1">AO38</f>
        <v>49</v>
      </c>
      <c r="IO38" s="18">
        <f ca="1">AN38</f>
        <v>49</v>
      </c>
      <c r="IP38" s="18">
        <f ca="1">AM38</f>
        <v>59</v>
      </c>
      <c r="IQ38" s="18">
        <f ca="1">AL38</f>
        <v>50</v>
      </c>
      <c r="IR38" s="18">
        <f ca="1">AK38</f>
        <v>55</v>
      </c>
      <c r="IS38" s="18">
        <f ca="1">AJ38</f>
        <v>53</v>
      </c>
      <c r="IT38" s="18">
        <f ca="1">AI38</f>
        <v>55</v>
      </c>
      <c r="IU38" s="18">
        <f ca="1">AH38</f>
        <v>59</v>
      </c>
      <c r="IV38" s="18">
        <f ca="1">AG38</f>
        <v>0</v>
      </c>
      <c r="IW38" s="18">
        <f ca="1">AF38</f>
        <v>0</v>
      </c>
      <c r="IX38" s="19">
        <f ca="1">IF(D38&lt;&gt;"",COUNT(IN38:IW38),"")</f>
        <v>10</v>
      </c>
      <c r="IY38" s="21">
        <f ca="1">IF(D38&lt;&gt;"",INDEX($JA38:$JK38,1,MATCH($IX38,$JA$6:$JK$6,0)), "")</f>
        <v>-6.1439999999999984</v>
      </c>
      <c r="JA38" s="18" t="str">
        <f ca="1">IF(D38&lt;&gt;"","No Hdcp","")</f>
        <v>No Hdcp</v>
      </c>
      <c r="JB38" s="18" t="str">
        <f ca="1">IF(D38&lt;&gt;"","Low of score &amp; "&amp;MIN($IN38:$IN38),"")</f>
        <v>Low of score &amp; 49</v>
      </c>
      <c r="JC38" s="18" t="str">
        <f ca="1">IF(D38&lt;&gt;"","Low of score &amp; "&amp;MIN($IN38:$IO38),"")</f>
        <v>Low of score &amp; 49</v>
      </c>
      <c r="JD38" s="18" t="str">
        <f ca="1">IF(D38&lt;&gt;"","Low of score &amp; "&amp;MIN($IN38:$IP38),"")</f>
        <v>Low of score &amp; 49</v>
      </c>
      <c r="JE38" s="18" t="str">
        <f ca="1">IF(D38&lt;&gt;"","Low of score &amp; "&amp;MIN($IN38:$IQ38),"")</f>
        <v>Low of score &amp; 49</v>
      </c>
      <c r="JF38" s="18">
        <f ca="1">IF(D38&lt;&gt;"",MIN((MIN($IN38:$IR38)-36)*0.96,20),"")</f>
        <v>12.48</v>
      </c>
      <c r="JG38" s="18">
        <f ca="1">IF(D38&lt;&gt;"",MIN((AVERAGE(SMALL($IN38:$IS38,1),SMALL($IN38:$IS38,2))-36)*0.96,20),"")</f>
        <v>12.48</v>
      </c>
      <c r="JH38" s="18">
        <f ca="1">IF(D38&lt;&gt;"",MIN((AVERAGE(SMALL($IN38:$IT38,1),SMALL($IN38:$IT38,2),SMALL($IN38:$IT38,3))-36)*0.96,20),"")</f>
        <v>12.800000000000002</v>
      </c>
      <c r="JI38" s="18">
        <f ca="1">IF(D38&lt;&gt;"",MIN((AVERAGE(SMALL($IN38:$IU38,1),SMALL($IN38:$IU38,2),SMALL($IN38:$IU38,3),SMALL($IN38:$IU38,4))-36)*0.96,20),"")</f>
        <v>13.68</v>
      </c>
      <c r="JJ38" s="18">
        <f ca="1">IF(D38&lt;&gt;"",MIN((AVERAGE(SMALL($IN38:$IV38,1),SMALL($IN38:$IV38,2),SMALL($IN38:$IV38,3),SMALL($IN38:$IV38,4))-36)*0.96,20),"")</f>
        <v>0.96</v>
      </c>
      <c r="JK38" s="18">
        <f ca="1">IF(D38&lt;&gt;"",MIN((AVERAGE(SMALL($IN38:$IW38,1),SMALL($IN38:$IW38,2),SMALL($IN38:$IW38,3),SMALL($IN38:$IW38,4),SMALL($IN38:$IW38,5))-36)*0.96,20),"")</f>
        <v>-6.1439999999999984</v>
      </c>
    </row>
    <row r="39" spans="1:271" x14ac:dyDescent="0.2">
      <c r="A39" s="18" t="s">
        <v>25</v>
      </c>
      <c r="B39" s="19">
        <f>B38+7</f>
        <v>26</v>
      </c>
      <c r="C39" s="22">
        <f t="shared" ca="1" si="102"/>
        <v>8.2000000000000007E-3</v>
      </c>
      <c r="D39" s="18" t="str">
        <f t="shared" ca="1" si="103"/>
        <v>Reed, Rich</v>
      </c>
      <c r="E39" s="19">
        <f t="shared" ca="1" si="104"/>
        <v>9</v>
      </c>
      <c r="F39" s="19">
        <f ca="1">IF(D39&lt;&gt;"",COUNT($H39:$Q39),"")</f>
        <v>9</v>
      </c>
      <c r="G39" s="21">
        <f ca="1">IF($D39&lt;&gt;"",INDEX($IA39:$IK39,1,MATCH($F39,$IA$6:$IK$6,0)), "")</f>
        <v>10.56</v>
      </c>
      <c r="H39" s="337" cm="1">
        <f t="array" aca="1" ref="H39" ca="1">IFERROR(_xlfn.SINGLE(INDEX($AF39:$BH39, , SUMPRODUCT(LARGE((($AF39:$BH39&lt;&gt;0)*($BJ39:$CL39&lt;&gt;1)*($AF$5:$BH$5)), H$6)))), "")</f>
        <v>55</v>
      </c>
      <c r="I39" s="338" cm="1">
        <f t="array" aca="1" ref="I39" ca="1">IFERROR(_xlfn.SINGLE(INDEX($AF39:$BH39, , SUMPRODUCT(LARGE((($AF39:$BH39&lt;&gt;0)*($BJ39:$CL39&lt;&gt;1)*($AF$5:$BH$5)), I$6)))), "")</f>
        <v>43</v>
      </c>
      <c r="J39" s="338" cm="1">
        <f t="array" aca="1" ref="J39" ca="1">IFERROR(_xlfn.SINGLE(INDEX($AF39:$BH39, , SUMPRODUCT(LARGE((($AF39:$BH39&lt;&gt;0)*($BJ39:$CL39&lt;&gt;1)*($AF$5:$BH$5)), J$6)))), "")</f>
        <v>50</v>
      </c>
      <c r="K39" s="338" cm="1">
        <f t="array" aca="1" ref="K39" ca="1">IFERROR(_xlfn.SINGLE(INDEX($AF39:$BH39, , SUMPRODUCT(LARGE((($AF39:$BH39&lt;&gt;0)*($BJ39:$CL39&lt;&gt;1)*($AF$5:$BH$5)), K$6)))), "")</f>
        <v>53</v>
      </c>
      <c r="L39" s="338" cm="1">
        <f t="array" aca="1" ref="L39" ca="1">IFERROR(_xlfn.SINGLE(INDEX($AF39:$BH39, , SUMPRODUCT(LARGE((($AF39:$BH39&lt;&gt;0)*($BJ39:$CL39&lt;&gt;1)*($AF$5:$BH$5)), L$6)))), "")</f>
        <v>46</v>
      </c>
      <c r="M39" s="338" cm="1">
        <f t="array" aca="1" ref="M39" ca="1">IFERROR(_xlfn.SINGLE(INDEX($AF39:$BH39, , SUMPRODUCT(LARGE((($AF39:$BH39&lt;&gt;0)*($BJ39:$CL39&lt;&gt;1)*($AF$5:$BH$5)), M$6)))), "")</f>
        <v>59</v>
      </c>
      <c r="N39" s="338" cm="1">
        <f t="array" aca="1" ref="N39" ca="1">IFERROR(_xlfn.SINGLE(INDEX($AF39:$BH39, , SUMPRODUCT(LARGE((($AF39:$BH39&lt;&gt;0)*($BJ39:$CL39&lt;&gt;1)*($AF$5:$BH$5)), N$6)))), "")</f>
        <v>53</v>
      </c>
      <c r="O39" s="338" cm="1">
        <f t="array" aca="1" ref="O39" ca="1">IFERROR(_xlfn.SINGLE(INDEX($AF39:$BH39, , SUMPRODUCT(LARGE((($AF39:$BH39&lt;&gt;0)*($BJ39:$CL39&lt;&gt;1)*($AF$5:$BH$5)), O$6)))), "")</f>
        <v>49</v>
      </c>
      <c r="P39" s="338" cm="1">
        <f t="array" aca="1" ref="P39" ca="1">IFERROR(_xlfn.SINGLE(INDEX($AF39:$BH39, , SUMPRODUCT(LARGE((($AF39:$BH39&lt;&gt;0)*($BJ39:$CL39&lt;&gt;1)*($AF$5:$BH$5)), P$6)))), "")</f>
        <v>51</v>
      </c>
      <c r="Q39" s="339" t="str" cm="1">
        <f t="array" aca="1" ref="Q39" ca="1">IFERROR(_xlfn.SINGLE(INDEX($AF39:$BH39, , SUMPRODUCT(LARGE((($AF39:$BH39&lt;&gt;0)*($BJ39:$CL39&lt;&gt;1)*($AF$5:$BH$5)), Q$6)))), "")</f>
        <v/>
      </c>
      <c r="R39" s="21">
        <v>46</v>
      </c>
      <c r="S39" s="47">
        <f t="shared" ca="1" si="105"/>
        <v>47.8</v>
      </c>
      <c r="T39" s="21">
        <f ca="1">IF($D39&lt;&gt;"", IFERROR(IF($E39&gt;=qualifier, SUMIF($BT39:$CL39,0,$AP39:$BH39)/$E39, TEXT(SUMIF($BT39:$CL39,0,$AP39:$BH39)/$E39, "0.00")&amp;"*"), "-"), "")</f>
        <v>51</v>
      </c>
      <c r="U39" s="21">
        <f ca="1">IF($D39&lt;&gt;"", IFERROR(IF($E39&gt;=qualifier, SUMIF($BT39:$CL39,0,$CN39:$DF39)/$E39, TEXT(SUMIF($BT39:$CL39,0,$CN39:$DF39)/$E39, "0.00")&amp;"*"), "-"), "")</f>
        <v>43.333333333333336</v>
      </c>
      <c r="V39" s="46">
        <f ca="1">IF(AND($D39&lt;&gt;"", $E39&lt;&gt;0), _xlfn.MINIFS($AP39:$BH39,$BT39:$CL39,0,$AP39:$BH39,"&lt;&gt;0"), "")</f>
        <v>43</v>
      </c>
      <c r="W39" s="19">
        <f ca="1">IF(AND($D39&lt;&gt;"", $E39&lt;&gt;0), _xlfn.MINIFS($CN39:$DF39,$BT39:$CL39,0), "")</f>
        <v>33</v>
      </c>
      <c r="X39" s="46">
        <f ca="1">IF($D39&lt;&gt;"", SUM($DH39:$DZ39),  "")</f>
        <v>71</v>
      </c>
      <c r="Y39" s="21">
        <f ca="1">IF($D39&lt;&gt;"", IFERROR(IF($E39&gt;=qualifier, AVERAGE($DH39:$DZ39), TEXT(AVERAGE($DH39:$DZ39), "0.00")&amp;"*"), "-"), "")</f>
        <v>7.8888888888888893</v>
      </c>
      <c r="Z39" s="19">
        <f ca="1">IF($D39&lt;&gt;"", SUM($EB39:$ET39),  "")</f>
        <v>1</v>
      </c>
      <c r="AA39" s="19">
        <f ca="1">IF($D39&lt;&gt;"", SUM($EV39:$FN39),  "")</f>
        <v>0</v>
      </c>
      <c r="AB39" s="46" t="str">
        <f t="shared" ca="1" si="106"/>
        <v>3-6-0</v>
      </c>
      <c r="AC39" s="218">
        <f t="shared" ca="1" si="107"/>
        <v>3304715052</v>
      </c>
      <c r="AD39" s="57" t="str">
        <f t="shared" ca="1" si="108"/>
        <v>richard.l.reed@metallus.com</v>
      </c>
      <c r="AE39" s="34"/>
      <c r="AF39" s="341">
        <f ca="1">INDEX(PriorScores[],MATCH($D39,PriorScores[Team / Player],0),2)</f>
        <v>0</v>
      </c>
      <c r="AG39" s="341">
        <f ca="1">INDEX(PriorScores[],MATCH($D39,PriorScores[Team / Player],0),3)</f>
        <v>0</v>
      </c>
      <c r="AH39" s="341">
        <f ca="1">INDEX(PriorScores[],MATCH($D39,PriorScores[Team / Player],0),4)</f>
        <v>0</v>
      </c>
      <c r="AI39" s="341"/>
      <c r="AJ39" s="341"/>
      <c r="AK39" s="341"/>
      <c r="AL39" s="341"/>
      <c r="AM39" s="341"/>
      <c r="AN39" s="341"/>
      <c r="AO39" s="341"/>
      <c r="AP39" s="20">
        <f t="shared" ca="1" si="109"/>
        <v>51</v>
      </c>
      <c r="AQ39" s="20">
        <f t="shared" ca="1" si="109"/>
        <v>49</v>
      </c>
      <c r="AR39" s="20">
        <f t="shared" ca="1" si="109"/>
        <v>53</v>
      </c>
      <c r="AS39" s="20">
        <f t="shared" ca="1" si="109"/>
        <v>59</v>
      </c>
      <c r="AT39" s="20">
        <f t="shared" ca="1" si="109"/>
        <v>0</v>
      </c>
      <c r="AU39" s="20">
        <f t="shared" ca="1" si="109"/>
        <v>0</v>
      </c>
      <c r="AV39" s="20">
        <f t="shared" ca="1" si="109"/>
        <v>46</v>
      </c>
      <c r="AW39" s="20">
        <f t="shared" ca="1" si="109"/>
        <v>0</v>
      </c>
      <c r="AX39" s="20">
        <f t="shared" ca="1" si="109"/>
        <v>0</v>
      </c>
      <c r="AY39" s="20">
        <f t="shared" ca="1" si="109"/>
        <v>0</v>
      </c>
      <c r="AZ39" s="20">
        <f t="shared" ca="1" si="110"/>
        <v>53</v>
      </c>
      <c r="BA39" s="20">
        <f t="shared" ca="1" si="110"/>
        <v>0</v>
      </c>
      <c r="BB39" s="20">
        <f t="shared" ca="1" si="110"/>
        <v>0</v>
      </c>
      <c r="BC39" s="20">
        <f t="shared" ca="1" si="110"/>
        <v>50</v>
      </c>
      <c r="BD39" s="20">
        <f t="shared" ca="1" si="110"/>
        <v>43</v>
      </c>
      <c r="BE39" s="20">
        <f t="shared" ca="1" si="110"/>
        <v>55</v>
      </c>
      <c r="BF39" s="20">
        <f t="shared" ca="1" si="110"/>
        <v>0</v>
      </c>
      <c r="BG39" s="20">
        <f t="shared" ca="1" si="110"/>
        <v>0</v>
      </c>
      <c r="BH39" s="20">
        <f t="shared" ca="1" si="110"/>
        <v>0</v>
      </c>
      <c r="BI39" s="34"/>
      <c r="BJ39" s="341">
        <v>0</v>
      </c>
      <c r="BK39" s="341">
        <v>0</v>
      </c>
      <c r="BL39" s="341">
        <v>0</v>
      </c>
      <c r="BM39" s="341">
        <v>0</v>
      </c>
      <c r="BN39" s="341">
        <v>0</v>
      </c>
      <c r="BO39" s="341">
        <v>0</v>
      </c>
      <c r="BP39" s="341">
        <v>0</v>
      </c>
      <c r="BQ39" s="341">
        <v>0</v>
      </c>
      <c r="BR39" s="341">
        <v>0</v>
      </c>
      <c r="BS39" s="341">
        <v>0</v>
      </c>
      <c r="BT39" s="20">
        <f t="shared" ca="1" si="111"/>
        <v>0</v>
      </c>
      <c r="BU39" s="20">
        <f t="shared" ca="1" si="111"/>
        <v>0</v>
      </c>
      <c r="BV39" s="20">
        <f t="shared" ca="1" si="111"/>
        <v>0</v>
      </c>
      <c r="BW39" s="20">
        <f t="shared" ca="1" si="111"/>
        <v>0</v>
      </c>
      <c r="BX39" s="20">
        <f t="shared" ca="1" si="111"/>
        <v>0</v>
      </c>
      <c r="BY39" s="20">
        <f t="shared" ca="1" si="111"/>
        <v>0</v>
      </c>
      <c r="BZ39" s="20">
        <f t="shared" ca="1" si="111"/>
        <v>0</v>
      </c>
      <c r="CA39" s="20">
        <f t="shared" ca="1" si="111"/>
        <v>0</v>
      </c>
      <c r="CB39" s="20">
        <f t="shared" ca="1" si="111"/>
        <v>0</v>
      </c>
      <c r="CC39" s="20">
        <f t="shared" ca="1" si="111"/>
        <v>0</v>
      </c>
      <c r="CD39" s="20">
        <f t="shared" ca="1" si="112"/>
        <v>0</v>
      </c>
      <c r="CE39" s="20">
        <f t="shared" ca="1" si="112"/>
        <v>0</v>
      </c>
      <c r="CF39" s="20">
        <f t="shared" ca="1" si="112"/>
        <v>0</v>
      </c>
      <c r="CG39" s="20">
        <f t="shared" ca="1" si="112"/>
        <v>0</v>
      </c>
      <c r="CH39" s="20">
        <f t="shared" ca="1" si="112"/>
        <v>0</v>
      </c>
      <c r="CI39" s="20">
        <f t="shared" ca="1" si="112"/>
        <v>0</v>
      </c>
      <c r="CJ39" s="20">
        <f t="shared" ca="1" si="112"/>
        <v>0</v>
      </c>
      <c r="CK39" s="20">
        <f t="shared" ca="1" si="112"/>
        <v>0</v>
      </c>
      <c r="CL39" s="20">
        <f t="shared" ca="1" si="112"/>
        <v>0</v>
      </c>
      <c r="CM39" s="34"/>
      <c r="CN39" s="20">
        <f t="shared" ca="1" si="113"/>
        <v>44</v>
      </c>
      <c r="CO39" s="20">
        <f t="shared" ca="1" si="113"/>
        <v>42</v>
      </c>
      <c r="CP39" s="20">
        <f t="shared" ca="1" si="113"/>
        <v>46</v>
      </c>
      <c r="CQ39" s="20">
        <f t="shared" ca="1" si="113"/>
        <v>52</v>
      </c>
      <c r="CR39" s="20" t="str">
        <f t="shared" ca="1" si="113"/>
        <v/>
      </c>
      <c r="CS39" s="20" t="str">
        <f t="shared" ca="1" si="113"/>
        <v/>
      </c>
      <c r="CT39" s="20">
        <f t="shared" ca="1" si="113"/>
        <v>39</v>
      </c>
      <c r="CU39" s="20" t="str">
        <f t="shared" ca="1" si="113"/>
        <v/>
      </c>
      <c r="CV39" s="20" t="str">
        <f t="shared" ca="1" si="113"/>
        <v/>
      </c>
      <c r="CW39" s="20" t="str">
        <f t="shared" ca="1" si="113"/>
        <v/>
      </c>
      <c r="CX39" s="20">
        <f t="shared" ca="1" si="114"/>
        <v>46</v>
      </c>
      <c r="CY39" s="20" t="str">
        <f t="shared" ca="1" si="114"/>
        <v/>
      </c>
      <c r="CZ39" s="20" t="str">
        <f t="shared" ca="1" si="114"/>
        <v/>
      </c>
      <c r="DA39" s="20">
        <f t="shared" ca="1" si="114"/>
        <v>42</v>
      </c>
      <c r="DB39" s="20">
        <f t="shared" ca="1" si="114"/>
        <v>33</v>
      </c>
      <c r="DC39" s="20">
        <f t="shared" ca="1" si="114"/>
        <v>46</v>
      </c>
      <c r="DD39" s="20" t="str">
        <f t="shared" ca="1" si="114"/>
        <v/>
      </c>
      <c r="DE39" s="20" t="str">
        <f t="shared" ca="1" si="114"/>
        <v/>
      </c>
      <c r="DF39" s="20" t="str">
        <f t="shared" ca="1" si="114"/>
        <v/>
      </c>
      <c r="DG39" s="34"/>
      <c r="DH39" s="20">
        <f t="shared" ca="1" si="115"/>
        <v>11</v>
      </c>
      <c r="DI39" s="20">
        <f t="shared" ca="1" si="115"/>
        <v>8</v>
      </c>
      <c r="DJ39" s="20">
        <f t="shared" ca="1" si="115"/>
        <v>4</v>
      </c>
      <c r="DK39" s="20">
        <f t="shared" ca="1" si="115"/>
        <v>3</v>
      </c>
      <c r="DL39" s="20" t="str">
        <f t="shared" ca="1" si="115"/>
        <v/>
      </c>
      <c r="DM39" s="20" t="str">
        <f t="shared" ca="1" si="115"/>
        <v/>
      </c>
      <c r="DN39" s="20">
        <f t="shared" ca="1" si="115"/>
        <v>13</v>
      </c>
      <c r="DO39" s="20" t="str">
        <f t="shared" ca="1" si="115"/>
        <v/>
      </c>
      <c r="DP39" s="20" t="str">
        <f t="shared" ca="1" si="115"/>
        <v/>
      </c>
      <c r="DQ39" s="20" t="str">
        <f t="shared" ca="1" si="115"/>
        <v/>
      </c>
      <c r="DR39" s="20">
        <f t="shared" ca="1" si="116"/>
        <v>5</v>
      </c>
      <c r="DS39" s="20" t="str">
        <f t="shared" ca="1" si="116"/>
        <v/>
      </c>
      <c r="DT39" s="20" t="str">
        <f t="shared" ca="1" si="116"/>
        <v/>
      </c>
      <c r="DU39" s="20">
        <f t="shared" ca="1" si="116"/>
        <v>7</v>
      </c>
      <c r="DV39" s="20">
        <f t="shared" ca="1" si="116"/>
        <v>14</v>
      </c>
      <c r="DW39" s="20">
        <f t="shared" ca="1" si="116"/>
        <v>6</v>
      </c>
      <c r="DX39" s="20" t="str">
        <f t="shared" ca="1" si="116"/>
        <v/>
      </c>
      <c r="DY39" s="20" t="str">
        <f t="shared" ca="1" si="116"/>
        <v/>
      </c>
      <c r="DZ39" s="20" t="str">
        <f t="shared" ca="1" si="116"/>
        <v/>
      </c>
      <c r="EA39" s="34"/>
      <c r="EB39" s="20" t="str">
        <f t="shared" ca="1" si="117"/>
        <v/>
      </c>
      <c r="EC39" s="20" t="str">
        <f t="shared" ca="1" si="117"/>
        <v/>
      </c>
      <c r="ED39" s="20" t="str">
        <f t="shared" ca="1" si="117"/>
        <v/>
      </c>
      <c r="EE39" s="20" t="str">
        <f t="shared" ca="1" si="117"/>
        <v/>
      </c>
      <c r="EF39" s="20" t="str">
        <f t="shared" ca="1" si="117"/>
        <v/>
      </c>
      <c r="EG39" s="20" t="str">
        <f t="shared" ca="1" si="117"/>
        <v/>
      </c>
      <c r="EH39" s="20">
        <f t="shared" ca="1" si="117"/>
        <v>1</v>
      </c>
      <c r="EI39" s="20" t="str">
        <f t="shared" ca="1" si="117"/>
        <v/>
      </c>
      <c r="EJ39" s="20" t="str">
        <f t="shared" ca="1" si="117"/>
        <v/>
      </c>
      <c r="EK39" s="20" t="str">
        <f t="shared" ca="1" si="117"/>
        <v/>
      </c>
      <c r="EL39" s="20" t="str">
        <f t="shared" ca="1" si="118"/>
        <v/>
      </c>
      <c r="EM39" s="20" t="str">
        <f t="shared" ca="1" si="118"/>
        <v/>
      </c>
      <c r="EN39" s="20" t="str">
        <f t="shared" ca="1" si="118"/>
        <v/>
      </c>
      <c r="EO39" s="20" t="str">
        <f t="shared" ca="1" si="118"/>
        <v/>
      </c>
      <c r="EP39" s="20" t="str">
        <f t="shared" ca="1" si="118"/>
        <v/>
      </c>
      <c r="EQ39" s="20" t="str">
        <f t="shared" ca="1" si="118"/>
        <v/>
      </c>
      <c r="ER39" s="20" t="str">
        <f t="shared" ca="1" si="118"/>
        <v/>
      </c>
      <c r="ES39" s="20" t="str">
        <f t="shared" ca="1" si="118"/>
        <v/>
      </c>
      <c r="ET39" s="20" t="str">
        <f t="shared" ca="1" si="118"/>
        <v/>
      </c>
      <c r="EU39" s="34"/>
      <c r="EV39" s="20" t="str">
        <f t="shared" ca="1" si="119"/>
        <v/>
      </c>
      <c r="EW39" s="20" t="str">
        <f t="shared" ca="1" si="119"/>
        <v/>
      </c>
      <c r="EX39" s="20" t="str">
        <f t="shared" ca="1" si="119"/>
        <v/>
      </c>
      <c r="EY39" s="20" t="str">
        <f t="shared" ca="1" si="119"/>
        <v/>
      </c>
      <c r="EZ39" s="20" t="str">
        <f t="shared" ca="1" si="119"/>
        <v/>
      </c>
      <c r="FA39" s="20" t="str">
        <f t="shared" ca="1" si="119"/>
        <v/>
      </c>
      <c r="FB39" s="20" t="str">
        <f t="shared" ca="1" si="119"/>
        <v/>
      </c>
      <c r="FC39" s="20" t="str">
        <f t="shared" ca="1" si="119"/>
        <v/>
      </c>
      <c r="FD39" s="20" t="str">
        <f t="shared" ca="1" si="119"/>
        <v/>
      </c>
      <c r="FE39" s="20" t="str">
        <f t="shared" ca="1" si="119"/>
        <v/>
      </c>
      <c r="FF39" s="20" t="str">
        <f t="shared" ca="1" si="120"/>
        <v/>
      </c>
      <c r="FG39" s="20" t="str">
        <f t="shared" ca="1" si="120"/>
        <v/>
      </c>
      <c r="FH39" s="20" t="str">
        <f t="shared" ca="1" si="120"/>
        <v/>
      </c>
      <c r="FI39" s="20" t="str">
        <f t="shared" ca="1" si="120"/>
        <v/>
      </c>
      <c r="FJ39" s="20" t="str">
        <f t="shared" ca="1" si="120"/>
        <v/>
      </c>
      <c r="FK39" s="20" t="str">
        <f t="shared" ca="1" si="120"/>
        <v/>
      </c>
      <c r="FL39" s="20" t="str">
        <f t="shared" ca="1" si="120"/>
        <v/>
      </c>
      <c r="FM39" s="20" t="str">
        <f t="shared" ca="1" si="120"/>
        <v/>
      </c>
      <c r="FN39" s="20" t="str">
        <f t="shared" ca="1" si="120"/>
        <v/>
      </c>
      <c r="FO39" s="34"/>
      <c r="FP39" s="20" t="str">
        <f t="shared" ca="1" si="121"/>
        <v>w</v>
      </c>
      <c r="FQ39" s="20" t="str">
        <f t="shared" ca="1" si="121"/>
        <v>l</v>
      </c>
      <c r="FR39" s="20" t="str">
        <f t="shared" ca="1" si="121"/>
        <v>l</v>
      </c>
      <c r="FS39" s="20" t="str">
        <f t="shared" ca="1" si="121"/>
        <v>l</v>
      </c>
      <c r="FT39" s="20" t="str">
        <f t="shared" ca="1" si="121"/>
        <v/>
      </c>
      <c r="FU39" s="20" t="str">
        <f t="shared" ca="1" si="121"/>
        <v/>
      </c>
      <c r="FV39" s="20" t="str">
        <f t="shared" ca="1" si="121"/>
        <v>w</v>
      </c>
      <c r="FW39" s="20" t="str">
        <f t="shared" ca="1" si="121"/>
        <v/>
      </c>
      <c r="FX39" s="20" t="str">
        <f t="shared" ca="1" si="121"/>
        <v/>
      </c>
      <c r="FY39" s="20" t="str">
        <f t="shared" ca="1" si="121"/>
        <v/>
      </c>
      <c r="FZ39" s="20" t="str">
        <f t="shared" ca="1" si="122"/>
        <v>l</v>
      </c>
      <c r="GA39" s="20" t="str">
        <f t="shared" ca="1" si="122"/>
        <v/>
      </c>
      <c r="GB39" s="20" t="str">
        <f t="shared" ca="1" si="122"/>
        <v/>
      </c>
      <c r="GC39" s="20" t="str">
        <f t="shared" ca="1" si="122"/>
        <v>l</v>
      </c>
      <c r="GD39" s="20" t="str">
        <f t="shared" ca="1" si="122"/>
        <v>w</v>
      </c>
      <c r="GE39" s="20" t="str">
        <f t="shared" ca="1" si="122"/>
        <v>l</v>
      </c>
      <c r="GF39" s="20" t="str">
        <f t="shared" ca="1" si="122"/>
        <v/>
      </c>
      <c r="GG39" s="20" t="str">
        <f t="shared" ca="1" si="122"/>
        <v/>
      </c>
      <c r="GH39" s="20" t="str">
        <f t="shared" ca="1" si="122"/>
        <v/>
      </c>
      <c r="GI39" s="34"/>
      <c r="HE39" s="34"/>
      <c r="HZ39" s="34"/>
      <c r="IA39" s="19" t="str">
        <f t="shared" ca="1" si="123"/>
        <v>No Hdcp</v>
      </c>
      <c r="IB39" s="19" t="str">
        <f ca="1">IF($D39&lt;&gt;"","Low of score &amp; "&amp;MIN($H39:$H39),"")</f>
        <v>Low of score &amp; 55</v>
      </c>
      <c r="IC39" s="19" t="str">
        <f ca="1">IF($D39&lt;&gt;"","Low of score &amp; "&amp;MIN($H39:$I39),"")</f>
        <v>Low of score &amp; 43</v>
      </c>
      <c r="ID39" s="18" t="str">
        <f ca="1">IF($D39&lt;&gt;"","Low of score &amp; "&amp;MIN($H39:$J39),"")</f>
        <v>Low of score &amp; 43</v>
      </c>
      <c r="IE39" s="18" t="str">
        <f ca="1">IF($D39&lt;&gt;"","Low of score &amp; "&amp;MIN($H39:$K39),"")</f>
        <v>Low of score &amp; 43</v>
      </c>
      <c r="IF39" s="18">
        <f ca="1">IF($D39&lt;&gt;"",ROUND(MIN((MIN($H39:$L39)-36)*0.96,20),2),"")</f>
        <v>6.72</v>
      </c>
      <c r="IG39" s="353">
        <f ca="1">IF($D39&lt;&gt;"",ROUND(MIN((AVERAGE(SMALL($H39:$M39,1),SMALL($H39:$M39,2))-36)*0.96,20),2),"")</f>
        <v>8.16</v>
      </c>
      <c r="IH39" s="18">
        <f ca="1">IF($D39&lt;&gt;"",ROUND(MIN((AVERAGE(SMALL($H39:$N39,1),SMALL($H39:$N39,2),SMALL($H39:$N39,3))-36)*0.96,20),2),"")</f>
        <v>9.92</v>
      </c>
      <c r="II39" s="18">
        <f ca="1">IF($D39&lt;&gt;"",ROUND(MIN((AVERAGE(SMALL($H39:$O39,1),SMALL($H39:$O39,2),SMALL($H39:$O39,3),SMALL($H39:$O39,4))-36)*0.96,20),2),"")</f>
        <v>10.56</v>
      </c>
      <c r="IJ39" s="18">
        <f ca="1">IF($D39&lt;&gt;"",ROUND(MIN((AVERAGE(SMALL($H39:$P39,1),SMALL($H39:$P39,2),SMALL($H39:$P39,3),SMALL($H39:$P39,4))-36)*0.96,20),2),"")</f>
        <v>10.56</v>
      </c>
      <c r="IK39" s="18">
        <f ca="1">IF($D39&lt;&gt;"",ROUND(MIN((AVERAGE(SMALL($H39:$Q39,1),SMALL($H39:$Q39,2),SMALL($H39:$Q39,3),SMALL($H39:$Q39,4),SMALL($H39:$Q39,5))-36)*0.96,20),2),"")</f>
        <v>11.33</v>
      </c>
      <c r="IL39" s="34"/>
      <c r="IN39" s="18">
        <f>AO39</f>
        <v>0</v>
      </c>
      <c r="IO39" s="18">
        <f>AN39</f>
        <v>0</v>
      </c>
      <c r="IP39" s="18">
        <f>AM39</f>
        <v>0</v>
      </c>
      <c r="IQ39" s="18">
        <f>AL39</f>
        <v>0</v>
      </c>
      <c r="IR39" s="18">
        <f>AK39</f>
        <v>0</v>
      </c>
      <c r="IS39" s="18">
        <f>AJ39</f>
        <v>0</v>
      </c>
      <c r="IT39" s="18">
        <f>AI39</f>
        <v>0</v>
      </c>
      <c r="IU39" s="18">
        <f ca="1">AH39</f>
        <v>0</v>
      </c>
      <c r="IV39" s="18">
        <f ca="1">AG39</f>
        <v>0</v>
      </c>
      <c r="IW39" s="18">
        <f ca="1">AF39</f>
        <v>0</v>
      </c>
      <c r="IX39" s="19">
        <f ca="1">IF(D39&lt;&gt;"",COUNT(IN39:IW39),"")</f>
        <v>10</v>
      </c>
      <c r="IY39" s="21">
        <f ca="1">IF(D39&lt;&gt;"",INDEX($JA39:$JK39,1,MATCH($IX39,$JA$6:$JK$6,0)), "")</f>
        <v>-34.56</v>
      </c>
      <c r="JA39" s="18" t="str">
        <f ca="1">IF(D39&lt;&gt;"","No Hdcp","")</f>
        <v>No Hdcp</v>
      </c>
      <c r="JB39" s="18" t="str">
        <f ca="1">IF(D39&lt;&gt;"","Low of score &amp; "&amp;MIN($IN39:$IN39),"")</f>
        <v>Low of score &amp; 0</v>
      </c>
      <c r="JC39" s="18" t="str">
        <f ca="1">IF(D39&lt;&gt;"","Low of score &amp; "&amp;MIN($IN39:$IO39),"")</f>
        <v>Low of score &amp; 0</v>
      </c>
      <c r="JD39" s="18" t="str">
        <f ca="1">IF(D39&lt;&gt;"","Low of score &amp; "&amp;MIN($IN39:$IP39),"")</f>
        <v>Low of score &amp; 0</v>
      </c>
      <c r="JE39" s="18" t="str">
        <f ca="1">IF(D39&lt;&gt;"","Low of score &amp; "&amp;MIN($IN39:$IQ39),"")</f>
        <v>Low of score &amp; 0</v>
      </c>
      <c r="JF39" s="18">
        <f ca="1">IF(D39&lt;&gt;"",MIN((MIN($IN39:$IR39)-36)*0.96,20),"")</f>
        <v>-34.56</v>
      </c>
      <c r="JG39" s="18">
        <f ca="1">IF(D39&lt;&gt;"",MIN((AVERAGE(SMALL($IN39:$IS39,1),SMALL($IN39:$IS39,2))-36)*0.96,20),"")</f>
        <v>-34.56</v>
      </c>
      <c r="JH39" s="18">
        <f ca="1">IF(D39&lt;&gt;"",MIN((AVERAGE(SMALL($IN39:$IT39,1),SMALL($IN39:$IT39,2),SMALL($IN39:$IT39,3))-36)*0.96,20),"")</f>
        <v>-34.56</v>
      </c>
      <c r="JI39" s="18">
        <f ca="1">IF(D39&lt;&gt;"",MIN((AVERAGE(SMALL($IN39:$IU39,1),SMALL($IN39:$IU39,2),SMALL($IN39:$IU39,3),SMALL($IN39:$IU39,4))-36)*0.96,20),"")</f>
        <v>-34.56</v>
      </c>
      <c r="JJ39" s="18">
        <f ca="1">IF(D39&lt;&gt;"",MIN((AVERAGE(SMALL($IN39:$IV39,1),SMALL($IN39:$IV39,2),SMALL($IN39:$IV39,3),SMALL($IN39:$IV39,4))-36)*0.96,20),"")</f>
        <v>-34.56</v>
      </c>
      <c r="JK39" s="18">
        <f ca="1">IF(D39&lt;&gt;"",MIN((AVERAGE(SMALL($IN39:$IW39,1),SMALL($IN39:$IW39,2),SMALL($IN39:$IW39,3),SMALL($IN39:$IW39,4),SMALL($IN39:$IW39,5))-36)*0.96,20),"")</f>
        <v>-34.56</v>
      </c>
    </row>
    <row r="40" spans="1:271" x14ac:dyDescent="0.2">
      <c r="A40" s="18" t="s">
        <v>25</v>
      </c>
      <c r="B40" s="19">
        <f>B39+7</f>
        <v>33</v>
      </c>
      <c r="C40" s="22">
        <f t="shared" ca="1" si="102"/>
        <v>1.04E-2</v>
      </c>
      <c r="D40" s="18" t="str">
        <f t="shared" ca="1" si="103"/>
        <v>Zbuka, Pat</v>
      </c>
      <c r="E40" s="19">
        <f t="shared" ca="1" si="104"/>
        <v>7</v>
      </c>
      <c r="F40" s="19">
        <f ca="1">IF(D40&lt;&gt;"",COUNT($H40:$Q40),"")</f>
        <v>7</v>
      </c>
      <c r="G40" s="21">
        <f ca="1">IF($D40&lt;&gt;"",INDEX($IA40:$IK40,1,MATCH($F40,$IA$6:$IK$6,0)), "")</f>
        <v>6.08</v>
      </c>
      <c r="H40" s="337" cm="1">
        <f t="array" aca="1" ref="H40" ca="1">IFERROR(_xlfn.SINGLE(INDEX($AF40:$BH40, , SUMPRODUCT(LARGE((($AF40:$BH40&lt;&gt;0)*($BJ40:$CL40&lt;&gt;1)*($AF$5:$BH$5)), H$6)))), "")</f>
        <v>45</v>
      </c>
      <c r="I40" s="338" cm="1">
        <f t="array" aca="1" ref="I40" ca="1">IFERROR(_xlfn.SINGLE(INDEX($AF40:$BH40, , SUMPRODUCT(LARGE((($AF40:$BH40&lt;&gt;0)*($BJ40:$CL40&lt;&gt;1)*($AF$5:$BH$5)), I$6)))), "")</f>
        <v>47</v>
      </c>
      <c r="J40" s="338" cm="1">
        <f t="array" aca="1" ref="J40" ca="1">IFERROR(_xlfn.SINGLE(INDEX($AF40:$BH40, , SUMPRODUCT(LARGE((($AF40:$BH40&lt;&gt;0)*($BJ40:$CL40&lt;&gt;1)*($AF$5:$BH$5)), J$6)))), "")</f>
        <v>43</v>
      </c>
      <c r="K40" s="338" cm="1">
        <f t="array" aca="1" ref="K40" ca="1">IFERROR(_xlfn.SINGLE(INDEX($AF40:$BH40, , SUMPRODUCT(LARGE((($AF40:$BH40&lt;&gt;0)*($BJ40:$CL40&lt;&gt;1)*($AF$5:$BH$5)), K$6)))), "")</f>
        <v>50</v>
      </c>
      <c r="L40" s="338" cm="1">
        <f t="array" aca="1" ref="L40" ca="1">IFERROR(_xlfn.SINGLE(INDEX($AF40:$BH40, , SUMPRODUCT(LARGE((($AF40:$BH40&lt;&gt;0)*($BJ40:$CL40&lt;&gt;1)*($AF$5:$BH$5)), L$6)))), "")</f>
        <v>41</v>
      </c>
      <c r="M40" s="338" cm="1">
        <f t="array" aca="1" ref="M40" ca="1">IFERROR(_xlfn.SINGLE(INDEX($AF40:$BH40, , SUMPRODUCT(LARGE((($AF40:$BH40&lt;&gt;0)*($BJ40:$CL40&lt;&gt;1)*($AF$5:$BH$5)), M$6)))), "")</f>
        <v>49</v>
      </c>
      <c r="N40" s="338" cm="1">
        <f t="array" aca="1" ref="N40" ca="1">IFERROR(_xlfn.SINGLE(INDEX($AF40:$BH40, , SUMPRODUCT(LARGE((($AF40:$BH40&lt;&gt;0)*($BJ40:$CL40&lt;&gt;1)*($AF$5:$BH$5)), N$6)))), "")</f>
        <v>43</v>
      </c>
      <c r="O40" s="338" t="str" cm="1">
        <f t="array" aca="1" ref="O40" ca="1">IFERROR(_xlfn.SINGLE(INDEX($AF40:$BH40, , SUMPRODUCT(LARGE((($AF40:$BH40&lt;&gt;0)*($BJ40:$CL40&lt;&gt;1)*($AF$5:$BH$5)), O$6)))), "")</f>
        <v/>
      </c>
      <c r="P40" s="338" t="str" cm="1">
        <f t="array" aca="1" ref="P40" ca="1">IFERROR(_xlfn.SINGLE(INDEX($AF40:$BH40, , SUMPRODUCT(LARGE((($AF40:$BH40&lt;&gt;0)*($BJ40:$CL40&lt;&gt;1)*($AF$5:$BH$5)), P$6)))), "")</f>
        <v/>
      </c>
      <c r="Q40" s="339" t="str" cm="1">
        <f t="array" aca="1" ref="Q40" ca="1">IFERROR(_xlfn.SINGLE(INDEX($AF40:$BH40, , SUMPRODUCT(LARGE((($AF40:$BH40&lt;&gt;0)*($BJ40:$CL40&lt;&gt;1)*($AF$5:$BH$5)), Q$6)))), "")</f>
        <v/>
      </c>
      <c r="R40" s="21">
        <v>43.545454545454547</v>
      </c>
      <c r="S40" s="47">
        <f t="shared" ca="1" si="105"/>
        <v>43.8</v>
      </c>
      <c r="T40" s="21">
        <f ca="1">IF($D40&lt;&gt;"", IFERROR(IF($E40&gt;=qualifier, SUMIF($BT40:$CL40,0,$AP40:$BH40)/$E40, TEXT(SUMIF($BT40:$CL40,0,$AP40:$BH40)/$E40, "0.00")&amp;"*"), "-"), "")</f>
        <v>45.428571428571431</v>
      </c>
      <c r="U40" s="21">
        <f ca="1">IF($D40&lt;&gt;"", IFERROR(IF($E40&gt;=qualifier, SUMIF($BT40:$CL40,0,$CN40:$DF40)/$E40, TEXT(SUMIF($BT40:$CL40,0,$CN40:$DF40)/$E40, "0.00")&amp;"*"), "-"), "")</f>
        <v>40.714285714285715</v>
      </c>
      <c r="V40" s="46">
        <f ca="1">IF(AND($D40&lt;&gt;"", $E40&lt;&gt;0), _xlfn.MINIFS($AP40:$BH40,$BT40:$CL40,0,$AP40:$BH40,"&lt;&gt;0"), "")</f>
        <v>41</v>
      </c>
      <c r="W40" s="19">
        <f ca="1">IF(AND($D40&lt;&gt;"", $E40&lt;&gt;0), _xlfn.MINIFS($CN40:$DF40,$BT40:$CL40,0), "")</f>
        <v>36</v>
      </c>
      <c r="X40" s="46">
        <f ca="1">IF($D40&lt;&gt;"", SUM($DH40:$DZ40),  "")</f>
        <v>62</v>
      </c>
      <c r="Y40" s="21">
        <f ca="1">IF($D40&lt;&gt;"", IFERROR(IF($E40&gt;=qualifier, AVERAGE($DH40:$DZ40), TEXT(AVERAGE($DH40:$DZ40), "0.00")&amp;"*"), "-"), "")</f>
        <v>7.75</v>
      </c>
      <c r="Z40" s="19">
        <f ca="1">IF($D40&lt;&gt;"", SUM($EB40:$ET40),  "")</f>
        <v>0</v>
      </c>
      <c r="AA40" s="19">
        <f ca="1">IF($D40&lt;&gt;"", SUM($EV40:$FN40),  "")</f>
        <v>0</v>
      </c>
      <c r="AB40" s="46" t="str">
        <f t="shared" ca="1" si="106"/>
        <v>2-4-2</v>
      </c>
      <c r="AC40" s="218">
        <f t="shared" ca="1" si="107"/>
        <v>3309349216</v>
      </c>
      <c r="AD40" s="57" t="str">
        <f t="shared" ca="1" si="108"/>
        <v>jzbuka@roadrunner.com</v>
      </c>
      <c r="AE40" s="34"/>
      <c r="AF40" s="341"/>
      <c r="AG40" s="341"/>
      <c r="AH40" s="341"/>
      <c r="AI40" s="341"/>
      <c r="AJ40" s="341"/>
      <c r="AK40" s="341"/>
      <c r="AL40" s="341"/>
      <c r="AM40" s="341"/>
      <c r="AN40" s="341"/>
      <c r="AO40" s="341"/>
      <c r="AP40" s="20">
        <f t="shared" ca="1" si="109"/>
        <v>0</v>
      </c>
      <c r="AQ40" s="20">
        <f t="shared" ca="1" si="109"/>
        <v>0</v>
      </c>
      <c r="AR40" s="20">
        <f t="shared" ca="1" si="109"/>
        <v>43</v>
      </c>
      <c r="AS40" s="20">
        <f t="shared" ca="1" si="109"/>
        <v>49</v>
      </c>
      <c r="AT40" s="20">
        <f t="shared" ca="1" si="109"/>
        <v>41</v>
      </c>
      <c r="AU40" s="20">
        <f t="shared" ca="1" si="109"/>
        <v>50</v>
      </c>
      <c r="AV40" s="20">
        <f t="shared" ca="1" si="109"/>
        <v>0</v>
      </c>
      <c r="AW40" s="20">
        <f t="shared" ca="1" si="109"/>
        <v>0</v>
      </c>
      <c r="AX40" s="20">
        <f t="shared" ca="1" si="109"/>
        <v>43</v>
      </c>
      <c r="AY40" s="20">
        <f t="shared" ca="1" si="109"/>
        <v>0</v>
      </c>
      <c r="AZ40" s="20">
        <f t="shared" ca="1" si="110"/>
        <v>0</v>
      </c>
      <c r="BA40" s="20">
        <f t="shared" ca="1" si="110"/>
        <v>0</v>
      </c>
      <c r="BB40" s="20">
        <f t="shared" ca="1" si="110"/>
        <v>0</v>
      </c>
      <c r="BC40" s="20">
        <f t="shared" ca="1" si="110"/>
        <v>0</v>
      </c>
      <c r="BD40" s="20">
        <f t="shared" ca="1" si="110"/>
        <v>47</v>
      </c>
      <c r="BE40" s="20">
        <f t="shared" ca="1" si="110"/>
        <v>0</v>
      </c>
      <c r="BF40" s="20">
        <f t="shared" ca="1" si="110"/>
        <v>45</v>
      </c>
      <c r="BG40" s="20">
        <f t="shared" ca="1" si="110"/>
        <v>0</v>
      </c>
      <c r="BH40" s="20">
        <f t="shared" ca="1" si="110"/>
        <v>0</v>
      </c>
      <c r="BI40" s="34"/>
      <c r="BJ40" s="341">
        <v>0</v>
      </c>
      <c r="BK40" s="341">
        <v>0</v>
      </c>
      <c r="BL40" s="341">
        <v>0</v>
      </c>
      <c r="BM40" s="341">
        <v>0</v>
      </c>
      <c r="BN40" s="341">
        <v>0</v>
      </c>
      <c r="BO40" s="341">
        <v>0</v>
      </c>
      <c r="BP40" s="341">
        <v>0</v>
      </c>
      <c r="BQ40" s="341">
        <v>0</v>
      </c>
      <c r="BR40" s="341">
        <v>0</v>
      </c>
      <c r="BS40" s="341">
        <v>0</v>
      </c>
      <c r="BT40" s="20">
        <f t="shared" ca="1" si="111"/>
        <v>0</v>
      </c>
      <c r="BU40" s="20">
        <f t="shared" ca="1" si="111"/>
        <v>0</v>
      </c>
      <c r="BV40" s="20">
        <f t="shared" ca="1" si="111"/>
        <v>0</v>
      </c>
      <c r="BW40" s="20">
        <f t="shared" ca="1" si="111"/>
        <v>0</v>
      </c>
      <c r="BX40" s="20">
        <f t="shared" ca="1" si="111"/>
        <v>0</v>
      </c>
      <c r="BY40" s="20">
        <f t="shared" ca="1" si="111"/>
        <v>0</v>
      </c>
      <c r="BZ40" s="20">
        <f t="shared" ca="1" si="111"/>
        <v>0</v>
      </c>
      <c r="CA40" s="20">
        <f t="shared" ca="1" si="111"/>
        <v>0</v>
      </c>
      <c r="CB40" s="20">
        <f t="shared" ca="1" si="111"/>
        <v>0</v>
      </c>
      <c r="CC40" s="20">
        <f t="shared" ca="1" si="111"/>
        <v>0</v>
      </c>
      <c r="CD40" s="20">
        <f t="shared" ca="1" si="112"/>
        <v>0</v>
      </c>
      <c r="CE40" s="20">
        <f t="shared" ca="1" si="112"/>
        <v>0</v>
      </c>
      <c r="CF40" s="20">
        <f t="shared" ca="1" si="112"/>
        <v>0</v>
      </c>
      <c r="CG40" s="20">
        <f t="shared" ca="1" si="112"/>
        <v>0</v>
      </c>
      <c r="CH40" s="20">
        <f t="shared" ca="1" si="112"/>
        <v>0</v>
      </c>
      <c r="CI40" s="20">
        <f t="shared" ca="1" si="112"/>
        <v>0</v>
      </c>
      <c r="CJ40" s="20">
        <f t="shared" ca="1" si="112"/>
        <v>0</v>
      </c>
      <c r="CK40" s="20">
        <f t="shared" ca="1" si="112"/>
        <v>1</v>
      </c>
      <c r="CL40" s="20">
        <f t="shared" ca="1" si="112"/>
        <v>0</v>
      </c>
      <c r="CM40" s="34"/>
      <c r="CN40" s="20" t="str">
        <f t="shared" ca="1" si="113"/>
        <v/>
      </c>
      <c r="CO40" s="20" t="str">
        <f t="shared" ca="1" si="113"/>
        <v/>
      </c>
      <c r="CP40" s="20">
        <f t="shared" ca="1" si="113"/>
        <v>39</v>
      </c>
      <c r="CQ40" s="20">
        <f t="shared" ca="1" si="113"/>
        <v>45</v>
      </c>
      <c r="CR40" s="20">
        <f t="shared" ca="1" si="113"/>
        <v>36</v>
      </c>
      <c r="CS40" s="20">
        <f t="shared" ca="1" si="113"/>
        <v>45</v>
      </c>
      <c r="CT40" s="20" t="str">
        <f t="shared" ca="1" si="113"/>
        <v/>
      </c>
      <c r="CU40" s="20" t="str">
        <f t="shared" ca="1" si="113"/>
        <v/>
      </c>
      <c r="CV40" s="20">
        <f t="shared" ca="1" si="113"/>
        <v>38</v>
      </c>
      <c r="CW40" s="20" t="str">
        <f t="shared" ca="1" si="113"/>
        <v/>
      </c>
      <c r="CX40" s="20" t="str">
        <f t="shared" ca="1" si="114"/>
        <v/>
      </c>
      <c r="CY40" s="20" t="str">
        <f t="shared" ca="1" si="114"/>
        <v/>
      </c>
      <c r="CZ40" s="20" t="str">
        <f t="shared" ca="1" si="114"/>
        <v/>
      </c>
      <c r="DA40" s="20" t="str">
        <f t="shared" ca="1" si="114"/>
        <v/>
      </c>
      <c r="DB40" s="20">
        <f t="shared" ca="1" si="114"/>
        <v>42</v>
      </c>
      <c r="DC40" s="20" t="str">
        <f t="shared" ca="1" si="114"/>
        <v/>
      </c>
      <c r="DD40" s="20">
        <f t="shared" ca="1" si="114"/>
        <v>40</v>
      </c>
      <c r="DE40" s="20" t="str">
        <f t="shared" ca="1" si="114"/>
        <v/>
      </c>
      <c r="DF40" s="20" t="str">
        <f t="shared" ca="1" si="114"/>
        <v/>
      </c>
      <c r="DG40" s="34"/>
      <c r="DH40" s="20" t="str">
        <f t="shared" ca="1" si="115"/>
        <v/>
      </c>
      <c r="DI40" s="20" t="str">
        <f t="shared" ca="1" si="115"/>
        <v/>
      </c>
      <c r="DJ40" s="20">
        <f t="shared" ca="1" si="115"/>
        <v>12</v>
      </c>
      <c r="DK40" s="20">
        <f t="shared" ca="1" si="115"/>
        <v>4</v>
      </c>
      <c r="DL40" s="20">
        <f t="shared" ca="1" si="115"/>
        <v>10</v>
      </c>
      <c r="DM40" s="20">
        <f t="shared" ca="1" si="115"/>
        <v>5</v>
      </c>
      <c r="DN40" s="20" t="str">
        <f t="shared" ca="1" si="115"/>
        <v/>
      </c>
      <c r="DO40" s="20" t="str">
        <f t="shared" ca="1" si="115"/>
        <v/>
      </c>
      <c r="DP40" s="20">
        <f t="shared" ca="1" si="115"/>
        <v>10</v>
      </c>
      <c r="DQ40" s="20" t="str">
        <f t="shared" ca="1" si="115"/>
        <v/>
      </c>
      <c r="DR40" s="20" t="str">
        <f t="shared" ca="1" si="116"/>
        <v/>
      </c>
      <c r="DS40" s="20" t="str">
        <f t="shared" ca="1" si="116"/>
        <v/>
      </c>
      <c r="DT40" s="20" t="str">
        <f t="shared" ca="1" si="116"/>
        <v/>
      </c>
      <c r="DU40" s="20" t="str">
        <f t="shared" ca="1" si="116"/>
        <v/>
      </c>
      <c r="DV40" s="20">
        <f t="shared" ca="1" si="116"/>
        <v>11</v>
      </c>
      <c r="DW40" s="20" t="str">
        <f t="shared" ca="1" si="116"/>
        <v/>
      </c>
      <c r="DX40" s="20">
        <f t="shared" ca="1" si="116"/>
        <v>4</v>
      </c>
      <c r="DY40" s="20">
        <f t="shared" ca="1" si="116"/>
        <v>6</v>
      </c>
      <c r="DZ40" s="20" t="str">
        <f t="shared" ca="1" si="116"/>
        <v/>
      </c>
      <c r="EA40" s="34"/>
      <c r="EB40" s="20" t="str">
        <f t="shared" ca="1" si="117"/>
        <v/>
      </c>
      <c r="EC40" s="20" t="str">
        <f t="shared" ca="1" si="117"/>
        <v/>
      </c>
      <c r="ED40" s="20" t="str">
        <f t="shared" ca="1" si="117"/>
        <v/>
      </c>
      <c r="EE40" s="20" t="str">
        <f t="shared" ca="1" si="117"/>
        <v/>
      </c>
      <c r="EF40" s="20" t="str">
        <f t="shared" ca="1" si="117"/>
        <v/>
      </c>
      <c r="EG40" s="20" t="str">
        <f t="shared" ca="1" si="117"/>
        <v/>
      </c>
      <c r="EH40" s="20" t="str">
        <f t="shared" ca="1" si="117"/>
        <v/>
      </c>
      <c r="EI40" s="20" t="str">
        <f t="shared" ca="1" si="117"/>
        <v/>
      </c>
      <c r="EJ40" s="20" t="str">
        <f t="shared" ca="1" si="117"/>
        <v/>
      </c>
      <c r="EK40" s="20" t="str">
        <f t="shared" ca="1" si="117"/>
        <v/>
      </c>
      <c r="EL40" s="20" t="str">
        <f t="shared" ca="1" si="118"/>
        <v/>
      </c>
      <c r="EM40" s="20" t="str">
        <f t="shared" ca="1" si="118"/>
        <v/>
      </c>
      <c r="EN40" s="20" t="str">
        <f t="shared" ca="1" si="118"/>
        <v/>
      </c>
      <c r="EO40" s="20" t="str">
        <f t="shared" ca="1" si="118"/>
        <v/>
      </c>
      <c r="EP40" s="20" t="str">
        <f t="shared" ca="1" si="118"/>
        <v/>
      </c>
      <c r="EQ40" s="20" t="str">
        <f t="shared" ca="1" si="118"/>
        <v/>
      </c>
      <c r="ER40" s="20" t="str">
        <f t="shared" ca="1" si="118"/>
        <v/>
      </c>
      <c r="ES40" s="20" t="str">
        <f t="shared" ca="1" si="118"/>
        <v/>
      </c>
      <c r="ET40" s="20" t="str">
        <f t="shared" ca="1" si="118"/>
        <v/>
      </c>
      <c r="EU40" s="34"/>
      <c r="EV40" s="20" t="str">
        <f t="shared" ca="1" si="119"/>
        <v/>
      </c>
      <c r="EW40" s="20" t="str">
        <f t="shared" ca="1" si="119"/>
        <v/>
      </c>
      <c r="EX40" s="20" t="str">
        <f t="shared" ca="1" si="119"/>
        <v/>
      </c>
      <c r="EY40" s="20" t="str">
        <f t="shared" ca="1" si="119"/>
        <v/>
      </c>
      <c r="EZ40" s="20" t="str">
        <f t="shared" ca="1" si="119"/>
        <v/>
      </c>
      <c r="FA40" s="20" t="str">
        <f t="shared" ca="1" si="119"/>
        <v/>
      </c>
      <c r="FB40" s="20" t="str">
        <f t="shared" ca="1" si="119"/>
        <v/>
      </c>
      <c r="FC40" s="20" t="str">
        <f t="shared" ca="1" si="119"/>
        <v/>
      </c>
      <c r="FD40" s="20" t="str">
        <f t="shared" ca="1" si="119"/>
        <v/>
      </c>
      <c r="FE40" s="20" t="str">
        <f t="shared" ca="1" si="119"/>
        <v/>
      </c>
      <c r="FF40" s="20" t="str">
        <f t="shared" ca="1" si="120"/>
        <v/>
      </c>
      <c r="FG40" s="20" t="str">
        <f t="shared" ca="1" si="120"/>
        <v/>
      </c>
      <c r="FH40" s="20" t="str">
        <f t="shared" ca="1" si="120"/>
        <v/>
      </c>
      <c r="FI40" s="20" t="str">
        <f t="shared" ca="1" si="120"/>
        <v/>
      </c>
      <c r="FJ40" s="20" t="str">
        <f t="shared" ca="1" si="120"/>
        <v/>
      </c>
      <c r="FK40" s="20" t="str">
        <f t="shared" ca="1" si="120"/>
        <v/>
      </c>
      <c r="FL40" s="20" t="str">
        <f t="shared" ca="1" si="120"/>
        <v/>
      </c>
      <c r="FM40" s="20" t="str">
        <f t="shared" ca="1" si="120"/>
        <v/>
      </c>
      <c r="FN40" s="20" t="str">
        <f t="shared" ca="1" si="120"/>
        <v/>
      </c>
      <c r="FO40" s="34"/>
      <c r="FP40" s="20" t="str">
        <f t="shared" ca="1" si="121"/>
        <v/>
      </c>
      <c r="FQ40" s="20" t="str">
        <f t="shared" ca="1" si="121"/>
        <v/>
      </c>
      <c r="FR40" s="20" t="str">
        <f t="shared" ca="1" si="121"/>
        <v>w</v>
      </c>
      <c r="FS40" s="20" t="str">
        <f t="shared" ca="1" si="121"/>
        <v>l</v>
      </c>
      <c r="FT40" s="20" t="str">
        <f t="shared" ca="1" si="121"/>
        <v>t</v>
      </c>
      <c r="FU40" s="20" t="str">
        <f t="shared" ca="1" si="121"/>
        <v>l</v>
      </c>
      <c r="FV40" s="20" t="str">
        <f t="shared" ca="1" si="121"/>
        <v/>
      </c>
      <c r="FW40" s="20" t="str">
        <f t="shared" ca="1" si="121"/>
        <v/>
      </c>
      <c r="FX40" s="20" t="str">
        <f t="shared" ca="1" si="121"/>
        <v>t</v>
      </c>
      <c r="FY40" s="20" t="str">
        <f t="shared" ca="1" si="121"/>
        <v/>
      </c>
      <c r="FZ40" s="20" t="str">
        <f t="shared" ca="1" si="122"/>
        <v/>
      </c>
      <c r="GA40" s="20" t="str">
        <f t="shared" ca="1" si="122"/>
        <v/>
      </c>
      <c r="GB40" s="20" t="str">
        <f t="shared" ca="1" si="122"/>
        <v/>
      </c>
      <c r="GC40" s="20" t="str">
        <f t="shared" ca="1" si="122"/>
        <v/>
      </c>
      <c r="GD40" s="20" t="str">
        <f t="shared" ca="1" si="122"/>
        <v>w</v>
      </c>
      <c r="GE40" s="20" t="str">
        <f t="shared" ca="1" si="122"/>
        <v/>
      </c>
      <c r="GF40" s="20" t="str">
        <f t="shared" ca="1" si="122"/>
        <v>l</v>
      </c>
      <c r="GG40" s="20" t="str">
        <f t="shared" ca="1" si="122"/>
        <v>l</v>
      </c>
      <c r="GH40" s="20" t="str">
        <f t="shared" ca="1" si="122"/>
        <v/>
      </c>
      <c r="GI40" s="34"/>
      <c r="HE40" s="34"/>
      <c r="HZ40" s="34"/>
      <c r="IA40" s="19" t="str">
        <f t="shared" ca="1" si="123"/>
        <v>No Hdcp</v>
      </c>
      <c r="IB40" s="19" t="str">
        <f ca="1">IF($D40&lt;&gt;"","Low of score &amp; "&amp;MIN($H40:$H40),"")</f>
        <v>Low of score &amp; 45</v>
      </c>
      <c r="IC40" s="19" t="str">
        <f ca="1">IF($D40&lt;&gt;"","Low of score &amp; "&amp;MIN($H40:$I40),"")</f>
        <v>Low of score &amp; 45</v>
      </c>
      <c r="ID40" s="18" t="str">
        <f ca="1">IF($D40&lt;&gt;"","Low of score &amp; "&amp;MIN($H40:$J40),"")</f>
        <v>Low of score &amp; 43</v>
      </c>
      <c r="IE40" s="18" t="str">
        <f ca="1">IF($D40&lt;&gt;"","Low of score &amp; "&amp;MIN($H40:$K40),"")</f>
        <v>Low of score &amp; 43</v>
      </c>
      <c r="IF40" s="18">
        <f ca="1">IF($D40&lt;&gt;"",ROUND(MIN((MIN($H40:$L40)-36)*0.96,20),2),"")</f>
        <v>4.8</v>
      </c>
      <c r="IG40" s="353">
        <f ca="1">IF($D40&lt;&gt;"",ROUND(MIN((AVERAGE(SMALL($H40:$M40,1),SMALL($H40:$M40,2))-36)*0.96,20),2),"")</f>
        <v>5.76</v>
      </c>
      <c r="IH40" s="18">
        <f ca="1">IF($D40&lt;&gt;"",ROUND(MIN((AVERAGE(SMALL($H40:$N40,1),SMALL($H40:$N40,2),SMALL($H40:$N40,3))-36)*0.96,20),2),"")</f>
        <v>6.08</v>
      </c>
      <c r="II40" s="18">
        <f ca="1">IF($D40&lt;&gt;"",ROUND(MIN((AVERAGE(SMALL($H40:$O40,1),SMALL($H40:$O40,2),SMALL($H40:$O40,3),SMALL($H40:$O40,4))-36)*0.96,20),2),"")</f>
        <v>6.72</v>
      </c>
      <c r="IJ40" s="18">
        <f ca="1">IF($D40&lt;&gt;"",ROUND(MIN((AVERAGE(SMALL($H40:$P40,1),SMALL($H40:$P40,2),SMALL($H40:$P40,3),SMALL($H40:$P40,4))-36)*0.96,20),2),"")</f>
        <v>6.72</v>
      </c>
      <c r="IK40" s="18">
        <f ca="1">IF($D40&lt;&gt;"",ROUND(MIN((AVERAGE(SMALL($H40:$Q40,1),SMALL($H40:$Q40,2),SMALL($H40:$Q40,3),SMALL($H40:$Q40,4),SMALL($H40:$Q40,5))-36)*0.96,20),2),"")</f>
        <v>7.49</v>
      </c>
      <c r="IL40" s="34"/>
      <c r="IN40" s="18">
        <f>AO40</f>
        <v>0</v>
      </c>
      <c r="IO40" s="18">
        <f>AN40</f>
        <v>0</v>
      </c>
      <c r="IP40" s="18">
        <f>AM40</f>
        <v>0</v>
      </c>
      <c r="IQ40" s="18">
        <f>AL40</f>
        <v>0</v>
      </c>
      <c r="IR40" s="18">
        <f>AK40</f>
        <v>0</v>
      </c>
      <c r="IS40" s="18">
        <f>AJ40</f>
        <v>0</v>
      </c>
      <c r="IT40" s="18">
        <f>AI40</f>
        <v>0</v>
      </c>
      <c r="IU40" s="18">
        <f>AH40</f>
        <v>0</v>
      </c>
      <c r="IV40" s="18">
        <f>AG40</f>
        <v>0</v>
      </c>
      <c r="IW40" s="18">
        <f>AF40</f>
        <v>0</v>
      </c>
      <c r="IX40" s="19">
        <f ca="1">IF(D40&lt;&gt;"",COUNT(IN40:IW40),"")</f>
        <v>10</v>
      </c>
      <c r="IY40" s="21">
        <f ca="1">IF(D40&lt;&gt;"",INDEX($JA40:$JK40,1,MATCH($IX40,$JA$6:$JK$6,0)), "")</f>
        <v>-34.56</v>
      </c>
      <c r="JA40" s="18" t="str">
        <f ca="1">IF(D40&lt;&gt;"","No Hdcp","")</f>
        <v>No Hdcp</v>
      </c>
      <c r="JB40" s="18" t="str">
        <f ca="1">IF(D40&lt;&gt;"","Low of score &amp; "&amp;MIN($IN40:$IN40),"")</f>
        <v>Low of score &amp; 0</v>
      </c>
      <c r="JC40" s="18" t="str">
        <f ca="1">IF(D40&lt;&gt;"","Low of score &amp; "&amp;MIN($IN40:$IO40),"")</f>
        <v>Low of score &amp; 0</v>
      </c>
      <c r="JD40" s="18" t="str">
        <f ca="1">IF(D40&lt;&gt;"","Low of score &amp; "&amp;MIN($IN40:$IP40),"")</f>
        <v>Low of score &amp; 0</v>
      </c>
      <c r="JE40" s="18" t="str">
        <f ca="1">IF(D40&lt;&gt;"","Low of score &amp; "&amp;MIN($IN40:$IQ40),"")</f>
        <v>Low of score &amp; 0</v>
      </c>
      <c r="JF40" s="18">
        <f ca="1">IF(D40&lt;&gt;"",MIN((MIN($IN40:$IR40)-36)*0.96,20),"")</f>
        <v>-34.56</v>
      </c>
      <c r="JG40" s="18">
        <f ca="1">IF(D40&lt;&gt;"",MIN((AVERAGE(SMALL($IN40:$IS40,1),SMALL($IN40:$IS40,2))-36)*0.96,20),"")</f>
        <v>-34.56</v>
      </c>
      <c r="JH40" s="18">
        <f ca="1">IF(D40&lt;&gt;"",MIN((AVERAGE(SMALL($IN40:$IT40,1),SMALL($IN40:$IT40,2),SMALL($IN40:$IT40,3))-36)*0.96,20),"")</f>
        <v>-34.56</v>
      </c>
      <c r="JI40" s="18">
        <f ca="1">IF(D40&lt;&gt;"",MIN((AVERAGE(SMALL($IN40:$IU40,1),SMALL($IN40:$IU40,2),SMALL($IN40:$IU40,3),SMALL($IN40:$IU40,4))-36)*0.96,20),"")</f>
        <v>-34.56</v>
      </c>
      <c r="JJ40" s="18">
        <f ca="1">IF(D40&lt;&gt;"",MIN((AVERAGE(SMALL($IN40:$IV40,1),SMALL($IN40:$IV40,2),SMALL($IN40:$IV40,3),SMALL($IN40:$IV40,4))-36)*0.96,20),"")</f>
        <v>-34.56</v>
      </c>
      <c r="JK40" s="18">
        <f ca="1">IF(D40&lt;&gt;"",MIN((AVERAGE(SMALL($IN40:$IW40,1),SMALL($IN40:$IW40,2),SMALL($IN40:$IW40,3),SMALL($IN40:$IW40,4),SMALL($IN40:$IW40,5))-36)*0.96,20),"")</f>
        <v>-34.56</v>
      </c>
    </row>
    <row r="41" spans="1:271" x14ac:dyDescent="0.2">
      <c r="A41" s="18" t="s">
        <v>25</v>
      </c>
      <c r="B41" s="19">
        <f>B40+7</f>
        <v>40</v>
      </c>
      <c r="C41" s="22">
        <f t="shared" ca="1" si="102"/>
        <v>1.6999999999999999E-3</v>
      </c>
      <c r="D41" s="18" t="str">
        <f t="shared" ca="1" si="103"/>
        <v>Blind Draw The Four Puttz</v>
      </c>
      <c r="E41" s="19">
        <f t="shared" ca="1" si="104"/>
        <v>1</v>
      </c>
      <c r="F41" s="19">
        <f ca="1">IF($D41&lt;&gt;"", COUNT($AP41:$BH41)-COUNTIF($AP41:$BH41,0), "")</f>
        <v>1</v>
      </c>
      <c r="G41" s="21">
        <v>0</v>
      </c>
      <c r="H41" s="46" cm="1">
        <f t="array" aca="1" ref="H41" ca="1">IFERROR(_xlfn.SINGLE(INDEX($AP41:$BH41, , SUMPRODUCT(LARGE((($AP41:$BH41&lt;&gt;0)*($BT41:$CL41&lt;&gt;1)*(weeks)), H$6)))), "")</f>
        <v>40</v>
      </c>
      <c r="I41" s="19" t="str" cm="1">
        <f t="array" aca="1" ref="I41" ca="1">IFERROR(_xlfn.SINGLE(INDEX($AP41:$BH41, , SUMPRODUCT(LARGE((($AP41:$BH41&lt;&gt;0)*($BT41:$CL41&lt;&gt;1)*(weeks)), I$6)))), "")</f>
        <v/>
      </c>
      <c r="J41" s="19" t="str" cm="1">
        <f t="array" aca="1" ref="J41" ca="1">IFERROR(_xlfn.SINGLE(INDEX($AP41:$BH41, , SUMPRODUCT(LARGE((($AP41:$BH41&lt;&gt;0)*($BT41:$CL41&lt;&gt;1)*(weeks)), J$6)))), "")</f>
        <v/>
      </c>
      <c r="K41" s="19" t="str" cm="1">
        <f t="array" aca="1" ref="K41" ca="1">IFERROR(_xlfn.SINGLE(INDEX($AP41:$BH41, , SUMPRODUCT(LARGE((($AP41:$BH41&lt;&gt;0)*($BT41:$CL41&lt;&gt;1)*(weeks)), K$6)))), "")</f>
        <v/>
      </c>
      <c r="Q41" s="86" t="str" cm="1">
        <f t="array" aca="1" ref="Q41" ca="1">IFERROR(_xlfn.SINGLE(INDEX($AP41:$BH41, , SUMPRODUCT(LARGE((($AP41:$BH41&lt;&gt;0)*($BT41:$CL41&lt;&gt;1)*(weeks)), Q$6)))), "")</f>
        <v/>
      </c>
      <c r="R41" s="21" t="str">
        <f ca="1">IF($D41&lt;&gt;"", INDEX(INDIRECT($A41), $B41+1, 21), "")</f>
        <v/>
      </c>
      <c r="S41" s="47" t="str">
        <f t="shared" ca="1" si="105"/>
        <v>-</v>
      </c>
      <c r="T41" s="59"/>
      <c r="U41" s="59"/>
      <c r="V41" s="46"/>
      <c r="X41" s="46"/>
      <c r="Y41" s="21"/>
      <c r="AB41" s="46" t="str">
        <f t="shared" ca="1" si="106"/>
        <v>0-0-1</v>
      </c>
      <c r="AC41" s="218">
        <f t="shared" ca="1" si="107"/>
        <v>0</v>
      </c>
      <c r="AD41" s="57">
        <f t="shared" ca="1" si="108"/>
        <v>0</v>
      </c>
      <c r="AE41" s="34"/>
      <c r="AF41" s="341">
        <f ca="1">INDEX(PriorScores[],MATCH($D41,PriorScores[Team / Player],0),2)</f>
        <v>0</v>
      </c>
      <c r="AG41" s="341">
        <f ca="1">INDEX(PriorScores[],MATCH($D41,PriorScores[Team / Player],0),3)</f>
        <v>0</v>
      </c>
      <c r="AH41" s="341">
        <f ca="1">INDEX(PriorScores[],MATCH($D41,PriorScores[Team / Player],0),4)</f>
        <v>0</v>
      </c>
      <c r="AI41" s="341">
        <f ca="1">INDEX(PriorScores[],MATCH($D41,PriorScores[Team / Player],0),5)</f>
        <v>0</v>
      </c>
      <c r="AJ41" s="341">
        <f ca="1">INDEX(PriorScores[],MATCH($D41,PriorScores[Team / Player],0),6)</f>
        <v>0</v>
      </c>
      <c r="AK41" s="341">
        <f ca="1">INDEX(PriorScores[],MATCH($D41,PriorScores[Team / Player],0),7)</f>
        <v>0</v>
      </c>
      <c r="AL41" s="341">
        <f ca="1">INDEX(PriorScores[],MATCH($D41,PriorScores[Team / Player],0),8)</f>
        <v>0</v>
      </c>
      <c r="AM41" s="341">
        <f ca="1">INDEX(PriorScores[],MATCH($D41,PriorScores[Team / Player],0),9)</f>
        <v>0</v>
      </c>
      <c r="AN41" s="341">
        <f ca="1">INDEX(PriorScores[],MATCH($D41,PriorScores[Team / Player],0),10)</f>
        <v>0</v>
      </c>
      <c r="AO41" s="341">
        <f ca="1">INDEX(PriorScores[],MATCH($D41,PriorScores[Team / Player],0),11)</f>
        <v>0</v>
      </c>
      <c r="AP41" s="20">
        <f t="shared" ca="1" si="109"/>
        <v>0</v>
      </c>
      <c r="AQ41" s="20">
        <f t="shared" ca="1" si="109"/>
        <v>0</v>
      </c>
      <c r="AR41" s="20">
        <f t="shared" ca="1" si="109"/>
        <v>0</v>
      </c>
      <c r="AS41" s="20">
        <f t="shared" ca="1" si="109"/>
        <v>0</v>
      </c>
      <c r="AT41" s="20">
        <f t="shared" ca="1" si="109"/>
        <v>0</v>
      </c>
      <c r="AU41" s="20">
        <f t="shared" ca="1" si="109"/>
        <v>0</v>
      </c>
      <c r="AV41" s="20">
        <f t="shared" ca="1" si="109"/>
        <v>0</v>
      </c>
      <c r="AW41" s="20">
        <f t="shared" ca="1" si="109"/>
        <v>0</v>
      </c>
      <c r="AX41" s="20">
        <f t="shared" ca="1" si="109"/>
        <v>0</v>
      </c>
      <c r="AY41" s="20">
        <f t="shared" ca="1" si="109"/>
        <v>0</v>
      </c>
      <c r="AZ41" s="20">
        <f t="shared" ca="1" si="110"/>
        <v>0</v>
      </c>
      <c r="BA41" s="20">
        <f t="shared" ca="1" si="110"/>
        <v>0</v>
      </c>
      <c r="BB41" s="20">
        <f t="shared" ca="1" si="110"/>
        <v>40</v>
      </c>
      <c r="BC41" s="20">
        <f t="shared" ca="1" si="110"/>
        <v>0</v>
      </c>
      <c r="BD41" s="20">
        <f t="shared" ca="1" si="110"/>
        <v>0</v>
      </c>
      <c r="BE41" s="20">
        <f t="shared" ca="1" si="110"/>
        <v>0</v>
      </c>
      <c r="BF41" s="20">
        <f t="shared" ca="1" si="110"/>
        <v>0</v>
      </c>
      <c r="BG41" s="20">
        <f t="shared" ca="1" si="110"/>
        <v>0</v>
      </c>
      <c r="BH41" s="20">
        <f t="shared" ca="1" si="110"/>
        <v>0</v>
      </c>
      <c r="BI41" s="34"/>
      <c r="BJ41" s="341">
        <v>0</v>
      </c>
      <c r="BK41" s="341">
        <v>0</v>
      </c>
      <c r="BL41" s="341">
        <v>0</v>
      </c>
      <c r="BM41" s="341">
        <v>0</v>
      </c>
      <c r="BN41" s="341">
        <v>0</v>
      </c>
      <c r="BO41" s="341">
        <v>0</v>
      </c>
      <c r="BP41" s="341">
        <v>0</v>
      </c>
      <c r="BQ41" s="341">
        <v>0</v>
      </c>
      <c r="BR41" s="341">
        <v>0</v>
      </c>
      <c r="BS41" s="341">
        <v>0</v>
      </c>
      <c r="BT41" s="20">
        <f t="shared" ca="1" si="111"/>
        <v>0</v>
      </c>
      <c r="BU41" s="20">
        <f t="shared" ca="1" si="111"/>
        <v>0</v>
      </c>
      <c r="BV41" s="20">
        <f t="shared" ca="1" si="111"/>
        <v>0</v>
      </c>
      <c r="BW41" s="20">
        <f t="shared" ca="1" si="111"/>
        <v>0</v>
      </c>
      <c r="BX41" s="20">
        <f t="shared" ca="1" si="111"/>
        <v>0</v>
      </c>
      <c r="BY41" s="20">
        <f t="shared" ca="1" si="111"/>
        <v>0</v>
      </c>
      <c r="BZ41" s="20">
        <f t="shared" ca="1" si="111"/>
        <v>0</v>
      </c>
      <c r="CA41" s="20">
        <f t="shared" ca="1" si="111"/>
        <v>0</v>
      </c>
      <c r="CB41" s="20">
        <f t="shared" ca="1" si="111"/>
        <v>0</v>
      </c>
      <c r="CC41" s="20">
        <f t="shared" ca="1" si="111"/>
        <v>0</v>
      </c>
      <c r="CD41" s="20">
        <f t="shared" ca="1" si="112"/>
        <v>0</v>
      </c>
      <c r="CE41" s="20">
        <f t="shared" ca="1" si="112"/>
        <v>0</v>
      </c>
      <c r="CF41" s="20">
        <f t="shared" ca="1" si="112"/>
        <v>0</v>
      </c>
      <c r="CG41" s="20">
        <f t="shared" ca="1" si="112"/>
        <v>0</v>
      </c>
      <c r="CH41" s="20">
        <f t="shared" ca="1" si="112"/>
        <v>0</v>
      </c>
      <c r="CI41" s="20">
        <f t="shared" ca="1" si="112"/>
        <v>0</v>
      </c>
      <c r="CJ41" s="20">
        <f t="shared" ca="1" si="112"/>
        <v>0</v>
      </c>
      <c r="CK41" s="20">
        <f t="shared" ca="1" si="112"/>
        <v>0</v>
      </c>
      <c r="CL41" s="20">
        <f t="shared" ca="1" si="112"/>
        <v>0</v>
      </c>
      <c r="CM41" s="34"/>
      <c r="CN41" s="20" t="str">
        <f t="shared" ca="1" si="113"/>
        <v/>
      </c>
      <c r="CO41" s="20" t="str">
        <f t="shared" ca="1" si="113"/>
        <v/>
      </c>
      <c r="CP41" s="20" t="str">
        <f t="shared" ca="1" si="113"/>
        <v/>
      </c>
      <c r="CQ41" s="20" t="str">
        <f t="shared" ca="1" si="113"/>
        <v/>
      </c>
      <c r="CR41" s="20" t="str">
        <f t="shared" ca="1" si="113"/>
        <v/>
      </c>
      <c r="CS41" s="20" t="str">
        <f t="shared" ca="1" si="113"/>
        <v/>
      </c>
      <c r="CT41" s="20" t="str">
        <f t="shared" ca="1" si="113"/>
        <v/>
      </c>
      <c r="CU41" s="20" t="str">
        <f t="shared" ca="1" si="113"/>
        <v/>
      </c>
      <c r="CV41" s="20" t="str">
        <f t="shared" ca="1" si="113"/>
        <v/>
      </c>
      <c r="CW41" s="20" t="str">
        <f t="shared" ca="1" si="113"/>
        <v/>
      </c>
      <c r="CX41" s="20" t="str">
        <f t="shared" ca="1" si="114"/>
        <v/>
      </c>
      <c r="CY41" s="20" t="str">
        <f t="shared" ca="1" si="114"/>
        <v/>
      </c>
      <c r="CZ41" s="20">
        <f t="shared" ca="1" si="114"/>
        <v>40</v>
      </c>
      <c r="DA41" s="20" t="str">
        <f t="shared" ca="1" si="114"/>
        <v/>
      </c>
      <c r="DB41" s="20" t="str">
        <f t="shared" ca="1" si="114"/>
        <v/>
      </c>
      <c r="DC41" s="20" t="str">
        <f t="shared" ca="1" si="114"/>
        <v/>
      </c>
      <c r="DD41" s="20" t="str">
        <f t="shared" ca="1" si="114"/>
        <v/>
      </c>
      <c r="DE41" s="20" t="str">
        <f t="shared" ca="1" si="114"/>
        <v/>
      </c>
      <c r="DF41" s="20" t="str">
        <f t="shared" ca="1" si="114"/>
        <v/>
      </c>
      <c r="DG41" s="34"/>
      <c r="DH41" s="20" t="str">
        <f t="shared" ca="1" si="115"/>
        <v/>
      </c>
      <c r="DI41" s="20" t="str">
        <f t="shared" ca="1" si="115"/>
        <v/>
      </c>
      <c r="DJ41" s="20" t="str">
        <f t="shared" ca="1" si="115"/>
        <v/>
      </c>
      <c r="DK41" s="20" t="str">
        <f t="shared" ca="1" si="115"/>
        <v/>
      </c>
      <c r="DL41" s="20" t="str">
        <f t="shared" ca="1" si="115"/>
        <v/>
      </c>
      <c r="DM41" s="20" t="str">
        <f t="shared" ca="1" si="115"/>
        <v/>
      </c>
      <c r="DN41" s="20" t="str">
        <f t="shared" ca="1" si="115"/>
        <v/>
      </c>
      <c r="DO41" s="20" t="str">
        <f t="shared" ca="1" si="115"/>
        <v/>
      </c>
      <c r="DP41" s="20" t="str">
        <f t="shared" ca="1" si="115"/>
        <v/>
      </c>
      <c r="DQ41" s="20" t="str">
        <f t="shared" ca="1" si="115"/>
        <v/>
      </c>
      <c r="DR41" s="20" t="str">
        <f t="shared" ca="1" si="116"/>
        <v/>
      </c>
      <c r="DS41" s="20" t="str">
        <f t="shared" ca="1" si="116"/>
        <v/>
      </c>
      <c r="DT41" s="20">
        <f t="shared" ca="1" si="116"/>
        <v>10</v>
      </c>
      <c r="DU41" s="20" t="str">
        <f t="shared" ca="1" si="116"/>
        <v/>
      </c>
      <c r="DV41" s="20" t="str">
        <f t="shared" ca="1" si="116"/>
        <v/>
      </c>
      <c r="DW41" s="20" t="str">
        <f t="shared" ca="1" si="116"/>
        <v/>
      </c>
      <c r="DX41" s="20" t="str">
        <f t="shared" ca="1" si="116"/>
        <v/>
      </c>
      <c r="DY41" s="20" t="str">
        <f t="shared" ca="1" si="116"/>
        <v/>
      </c>
      <c r="DZ41" s="20" t="str">
        <f t="shared" ca="1" si="116"/>
        <v/>
      </c>
      <c r="EA41" s="34"/>
      <c r="EB41" s="20" t="str">
        <f t="shared" ca="1" si="117"/>
        <v/>
      </c>
      <c r="EC41" s="20" t="str">
        <f t="shared" ca="1" si="117"/>
        <v/>
      </c>
      <c r="ED41" s="20" t="str">
        <f t="shared" ca="1" si="117"/>
        <v/>
      </c>
      <c r="EE41" s="20" t="str">
        <f t="shared" ca="1" si="117"/>
        <v/>
      </c>
      <c r="EF41" s="20" t="str">
        <f t="shared" ca="1" si="117"/>
        <v/>
      </c>
      <c r="EG41" s="20" t="str">
        <f t="shared" ca="1" si="117"/>
        <v/>
      </c>
      <c r="EH41" s="20" t="str">
        <f t="shared" ca="1" si="117"/>
        <v/>
      </c>
      <c r="EI41" s="20" t="str">
        <f t="shared" ca="1" si="117"/>
        <v/>
      </c>
      <c r="EJ41" s="20" t="str">
        <f t="shared" ca="1" si="117"/>
        <v/>
      </c>
      <c r="EK41" s="20" t="str">
        <f t="shared" ca="1" si="117"/>
        <v/>
      </c>
      <c r="EL41" s="20" t="str">
        <f t="shared" ca="1" si="118"/>
        <v/>
      </c>
      <c r="EM41" s="20" t="str">
        <f t="shared" ca="1" si="118"/>
        <v/>
      </c>
      <c r="EN41" s="20" t="str">
        <f t="shared" ca="1" si="118"/>
        <v/>
      </c>
      <c r="EO41" s="20" t="str">
        <f t="shared" ca="1" si="118"/>
        <v/>
      </c>
      <c r="EP41" s="20" t="str">
        <f t="shared" ca="1" si="118"/>
        <v/>
      </c>
      <c r="EQ41" s="20" t="str">
        <f t="shared" ca="1" si="118"/>
        <v/>
      </c>
      <c r="ER41" s="20" t="str">
        <f t="shared" ca="1" si="118"/>
        <v/>
      </c>
      <c r="ES41" s="20" t="str">
        <f t="shared" ca="1" si="118"/>
        <v/>
      </c>
      <c r="ET41" s="20" t="str">
        <f t="shared" ca="1" si="118"/>
        <v/>
      </c>
      <c r="EU41" s="34"/>
      <c r="EV41" s="20" t="str">
        <f t="shared" ca="1" si="119"/>
        <v/>
      </c>
      <c r="EW41" s="20" t="str">
        <f t="shared" ca="1" si="119"/>
        <v/>
      </c>
      <c r="EX41" s="20" t="str">
        <f t="shared" ca="1" si="119"/>
        <v/>
      </c>
      <c r="EY41" s="20" t="str">
        <f t="shared" ca="1" si="119"/>
        <v/>
      </c>
      <c r="EZ41" s="20" t="str">
        <f t="shared" ca="1" si="119"/>
        <v/>
      </c>
      <c r="FA41" s="20" t="str">
        <f t="shared" ca="1" si="119"/>
        <v/>
      </c>
      <c r="FB41" s="20" t="str">
        <f t="shared" ca="1" si="119"/>
        <v/>
      </c>
      <c r="FC41" s="20" t="str">
        <f t="shared" ca="1" si="119"/>
        <v/>
      </c>
      <c r="FD41" s="20" t="str">
        <f t="shared" ca="1" si="119"/>
        <v/>
      </c>
      <c r="FE41" s="20" t="str">
        <f t="shared" ca="1" si="119"/>
        <v/>
      </c>
      <c r="FF41" s="20" t="str">
        <f t="shared" ca="1" si="120"/>
        <v/>
      </c>
      <c r="FG41" s="20" t="str">
        <f t="shared" ca="1" si="120"/>
        <v/>
      </c>
      <c r="FH41" s="20" t="str">
        <f t="shared" ca="1" si="120"/>
        <v/>
      </c>
      <c r="FI41" s="20" t="str">
        <f t="shared" ca="1" si="120"/>
        <v/>
      </c>
      <c r="FJ41" s="20" t="str">
        <f t="shared" ca="1" si="120"/>
        <v/>
      </c>
      <c r="FK41" s="20" t="str">
        <f t="shared" ca="1" si="120"/>
        <v/>
      </c>
      <c r="FL41" s="20" t="str">
        <f t="shared" ca="1" si="120"/>
        <v/>
      </c>
      <c r="FM41" s="20" t="str">
        <f t="shared" ca="1" si="120"/>
        <v/>
      </c>
      <c r="FN41" s="20" t="str">
        <f t="shared" ca="1" si="120"/>
        <v/>
      </c>
      <c r="FO41" s="34"/>
      <c r="FP41" s="20" t="str">
        <f t="shared" ca="1" si="121"/>
        <v/>
      </c>
      <c r="FQ41" s="20" t="str">
        <f t="shared" ca="1" si="121"/>
        <v/>
      </c>
      <c r="FR41" s="20" t="str">
        <f t="shared" ca="1" si="121"/>
        <v/>
      </c>
      <c r="FS41" s="20" t="str">
        <f t="shared" ca="1" si="121"/>
        <v/>
      </c>
      <c r="FT41" s="20" t="str">
        <f t="shared" ca="1" si="121"/>
        <v/>
      </c>
      <c r="FU41" s="20" t="str">
        <f t="shared" ca="1" si="121"/>
        <v/>
      </c>
      <c r="FV41" s="20" t="str">
        <f t="shared" ca="1" si="121"/>
        <v/>
      </c>
      <c r="FW41" s="20" t="str">
        <f t="shared" ca="1" si="121"/>
        <v/>
      </c>
      <c r="FX41" s="20" t="str">
        <f t="shared" ca="1" si="121"/>
        <v/>
      </c>
      <c r="FY41" s="20" t="str">
        <f t="shared" ca="1" si="121"/>
        <v/>
      </c>
      <c r="FZ41" s="20" t="str">
        <f t="shared" ca="1" si="122"/>
        <v/>
      </c>
      <c r="GA41" s="20" t="str">
        <f t="shared" ca="1" si="122"/>
        <v/>
      </c>
      <c r="GB41" s="20" t="str">
        <f t="shared" ca="1" si="122"/>
        <v>t</v>
      </c>
      <c r="GC41" s="20" t="str">
        <f t="shared" ca="1" si="122"/>
        <v/>
      </c>
      <c r="GD41" s="20" t="str">
        <f t="shared" ca="1" si="122"/>
        <v/>
      </c>
      <c r="GE41" s="20" t="str">
        <f t="shared" ca="1" si="122"/>
        <v/>
      </c>
      <c r="GF41" s="20" t="str">
        <f t="shared" ca="1" si="122"/>
        <v/>
      </c>
      <c r="GG41" s="20" t="str">
        <f t="shared" ca="1" si="122"/>
        <v/>
      </c>
      <c r="GH41" s="20" t="str">
        <f t="shared" ca="1" si="122"/>
        <v/>
      </c>
      <c r="GI41" s="34"/>
      <c r="HE41" s="34"/>
      <c r="HZ41" s="34"/>
      <c r="IA41" s="19" t="str">
        <f t="shared" ca="1" si="123"/>
        <v>No Hdcp</v>
      </c>
      <c r="IB41" s="19" t="str">
        <f ca="1">IF(D41&lt;&gt;"","1@"&amp;$H41,"")</f>
        <v>1@40</v>
      </c>
      <c r="IC41" s="19" t="str">
        <f ca="1">IF(D41&lt;&gt;"","2@"&amp;$I41&amp;","&amp;$H41,"")</f>
        <v>2@,40</v>
      </c>
      <c r="ID41" s="19" t="str">
        <f ca="1">IF(D41&lt;&gt;"","3@"&amp;$J41&amp;","&amp;$I41&amp;","&amp;$H41,"")</f>
        <v>3@,,40</v>
      </c>
      <c r="IE41" s="19" t="str">
        <f ca="1">IF(D41&lt;&gt;"","4@"&amp;$K41&amp;","&amp;$J41&amp;","&amp;$I41&amp;","&amp;$H41,"")</f>
        <v>4@,,,40</v>
      </c>
      <c r="IF41" s="19"/>
      <c r="IG41" s="19"/>
      <c r="IH41" s="19"/>
      <c r="II41" s="19"/>
      <c r="IJ41" s="19"/>
      <c r="IK41" s="263">
        <f ca="1">IF(D41&lt;&gt;"",MIN(ROUND((AVERAGE($H41:$Q41)-$C$4)*0.9,2),20),"")</f>
        <v>3.6</v>
      </c>
      <c r="IL41" s="34"/>
    </row>
    <row r="42" spans="1:271" ht="21" customHeight="1" x14ac:dyDescent="0.2">
      <c r="A42" s="38" t="s">
        <v>27</v>
      </c>
      <c r="B42" s="39" t="s">
        <v>75</v>
      </c>
      <c r="C42" s="40">
        <f ca="1">IFERROR(VLOOKUP(D42, leagueroster, 2, FALSE), 0)</f>
        <v>0.20599999999999999</v>
      </c>
      <c r="D42" s="38" t="str">
        <f ca="1">INDEX(INDIRECT($A42), 3, 1)</f>
        <v>Who's Your Caddy?</v>
      </c>
      <c r="E42" s="39"/>
      <c r="F42" s="39"/>
      <c r="G42" s="41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41"/>
      <c r="V42" s="39"/>
      <c r="W42" s="39"/>
      <c r="X42" s="39"/>
      <c r="Y42" s="39"/>
      <c r="Z42" s="39"/>
      <c r="AA42" s="39"/>
      <c r="AB42" s="39"/>
      <c r="AE42" s="34"/>
      <c r="AF42" s="341"/>
      <c r="AG42" s="341"/>
      <c r="AH42" s="341"/>
      <c r="AI42" s="341"/>
      <c r="AJ42" s="341"/>
      <c r="AK42" s="341"/>
      <c r="AL42" s="341"/>
      <c r="AM42" s="341"/>
      <c r="AN42" s="341"/>
      <c r="AO42" s="341"/>
      <c r="BI42" s="34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CM42" s="34"/>
      <c r="DG42" s="34"/>
      <c r="EA42" s="34"/>
      <c r="EU42" s="34"/>
      <c r="FO42" s="34"/>
      <c r="GI42" s="34"/>
      <c r="GJ42" s="20">
        <f t="shared" ref="GJ42:HB42" ca="1" si="124">IF(INDEX(INDIRECT($A42), 4, GJ$6+2)=0, "", INDEX(INDIRECT($A42), 4, GJ$6+2))</f>
        <v>189</v>
      </c>
      <c r="GK42" s="20">
        <f t="shared" ca="1" si="124"/>
        <v>174</v>
      </c>
      <c r="GL42" s="20">
        <f t="shared" ca="1" si="124"/>
        <v>197</v>
      </c>
      <c r="GM42" s="20">
        <f t="shared" ca="1" si="124"/>
        <v>182</v>
      </c>
      <c r="GN42" s="20">
        <f t="shared" ca="1" si="124"/>
        <v>172</v>
      </c>
      <c r="GO42" s="20">
        <f t="shared" ca="1" si="124"/>
        <v>165</v>
      </c>
      <c r="GP42" s="20">
        <f t="shared" ca="1" si="124"/>
        <v>170</v>
      </c>
      <c r="GQ42" s="20" t="str">
        <f t="shared" ca="1" si="124"/>
        <v/>
      </c>
      <c r="GR42" s="20">
        <f t="shared" ca="1" si="124"/>
        <v>164</v>
      </c>
      <c r="GS42" s="20">
        <f t="shared" ca="1" si="124"/>
        <v>157</v>
      </c>
      <c r="GT42" s="20">
        <f t="shared" ca="1" si="124"/>
        <v>154</v>
      </c>
      <c r="GU42" s="20" t="str">
        <f t="shared" ca="1" si="124"/>
        <v/>
      </c>
      <c r="GV42" s="20">
        <f t="shared" ca="1" si="124"/>
        <v>117</v>
      </c>
      <c r="GW42" s="20">
        <f t="shared" ca="1" si="124"/>
        <v>146</v>
      </c>
      <c r="GX42" s="20">
        <f t="shared" ca="1" si="124"/>
        <v>72</v>
      </c>
      <c r="GY42" s="20">
        <f t="shared" ca="1" si="124"/>
        <v>157</v>
      </c>
      <c r="GZ42" s="20">
        <f t="shared" ca="1" si="124"/>
        <v>141</v>
      </c>
      <c r="HA42" s="20">
        <f t="shared" ca="1" si="124"/>
        <v>146</v>
      </c>
      <c r="HB42" s="20" t="str">
        <f t="shared" ca="1" si="124"/>
        <v/>
      </c>
      <c r="HC42" s="20" cm="1">
        <f t="array" aca="1" ref="HC42" ca="1">MIN(_xlfn._xlws.FILTER(GJ42:HB42,GJ42:HB42&gt;129))</f>
        <v>141</v>
      </c>
      <c r="HD42" s="42">
        <f ca="1">IF(D42&lt;&gt;"", IFERROR(AVERAGE(GJ42:HA42), "-"), "")</f>
        <v>156.4375</v>
      </c>
      <c r="HE42" s="34"/>
      <c r="HF42" s="20">
        <f t="shared" ref="HF42:HW42" ca="1" si="125">IF(INDEX(INDIRECT($A42), 3, HF$6+2)=0, "", INDEX(INDIRECT($A42), 3, HF$6+2))</f>
        <v>27</v>
      </c>
      <c r="HG42" s="20">
        <f t="shared" ca="1" si="125"/>
        <v>23</v>
      </c>
      <c r="HH42" s="20">
        <f t="shared" ca="1" si="125"/>
        <v>28</v>
      </c>
      <c r="HI42" s="20">
        <f t="shared" ca="1" si="125"/>
        <v>34</v>
      </c>
      <c r="HJ42" s="20">
        <f t="shared" ca="1" si="125"/>
        <v>33</v>
      </c>
      <c r="HK42" s="20">
        <f t="shared" ca="1" si="125"/>
        <v>34</v>
      </c>
      <c r="HL42" s="20">
        <f t="shared" ca="1" si="125"/>
        <v>29</v>
      </c>
      <c r="HM42" s="20" t="str">
        <f t="shared" ca="1" si="125"/>
        <v/>
      </c>
      <c r="HN42" s="20">
        <f t="shared" ca="1" si="125"/>
        <v>33</v>
      </c>
      <c r="HO42" s="20">
        <f t="shared" ca="1" si="125"/>
        <v>24</v>
      </c>
      <c r="HP42" s="20">
        <f t="shared" ca="1" si="125"/>
        <v>35</v>
      </c>
      <c r="HQ42" s="20" t="str">
        <f t="shared" ca="1" si="125"/>
        <v/>
      </c>
      <c r="HR42" s="20">
        <f t="shared" ca="1" si="125"/>
        <v>34</v>
      </c>
      <c r="HS42" s="20">
        <f t="shared" ca="1" si="125"/>
        <v>47</v>
      </c>
      <c r="HT42" s="20">
        <f t="shared" ca="1" si="125"/>
        <v>47</v>
      </c>
      <c r="HU42" s="20">
        <f t="shared" ca="1" si="125"/>
        <v>46</v>
      </c>
      <c r="HV42" s="20">
        <f t="shared" ca="1" si="125"/>
        <v>56</v>
      </c>
      <c r="HW42" s="20">
        <f t="shared" ca="1" si="125"/>
        <v>50</v>
      </c>
      <c r="HX42" s="20"/>
      <c r="HY42" s="20">
        <f ca="1">MAX(HF42:HX42)</f>
        <v>56</v>
      </c>
      <c r="HZ42" s="34"/>
      <c r="IA42" s="118"/>
      <c r="IB42" s="118"/>
      <c r="IC42" s="118"/>
      <c r="ID42" s="118"/>
      <c r="IE42" s="118"/>
      <c r="IF42" s="118"/>
      <c r="IG42" s="118"/>
      <c r="IH42" s="118"/>
      <c r="II42" s="118"/>
      <c r="IJ42" s="118"/>
      <c r="IK42" s="118"/>
      <c r="IL42" s="34"/>
    </row>
    <row r="43" spans="1:271" x14ac:dyDescent="0.2">
      <c r="A43" s="18" t="s">
        <v>27</v>
      </c>
      <c r="B43" s="19">
        <v>5</v>
      </c>
      <c r="C43" s="22">
        <f t="shared" ref="C43:C48" ca="1" si="126">IFERROR(VLOOKUP($D43, leagueroster, 2, FALSE), 0)</f>
        <v>6.1999999999999998E-3</v>
      </c>
      <c r="D43" s="18" t="str">
        <f t="shared" ref="D43:D48" ca="1" si="127">INDEX(INDIRECT($A43), $B43, 1)</f>
        <v>Kushner, John</v>
      </c>
      <c r="E43" s="19">
        <f t="shared" ref="E43:E48" ca="1" si="128">IF($D43&lt;&gt;"", COUNTIF($AP43:$BH43,"&lt;&gt;0"), "")</f>
        <v>12</v>
      </c>
      <c r="F43" s="19">
        <f ca="1">IF(D43&lt;&gt;"",COUNT($H43:$Q43),"")</f>
        <v>10</v>
      </c>
      <c r="G43" s="21">
        <f ca="1">IF($D43&lt;&gt;"",INDEX($IA43:$IK43,1,MATCH($F43,$IA$6:$IK$6,0)), "")</f>
        <v>14.02</v>
      </c>
      <c r="H43" s="337" cm="1">
        <f t="array" aca="1" ref="H43" ca="1">IFERROR(_xlfn.SINGLE(INDEX($AF43:$BH43, , SUMPRODUCT(LARGE((($AF43:$BH43&lt;&gt;0)*($BJ43:$CL43&lt;&gt;1)*($AF$5:$BH$5)), H$6)))), "")</f>
        <v>48</v>
      </c>
      <c r="I43" s="338" cm="1">
        <f t="array" aca="1" ref="I43" ca="1">IFERROR(_xlfn.SINGLE(INDEX($AF43:$BH43, , SUMPRODUCT(LARGE((($AF43:$BH43&lt;&gt;0)*($BJ43:$CL43&lt;&gt;1)*($AF$5:$BH$5)), I$6)))), "")</f>
        <v>52</v>
      </c>
      <c r="J43" s="338" cm="1">
        <f t="array" aca="1" ref="J43" ca="1">IFERROR(_xlfn.SINGLE(INDEX($AF43:$BH43, , SUMPRODUCT(LARGE((($AF43:$BH43&lt;&gt;0)*($BJ43:$CL43&lt;&gt;1)*($AF$5:$BH$5)), J$6)))), "")</f>
        <v>54</v>
      </c>
      <c r="K43" s="338" cm="1">
        <f t="array" aca="1" ref="K43" ca="1">IFERROR(_xlfn.SINGLE(INDEX($AF43:$BH43, , SUMPRODUCT(LARGE((($AF43:$BH43&lt;&gt;0)*($BJ43:$CL43&lt;&gt;1)*($AF$5:$BH$5)), K$6)))), "")</f>
        <v>50</v>
      </c>
      <c r="L43" s="338" cm="1">
        <f t="array" aca="1" ref="L43" ca="1">IFERROR(_xlfn.SINGLE(INDEX($AF43:$BH43, , SUMPRODUCT(LARGE((($AF43:$BH43&lt;&gt;0)*($BJ43:$CL43&lt;&gt;1)*($AF$5:$BH$5)), L$6)))), "")</f>
        <v>49</v>
      </c>
      <c r="M43" s="338" cm="1">
        <f t="array" aca="1" ref="M43" ca="1">IFERROR(_xlfn.SINGLE(INDEX($AF43:$BH43, , SUMPRODUCT(LARGE((($AF43:$BH43&lt;&gt;0)*($BJ43:$CL43&lt;&gt;1)*($AF$5:$BH$5)), M$6)))), "")</f>
        <v>57</v>
      </c>
      <c r="N43" s="338" cm="1">
        <f t="array" aca="1" ref="N43" ca="1">IFERROR(_xlfn.SINGLE(INDEX($AF43:$BH43, , SUMPRODUCT(LARGE((($AF43:$BH43&lt;&gt;0)*($BJ43:$CL43&lt;&gt;1)*($AF$5:$BH$5)), N$6)))), "")</f>
        <v>58</v>
      </c>
      <c r="O43" s="338" cm="1">
        <f t="array" aca="1" ref="O43" ca="1">IFERROR(_xlfn.SINGLE(INDEX($AF43:$BH43, , SUMPRODUCT(LARGE((($AF43:$BH43&lt;&gt;0)*($BJ43:$CL43&lt;&gt;1)*($AF$5:$BH$5)), O$6)))), "")</f>
        <v>63</v>
      </c>
      <c r="P43" s="338" cm="1">
        <f t="array" aca="1" ref="P43" ca="1">IFERROR(_xlfn.SINGLE(INDEX($AF43:$BH43, , SUMPRODUCT(LARGE((($AF43:$BH43&lt;&gt;0)*($BJ43:$CL43&lt;&gt;1)*($AF$5:$BH$5)), P$6)))), "")</f>
        <v>63</v>
      </c>
      <c r="Q43" s="339" cm="1">
        <f t="array" aca="1" ref="Q43" ca="1">IFERROR(_xlfn.SINGLE(INDEX($AF43:$BH43, , SUMPRODUCT(LARGE((($AF43:$BH43&lt;&gt;0)*($BJ43:$CL43&lt;&gt;1)*($AF$5:$BH$5)), Q$6)))), "")</f>
        <v>62</v>
      </c>
      <c r="R43" s="21">
        <v>53.333333333333336</v>
      </c>
      <c r="S43" s="47">
        <f t="shared" ref="S43:S48" ca="1" si="129">IF(COUNT($H43:$Q43)&lt;5,"-",AVERAGE(SMALL($H43:$Q43,1),SMALL($H43:$Q43,2),SMALL($H43:$Q43,3),SMALL($H43:$Q43,4),SMALL($H43:$Q43,5)))</f>
        <v>50.6</v>
      </c>
      <c r="T43" s="21">
        <f ca="1">IF($D43&lt;&gt;"", IFERROR(IF($E43&gt;=qualifier, SUMIF($BT43:$CL43,0,$AP43:$BH43)/$E43, TEXT(SUMIF($BT43:$CL43,0,$AP43:$BH43)/$E43, "0.00")&amp;"*"), "-"), "")</f>
        <v>55.333333333333336</v>
      </c>
      <c r="U43" s="21">
        <f ca="1">IF($D43&lt;&gt;"", IFERROR(IF($E43&gt;=qualifier, SUMIF($BT43:$CL43,0,$CN43:$DF43)/$E43, TEXT(SUMIF($BT43:$CL43,0,$CN43:$DF43)/$E43, "0.00")&amp;"*"), "-"), "")</f>
        <v>40.166666666666664</v>
      </c>
      <c r="V43" s="45">
        <f ca="1">IF(AND($D43&lt;&gt;"", $E43&lt;&gt;0), _xlfn.MINIFS($AP43:$BH43,$BT43:$CL43,0,$AP43:$BH43,"&lt;&gt;0"), "")</f>
        <v>48</v>
      </c>
      <c r="W43" s="62">
        <f ca="1">IF(AND($D43&lt;&gt;"", $E43&lt;&gt;0), _xlfn.MINIFS($CN43:$DF43,$BT43:$CL43,0), "")</f>
        <v>32</v>
      </c>
      <c r="X43" s="45">
        <f ca="1">IF($D43&lt;&gt;"", SUM($DH43:$DZ43),  "")</f>
        <v>137</v>
      </c>
      <c r="Y43" s="21">
        <f ca="1">IF($D43&lt;&gt;"", IFERROR(IF($E43&gt;=qualifier, AVERAGE($DH43:$DZ43), TEXT(AVERAGE($DH43:$DZ43), "0.00")&amp;"*"), "-"), "")</f>
        <v>9.7857142857142865</v>
      </c>
      <c r="Z43" s="19">
        <f ca="1">IF($D43&lt;&gt;"", SUM($EB43:$ET43),  "")</f>
        <v>0</v>
      </c>
      <c r="AA43" s="19">
        <f ca="1">IF($D43&lt;&gt;"", SUM($EV43:$FN43),  "")</f>
        <v>0</v>
      </c>
      <c r="AB43" s="45" t="str">
        <f t="shared" ref="AB43:AB48" ca="1" si="130">IF($D43&lt;&gt;"", COUNTIF($FP43:$GH43, "w")&amp;"-"&amp;COUNTIF($FP43:$GH43, "l")&amp;"-"&amp;COUNTIF($FP43:$GH43, "t"),  "")</f>
        <v>5-9-0</v>
      </c>
      <c r="AC43" s="218">
        <f t="shared" ref="AC43:AC48" ca="1" si="131">IF($D43&lt;&gt;"", INDEX(INDIRECT($A43), $B43+1, 1), "")</f>
        <v>3302241454</v>
      </c>
      <c r="AD43" s="57" t="str">
        <f t="shared" ref="AD43:AD48" ca="1" si="132">IF($D43&lt;&gt;"", INDEX(INDIRECT($A43), $B43+2, 1), "")</f>
        <v>john.kushner@metallus.com</v>
      </c>
      <c r="AE43" s="34"/>
      <c r="AF43" s="341">
        <f ca="1">INDEX(PriorScores[],MATCH($D43,PriorScores[Team / Player],0),2)</f>
        <v>53</v>
      </c>
      <c r="AG43" s="341">
        <f ca="1">INDEX(PriorScores[],MATCH($D43,PriorScores[Team / Player],0),3)</f>
        <v>57</v>
      </c>
      <c r="AH43" s="341">
        <f ca="1">INDEX(PriorScores[],MATCH($D43,PriorScores[Team / Player],0),4)</f>
        <v>53</v>
      </c>
      <c r="AI43" s="341">
        <f ca="1">INDEX(PriorScores[],MATCH($D43,PriorScores[Team / Player],0),5)</f>
        <v>52</v>
      </c>
      <c r="AJ43" s="341">
        <f ca="1">INDEX(PriorScores[],MATCH($D43,PriorScores[Team / Player],0),6)</f>
        <v>51</v>
      </c>
      <c r="AK43" s="341">
        <f ca="1">INDEX(PriorScores[],MATCH($D43,PriorScores[Team / Player],0),7)</f>
        <v>50</v>
      </c>
      <c r="AL43" s="341">
        <f ca="1">INDEX(PriorScores[],MATCH($D43,PriorScores[Team / Player],0),8)</f>
        <v>53</v>
      </c>
      <c r="AM43" s="341">
        <f ca="1">INDEX(PriorScores[],MATCH($D43,PriorScores[Team / Player],0),9)</f>
        <v>49</v>
      </c>
      <c r="AN43" s="341">
        <f ca="1">INDEX(PriorScores[],MATCH($D43,PriorScores[Team / Player],0),10)</f>
        <v>56</v>
      </c>
      <c r="AO43" s="341">
        <f ca="1">INDEX(PriorScores[],MATCH($D43,PriorScores[Team / Player],0),11)</f>
        <v>54</v>
      </c>
      <c r="AP43" s="20">
        <f t="shared" ref="AP43:AY48" ca="1" si="133">IF(OR(INDEX(INDIRECT($A43), $B43, AP$6+2)="",INDEX(INDIRECT($A43),$B43+5,AP$6+2)=1), 0, INDEX(INDIRECT($A43), $B43, AP$6+2))</f>
        <v>56</v>
      </c>
      <c r="AQ43" s="20">
        <f t="shared" ca="1" si="133"/>
        <v>52</v>
      </c>
      <c r="AR43" s="20">
        <f t="shared" ca="1" si="133"/>
        <v>62</v>
      </c>
      <c r="AS43" s="20">
        <f t="shared" ca="1" si="133"/>
        <v>63</v>
      </c>
      <c r="AT43" s="20">
        <f t="shared" ca="1" si="133"/>
        <v>63</v>
      </c>
      <c r="AU43" s="20">
        <f t="shared" ca="1" si="133"/>
        <v>58</v>
      </c>
      <c r="AV43" s="20">
        <f t="shared" ca="1" si="133"/>
        <v>57</v>
      </c>
      <c r="AW43" s="20">
        <f t="shared" ca="1" si="133"/>
        <v>0</v>
      </c>
      <c r="AX43" s="20">
        <f t="shared" ca="1" si="133"/>
        <v>49</v>
      </c>
      <c r="AY43" s="20">
        <f t="shared" ca="1" si="133"/>
        <v>0</v>
      </c>
      <c r="AZ43" s="20">
        <f t="shared" ref="AZ43:BH48" ca="1" si="134">IF(OR(INDEX(INDIRECT($A43), $B43, AZ$6+2)="",INDEX(INDIRECT($A43),$B43+5,AZ$6+2)=1), 0, INDEX(INDIRECT($A43), $B43, AZ$6+2))</f>
        <v>50</v>
      </c>
      <c r="BA43" s="20">
        <f t="shared" ca="1" si="134"/>
        <v>0</v>
      </c>
      <c r="BB43" s="20">
        <f t="shared" ca="1" si="134"/>
        <v>0</v>
      </c>
      <c r="BC43" s="20">
        <f t="shared" ca="1" si="134"/>
        <v>54</v>
      </c>
      <c r="BD43" s="20">
        <f t="shared" ca="1" si="134"/>
        <v>0</v>
      </c>
      <c r="BE43" s="20">
        <f t="shared" ca="1" si="134"/>
        <v>52</v>
      </c>
      <c r="BF43" s="20">
        <f t="shared" ca="1" si="134"/>
        <v>48</v>
      </c>
      <c r="BG43" s="20">
        <f t="shared" ca="1" si="134"/>
        <v>0</v>
      </c>
      <c r="BH43" s="20">
        <f t="shared" ca="1" si="134"/>
        <v>0</v>
      </c>
      <c r="BI43" s="34"/>
      <c r="BJ43" s="341">
        <v>0</v>
      </c>
      <c r="BK43" s="341">
        <v>0</v>
      </c>
      <c r="BL43" s="341">
        <v>0</v>
      </c>
      <c r="BM43" s="341">
        <v>0</v>
      </c>
      <c r="BN43" s="341">
        <v>0</v>
      </c>
      <c r="BO43" s="341">
        <v>0</v>
      </c>
      <c r="BP43" s="341">
        <v>0</v>
      </c>
      <c r="BQ43" s="341">
        <v>0</v>
      </c>
      <c r="BR43" s="341">
        <v>0</v>
      </c>
      <c r="BS43" s="341">
        <v>0</v>
      </c>
      <c r="BT43" s="20">
        <f t="shared" ref="BT43:CC48" ca="1" si="135">IF(INDEX(INDIRECT($A43), $B43+5, BT$6+2)="", 0, INDEX(INDIRECT($A43), $B43+5, BT$6+2))</f>
        <v>0</v>
      </c>
      <c r="BU43" s="20">
        <f t="shared" ca="1" si="135"/>
        <v>0</v>
      </c>
      <c r="BV43" s="20">
        <f t="shared" ca="1" si="135"/>
        <v>0</v>
      </c>
      <c r="BW43" s="20">
        <f t="shared" ca="1" si="135"/>
        <v>0</v>
      </c>
      <c r="BX43" s="20">
        <f t="shared" ca="1" si="135"/>
        <v>0</v>
      </c>
      <c r="BY43" s="20">
        <f t="shared" ca="1" si="135"/>
        <v>0</v>
      </c>
      <c r="BZ43" s="20">
        <f t="shared" ca="1" si="135"/>
        <v>0</v>
      </c>
      <c r="CA43" s="20">
        <f t="shared" ca="1" si="135"/>
        <v>0</v>
      </c>
      <c r="CB43" s="20">
        <f t="shared" ca="1" si="135"/>
        <v>0</v>
      </c>
      <c r="CC43" s="20">
        <f t="shared" ca="1" si="135"/>
        <v>0</v>
      </c>
      <c r="CD43" s="20">
        <f t="shared" ref="CD43:CL48" ca="1" si="136">IF(INDEX(INDIRECT($A43), $B43+5, CD$6+2)="", 0, INDEX(INDIRECT($A43), $B43+5, CD$6+2))</f>
        <v>0</v>
      </c>
      <c r="CE43" s="20">
        <f t="shared" ca="1" si="136"/>
        <v>0</v>
      </c>
      <c r="CF43" s="20">
        <f t="shared" ca="1" si="136"/>
        <v>0</v>
      </c>
      <c r="CG43" s="20">
        <f t="shared" ca="1" si="136"/>
        <v>0</v>
      </c>
      <c r="CH43" s="20">
        <f t="shared" ca="1" si="136"/>
        <v>1</v>
      </c>
      <c r="CI43" s="20">
        <f t="shared" ca="1" si="136"/>
        <v>0</v>
      </c>
      <c r="CJ43" s="20">
        <f t="shared" ca="1" si="136"/>
        <v>0</v>
      </c>
      <c r="CK43" s="20">
        <f t="shared" ca="1" si="136"/>
        <v>1</v>
      </c>
      <c r="CL43" s="20">
        <f t="shared" ca="1" si="136"/>
        <v>0</v>
      </c>
      <c r="CM43" s="34"/>
      <c r="CN43" s="20">
        <f t="shared" ref="CN43:CW48" ca="1" si="137">IF(OR(INDEX(INDIRECT($A43), $B43+1, CN$6+2)=0,INDEX(INDIRECT($A43),$B43+5,CN$6+2)=1), "", INDEX(INDIRECT($A43), $B43+1, CN$6+2))</f>
        <v>42</v>
      </c>
      <c r="CO43" s="20">
        <f t="shared" ca="1" si="137"/>
        <v>38</v>
      </c>
      <c r="CP43" s="20">
        <f t="shared" ca="1" si="137"/>
        <v>48</v>
      </c>
      <c r="CQ43" s="20">
        <f t="shared" ca="1" si="137"/>
        <v>49</v>
      </c>
      <c r="CR43" s="20">
        <f t="shared" ca="1" si="137"/>
        <v>49</v>
      </c>
      <c r="CS43" s="20">
        <f t="shared" ca="1" si="137"/>
        <v>43</v>
      </c>
      <c r="CT43" s="20">
        <f t="shared" ca="1" si="137"/>
        <v>41</v>
      </c>
      <c r="CU43" s="20" t="str">
        <f t="shared" ca="1" si="137"/>
        <v/>
      </c>
      <c r="CV43" s="20">
        <f t="shared" ca="1" si="137"/>
        <v>32</v>
      </c>
      <c r="CW43" s="20" t="str">
        <f t="shared" ca="1" si="137"/>
        <v/>
      </c>
      <c r="CX43" s="20">
        <f t="shared" ref="CX43:DF48" ca="1" si="138">IF(OR(INDEX(INDIRECT($A43), $B43+1, CX$6+2)=0,INDEX(INDIRECT($A43),$B43+5,CX$6+2)=1), "", INDEX(INDIRECT($A43), $B43+1, CX$6+2))</f>
        <v>33</v>
      </c>
      <c r="CY43" s="20" t="str">
        <f t="shared" ca="1" si="138"/>
        <v/>
      </c>
      <c r="CZ43" s="20" t="str">
        <f t="shared" ca="1" si="138"/>
        <v/>
      </c>
      <c r="DA43" s="20">
        <f t="shared" ca="1" si="138"/>
        <v>38</v>
      </c>
      <c r="DB43" s="20" t="str">
        <f t="shared" ca="1" si="138"/>
        <v/>
      </c>
      <c r="DC43" s="20">
        <f t="shared" ca="1" si="138"/>
        <v>36</v>
      </c>
      <c r="DD43" s="20">
        <f t="shared" ca="1" si="138"/>
        <v>33</v>
      </c>
      <c r="DE43" s="20" t="str">
        <f t="shared" ca="1" si="138"/>
        <v/>
      </c>
      <c r="DF43" s="20" t="str">
        <f t="shared" ca="1" si="138"/>
        <v/>
      </c>
      <c r="DG43" s="34"/>
      <c r="DH43" s="20">
        <f t="shared" ref="DH43:DQ48" ca="1" si="139">IF(INDEX(INDIRECT($A43), $B43+2, DH$6+2)=0, "", INDEX(INDIRECT($A43), $B43+2, DH$6+2))</f>
        <v>8</v>
      </c>
      <c r="DI43" s="20">
        <f t="shared" ca="1" si="139"/>
        <v>9</v>
      </c>
      <c r="DJ43" s="20">
        <f t="shared" ca="1" si="139"/>
        <v>7</v>
      </c>
      <c r="DK43" s="20">
        <f t="shared" ca="1" si="139"/>
        <v>5</v>
      </c>
      <c r="DL43" s="20">
        <f t="shared" ca="1" si="139"/>
        <v>6</v>
      </c>
      <c r="DM43" s="20">
        <f t="shared" ca="1" si="139"/>
        <v>9</v>
      </c>
      <c r="DN43" s="20">
        <f t="shared" ca="1" si="139"/>
        <v>9</v>
      </c>
      <c r="DO43" s="20" t="str">
        <f t="shared" ca="1" si="139"/>
        <v/>
      </c>
      <c r="DP43" s="20">
        <f t="shared" ca="1" si="139"/>
        <v>16</v>
      </c>
      <c r="DQ43" s="20" t="str">
        <f t="shared" ca="1" si="139"/>
        <v/>
      </c>
      <c r="DR43" s="20">
        <f t="shared" ref="DR43:DZ48" ca="1" si="140">IF(INDEX(INDIRECT($A43), $B43+2, DR$6+2)=0, "", INDEX(INDIRECT($A43), $B43+2, DR$6+2))</f>
        <v>7</v>
      </c>
      <c r="DS43" s="20" t="str">
        <f t="shared" ca="1" si="140"/>
        <v/>
      </c>
      <c r="DT43" s="20" t="str">
        <f t="shared" ca="1" si="140"/>
        <v/>
      </c>
      <c r="DU43" s="20">
        <f t="shared" ca="1" si="140"/>
        <v>9</v>
      </c>
      <c r="DV43" s="20">
        <f t="shared" ca="1" si="140"/>
        <v>12</v>
      </c>
      <c r="DW43" s="20">
        <f t="shared" ca="1" si="140"/>
        <v>14</v>
      </c>
      <c r="DX43" s="20">
        <f t="shared" ca="1" si="140"/>
        <v>14</v>
      </c>
      <c r="DY43" s="20">
        <f t="shared" ca="1" si="140"/>
        <v>12</v>
      </c>
      <c r="DZ43" s="20" t="str">
        <f t="shared" ca="1" si="140"/>
        <v/>
      </c>
      <c r="EA43" s="34"/>
      <c r="EB43" s="20" t="str">
        <f t="shared" ref="EB43:EK48" ca="1" si="141">IF(INDEX(INDIRECT($A43), $B43+3, EB$6+2)=0, "", INDEX(INDIRECT($A43), $B43+3, EB$6+2))</f>
        <v/>
      </c>
      <c r="EC43" s="20" t="str">
        <f t="shared" ca="1" si="141"/>
        <v/>
      </c>
      <c r="ED43" s="20" t="str">
        <f t="shared" ca="1" si="141"/>
        <v/>
      </c>
      <c r="EE43" s="20" t="str">
        <f t="shared" ca="1" si="141"/>
        <v/>
      </c>
      <c r="EF43" s="20" t="str">
        <f t="shared" ca="1" si="141"/>
        <v/>
      </c>
      <c r="EG43" s="20" t="str">
        <f t="shared" ca="1" si="141"/>
        <v/>
      </c>
      <c r="EH43" s="20" t="str">
        <f t="shared" ca="1" si="141"/>
        <v/>
      </c>
      <c r="EI43" s="20" t="str">
        <f t="shared" ca="1" si="141"/>
        <v/>
      </c>
      <c r="EJ43" s="20" t="str">
        <f t="shared" ca="1" si="141"/>
        <v/>
      </c>
      <c r="EK43" s="20" t="str">
        <f t="shared" ca="1" si="141"/>
        <v/>
      </c>
      <c r="EL43" s="20" t="str">
        <f t="shared" ref="EL43:ET48" ca="1" si="142">IF(INDEX(INDIRECT($A43), $B43+3, EL$6+2)=0, "", INDEX(INDIRECT($A43), $B43+3, EL$6+2))</f>
        <v/>
      </c>
      <c r="EM43" s="20" t="str">
        <f t="shared" ca="1" si="142"/>
        <v/>
      </c>
      <c r="EN43" s="20" t="str">
        <f t="shared" ca="1" si="142"/>
        <v/>
      </c>
      <c r="EO43" s="20" t="str">
        <f t="shared" ca="1" si="142"/>
        <v/>
      </c>
      <c r="EP43" s="20" t="str">
        <f t="shared" ca="1" si="142"/>
        <v/>
      </c>
      <c r="EQ43" s="20" t="str">
        <f t="shared" ca="1" si="142"/>
        <v/>
      </c>
      <c r="ER43" s="20" t="str">
        <f t="shared" ca="1" si="142"/>
        <v/>
      </c>
      <c r="ES43" s="20" t="str">
        <f t="shared" ca="1" si="142"/>
        <v/>
      </c>
      <c r="ET43" s="20" t="str">
        <f t="shared" ca="1" si="142"/>
        <v/>
      </c>
      <c r="EU43" s="34"/>
      <c r="EV43" s="20" t="str">
        <f t="shared" ref="EV43:FE48" ca="1" si="143">IF(INDEX(INDIRECT($A43), $B43+4, EV$6+2)=0, "", INDEX(INDIRECT($A43), $B43+4, EV$6+2))</f>
        <v/>
      </c>
      <c r="EW43" s="20" t="str">
        <f t="shared" ca="1" si="143"/>
        <v/>
      </c>
      <c r="EX43" s="20" t="str">
        <f t="shared" ca="1" si="143"/>
        <v/>
      </c>
      <c r="EY43" s="20" t="str">
        <f t="shared" ca="1" si="143"/>
        <v/>
      </c>
      <c r="EZ43" s="20" t="str">
        <f t="shared" ca="1" si="143"/>
        <v/>
      </c>
      <c r="FA43" s="20" t="str">
        <f t="shared" ca="1" si="143"/>
        <v/>
      </c>
      <c r="FB43" s="20" t="str">
        <f t="shared" ca="1" si="143"/>
        <v/>
      </c>
      <c r="FC43" s="20" t="str">
        <f t="shared" ca="1" si="143"/>
        <v/>
      </c>
      <c r="FD43" s="20" t="str">
        <f t="shared" ca="1" si="143"/>
        <v/>
      </c>
      <c r="FE43" s="20" t="str">
        <f t="shared" ca="1" si="143"/>
        <v/>
      </c>
      <c r="FF43" s="20" t="str">
        <f t="shared" ref="FF43:FN48" ca="1" si="144">IF(INDEX(INDIRECT($A43), $B43+4, FF$6+2)=0, "", INDEX(INDIRECT($A43), $B43+4, FF$6+2))</f>
        <v/>
      </c>
      <c r="FG43" s="20" t="str">
        <f t="shared" ca="1" si="144"/>
        <v/>
      </c>
      <c r="FH43" s="20" t="str">
        <f t="shared" ca="1" si="144"/>
        <v/>
      </c>
      <c r="FI43" s="20" t="str">
        <f t="shared" ca="1" si="144"/>
        <v/>
      </c>
      <c r="FJ43" s="20" t="str">
        <f t="shared" ca="1" si="144"/>
        <v/>
      </c>
      <c r="FK43" s="20" t="str">
        <f t="shared" ca="1" si="144"/>
        <v/>
      </c>
      <c r="FL43" s="20" t="str">
        <f t="shared" ca="1" si="144"/>
        <v/>
      </c>
      <c r="FM43" s="20" t="str">
        <f t="shared" ca="1" si="144"/>
        <v/>
      </c>
      <c r="FN43" s="20" t="str">
        <f t="shared" ca="1" si="144"/>
        <v/>
      </c>
      <c r="FO43" s="34"/>
      <c r="FP43" s="20" t="str">
        <f t="shared" ref="FP43:FY48" ca="1" si="145">IF(INDEX(INDIRECT($A43), $B43+6, FP$6+2)=0, "", INDEX(INDIRECT($A43), $B43+6, FP$6+2))</f>
        <v>l</v>
      </c>
      <c r="FQ43" s="20" t="str">
        <f t="shared" ca="1" si="145"/>
        <v>l</v>
      </c>
      <c r="FR43" s="20" t="str">
        <f t="shared" ca="1" si="145"/>
        <v>l</v>
      </c>
      <c r="FS43" s="20" t="str">
        <f t="shared" ca="1" si="145"/>
        <v>l</v>
      </c>
      <c r="FT43" s="20" t="str">
        <f t="shared" ca="1" si="145"/>
        <v>l</v>
      </c>
      <c r="FU43" s="20" t="str">
        <f t="shared" ca="1" si="145"/>
        <v>l</v>
      </c>
      <c r="FV43" s="20" t="str">
        <f t="shared" ca="1" si="145"/>
        <v>l</v>
      </c>
      <c r="FW43" s="20" t="str">
        <f t="shared" ca="1" si="145"/>
        <v/>
      </c>
      <c r="FX43" s="20" t="str">
        <f t="shared" ca="1" si="145"/>
        <v>w</v>
      </c>
      <c r="FY43" s="20" t="str">
        <f t="shared" ca="1" si="145"/>
        <v/>
      </c>
      <c r="FZ43" s="20" t="str">
        <f t="shared" ref="FZ43:GH48" ca="1" si="146">IF(INDEX(INDIRECT($A43), $B43+6, FZ$6+2)=0, "", INDEX(INDIRECT($A43), $B43+6, FZ$6+2))</f>
        <v>l</v>
      </c>
      <c r="GA43" s="20" t="str">
        <f t="shared" ca="1" si="146"/>
        <v/>
      </c>
      <c r="GB43" s="20" t="str">
        <f t="shared" ca="1" si="146"/>
        <v/>
      </c>
      <c r="GC43" s="20" t="str">
        <f t="shared" ca="1" si="146"/>
        <v>l</v>
      </c>
      <c r="GD43" s="20" t="str">
        <f t="shared" ca="1" si="146"/>
        <v>w</v>
      </c>
      <c r="GE43" s="20" t="str">
        <f t="shared" ca="1" si="146"/>
        <v>w</v>
      </c>
      <c r="GF43" s="20" t="str">
        <f t="shared" ca="1" si="146"/>
        <v>w</v>
      </c>
      <c r="GG43" s="20" t="str">
        <f t="shared" ca="1" si="146"/>
        <v>w</v>
      </c>
      <c r="GH43" s="20" t="str">
        <f t="shared" ca="1" si="146"/>
        <v/>
      </c>
      <c r="GI43" s="34"/>
      <c r="HE43" s="34"/>
      <c r="HZ43" s="34"/>
      <c r="IA43" s="19" t="str">
        <f t="shared" ref="IA43:IA48" ca="1" si="147">IF(D43&lt;&gt;"","No Hdcp","")</f>
        <v>No Hdcp</v>
      </c>
      <c r="IB43" s="19" t="str">
        <f ca="1">IF($D43&lt;&gt;"","Low of score &amp; "&amp;MIN($H43:$H43),"")</f>
        <v>Low of score &amp; 48</v>
      </c>
      <c r="IC43" s="19" t="str">
        <f ca="1">IF($D43&lt;&gt;"","Low of score &amp; "&amp;MIN($H43:$I43),"")</f>
        <v>Low of score &amp; 48</v>
      </c>
      <c r="ID43" s="18" t="str">
        <f ca="1">IF($D43&lt;&gt;"","Low of score &amp; "&amp;MIN($H43:$J43),"")</f>
        <v>Low of score &amp; 48</v>
      </c>
      <c r="IE43" s="18" t="str">
        <f ca="1">IF($D43&lt;&gt;"","Low of score &amp; "&amp;MIN($H43:$K43),"")</f>
        <v>Low of score &amp; 48</v>
      </c>
      <c r="IF43" s="18">
        <f ca="1">IF($D43&lt;&gt;"",ROUND(MIN((MIN($H43:$L43)-36)*0.96,20),2),"")</f>
        <v>11.52</v>
      </c>
      <c r="IG43" s="353">
        <f ca="1">IF($D43&lt;&gt;"",ROUND(MIN((AVERAGE(SMALL($H43:$M43,1),SMALL($H43:$M43,2))-36)*0.96,20),2),"")</f>
        <v>12</v>
      </c>
      <c r="IH43" s="18">
        <f ca="1">IF($D43&lt;&gt;"",ROUND(MIN((AVERAGE(SMALL($H43:$N43,1),SMALL($H43:$N43,2),SMALL($H43:$N43,3))-36)*0.96,20),2),"")</f>
        <v>12.48</v>
      </c>
      <c r="II43" s="18">
        <f ca="1">IF($D43&lt;&gt;"",ROUND(MIN((AVERAGE(SMALL($H43:$O43,1),SMALL($H43:$O43,2),SMALL($H43:$O43,3),SMALL($H43:$O43,4))-36)*0.96,20),2),"")</f>
        <v>13.2</v>
      </c>
      <c r="IJ43" s="18">
        <f ca="1">IF($D43&lt;&gt;"",ROUND(MIN((AVERAGE(SMALL($H43:$P43,1),SMALL($H43:$P43,2),SMALL($H43:$P43,3),SMALL($H43:$P43,4))-36)*0.96,20),2),"")</f>
        <v>13.2</v>
      </c>
      <c r="IK43" s="18">
        <f ca="1">IF($D43&lt;&gt;"",ROUND(MIN((AVERAGE(SMALL($H43:$Q43,1),SMALL($H43:$Q43,2),SMALL($H43:$Q43,3),SMALL($H43:$Q43,4),SMALL($H43:$Q43,5))-36)*0.96,20),2),"")</f>
        <v>14.02</v>
      </c>
      <c r="IL43" s="34"/>
      <c r="IN43" s="18">
        <f ca="1">AO43</f>
        <v>54</v>
      </c>
      <c r="IO43" s="18">
        <f ca="1">AN43</f>
        <v>56</v>
      </c>
      <c r="IP43" s="18">
        <f ca="1">AM43</f>
        <v>49</v>
      </c>
      <c r="IQ43" s="18">
        <f ca="1">AL43</f>
        <v>53</v>
      </c>
      <c r="IR43" s="18">
        <f ca="1">AK43</f>
        <v>50</v>
      </c>
      <c r="IS43" s="18">
        <f ca="1">AJ43</f>
        <v>51</v>
      </c>
      <c r="IT43" s="18">
        <f ca="1">AI43</f>
        <v>52</v>
      </c>
      <c r="IU43" s="18">
        <f ca="1">AH43</f>
        <v>53</v>
      </c>
      <c r="IV43" s="18">
        <f ca="1">AG43</f>
        <v>57</v>
      </c>
      <c r="IW43" s="18">
        <f ca="1">AF43</f>
        <v>53</v>
      </c>
      <c r="IX43" s="19">
        <f ca="1">IF(D43&lt;&gt;"",COUNT(IN43:IW43),"")</f>
        <v>10</v>
      </c>
      <c r="IY43" s="21">
        <f ca="1">IF(D43&lt;&gt;"",INDEX($JA43:$JK43,1,MATCH($IX43,$JA$6:$JK$6,0)), "")</f>
        <v>14.399999999999999</v>
      </c>
      <c r="JA43" s="18" t="str">
        <f ca="1">IF(D43&lt;&gt;"","No Hdcp","")</f>
        <v>No Hdcp</v>
      </c>
      <c r="JB43" s="18" t="str">
        <f ca="1">IF(D43&lt;&gt;"","Low of score &amp; "&amp;MIN($IN43:$IN43),"")</f>
        <v>Low of score &amp; 54</v>
      </c>
      <c r="JC43" s="18" t="str">
        <f ca="1">IF(D43&lt;&gt;"","Low of score &amp; "&amp;MIN($IN43:$IO43),"")</f>
        <v>Low of score &amp; 54</v>
      </c>
      <c r="JD43" s="18" t="str">
        <f ca="1">IF(D43&lt;&gt;"","Low of score &amp; "&amp;MIN($IN43:$IP43),"")</f>
        <v>Low of score &amp; 49</v>
      </c>
      <c r="JE43" s="18" t="str">
        <f ca="1">IF(D43&lt;&gt;"","Low of score &amp; "&amp;MIN($IN43:$IQ43),"")</f>
        <v>Low of score &amp; 49</v>
      </c>
      <c r="JF43" s="18">
        <f ca="1">IF(D43&lt;&gt;"",MIN((MIN($IN43:$IR43)-36)*0.96,20),"")</f>
        <v>12.48</v>
      </c>
      <c r="JG43" s="18">
        <f ca="1">IF(D43&lt;&gt;"",MIN((AVERAGE(SMALL($IN43:$IS43,1),SMALL($IN43:$IS43,2))-36)*0.96,20),"")</f>
        <v>12.959999999999999</v>
      </c>
      <c r="JH43" s="18">
        <f ca="1">IF(D43&lt;&gt;"",MIN((AVERAGE(SMALL($IN43:$IT43,1),SMALL($IN43:$IT43,2),SMALL($IN43:$IT43,3))-36)*0.96,20),"")</f>
        <v>13.44</v>
      </c>
      <c r="JI43" s="18">
        <f ca="1">IF(D43&lt;&gt;"",MIN((AVERAGE(SMALL($IN43:$IU43,1),SMALL($IN43:$IU43,2),SMALL($IN43:$IU43,3),SMALL($IN43:$IU43,4))-36)*0.96,20),"")</f>
        <v>13.92</v>
      </c>
      <c r="JJ43" s="18">
        <f ca="1">IF(D43&lt;&gt;"",MIN((AVERAGE(SMALL($IN43:$IV43,1),SMALL($IN43:$IV43,2),SMALL($IN43:$IV43,3),SMALL($IN43:$IV43,4))-36)*0.96,20),"")</f>
        <v>13.92</v>
      </c>
      <c r="JK43" s="18">
        <f ca="1">IF(D43&lt;&gt;"",MIN((AVERAGE(SMALL($IN43:$IW43,1),SMALL($IN43:$IW43,2),SMALL($IN43:$IW43,3),SMALL($IN43:$IW43,4),SMALL($IN43:$IW43,5))-36)*0.96,20),"")</f>
        <v>14.399999999999999</v>
      </c>
    </row>
    <row r="44" spans="1:271" x14ac:dyDescent="0.2">
      <c r="A44" s="18" t="s">
        <v>27</v>
      </c>
      <c r="B44" s="19">
        <f>B43+7</f>
        <v>12</v>
      </c>
      <c r="C44" s="22">
        <f t="shared" ca="1" si="126"/>
        <v>1.9E-3</v>
      </c>
      <c r="D44" s="18" t="str">
        <f t="shared" ca="1" si="127"/>
        <v>Bond, Gregg</v>
      </c>
      <c r="E44" s="19">
        <f t="shared" ca="1" si="128"/>
        <v>11</v>
      </c>
      <c r="F44" s="19">
        <f ca="1">IF(D44&lt;&gt;"",COUNT($H44:$Q44),"")</f>
        <v>10</v>
      </c>
      <c r="G44" s="21">
        <f ca="1">IF($D44&lt;&gt;"",INDEX($IA44:$IK44,1,MATCH($F44,$IA$6:$IK$6,0)), "")</f>
        <v>9.02</v>
      </c>
      <c r="H44" s="337">
        <f ca="1">IFERROR(INDEX($AF44:$BH44, , SUMPRODUCT(LARGE((($AF44:$BH44&lt;&gt;0)*($BJ44:$CL44&lt;&gt;1)*($AF$5:$BH$5)), H$6))), "")</f>
        <v>46</v>
      </c>
      <c r="I44" s="338" cm="1">
        <f t="array" aca="1" ref="I44" ca="1">IFERROR(_xlfn.SINGLE(INDEX($AF44:$BH44, , SUMPRODUCT(LARGE((($AF44:$BH44&lt;&gt;0)*($BJ44:$CL44&lt;&gt;1)*($AF$5:$BH$5)), I$6)))), "")</f>
        <v>49</v>
      </c>
      <c r="J44" s="338" cm="1">
        <f t="array" aca="1" ref="J44" ca="1">IFERROR(_xlfn.SINGLE(INDEX($AF44:$BH44, , SUMPRODUCT(LARGE((($AF44:$BH44&lt;&gt;0)*($BJ44:$CL44&lt;&gt;1)*($AF$5:$BH$5)), J$6)))), "")</f>
        <v>43</v>
      </c>
      <c r="K44" s="338" cm="1">
        <f t="array" aca="1" ref="K44" ca="1">IFERROR(_xlfn.SINGLE(INDEX($AF44:$BH44, , SUMPRODUCT(LARGE((($AF44:$BH44&lt;&gt;0)*($BJ44:$CL44&lt;&gt;1)*($AF$5:$BH$5)), K$6)))), "")</f>
        <v>48</v>
      </c>
      <c r="L44" s="338" cm="1">
        <f t="array" aca="1" ref="L44" ca="1">IFERROR(_xlfn.SINGLE(INDEX($AF44:$BH44, , SUMPRODUCT(LARGE((($AF44:$BH44&lt;&gt;0)*($BJ44:$CL44&lt;&gt;1)*($AF$5:$BH$5)), L$6)))), "")</f>
        <v>48</v>
      </c>
      <c r="M44" s="338" cm="1">
        <f t="array" aca="1" ref="M44" ca="1">IFERROR(_xlfn.SINGLE(INDEX($AF44:$BH44, , SUMPRODUCT(LARGE((($AF44:$BH44&lt;&gt;0)*($BJ44:$CL44&lt;&gt;1)*($AF$5:$BH$5)), M$6)))), "")</f>
        <v>46</v>
      </c>
      <c r="N44" s="338" cm="1">
        <f t="array" aca="1" ref="N44" ca="1">IFERROR(_xlfn.SINGLE(INDEX($AF44:$BH44, , SUMPRODUCT(LARGE((($AF44:$BH44&lt;&gt;0)*($BJ44:$CL44&lt;&gt;1)*($AF$5:$BH$5)), N$6)))), "")</f>
        <v>45</v>
      </c>
      <c r="O44" s="338" cm="1">
        <f t="array" aca="1" ref="O44" ca="1">IFERROR(_xlfn.SINGLE(INDEX($AF44:$BH44, , SUMPRODUCT(LARGE((($AF44:$BH44&lt;&gt;0)*($BJ44:$CL44&lt;&gt;1)*($AF$5:$BH$5)), O$6)))), "")</f>
        <v>55</v>
      </c>
      <c r="P44" s="338" cm="1">
        <f t="array" aca="1" ref="P44" ca="1">IFERROR(_xlfn.SINGLE(INDEX($AF44:$BH44, , SUMPRODUCT(LARGE((($AF44:$BH44&lt;&gt;0)*($BJ44:$CL44&lt;&gt;1)*($AF$5:$BH$5)), P$6)))), "")</f>
        <v>47</v>
      </c>
      <c r="Q44" s="339" cm="1">
        <f t="array" aca="1" ref="Q44" ca="1">IFERROR(_xlfn.SINGLE(INDEX($AF44:$BH44, , SUMPRODUCT(LARGE((($AF44:$BH44&lt;&gt;0)*($BJ44:$CL44&lt;&gt;1)*($AF$5:$BH$5)), Q$6)))), "")</f>
        <v>55</v>
      </c>
      <c r="R44" s="21">
        <v>48.53846153846154</v>
      </c>
      <c r="S44" s="47">
        <f t="shared" ca="1" si="129"/>
        <v>45.4</v>
      </c>
      <c r="T44" s="21">
        <f ca="1">IF($D44&lt;&gt;"", IFERROR(IF($E44&gt;=qualifier, SUMIF($BT44:$CL44,0,$AP44:$BH44)/$E44, TEXT(SUMIF($BT44:$CL44,0,$AP44:$BH44)/$E44, "0.00")&amp;"*"), "-"), "")</f>
        <v>49.090909090909093</v>
      </c>
      <c r="U44" s="21">
        <f ca="1">IF($D44&lt;&gt;"", IFERROR(IF($E44&gt;=qualifier, SUMIF($BT44:$CL44,0,$CN44:$DF44)/$E44, TEXT(SUMIF($BT44:$CL44,0,$CN44:$DF44)/$E44, "0.00")&amp;"*"), "-"), "")</f>
        <v>41.18181818181818</v>
      </c>
      <c r="V44" s="46">
        <f ca="1">IF(AND($D44&lt;&gt;"", $E44&lt;&gt;0), _xlfn.MINIFS($AP44:$BH44,$BT44:$CL44,0,$AP44:$BH44,"&lt;&gt;0"), "")</f>
        <v>43</v>
      </c>
      <c r="W44" s="19">
        <f ca="1">IF(AND($D44&lt;&gt;"", $E44&lt;&gt;0), _xlfn.MINIFS($CN44:$DF44,$BT44:$CL44,0), "")</f>
        <v>34</v>
      </c>
      <c r="X44" s="46">
        <f ca="1">IF($D44&lt;&gt;"", SUM($DH44:$DZ44),  "")</f>
        <v>109</v>
      </c>
      <c r="Y44" s="21">
        <f ca="1">IF($D44&lt;&gt;"", IFERROR(IF($E44&gt;=qualifier, AVERAGE($DH44:$DZ44), TEXT(AVERAGE($DH44:$DZ44), "0.00")&amp;"*"), "-"), "")</f>
        <v>9.0833333333333339</v>
      </c>
      <c r="Z44" s="19">
        <f ca="1">IF($D44&lt;&gt;"", SUM($EB44:$ET44),  "")</f>
        <v>0</v>
      </c>
      <c r="AA44" s="19">
        <f ca="1">IF($D44&lt;&gt;"", SUM($EV44:$FN44),  "")</f>
        <v>0</v>
      </c>
      <c r="AB44" s="46" t="str">
        <f t="shared" ca="1" si="130"/>
        <v>4-7-1</v>
      </c>
      <c r="AC44" s="218">
        <f t="shared" ca="1" si="131"/>
        <v>3307867007</v>
      </c>
      <c r="AD44" s="57" t="str">
        <f t="shared" ca="1" si="132"/>
        <v>Gregg.Bond007@outlook.com</v>
      </c>
      <c r="AE44" s="34"/>
      <c r="AF44" s="341">
        <f ca="1">INDEX(PriorScores[],MATCH($D44,PriorScores[Team / Player],0),2)</f>
        <v>58</v>
      </c>
      <c r="AG44" s="341">
        <f ca="1">INDEX(PriorScores[],MATCH($D44,PriorScores[Team / Player],0),3)</f>
        <v>46</v>
      </c>
      <c r="AH44" s="341">
        <f ca="1">INDEX(PriorScores[],MATCH($D44,PriorScores[Team / Player],0),4)</f>
        <v>52</v>
      </c>
      <c r="AI44" s="341">
        <f ca="1">INDEX(PriorScores[],MATCH($D44,PriorScores[Team / Player],0),5)</f>
        <v>45</v>
      </c>
      <c r="AJ44" s="341">
        <f ca="1">INDEX(PriorScores[],MATCH($D44,PriorScores[Team / Player],0),6)</f>
        <v>44</v>
      </c>
      <c r="AK44" s="341">
        <f ca="1">INDEX(PriorScores[],MATCH($D44,PriorScores[Team / Player],0),7)</f>
        <v>41</v>
      </c>
      <c r="AL44" s="341">
        <f ca="1">INDEX(PriorScores[],MATCH($D44,PriorScores[Team / Player],0),8)</f>
        <v>46</v>
      </c>
      <c r="AM44" s="341">
        <f ca="1">INDEX(PriorScores[],MATCH($D44,PriorScores[Team / Player],0),9)</f>
        <v>52</v>
      </c>
      <c r="AN44" s="341">
        <f ca="1">INDEX(PriorScores[],MATCH($D44,PriorScores[Team / Player],0),10)</f>
        <v>47</v>
      </c>
      <c r="AO44" s="341">
        <f ca="1">INDEX(PriorScores[],MATCH($D44,PriorScores[Team / Player],0),11)</f>
        <v>41</v>
      </c>
      <c r="AP44" s="20">
        <f t="shared" ca="1" si="133"/>
        <v>58</v>
      </c>
      <c r="AQ44" s="20">
        <f t="shared" ca="1" si="133"/>
        <v>55</v>
      </c>
      <c r="AR44" s="20">
        <f t="shared" ca="1" si="133"/>
        <v>0</v>
      </c>
      <c r="AS44" s="20">
        <f t="shared" ca="1" si="133"/>
        <v>0</v>
      </c>
      <c r="AT44" s="20">
        <f t="shared" ca="1" si="133"/>
        <v>47</v>
      </c>
      <c r="AU44" s="20">
        <f t="shared" ca="1" si="133"/>
        <v>55</v>
      </c>
      <c r="AV44" s="20">
        <f t="shared" ca="1" si="133"/>
        <v>45</v>
      </c>
      <c r="AW44" s="20">
        <f t="shared" ca="1" si="133"/>
        <v>0</v>
      </c>
      <c r="AX44" s="20">
        <f t="shared" ca="1" si="133"/>
        <v>46</v>
      </c>
      <c r="AY44" s="20">
        <f t="shared" ca="1" si="133"/>
        <v>0</v>
      </c>
      <c r="AZ44" s="20">
        <f t="shared" ca="1" si="134"/>
        <v>0</v>
      </c>
      <c r="BA44" s="20">
        <f t="shared" ca="1" si="134"/>
        <v>0</v>
      </c>
      <c r="BB44" s="20">
        <f t="shared" ca="1" si="134"/>
        <v>48</v>
      </c>
      <c r="BC44" s="20">
        <f t="shared" ca="1" si="134"/>
        <v>48</v>
      </c>
      <c r="BD44" s="20">
        <f t="shared" ca="1" si="134"/>
        <v>43</v>
      </c>
      <c r="BE44" s="20">
        <f t="shared" ca="1" si="134"/>
        <v>49</v>
      </c>
      <c r="BF44" s="20">
        <f t="shared" ca="1" si="134"/>
        <v>46</v>
      </c>
      <c r="BG44" s="20">
        <f t="shared" ca="1" si="134"/>
        <v>0</v>
      </c>
      <c r="BH44" s="20">
        <f t="shared" ca="1" si="134"/>
        <v>0</v>
      </c>
      <c r="BI44" s="34"/>
      <c r="BJ44" s="341">
        <v>0</v>
      </c>
      <c r="BK44" s="341">
        <v>0</v>
      </c>
      <c r="BL44" s="341">
        <v>0</v>
      </c>
      <c r="BM44" s="341">
        <v>0</v>
      </c>
      <c r="BN44" s="341">
        <v>0</v>
      </c>
      <c r="BO44" s="341">
        <v>0</v>
      </c>
      <c r="BP44" s="341">
        <v>0</v>
      </c>
      <c r="BQ44" s="341">
        <v>0</v>
      </c>
      <c r="BR44" s="341">
        <v>0</v>
      </c>
      <c r="BS44" s="341">
        <v>0</v>
      </c>
      <c r="BT44" s="20">
        <f t="shared" ca="1" si="135"/>
        <v>0</v>
      </c>
      <c r="BU44" s="20">
        <f t="shared" ca="1" si="135"/>
        <v>0</v>
      </c>
      <c r="BV44" s="20">
        <f t="shared" ca="1" si="135"/>
        <v>0</v>
      </c>
      <c r="BW44" s="20">
        <f t="shared" ca="1" si="135"/>
        <v>0</v>
      </c>
      <c r="BX44" s="20">
        <f t="shared" ca="1" si="135"/>
        <v>0</v>
      </c>
      <c r="BY44" s="20">
        <f t="shared" ca="1" si="135"/>
        <v>0</v>
      </c>
      <c r="BZ44" s="20">
        <f t="shared" ca="1" si="135"/>
        <v>0</v>
      </c>
      <c r="CA44" s="20">
        <f t="shared" ca="1" si="135"/>
        <v>0</v>
      </c>
      <c r="CB44" s="20">
        <f t="shared" ca="1" si="135"/>
        <v>0</v>
      </c>
      <c r="CC44" s="20">
        <f t="shared" ca="1" si="135"/>
        <v>0</v>
      </c>
      <c r="CD44" s="20">
        <f t="shared" ca="1" si="136"/>
        <v>0</v>
      </c>
      <c r="CE44" s="20">
        <f t="shared" ca="1" si="136"/>
        <v>0</v>
      </c>
      <c r="CF44" s="20">
        <f t="shared" ca="1" si="136"/>
        <v>0</v>
      </c>
      <c r="CG44" s="20">
        <f t="shared" ca="1" si="136"/>
        <v>0</v>
      </c>
      <c r="CH44" s="20">
        <f t="shared" ca="1" si="136"/>
        <v>0</v>
      </c>
      <c r="CI44" s="20">
        <f t="shared" ca="1" si="136"/>
        <v>0</v>
      </c>
      <c r="CJ44" s="20">
        <f t="shared" ca="1" si="136"/>
        <v>0</v>
      </c>
      <c r="CK44" s="20">
        <f t="shared" ca="1" si="136"/>
        <v>1</v>
      </c>
      <c r="CL44" s="20">
        <f t="shared" ca="1" si="136"/>
        <v>0</v>
      </c>
      <c r="CM44" s="34"/>
      <c r="CN44" s="20">
        <f t="shared" ca="1" si="137"/>
        <v>51</v>
      </c>
      <c r="CO44" s="20">
        <f t="shared" ca="1" si="137"/>
        <v>48</v>
      </c>
      <c r="CP44" s="20" t="str">
        <f t="shared" ca="1" si="137"/>
        <v/>
      </c>
      <c r="CQ44" s="20" t="str">
        <f t="shared" ca="1" si="137"/>
        <v/>
      </c>
      <c r="CR44" s="20">
        <f t="shared" ca="1" si="137"/>
        <v>40</v>
      </c>
      <c r="CS44" s="20">
        <f t="shared" ca="1" si="137"/>
        <v>48</v>
      </c>
      <c r="CT44" s="20">
        <f t="shared" ca="1" si="137"/>
        <v>38</v>
      </c>
      <c r="CU44" s="20" t="str">
        <f t="shared" ca="1" si="137"/>
        <v/>
      </c>
      <c r="CV44" s="20">
        <f t="shared" ca="1" si="137"/>
        <v>38</v>
      </c>
      <c r="CW44" s="20" t="str">
        <f t="shared" ca="1" si="137"/>
        <v/>
      </c>
      <c r="CX44" s="20" t="str">
        <f t="shared" ca="1" si="138"/>
        <v/>
      </c>
      <c r="CY44" s="20" t="str">
        <f t="shared" ca="1" si="138"/>
        <v/>
      </c>
      <c r="CZ44" s="20">
        <f t="shared" ca="1" si="138"/>
        <v>39</v>
      </c>
      <c r="DA44" s="20">
        <f t="shared" ca="1" si="138"/>
        <v>39</v>
      </c>
      <c r="DB44" s="20">
        <f t="shared" ca="1" si="138"/>
        <v>34</v>
      </c>
      <c r="DC44" s="20">
        <f t="shared" ca="1" si="138"/>
        <v>41</v>
      </c>
      <c r="DD44" s="20">
        <f t="shared" ca="1" si="138"/>
        <v>37</v>
      </c>
      <c r="DE44" s="20" t="str">
        <f t="shared" ca="1" si="138"/>
        <v/>
      </c>
      <c r="DF44" s="20" t="str">
        <f t="shared" ca="1" si="138"/>
        <v/>
      </c>
      <c r="DG44" s="34"/>
      <c r="DH44" s="20">
        <f t="shared" ca="1" si="139"/>
        <v>8</v>
      </c>
      <c r="DI44" s="20">
        <f t="shared" ca="1" si="139"/>
        <v>5</v>
      </c>
      <c r="DJ44" s="20" t="str">
        <f t="shared" ca="1" si="139"/>
        <v/>
      </c>
      <c r="DK44" s="20" t="str">
        <f t="shared" ca="1" si="139"/>
        <v/>
      </c>
      <c r="DL44" s="20">
        <f t="shared" ca="1" si="139"/>
        <v>6</v>
      </c>
      <c r="DM44" s="20">
        <f t="shared" ca="1" si="139"/>
        <v>5</v>
      </c>
      <c r="DN44" s="20">
        <f t="shared" ca="1" si="139"/>
        <v>8</v>
      </c>
      <c r="DO44" s="20" t="str">
        <f t="shared" ca="1" si="139"/>
        <v/>
      </c>
      <c r="DP44" s="20">
        <f t="shared" ca="1" si="139"/>
        <v>10</v>
      </c>
      <c r="DQ44" s="20" t="str">
        <f t="shared" ca="1" si="139"/>
        <v/>
      </c>
      <c r="DR44" s="20" t="str">
        <f t="shared" ca="1" si="140"/>
        <v/>
      </c>
      <c r="DS44" s="20" t="str">
        <f t="shared" ca="1" si="140"/>
        <v/>
      </c>
      <c r="DT44" s="20">
        <f t="shared" ca="1" si="140"/>
        <v>8</v>
      </c>
      <c r="DU44" s="20">
        <f t="shared" ca="1" si="140"/>
        <v>7</v>
      </c>
      <c r="DV44" s="20">
        <f t="shared" ca="1" si="140"/>
        <v>16</v>
      </c>
      <c r="DW44" s="20">
        <f t="shared" ca="1" si="140"/>
        <v>12</v>
      </c>
      <c r="DX44" s="20">
        <f t="shared" ca="1" si="140"/>
        <v>12</v>
      </c>
      <c r="DY44" s="20">
        <f t="shared" ca="1" si="140"/>
        <v>12</v>
      </c>
      <c r="DZ44" s="20" t="str">
        <f t="shared" ca="1" si="140"/>
        <v/>
      </c>
      <c r="EA44" s="34"/>
      <c r="EB44" s="20" t="str">
        <f t="shared" ca="1" si="141"/>
        <v/>
      </c>
      <c r="EC44" s="20" t="str">
        <f t="shared" ca="1" si="141"/>
        <v/>
      </c>
      <c r="ED44" s="20" t="str">
        <f t="shared" ca="1" si="141"/>
        <v/>
      </c>
      <c r="EE44" s="20" t="str">
        <f t="shared" ca="1" si="141"/>
        <v/>
      </c>
      <c r="EF44" s="20" t="str">
        <f t="shared" ca="1" si="141"/>
        <v/>
      </c>
      <c r="EG44" s="20" t="str">
        <f t="shared" ca="1" si="141"/>
        <v/>
      </c>
      <c r="EH44" s="20" t="str">
        <f t="shared" ca="1" si="141"/>
        <v/>
      </c>
      <c r="EI44" s="20" t="str">
        <f t="shared" ca="1" si="141"/>
        <v/>
      </c>
      <c r="EJ44" s="20" t="str">
        <f t="shared" ca="1" si="141"/>
        <v/>
      </c>
      <c r="EK44" s="20" t="str">
        <f t="shared" ca="1" si="141"/>
        <v/>
      </c>
      <c r="EL44" s="20" t="str">
        <f t="shared" ca="1" si="142"/>
        <v/>
      </c>
      <c r="EM44" s="20" t="str">
        <f t="shared" ca="1" si="142"/>
        <v/>
      </c>
      <c r="EN44" s="20" t="str">
        <f t="shared" ca="1" si="142"/>
        <v/>
      </c>
      <c r="EO44" s="20" t="str">
        <f t="shared" ca="1" si="142"/>
        <v/>
      </c>
      <c r="EP44" s="20" t="str">
        <f t="shared" ca="1" si="142"/>
        <v/>
      </c>
      <c r="EQ44" s="20" t="str">
        <f t="shared" ca="1" si="142"/>
        <v/>
      </c>
      <c r="ER44" s="20" t="str">
        <f t="shared" ca="1" si="142"/>
        <v/>
      </c>
      <c r="ES44" s="20" t="str">
        <f t="shared" ca="1" si="142"/>
        <v/>
      </c>
      <c r="ET44" s="20" t="str">
        <f t="shared" ca="1" si="142"/>
        <v/>
      </c>
      <c r="EU44" s="34"/>
      <c r="EV44" s="20" t="str">
        <f t="shared" ca="1" si="143"/>
        <v/>
      </c>
      <c r="EW44" s="20" t="str">
        <f t="shared" ca="1" si="143"/>
        <v/>
      </c>
      <c r="EX44" s="20" t="str">
        <f t="shared" ca="1" si="143"/>
        <v/>
      </c>
      <c r="EY44" s="20" t="str">
        <f t="shared" ca="1" si="143"/>
        <v/>
      </c>
      <c r="EZ44" s="20" t="str">
        <f t="shared" ca="1" si="143"/>
        <v/>
      </c>
      <c r="FA44" s="20" t="str">
        <f t="shared" ca="1" si="143"/>
        <v/>
      </c>
      <c r="FB44" s="20" t="str">
        <f t="shared" ca="1" si="143"/>
        <v/>
      </c>
      <c r="FC44" s="20" t="str">
        <f t="shared" ca="1" si="143"/>
        <v/>
      </c>
      <c r="FD44" s="20" t="str">
        <f t="shared" ca="1" si="143"/>
        <v/>
      </c>
      <c r="FE44" s="20" t="str">
        <f t="shared" ca="1" si="143"/>
        <v/>
      </c>
      <c r="FF44" s="20" t="str">
        <f t="shared" ca="1" si="144"/>
        <v/>
      </c>
      <c r="FG44" s="20" t="str">
        <f t="shared" ca="1" si="144"/>
        <v/>
      </c>
      <c r="FH44" s="20" t="str">
        <f t="shared" ca="1" si="144"/>
        <v/>
      </c>
      <c r="FI44" s="20" t="str">
        <f t="shared" ca="1" si="144"/>
        <v/>
      </c>
      <c r="FJ44" s="20" t="str">
        <f t="shared" ca="1" si="144"/>
        <v/>
      </c>
      <c r="FK44" s="20" t="str">
        <f t="shared" ca="1" si="144"/>
        <v/>
      </c>
      <c r="FL44" s="20" t="str">
        <f t="shared" ca="1" si="144"/>
        <v/>
      </c>
      <c r="FM44" s="20" t="str">
        <f t="shared" ca="1" si="144"/>
        <v/>
      </c>
      <c r="FN44" s="20" t="str">
        <f t="shared" ca="1" si="144"/>
        <v/>
      </c>
      <c r="FO44" s="34"/>
      <c r="FP44" s="20" t="str">
        <f t="shared" ca="1" si="145"/>
        <v>l</v>
      </c>
      <c r="FQ44" s="20" t="str">
        <f t="shared" ca="1" si="145"/>
        <v>l</v>
      </c>
      <c r="FR44" s="20" t="str">
        <f t="shared" ca="1" si="145"/>
        <v/>
      </c>
      <c r="FS44" s="20" t="str">
        <f t="shared" ca="1" si="145"/>
        <v/>
      </c>
      <c r="FT44" s="20" t="str">
        <f t="shared" ca="1" si="145"/>
        <v>l</v>
      </c>
      <c r="FU44" s="20" t="str">
        <f t="shared" ca="1" si="145"/>
        <v>l</v>
      </c>
      <c r="FV44" s="20" t="str">
        <f t="shared" ca="1" si="145"/>
        <v>l</v>
      </c>
      <c r="FW44" s="20" t="str">
        <f t="shared" ca="1" si="145"/>
        <v/>
      </c>
      <c r="FX44" s="20" t="str">
        <f t="shared" ca="1" si="145"/>
        <v>t</v>
      </c>
      <c r="FY44" s="20" t="str">
        <f t="shared" ca="1" si="145"/>
        <v/>
      </c>
      <c r="FZ44" s="20" t="str">
        <f t="shared" ca="1" si="146"/>
        <v/>
      </c>
      <c r="GA44" s="20" t="str">
        <f t="shared" ca="1" si="146"/>
        <v/>
      </c>
      <c r="GB44" s="20" t="str">
        <f t="shared" ca="1" si="146"/>
        <v>l</v>
      </c>
      <c r="GC44" s="20" t="str">
        <f t="shared" ca="1" si="146"/>
        <v>l</v>
      </c>
      <c r="GD44" s="20" t="str">
        <f t="shared" ca="1" si="146"/>
        <v>w</v>
      </c>
      <c r="GE44" s="20" t="str">
        <f t="shared" ca="1" si="146"/>
        <v>w</v>
      </c>
      <c r="GF44" s="20" t="str">
        <f t="shared" ca="1" si="146"/>
        <v>w</v>
      </c>
      <c r="GG44" s="20" t="str">
        <f t="shared" ca="1" si="146"/>
        <v>w</v>
      </c>
      <c r="GH44" s="20" t="str">
        <f t="shared" ca="1" si="146"/>
        <v/>
      </c>
      <c r="GI44" s="34"/>
      <c r="HE44" s="34"/>
      <c r="HZ44" s="34"/>
      <c r="IA44" s="19" t="str">
        <f t="shared" ca="1" si="147"/>
        <v>No Hdcp</v>
      </c>
      <c r="IB44" s="19" t="str">
        <f ca="1">IF($D44&lt;&gt;"","Low of score &amp; "&amp;MIN($H44:$H44),"")</f>
        <v>Low of score &amp; 46</v>
      </c>
      <c r="IC44" s="19" t="str">
        <f ca="1">IF($D44&lt;&gt;"","Low of score &amp; "&amp;MIN($H44:$I44),"")</f>
        <v>Low of score &amp; 46</v>
      </c>
      <c r="ID44" s="18" t="str">
        <f ca="1">IF($D44&lt;&gt;"","Low of score &amp; "&amp;MIN($H44:$J44),"")</f>
        <v>Low of score &amp; 43</v>
      </c>
      <c r="IE44" s="18" t="str">
        <f ca="1">IF($D44&lt;&gt;"","Low of score &amp; "&amp;MIN($H44:$K44),"")</f>
        <v>Low of score &amp; 43</v>
      </c>
      <c r="IF44" s="18">
        <f ca="1">IF($D44&lt;&gt;"",ROUND(MIN((MIN($H44:$L44)-36)*0.96,20),2),"")</f>
        <v>6.72</v>
      </c>
      <c r="IG44" s="353">
        <f ca="1">IF($D44&lt;&gt;"",ROUND(MIN((AVERAGE(SMALL($H44:$M44,1),SMALL($H44:$M44,2))-36)*0.96,20),2),"")</f>
        <v>8.16</v>
      </c>
      <c r="IH44" s="18">
        <f ca="1">IF($D44&lt;&gt;"",ROUND(MIN((AVERAGE(SMALL($H44:$N44,1),SMALL($H44:$N44,2),SMALL($H44:$N44,3))-36)*0.96,20),2),"")</f>
        <v>8.32</v>
      </c>
      <c r="II44" s="18">
        <f ca="1">IF($D44&lt;&gt;"",ROUND(MIN((AVERAGE(SMALL($H44:$O44,1),SMALL($H44:$O44,2),SMALL($H44:$O44,3),SMALL($H44:$O44,4))-36)*0.96,20),2),"")</f>
        <v>8.64</v>
      </c>
      <c r="IJ44" s="18">
        <f ca="1">IF($D44&lt;&gt;"",ROUND(MIN((AVERAGE(SMALL($H44:$P44,1),SMALL($H44:$P44,2),SMALL($H44:$P44,3),SMALL($H44:$P44,4))-36)*0.96,20),2),"")</f>
        <v>8.64</v>
      </c>
      <c r="IK44" s="18">
        <f ca="1">IF($D44&lt;&gt;"",ROUND(MIN((AVERAGE(SMALL($H44:$Q44,1),SMALL($H44:$Q44,2),SMALL($H44:$Q44,3),SMALL($H44:$Q44,4),SMALL($H44:$Q44,5))-36)*0.96,20),2),"")</f>
        <v>9.02</v>
      </c>
      <c r="IL44" s="34"/>
      <c r="IN44" s="18">
        <f ca="1">AO44</f>
        <v>41</v>
      </c>
      <c r="IO44" s="18">
        <f ca="1">AN44</f>
        <v>47</v>
      </c>
      <c r="IP44" s="18">
        <f ca="1">AM44</f>
        <v>52</v>
      </c>
      <c r="IQ44" s="18">
        <f ca="1">AL44</f>
        <v>46</v>
      </c>
      <c r="IR44" s="18">
        <f ca="1">AK44</f>
        <v>41</v>
      </c>
      <c r="IS44" s="18">
        <f ca="1">AJ44</f>
        <v>44</v>
      </c>
      <c r="IT44" s="18">
        <f ca="1">AI44</f>
        <v>45</v>
      </c>
      <c r="IU44" s="18">
        <f ca="1">AH44</f>
        <v>52</v>
      </c>
      <c r="IV44" s="18">
        <f ca="1">AG44</f>
        <v>46</v>
      </c>
      <c r="IW44" s="18">
        <f ca="1">AF44</f>
        <v>58</v>
      </c>
      <c r="IX44" s="19">
        <f ca="1">IF(D44&lt;&gt;"",COUNT(IN44:IW44),"")</f>
        <v>10</v>
      </c>
      <c r="IY44" s="21">
        <f ca="1">IF(D44&lt;&gt;"",INDEX($JA44:$JK44,1,MATCH($IX44,$JA$6:$JK$6,0)), "")</f>
        <v>7.1039999999999983</v>
      </c>
      <c r="JA44" s="18" t="str">
        <f ca="1">IF(D44&lt;&gt;"","No Hdcp","")</f>
        <v>No Hdcp</v>
      </c>
      <c r="JB44" s="18" t="str">
        <f ca="1">IF(D44&lt;&gt;"","Low of score &amp; "&amp;MIN($IN44:$IN44),"")</f>
        <v>Low of score &amp; 41</v>
      </c>
      <c r="JC44" s="18" t="str">
        <f ca="1">IF(D44&lt;&gt;"","Low of score &amp; "&amp;MIN($IN44:$IO44),"")</f>
        <v>Low of score &amp; 41</v>
      </c>
      <c r="JD44" s="18" t="str">
        <f ca="1">IF(D44&lt;&gt;"","Low of score &amp; "&amp;MIN($IN44:$IP44),"")</f>
        <v>Low of score &amp; 41</v>
      </c>
      <c r="JE44" s="18" t="str">
        <f ca="1">IF(D44&lt;&gt;"","Low of score &amp; "&amp;MIN($IN44:$IQ44),"")</f>
        <v>Low of score &amp; 41</v>
      </c>
      <c r="JF44" s="18">
        <f ca="1">IF(D44&lt;&gt;"",MIN((MIN($IN44:$IR44)-36)*0.96,20),"")</f>
        <v>4.8</v>
      </c>
      <c r="JG44" s="18">
        <f ca="1">IF(D44&lt;&gt;"",MIN((AVERAGE(SMALL($IN44:$IS44,1),SMALL($IN44:$IS44,2))-36)*0.96,20),"")</f>
        <v>4.8</v>
      </c>
      <c r="JH44" s="18">
        <f ca="1">IF(D44&lt;&gt;"",MIN((AVERAGE(SMALL($IN44:$IT44,1),SMALL($IN44:$IT44,2),SMALL($IN44:$IT44,3))-36)*0.96,20),"")</f>
        <v>5.76</v>
      </c>
      <c r="JI44" s="18">
        <f ca="1">IF(D44&lt;&gt;"",MIN((AVERAGE(SMALL($IN44:$IU44,1),SMALL($IN44:$IU44,2),SMALL($IN44:$IU44,3),SMALL($IN44:$IU44,4))-36)*0.96,20),"")</f>
        <v>6.4799999999999995</v>
      </c>
      <c r="JJ44" s="18">
        <f ca="1">IF(D44&lt;&gt;"",MIN((AVERAGE(SMALL($IN44:$IV44,1),SMALL($IN44:$IV44,2),SMALL($IN44:$IV44,3),SMALL($IN44:$IV44,4))-36)*0.96,20),"")</f>
        <v>6.4799999999999995</v>
      </c>
      <c r="JK44" s="18">
        <f ca="1">IF(D44&lt;&gt;"",MIN((AVERAGE(SMALL($IN44:$IW44,1),SMALL($IN44:$IW44,2),SMALL($IN44:$IW44,3),SMALL($IN44:$IW44,4),SMALL($IN44:$IW44,5))-36)*0.96,20),"")</f>
        <v>7.1039999999999983</v>
      </c>
    </row>
    <row r="45" spans="1:271" x14ac:dyDescent="0.2">
      <c r="A45" s="18" t="s">
        <v>27</v>
      </c>
      <c r="B45" s="19">
        <f>B44+7</f>
        <v>19</v>
      </c>
      <c r="C45" s="22">
        <f t="shared" ca="1" si="126"/>
        <v>8.0999999999999996E-3</v>
      </c>
      <c r="D45" s="18" t="str">
        <f t="shared" ca="1" si="127"/>
        <v>Radel, Pat - C - green tees</v>
      </c>
      <c r="E45" s="19">
        <f t="shared" ca="1" si="128"/>
        <v>12</v>
      </c>
      <c r="F45" s="19">
        <f ca="1">IF(D45&lt;&gt;"",COUNT($H45:$Q45),"")</f>
        <v>10</v>
      </c>
      <c r="G45" s="21">
        <f ca="1">IF($D45&lt;&gt;"",INDEX($IA45:$IK45,1,MATCH($F45,$IA$6:$IK$6,0)), "")</f>
        <v>9.98</v>
      </c>
      <c r="H45" s="337" cm="1">
        <f t="array" aca="1" ref="H45" ca="1">IFERROR(_xlfn.SINGLE(INDEX($AF45:$BH45, , SUMPRODUCT(LARGE((($AF45:$BH45&lt;&gt;0)*($BJ45:$CL45&lt;&gt;1)*($AF$5:$BH$5)), H$6)))), "")</f>
        <v>45</v>
      </c>
      <c r="I45" s="338" cm="1">
        <f t="array" aca="1" ref="I45" ca="1">IFERROR(_xlfn.SINGLE(INDEX($AF45:$BH45, , SUMPRODUCT(LARGE((($AF45:$BH45&lt;&gt;0)*($BJ45:$CL45&lt;&gt;1)*($AF$5:$BH$5)), I$6)))), "")</f>
        <v>49</v>
      </c>
      <c r="J45" s="338" cm="1">
        <f t="array" aca="1" ref="J45" ca="1">IFERROR(_xlfn.SINGLE(INDEX($AF45:$BH45, , SUMPRODUCT(LARGE((($AF45:$BH45&lt;&gt;0)*($BJ45:$CL45&lt;&gt;1)*($AF$5:$BH$5)), J$6)))), "")</f>
        <v>48</v>
      </c>
      <c r="K45" s="338" cm="1">
        <f t="array" aca="1" ref="K45" ca="1">IFERROR(_xlfn.SINGLE(INDEX($AF45:$BH45, , SUMPRODUCT(LARGE((($AF45:$BH45&lt;&gt;0)*($BJ45:$CL45&lt;&gt;1)*($AF$5:$BH$5)), K$6)))), "")</f>
        <v>44</v>
      </c>
      <c r="L45" s="338" cm="1">
        <f t="array" aca="1" ref="L45" ca="1">IFERROR(_xlfn.SINGLE(INDEX($AF45:$BH45, , SUMPRODUCT(LARGE((($AF45:$BH45&lt;&gt;0)*($BJ45:$CL45&lt;&gt;1)*($AF$5:$BH$5)), L$6)))), "")</f>
        <v>48</v>
      </c>
      <c r="M45" s="338" cm="1">
        <f t="array" aca="1" ref="M45" ca="1">IFERROR(_xlfn.SINGLE(INDEX($AF45:$BH45, , SUMPRODUCT(LARGE((($AF45:$BH45&lt;&gt;0)*($BJ45:$CL45&lt;&gt;1)*($AF$5:$BH$5)), M$6)))), "")</f>
        <v>48</v>
      </c>
      <c r="N45" s="338" cm="1">
        <f t="array" aca="1" ref="N45" ca="1">IFERROR(_xlfn.SINGLE(INDEX($AF45:$BH45, , SUMPRODUCT(LARGE((($AF45:$BH45&lt;&gt;0)*($BJ45:$CL45&lt;&gt;1)*($AF$5:$BH$5)), N$6)))), "")</f>
        <v>54</v>
      </c>
      <c r="O45" s="338" cm="1">
        <f t="array" aca="1" ref="O45" ca="1">IFERROR(_xlfn.SINGLE(INDEX($AF45:$BH45, , SUMPRODUCT(LARGE((($AF45:$BH45&lt;&gt;0)*($BJ45:$CL45&lt;&gt;1)*($AF$5:$BH$5)), O$6)))), "")</f>
        <v>48</v>
      </c>
      <c r="P45" s="338" cm="1">
        <f t="array" aca="1" ref="P45" ca="1">IFERROR(_xlfn.SINGLE(INDEX($AF45:$BH45, , SUMPRODUCT(LARGE((($AF45:$BH45&lt;&gt;0)*($BJ45:$CL45&lt;&gt;1)*($AF$5:$BH$5)), P$6)))), "")</f>
        <v>47</v>
      </c>
      <c r="Q45" s="339" cm="1">
        <f t="array" aca="1" ref="Q45" ca="1">IFERROR(_xlfn.SINGLE(INDEX($AF45:$BH45, , SUMPRODUCT(LARGE((($AF45:$BH45&lt;&gt;0)*($BJ45:$CL45&lt;&gt;1)*($AF$5:$BH$5)), Q$6)))), "")</f>
        <v>53</v>
      </c>
      <c r="R45" s="21">
        <v>47.769230769230766</v>
      </c>
      <c r="S45" s="47">
        <f t="shared" ca="1" si="129"/>
        <v>46.4</v>
      </c>
      <c r="T45" s="21">
        <f ca="1">IF($D45&lt;&gt;"", IFERROR(IF($E45&gt;=qualifier, SUMIF($BT45:$CL45,0,$AP45:$BH45)/$E45, TEXT(SUMIF($BT45:$CL45,0,$AP45:$BH45)/$E45, "0.00")&amp;"*"), "-"), "")</f>
        <v>49.083333333333336</v>
      </c>
      <c r="U45" s="21">
        <f ca="1">IF($D45&lt;&gt;"", IFERROR(IF($E45&gt;=qualifier, SUMIF($BT45:$CL45,0,$CN45:$DF45)/$E45, TEXT(SUMIF($BT45:$CL45,0,$CN45:$DF45)/$E45, "0.00")&amp;"*"), "-"), "")</f>
        <v>39.25</v>
      </c>
      <c r="V45" s="46">
        <f ca="1">IF(AND($D45&lt;&gt;"", $E45&lt;&gt;0), _xlfn.MINIFS($AP45:$BH45,$BT45:$CL45,0,$AP45:$BH45,"&lt;&gt;0"), "")</f>
        <v>44</v>
      </c>
      <c r="W45" s="19">
        <f ca="1">IF(AND($D45&lt;&gt;"", $E45&lt;&gt;0), _xlfn.MINIFS($CN45:$DF45,$BT45:$CL45,0), "")</f>
        <v>33</v>
      </c>
      <c r="X45" s="46">
        <f ca="1">IF($D45&lt;&gt;"", SUM($DH45:$DZ45),  "")</f>
        <v>132</v>
      </c>
      <c r="Y45" s="21">
        <f ca="1">IF($D45&lt;&gt;"", IFERROR(IF($E45&gt;=qualifier, AVERAGE($DH45:$DZ45), TEXT(AVERAGE($DH45:$DZ45), "0.00")&amp;"*"), "-"), "")</f>
        <v>10.153846153846153</v>
      </c>
      <c r="Z45" s="19">
        <f ca="1">IF($D45&lt;&gt;"", SUM($EB45:$ET45),  "")</f>
        <v>3</v>
      </c>
      <c r="AA45" s="19">
        <f ca="1">IF($D45&lt;&gt;"", SUM($EV45:$FN45),  "")</f>
        <v>0</v>
      </c>
      <c r="AB45" s="46" t="str">
        <f t="shared" ca="1" si="130"/>
        <v>6-5-2</v>
      </c>
      <c r="AC45" s="218">
        <f t="shared" ca="1" si="131"/>
        <v>3308334244</v>
      </c>
      <c r="AD45" s="57" t="str">
        <f t="shared" ca="1" si="132"/>
        <v>radel325@sssnet.com</v>
      </c>
      <c r="AE45" s="34"/>
      <c r="AF45" s="341">
        <f ca="1">INDEX(PriorScores[],MATCH($D45,PriorScores[Team / Player],0),2)</f>
        <v>50</v>
      </c>
      <c r="AG45" s="341">
        <f ca="1">INDEX(PriorScores[],MATCH($D45,PriorScores[Team / Player],0),3)</f>
        <v>47</v>
      </c>
      <c r="AH45" s="341">
        <f ca="1">INDEX(PriorScores[],MATCH($D45,PriorScores[Team / Player],0),4)</f>
        <v>50</v>
      </c>
      <c r="AI45" s="341">
        <f ca="1">INDEX(PriorScores[],MATCH($D45,PriorScores[Team / Player],0),5)</f>
        <v>49</v>
      </c>
      <c r="AJ45" s="341">
        <f ca="1">INDEX(PriorScores[],MATCH($D45,PriorScores[Team / Player],0),6)</f>
        <v>51</v>
      </c>
      <c r="AK45" s="341">
        <f ca="1">INDEX(PriorScores[],MATCH($D45,PriorScores[Team / Player],0),7)</f>
        <v>43</v>
      </c>
      <c r="AL45" s="341">
        <f ca="1">INDEX(PriorScores[],MATCH($D45,PriorScores[Team / Player],0),8)</f>
        <v>44</v>
      </c>
      <c r="AM45" s="341">
        <f ca="1">INDEX(PriorScores[],MATCH($D45,PriorScores[Team / Player],0),9)</f>
        <v>48</v>
      </c>
      <c r="AN45" s="341">
        <f ca="1">INDEX(PriorScores[],MATCH($D45,PriorScores[Team / Player],0),10)</f>
        <v>48</v>
      </c>
      <c r="AO45" s="341">
        <f ca="1">INDEX(PriorScores[],MATCH($D45,PriorScores[Team / Player],0),11)</f>
        <v>45</v>
      </c>
      <c r="AP45" s="20">
        <f t="shared" ca="1" si="133"/>
        <v>55</v>
      </c>
      <c r="AQ45" s="20">
        <f t="shared" ca="1" si="133"/>
        <v>50</v>
      </c>
      <c r="AR45" s="20">
        <f t="shared" ca="1" si="133"/>
        <v>53</v>
      </c>
      <c r="AS45" s="20">
        <f t="shared" ca="1" si="133"/>
        <v>47</v>
      </c>
      <c r="AT45" s="20">
        <f t="shared" ca="1" si="133"/>
        <v>48</v>
      </c>
      <c r="AU45" s="20">
        <f t="shared" ca="1" si="133"/>
        <v>0</v>
      </c>
      <c r="AV45" s="20">
        <f t="shared" ca="1" si="133"/>
        <v>0</v>
      </c>
      <c r="AW45" s="20">
        <f t="shared" ca="1" si="133"/>
        <v>0</v>
      </c>
      <c r="AX45" s="20">
        <f t="shared" ca="1" si="133"/>
        <v>54</v>
      </c>
      <c r="AY45" s="20">
        <f t="shared" ca="1" si="133"/>
        <v>48</v>
      </c>
      <c r="AZ45" s="20">
        <f t="shared" ca="1" si="134"/>
        <v>0</v>
      </c>
      <c r="BA45" s="20">
        <f t="shared" ca="1" si="134"/>
        <v>0</v>
      </c>
      <c r="BB45" s="20">
        <f t="shared" ca="1" si="134"/>
        <v>48</v>
      </c>
      <c r="BC45" s="20">
        <f t="shared" ca="1" si="134"/>
        <v>44</v>
      </c>
      <c r="BD45" s="20">
        <f t="shared" ca="1" si="134"/>
        <v>48</v>
      </c>
      <c r="BE45" s="20">
        <f t="shared" ca="1" si="134"/>
        <v>49</v>
      </c>
      <c r="BF45" s="20">
        <f t="shared" ca="1" si="134"/>
        <v>45</v>
      </c>
      <c r="BG45" s="20">
        <f t="shared" ca="1" si="134"/>
        <v>0</v>
      </c>
      <c r="BH45" s="20">
        <f t="shared" ca="1" si="134"/>
        <v>0</v>
      </c>
      <c r="BI45" s="34"/>
      <c r="BJ45" s="341">
        <v>0</v>
      </c>
      <c r="BK45" s="341">
        <v>0</v>
      </c>
      <c r="BL45" s="341">
        <v>0</v>
      </c>
      <c r="BM45" s="341">
        <v>0</v>
      </c>
      <c r="BN45" s="341">
        <v>0</v>
      </c>
      <c r="BO45" s="341">
        <v>0</v>
      </c>
      <c r="BP45" s="341">
        <v>0</v>
      </c>
      <c r="BQ45" s="341">
        <v>0</v>
      </c>
      <c r="BR45" s="341">
        <v>0</v>
      </c>
      <c r="BS45" s="341">
        <v>0</v>
      </c>
      <c r="BT45" s="20">
        <f t="shared" ca="1" si="135"/>
        <v>0</v>
      </c>
      <c r="BU45" s="20">
        <f t="shared" ca="1" si="135"/>
        <v>0</v>
      </c>
      <c r="BV45" s="20">
        <f t="shared" ca="1" si="135"/>
        <v>0</v>
      </c>
      <c r="BW45" s="20">
        <f t="shared" ca="1" si="135"/>
        <v>0</v>
      </c>
      <c r="BX45" s="20">
        <f t="shared" ca="1" si="135"/>
        <v>0</v>
      </c>
      <c r="BY45" s="20">
        <f t="shared" ca="1" si="135"/>
        <v>0</v>
      </c>
      <c r="BZ45" s="20">
        <f t="shared" ca="1" si="135"/>
        <v>0</v>
      </c>
      <c r="CA45" s="20">
        <f t="shared" ca="1" si="135"/>
        <v>0</v>
      </c>
      <c r="CB45" s="20">
        <f t="shared" ca="1" si="135"/>
        <v>0</v>
      </c>
      <c r="CC45" s="20">
        <f t="shared" ca="1" si="135"/>
        <v>0</v>
      </c>
      <c r="CD45" s="20">
        <f t="shared" ca="1" si="136"/>
        <v>0</v>
      </c>
      <c r="CE45" s="20">
        <f t="shared" ca="1" si="136"/>
        <v>0</v>
      </c>
      <c r="CF45" s="20">
        <f t="shared" ca="1" si="136"/>
        <v>0</v>
      </c>
      <c r="CG45" s="20">
        <f t="shared" ca="1" si="136"/>
        <v>0</v>
      </c>
      <c r="CH45" s="20">
        <f t="shared" ca="1" si="136"/>
        <v>0</v>
      </c>
      <c r="CI45" s="20">
        <f t="shared" ca="1" si="136"/>
        <v>0</v>
      </c>
      <c r="CJ45" s="20">
        <f t="shared" ca="1" si="136"/>
        <v>0</v>
      </c>
      <c r="CK45" s="20">
        <f t="shared" ca="1" si="136"/>
        <v>1</v>
      </c>
      <c r="CL45" s="20">
        <f t="shared" ca="1" si="136"/>
        <v>0</v>
      </c>
      <c r="CM45" s="34"/>
      <c r="CN45" s="20">
        <f t="shared" ca="1" si="137"/>
        <v>46</v>
      </c>
      <c r="CO45" s="20">
        <f t="shared" ca="1" si="137"/>
        <v>41</v>
      </c>
      <c r="CP45" s="20">
        <f t="shared" ca="1" si="137"/>
        <v>44</v>
      </c>
      <c r="CQ45" s="20">
        <f t="shared" ca="1" si="137"/>
        <v>38</v>
      </c>
      <c r="CR45" s="20">
        <f t="shared" ca="1" si="137"/>
        <v>39</v>
      </c>
      <c r="CS45" s="20" t="str">
        <f t="shared" ca="1" si="137"/>
        <v/>
      </c>
      <c r="CT45" s="20" t="str">
        <f t="shared" ca="1" si="137"/>
        <v/>
      </c>
      <c r="CU45" s="20" t="str">
        <f t="shared" ca="1" si="137"/>
        <v/>
      </c>
      <c r="CV45" s="20">
        <f t="shared" ca="1" si="137"/>
        <v>45</v>
      </c>
      <c r="CW45" s="20">
        <f t="shared" ca="1" si="137"/>
        <v>38</v>
      </c>
      <c r="CX45" s="20" t="str">
        <f t="shared" ca="1" si="138"/>
        <v/>
      </c>
      <c r="CY45" s="20" t="str">
        <f t="shared" ca="1" si="138"/>
        <v/>
      </c>
      <c r="CZ45" s="20">
        <f t="shared" ca="1" si="138"/>
        <v>37</v>
      </c>
      <c r="DA45" s="20">
        <f t="shared" ca="1" si="138"/>
        <v>33</v>
      </c>
      <c r="DB45" s="20">
        <f t="shared" ca="1" si="138"/>
        <v>38</v>
      </c>
      <c r="DC45" s="20">
        <f t="shared" ca="1" si="138"/>
        <v>38</v>
      </c>
      <c r="DD45" s="20">
        <f t="shared" ca="1" si="138"/>
        <v>34</v>
      </c>
      <c r="DE45" s="20" t="str">
        <f t="shared" ca="1" si="138"/>
        <v/>
      </c>
      <c r="DF45" s="20" t="str">
        <f t="shared" ca="1" si="138"/>
        <v/>
      </c>
      <c r="DG45" s="34"/>
      <c r="DH45" s="20">
        <f t="shared" ca="1" si="139"/>
        <v>8</v>
      </c>
      <c r="DI45" s="20">
        <f t="shared" ca="1" si="139"/>
        <v>6</v>
      </c>
      <c r="DJ45" s="20">
        <f t="shared" ca="1" si="139"/>
        <v>13</v>
      </c>
      <c r="DK45" s="20">
        <f t="shared" ca="1" si="139"/>
        <v>15</v>
      </c>
      <c r="DL45" s="20">
        <f t="shared" ca="1" si="139"/>
        <v>10</v>
      </c>
      <c r="DM45" s="20" t="str">
        <f t="shared" ca="1" si="139"/>
        <v/>
      </c>
      <c r="DN45" s="20" t="str">
        <f t="shared" ca="1" si="139"/>
        <v/>
      </c>
      <c r="DO45" s="20" t="str">
        <f t="shared" ca="1" si="139"/>
        <v/>
      </c>
      <c r="DP45" s="20">
        <f t="shared" ca="1" si="139"/>
        <v>4</v>
      </c>
      <c r="DQ45" s="20">
        <f t="shared" ca="1" si="139"/>
        <v>11</v>
      </c>
      <c r="DR45" s="20" t="str">
        <f t="shared" ca="1" si="140"/>
        <v/>
      </c>
      <c r="DS45" s="20" t="str">
        <f t="shared" ca="1" si="140"/>
        <v/>
      </c>
      <c r="DT45" s="20">
        <f t="shared" ca="1" si="140"/>
        <v>13</v>
      </c>
      <c r="DU45" s="20">
        <f t="shared" ca="1" si="140"/>
        <v>15</v>
      </c>
      <c r="DV45" s="20">
        <f t="shared" ca="1" si="140"/>
        <v>5</v>
      </c>
      <c r="DW45" s="20">
        <f t="shared" ca="1" si="140"/>
        <v>8</v>
      </c>
      <c r="DX45" s="20">
        <f t="shared" ca="1" si="140"/>
        <v>14</v>
      </c>
      <c r="DY45" s="20">
        <f t="shared" ca="1" si="140"/>
        <v>10</v>
      </c>
      <c r="DZ45" s="20" t="str">
        <f t="shared" ca="1" si="140"/>
        <v/>
      </c>
      <c r="EA45" s="34"/>
      <c r="EB45" s="20" t="str">
        <f t="shared" ca="1" si="141"/>
        <v/>
      </c>
      <c r="EC45" s="20" t="str">
        <f t="shared" ca="1" si="141"/>
        <v/>
      </c>
      <c r="ED45" s="20" t="str">
        <f t="shared" ca="1" si="141"/>
        <v/>
      </c>
      <c r="EE45" s="20" t="str">
        <f t="shared" ca="1" si="141"/>
        <v/>
      </c>
      <c r="EF45" s="20">
        <f t="shared" ca="1" si="141"/>
        <v>2</v>
      </c>
      <c r="EG45" s="20" t="str">
        <f t="shared" ca="1" si="141"/>
        <v/>
      </c>
      <c r="EH45" s="20" t="str">
        <f t="shared" ca="1" si="141"/>
        <v/>
      </c>
      <c r="EI45" s="20" t="str">
        <f t="shared" ca="1" si="141"/>
        <v/>
      </c>
      <c r="EJ45" s="20" t="str">
        <f t="shared" ca="1" si="141"/>
        <v/>
      </c>
      <c r="EK45" s="20" t="str">
        <f t="shared" ca="1" si="141"/>
        <v/>
      </c>
      <c r="EL45" s="20" t="str">
        <f t="shared" ca="1" si="142"/>
        <v/>
      </c>
      <c r="EM45" s="20" t="str">
        <f t="shared" ca="1" si="142"/>
        <v/>
      </c>
      <c r="EN45" s="20" t="str">
        <f t="shared" ca="1" si="142"/>
        <v/>
      </c>
      <c r="EO45" s="20" t="str">
        <f t="shared" ca="1" si="142"/>
        <v/>
      </c>
      <c r="EP45" s="20" t="str">
        <f t="shared" ca="1" si="142"/>
        <v/>
      </c>
      <c r="EQ45" s="20" t="str">
        <f t="shared" ca="1" si="142"/>
        <v/>
      </c>
      <c r="ER45" s="20">
        <f t="shared" ca="1" si="142"/>
        <v>1</v>
      </c>
      <c r="ES45" s="20" t="str">
        <f t="shared" ca="1" si="142"/>
        <v/>
      </c>
      <c r="ET45" s="20" t="str">
        <f t="shared" ca="1" si="142"/>
        <v/>
      </c>
      <c r="EU45" s="34"/>
      <c r="EV45" s="20" t="str">
        <f t="shared" ca="1" si="143"/>
        <v/>
      </c>
      <c r="EW45" s="20" t="str">
        <f t="shared" ca="1" si="143"/>
        <v/>
      </c>
      <c r="EX45" s="20" t="str">
        <f t="shared" ca="1" si="143"/>
        <v/>
      </c>
      <c r="EY45" s="20" t="str">
        <f t="shared" ca="1" si="143"/>
        <v/>
      </c>
      <c r="EZ45" s="20" t="str">
        <f t="shared" ca="1" si="143"/>
        <v/>
      </c>
      <c r="FA45" s="20" t="str">
        <f t="shared" ca="1" si="143"/>
        <v/>
      </c>
      <c r="FB45" s="20" t="str">
        <f t="shared" ca="1" si="143"/>
        <v/>
      </c>
      <c r="FC45" s="20" t="str">
        <f t="shared" ca="1" si="143"/>
        <v/>
      </c>
      <c r="FD45" s="20" t="str">
        <f t="shared" ca="1" si="143"/>
        <v/>
      </c>
      <c r="FE45" s="20" t="str">
        <f t="shared" ca="1" si="143"/>
        <v/>
      </c>
      <c r="FF45" s="20" t="str">
        <f t="shared" ca="1" si="144"/>
        <v/>
      </c>
      <c r="FG45" s="20" t="str">
        <f t="shared" ca="1" si="144"/>
        <v/>
      </c>
      <c r="FH45" s="20" t="str">
        <f t="shared" ca="1" si="144"/>
        <v/>
      </c>
      <c r="FI45" s="20" t="str">
        <f t="shared" ca="1" si="144"/>
        <v/>
      </c>
      <c r="FJ45" s="20" t="str">
        <f t="shared" ca="1" si="144"/>
        <v/>
      </c>
      <c r="FK45" s="20" t="str">
        <f t="shared" ca="1" si="144"/>
        <v/>
      </c>
      <c r="FL45" s="20" t="str">
        <f t="shared" ca="1" si="144"/>
        <v/>
      </c>
      <c r="FM45" s="20" t="str">
        <f t="shared" ca="1" si="144"/>
        <v/>
      </c>
      <c r="FN45" s="20" t="str">
        <f t="shared" ca="1" si="144"/>
        <v/>
      </c>
      <c r="FO45" s="34"/>
      <c r="FP45" s="20" t="str">
        <f t="shared" ca="1" si="145"/>
        <v>l</v>
      </c>
      <c r="FQ45" s="20" t="str">
        <f t="shared" ca="1" si="145"/>
        <v>l</v>
      </c>
      <c r="FR45" s="20" t="str">
        <f t="shared" ca="1" si="145"/>
        <v>w</v>
      </c>
      <c r="FS45" s="20" t="str">
        <f t="shared" ca="1" si="145"/>
        <v>w</v>
      </c>
      <c r="FT45" s="20" t="str">
        <f t="shared" ca="1" si="145"/>
        <v>t</v>
      </c>
      <c r="FU45" s="20" t="str">
        <f t="shared" ca="1" si="145"/>
        <v/>
      </c>
      <c r="FV45" s="20" t="str">
        <f t="shared" ca="1" si="145"/>
        <v/>
      </c>
      <c r="FW45" s="20" t="str">
        <f t="shared" ca="1" si="145"/>
        <v/>
      </c>
      <c r="FX45" s="20" t="str">
        <f t="shared" ca="1" si="145"/>
        <v>l</v>
      </c>
      <c r="FY45" s="20" t="str">
        <f t="shared" ca="1" si="145"/>
        <v>w</v>
      </c>
      <c r="FZ45" s="20" t="str">
        <f t="shared" ca="1" si="146"/>
        <v/>
      </c>
      <c r="GA45" s="20" t="str">
        <f t="shared" ca="1" si="146"/>
        <v/>
      </c>
      <c r="GB45" s="20" t="str">
        <f t="shared" ca="1" si="146"/>
        <v>w</v>
      </c>
      <c r="GC45" s="20" t="str">
        <f t="shared" ca="1" si="146"/>
        <v>w</v>
      </c>
      <c r="GD45" s="20" t="str">
        <f t="shared" ca="1" si="146"/>
        <v>l</v>
      </c>
      <c r="GE45" s="20" t="str">
        <f t="shared" ca="1" si="146"/>
        <v>l</v>
      </c>
      <c r="GF45" s="20" t="str">
        <f t="shared" ca="1" si="146"/>
        <v>w</v>
      </c>
      <c r="GG45" s="20" t="str">
        <f t="shared" ca="1" si="146"/>
        <v>t</v>
      </c>
      <c r="GH45" s="20" t="str">
        <f t="shared" ca="1" si="146"/>
        <v/>
      </c>
      <c r="GI45" s="34"/>
      <c r="HE45" s="34"/>
      <c r="HZ45" s="34"/>
      <c r="IA45" s="19" t="str">
        <f t="shared" ca="1" si="147"/>
        <v>No Hdcp</v>
      </c>
      <c r="IB45" s="19" t="str">
        <f ca="1">IF($D45&lt;&gt;"","Low of score &amp; "&amp;MIN($H45:$H45),"")</f>
        <v>Low of score &amp; 45</v>
      </c>
      <c r="IC45" s="19" t="str">
        <f ca="1">IF($D45&lt;&gt;"","Low of score &amp; "&amp;MIN($H45:$I45),"")</f>
        <v>Low of score &amp; 45</v>
      </c>
      <c r="ID45" s="18" t="str">
        <f ca="1">IF($D45&lt;&gt;"","Low of score &amp; "&amp;MIN($H45:$J45),"")</f>
        <v>Low of score &amp; 45</v>
      </c>
      <c r="IE45" s="18" t="str">
        <f ca="1">IF($D45&lt;&gt;"","Low of score &amp; "&amp;MIN($H45:$K45),"")</f>
        <v>Low of score &amp; 44</v>
      </c>
      <c r="IF45" s="18">
        <f ca="1">IF($D45&lt;&gt;"",ROUND(MIN((MIN($H45:$L45)-36)*0.96,20),2),"")</f>
        <v>7.68</v>
      </c>
      <c r="IG45" s="353">
        <f ca="1">IF($D45&lt;&gt;"",ROUND(MIN((AVERAGE(SMALL($H45:$M45,1),SMALL($H45:$M45,2))-36)*0.96,20),2),"")</f>
        <v>8.16</v>
      </c>
      <c r="IH45" s="18">
        <f ca="1">IF($D45&lt;&gt;"",ROUND(MIN((AVERAGE(SMALL($H45:$N45,1),SMALL($H45:$N45,2),SMALL($H45:$N45,3))-36)*0.96,20),2),"")</f>
        <v>9.2799999999999994</v>
      </c>
      <c r="II45" s="18">
        <f ca="1">IF($D45&lt;&gt;"",ROUND(MIN((AVERAGE(SMALL($H45:$O45,1),SMALL($H45:$O45,2),SMALL($H45:$O45,3),SMALL($H45:$O45,4))-36)*0.96,20),2),"")</f>
        <v>9.84</v>
      </c>
      <c r="IJ45" s="18">
        <f ca="1">IF($D45&lt;&gt;"",ROUND(MIN((AVERAGE(SMALL($H45:$P45,1),SMALL($H45:$P45,2),SMALL($H45:$P45,3),SMALL($H45:$P45,4))-36)*0.96,20),2),"")</f>
        <v>9.6</v>
      </c>
      <c r="IK45" s="18">
        <f ca="1">IF($D45&lt;&gt;"",ROUND(MIN((AVERAGE(SMALL($H45:$Q45,1),SMALL($H45:$Q45,2),SMALL($H45:$Q45,3),SMALL($H45:$Q45,4),SMALL($H45:$Q45,5))-36)*0.96,20),2),"")</f>
        <v>9.98</v>
      </c>
      <c r="IL45" s="34"/>
      <c r="IN45" s="18">
        <f ca="1">AO45</f>
        <v>45</v>
      </c>
      <c r="IO45" s="18">
        <f ca="1">AN45</f>
        <v>48</v>
      </c>
      <c r="IP45" s="18">
        <f ca="1">AM45</f>
        <v>48</v>
      </c>
      <c r="IQ45" s="18">
        <f ca="1">AL45</f>
        <v>44</v>
      </c>
      <c r="IR45" s="18">
        <f ca="1">AK45</f>
        <v>43</v>
      </c>
      <c r="IS45" s="18">
        <f ca="1">AJ45</f>
        <v>51</v>
      </c>
      <c r="IT45" s="18">
        <f ca="1">AI45</f>
        <v>49</v>
      </c>
      <c r="IU45" s="18">
        <f ca="1">AH45</f>
        <v>50</v>
      </c>
      <c r="IV45" s="18">
        <f ca="1">AG45</f>
        <v>47</v>
      </c>
      <c r="IW45" s="18">
        <f ca="1">AF45</f>
        <v>50</v>
      </c>
      <c r="IX45" s="19">
        <f ca="1">IF(D45&lt;&gt;"",COUNT(IN45:IW45),"")</f>
        <v>10</v>
      </c>
      <c r="IY45" s="21">
        <f ca="1">IF(D45&lt;&gt;"",INDEX($JA45:$JK45,1,MATCH($IX45,$JA$6:$JK$6,0)), "")</f>
        <v>9.0239999999999991</v>
      </c>
      <c r="JA45" s="18" t="str">
        <f ca="1">IF(D45&lt;&gt;"","No Hdcp","")</f>
        <v>No Hdcp</v>
      </c>
      <c r="JB45" s="18" t="str">
        <f ca="1">IF(D45&lt;&gt;"","Low of score &amp; "&amp;MIN($IN45:$IN45),"")</f>
        <v>Low of score &amp; 45</v>
      </c>
      <c r="JC45" s="18" t="str">
        <f ca="1">IF(D45&lt;&gt;"","Low of score &amp; "&amp;MIN($IN45:$IO45),"")</f>
        <v>Low of score &amp; 45</v>
      </c>
      <c r="JD45" s="18" t="str">
        <f ca="1">IF(D45&lt;&gt;"","Low of score &amp; "&amp;MIN($IN45:$IP45),"")</f>
        <v>Low of score &amp; 45</v>
      </c>
      <c r="JE45" s="18" t="str">
        <f ca="1">IF(D45&lt;&gt;"","Low of score &amp; "&amp;MIN($IN45:$IQ45),"")</f>
        <v>Low of score &amp; 44</v>
      </c>
      <c r="JF45" s="18">
        <f ca="1">IF(D45&lt;&gt;"",MIN((MIN($IN45:$IR45)-36)*0.96,20),"")</f>
        <v>6.72</v>
      </c>
      <c r="JG45" s="18">
        <f ca="1">IF(D45&lt;&gt;"",MIN((AVERAGE(SMALL($IN45:$IS45,1),SMALL($IN45:$IS45,2))-36)*0.96,20),"")</f>
        <v>7.1999999999999993</v>
      </c>
      <c r="JH45" s="18">
        <f ca="1">IF(D45&lt;&gt;"",MIN((AVERAGE(SMALL($IN45:$IT45,1),SMALL($IN45:$IT45,2),SMALL($IN45:$IT45,3))-36)*0.96,20),"")</f>
        <v>7.68</v>
      </c>
      <c r="JI45" s="18">
        <f ca="1">IF(D45&lt;&gt;"",MIN((AVERAGE(SMALL($IN45:$IU45,1),SMALL($IN45:$IU45,2),SMALL($IN45:$IU45,3),SMALL($IN45:$IU45,4))-36)*0.96,20),"")</f>
        <v>8.64</v>
      </c>
      <c r="JJ45" s="18">
        <f ca="1">IF(D45&lt;&gt;"",MIN((AVERAGE(SMALL($IN45:$IV45,1),SMALL($IN45:$IV45,2),SMALL($IN45:$IV45,3),SMALL($IN45:$IV45,4))-36)*0.96,20),"")</f>
        <v>8.4</v>
      </c>
      <c r="JK45" s="18">
        <f ca="1">IF(D45&lt;&gt;"",MIN((AVERAGE(SMALL($IN45:$IW45,1),SMALL($IN45:$IW45,2),SMALL($IN45:$IW45,3),SMALL($IN45:$IW45,4),SMALL($IN45:$IW45,5))-36)*0.96,20),"")</f>
        <v>9.0239999999999991</v>
      </c>
    </row>
    <row r="46" spans="1:271" x14ac:dyDescent="0.2">
      <c r="A46" s="18" t="s">
        <v>27</v>
      </c>
      <c r="B46" s="19">
        <f>B45+7</f>
        <v>26</v>
      </c>
      <c r="C46" s="22">
        <f t="shared" ca="1" si="126"/>
        <v>5.3E-3</v>
      </c>
      <c r="D46" s="18" t="str">
        <f t="shared" ca="1" si="127"/>
        <v>Howe, Fred - gold tees</v>
      </c>
      <c r="E46" s="19">
        <f t="shared" ca="1" si="128"/>
        <v>5</v>
      </c>
      <c r="F46" s="19">
        <f ca="1">IF(D46&lt;&gt;"",COUNT($H46:$Q46),"")</f>
        <v>5</v>
      </c>
      <c r="G46" s="21">
        <f ca="1">IF($D46&lt;&gt;"",INDEX($IA46:$IK46,1,MATCH($F46,$IA$6:$IK$6,0)), "")</f>
        <v>20</v>
      </c>
      <c r="H46" s="337" cm="1">
        <f t="array" aca="1" ref="H46" ca="1">IFERROR(_xlfn.SINGLE(INDEX($AF46:$BH46, , SUMPRODUCT(LARGE((($AF46:$BH46&lt;&gt;0)*($BJ46:$CL46&lt;&gt;1)*($AF$5:$BH$5)), H$6)))), "")</f>
        <v>69</v>
      </c>
      <c r="I46" s="338" cm="1">
        <f t="array" aca="1" ref="I46" ca="1">IFERROR(_xlfn.SINGLE(INDEX($AF46:$BH46, , SUMPRODUCT(LARGE((($AF46:$BH46&lt;&gt;0)*($BJ46:$CL46&lt;&gt;1)*($AF$5:$BH$5)), I$6)))), "")</f>
        <v>76</v>
      </c>
      <c r="J46" s="338" cm="1">
        <f t="array" aca="1" ref="J46" ca="1">IFERROR(_xlfn.SINGLE(INDEX($AF46:$BH46, , SUMPRODUCT(LARGE((($AF46:$BH46&lt;&gt;0)*($BJ46:$CL46&lt;&gt;1)*($AF$5:$BH$5)), J$6)))), "")</f>
        <v>78</v>
      </c>
      <c r="K46" s="338" cm="1">
        <f t="array" aca="1" ref="K46" ca="1">IFERROR(_xlfn.SINGLE(INDEX($AF46:$BH46, , SUMPRODUCT(LARGE((($AF46:$BH46&lt;&gt;0)*($BJ46:$CL46&lt;&gt;1)*($AF$5:$BH$5)), K$6)))), "")</f>
        <v>67</v>
      </c>
      <c r="L46" s="338" cm="1">
        <f t="array" aca="1" ref="L46" ca="1">IFERROR(_xlfn.SINGLE(INDEX($AF46:$BH46, , SUMPRODUCT(LARGE((($AF46:$BH46&lt;&gt;0)*($BJ46:$CL46&lt;&gt;1)*($AF$5:$BH$5)), L$6)))), "")</f>
        <v>70</v>
      </c>
      <c r="M46" s="338" t="str" cm="1">
        <f t="array" aca="1" ref="M46" ca="1">IFERROR(_xlfn.SINGLE(INDEX($AF46:$BH46, , SUMPRODUCT(LARGE((($AF46:$BH46&lt;&gt;0)*($BJ46:$CL46&lt;&gt;1)*($AF$5:$BH$5)), M$6)))), "")</f>
        <v/>
      </c>
      <c r="N46" s="338" t="str" cm="1">
        <f t="array" aca="1" ref="N46" ca="1">IFERROR(_xlfn.SINGLE(INDEX($AF46:$BH46, , SUMPRODUCT(LARGE((($AF46:$BH46&lt;&gt;0)*($BJ46:$CL46&lt;&gt;1)*($AF$5:$BH$5)), N$6)))), "")</f>
        <v/>
      </c>
      <c r="O46" s="338" t="str" cm="1">
        <f t="array" aca="1" ref="O46" ca="1">IFERROR(_xlfn.SINGLE(INDEX($AF46:$BH46, , SUMPRODUCT(LARGE((($AF46:$BH46&lt;&gt;0)*($BJ46:$CL46&lt;&gt;1)*($AF$5:$BH$5)), O$6)))), "")</f>
        <v/>
      </c>
      <c r="P46" s="338" t="str" cm="1">
        <f t="array" aca="1" ref="P46" ca="1">IFERROR(_xlfn.SINGLE(INDEX($AF46:$BH46, , SUMPRODUCT(LARGE((($AF46:$BH46&lt;&gt;0)*($BJ46:$CL46&lt;&gt;1)*($AF$5:$BH$5)), P$6)))), "")</f>
        <v/>
      </c>
      <c r="Q46" s="339" t="str" cm="1">
        <f t="array" aca="1" ref="Q46" ca="1">IFERROR(_xlfn.SINGLE(INDEX($AF46:$BH46, , SUMPRODUCT(LARGE((($AF46:$BH46&lt;&gt;0)*($BJ46:$CL46&lt;&gt;1)*($AF$5:$BH$5)), Q$6)))), "")</f>
        <v/>
      </c>
      <c r="R46" s="21"/>
      <c r="S46" s="47">
        <f t="shared" ca="1" si="129"/>
        <v>72</v>
      </c>
      <c r="T46" s="21">
        <f ca="1">IF($D46&lt;&gt;"", IFERROR(IF($E46&gt;=qualifier, SUMIF($BT46:$CL46,0,$AP46:$BH46)/$E46, TEXT(SUMIF($BT46:$CL46,0,$AP46:$BH46)/$E46, "0.00")&amp;"*"), "-"), "")</f>
        <v>72</v>
      </c>
      <c r="U46" s="21">
        <f ca="1">IF($D46&lt;&gt;"", IFERROR(IF($E46&gt;=qualifier, SUMIF($BT46:$CL46,0,$CN46:$DF46)/$E46, TEXT(SUMIF($BT46:$CL46,0,$CN46:$DF46)/$E46, "0.00")&amp;"*"), "-"), "")</f>
        <v>52</v>
      </c>
      <c r="V46" s="46">
        <f ca="1">IF(AND($D46&lt;&gt;"", $E46&lt;&gt;0), _xlfn.MINIFS($AP46:$BH46,$BT46:$CL46,0,$AP46:$BH46,"&lt;&gt;0"), "")</f>
        <v>67</v>
      </c>
      <c r="W46" s="19">
        <f ca="1">IF(AND($D46&lt;&gt;"", $E46&lt;&gt;0), _xlfn.MINIFS($CN46:$DF46,$BT46:$CL46,0), "")</f>
        <v>47</v>
      </c>
      <c r="X46" s="46">
        <f ca="1">IF($D46&lt;&gt;"", SUM($DH46:$DZ46),  "")</f>
        <v>17</v>
      </c>
      <c r="Y46" s="21">
        <f ca="1">IF($D46&lt;&gt;"", IFERROR(IF($E46&gt;=qualifier, AVERAGE($DH46:$DZ46), TEXT(AVERAGE($DH46:$DZ46), "0.00")&amp;"*"), "-"), "")</f>
        <v>4.25</v>
      </c>
      <c r="Z46" s="19">
        <f ca="1">IF($D46&lt;&gt;"", SUM($EB46:$ET46),  "")</f>
        <v>0</v>
      </c>
      <c r="AA46" s="19">
        <f ca="1">IF($D46&lt;&gt;"", SUM($EV46:$FN46),  "")</f>
        <v>0</v>
      </c>
      <c r="AB46" s="46" t="str">
        <f t="shared" ca="1" si="130"/>
        <v>2-4-0</v>
      </c>
      <c r="AC46" s="218">
        <f t="shared" ca="1" si="131"/>
        <v>3306079396</v>
      </c>
      <c r="AD46" s="57" t="str">
        <f t="shared" ca="1" si="132"/>
        <v>kb8mmf@gmail.com</v>
      </c>
      <c r="AE46" s="34"/>
      <c r="AF46" s="341">
        <f ca="1">INDEX(PriorScores[],MATCH($D46,PriorScores[Team / Player],0),2)</f>
        <v>0</v>
      </c>
      <c r="AG46" s="341">
        <f ca="1">INDEX(PriorScores[],MATCH($D46,PriorScores[Team / Player],0),3)</f>
        <v>0</v>
      </c>
      <c r="AH46" s="341">
        <f ca="1">INDEX(PriorScores[],MATCH($D46,PriorScores[Team / Player],0),4)</f>
        <v>0</v>
      </c>
      <c r="AI46" s="341">
        <f ca="1">INDEX(PriorScores[],MATCH($D46,PriorScores[Team / Player],0),5)</f>
        <v>0</v>
      </c>
      <c r="AJ46" s="341">
        <f ca="1">INDEX(PriorScores[],MATCH($D46,PriorScores[Team / Player],0),6)</f>
        <v>0</v>
      </c>
      <c r="AK46" s="341">
        <f ca="1">INDEX(PriorScores[],MATCH($D46,PriorScores[Team / Player],0),7)</f>
        <v>0</v>
      </c>
      <c r="AL46" s="341">
        <f ca="1">INDEX(PriorScores[],MATCH($D46,PriorScores[Team / Player],0),8)</f>
        <v>0</v>
      </c>
      <c r="AM46" s="341">
        <f ca="1">INDEX(PriorScores[],MATCH($D46,PriorScores[Team / Player],0),9)</f>
        <v>0</v>
      </c>
      <c r="AN46" s="341">
        <f ca="1">INDEX(PriorScores[],MATCH($D46,PriorScores[Team / Player],0),10)</f>
        <v>0</v>
      </c>
      <c r="AO46" s="341">
        <f ca="1">INDEX(PriorScores[],MATCH($D46,PriorScores[Team / Player],0),11)</f>
        <v>0</v>
      </c>
      <c r="AP46" s="20">
        <f t="shared" ca="1" si="133"/>
        <v>70</v>
      </c>
      <c r="AQ46" s="20">
        <f t="shared" ca="1" si="133"/>
        <v>67</v>
      </c>
      <c r="AR46" s="20">
        <f t="shared" ca="1" si="133"/>
        <v>78</v>
      </c>
      <c r="AS46" s="20">
        <f t="shared" ca="1" si="133"/>
        <v>0</v>
      </c>
      <c r="AT46" s="20">
        <f t="shared" ca="1" si="133"/>
        <v>0</v>
      </c>
      <c r="AU46" s="20">
        <f t="shared" ca="1" si="133"/>
        <v>0</v>
      </c>
      <c r="AV46" s="20">
        <f t="shared" ca="1" si="133"/>
        <v>76</v>
      </c>
      <c r="AW46" s="20">
        <f t="shared" ca="1" si="133"/>
        <v>0</v>
      </c>
      <c r="AX46" s="20">
        <f t="shared" ca="1" si="133"/>
        <v>69</v>
      </c>
      <c r="AY46" s="20">
        <f t="shared" ca="1" si="133"/>
        <v>0</v>
      </c>
      <c r="AZ46" s="20">
        <f t="shared" ca="1" si="134"/>
        <v>0</v>
      </c>
      <c r="BA46" s="20">
        <f t="shared" ca="1" si="134"/>
        <v>0</v>
      </c>
      <c r="BB46" s="20">
        <f t="shared" ca="1" si="134"/>
        <v>0</v>
      </c>
      <c r="BC46" s="20">
        <f t="shared" ca="1" si="134"/>
        <v>0</v>
      </c>
      <c r="BD46" s="20">
        <f t="shared" ca="1" si="134"/>
        <v>0</v>
      </c>
      <c r="BE46" s="20">
        <f t="shared" ca="1" si="134"/>
        <v>0</v>
      </c>
      <c r="BF46" s="20">
        <f t="shared" ca="1" si="134"/>
        <v>0</v>
      </c>
      <c r="BG46" s="20">
        <f t="shared" ca="1" si="134"/>
        <v>0</v>
      </c>
      <c r="BH46" s="20">
        <f t="shared" ca="1" si="134"/>
        <v>0</v>
      </c>
      <c r="BI46" s="34"/>
      <c r="BJ46" s="341">
        <v>0</v>
      </c>
      <c r="BK46" s="341">
        <v>0</v>
      </c>
      <c r="BL46" s="341">
        <v>0</v>
      </c>
      <c r="BM46" s="341">
        <v>0</v>
      </c>
      <c r="BN46" s="341">
        <v>0</v>
      </c>
      <c r="BO46" s="341">
        <v>0</v>
      </c>
      <c r="BP46" s="341">
        <v>0</v>
      </c>
      <c r="BQ46" s="341">
        <v>0</v>
      </c>
      <c r="BR46" s="341">
        <v>0</v>
      </c>
      <c r="BS46" s="341">
        <v>0</v>
      </c>
      <c r="BT46" s="20">
        <f t="shared" ca="1" si="135"/>
        <v>0</v>
      </c>
      <c r="BU46" s="20">
        <f t="shared" ca="1" si="135"/>
        <v>0</v>
      </c>
      <c r="BV46" s="20">
        <f t="shared" ca="1" si="135"/>
        <v>0</v>
      </c>
      <c r="BW46" s="20">
        <f t="shared" ca="1" si="135"/>
        <v>0</v>
      </c>
      <c r="BX46" s="20">
        <f t="shared" ca="1" si="135"/>
        <v>0</v>
      </c>
      <c r="BY46" s="20">
        <f t="shared" ca="1" si="135"/>
        <v>0</v>
      </c>
      <c r="BZ46" s="20">
        <f t="shared" ca="1" si="135"/>
        <v>0</v>
      </c>
      <c r="CA46" s="20">
        <f t="shared" ca="1" si="135"/>
        <v>0</v>
      </c>
      <c r="CB46" s="20">
        <f t="shared" ca="1" si="135"/>
        <v>0</v>
      </c>
      <c r="CC46" s="20">
        <f t="shared" ca="1" si="135"/>
        <v>0</v>
      </c>
      <c r="CD46" s="20">
        <f t="shared" ca="1" si="136"/>
        <v>0</v>
      </c>
      <c r="CE46" s="20">
        <f t="shared" ca="1" si="136"/>
        <v>0</v>
      </c>
      <c r="CF46" s="20">
        <f t="shared" ca="1" si="136"/>
        <v>1</v>
      </c>
      <c r="CG46" s="20">
        <f t="shared" ca="1" si="136"/>
        <v>0</v>
      </c>
      <c r="CH46" s="20">
        <f t="shared" ca="1" si="136"/>
        <v>0</v>
      </c>
      <c r="CI46" s="20">
        <f t="shared" ca="1" si="136"/>
        <v>0</v>
      </c>
      <c r="CJ46" s="20">
        <f t="shared" ca="1" si="136"/>
        <v>0</v>
      </c>
      <c r="CK46" s="20">
        <f t="shared" ca="1" si="136"/>
        <v>0</v>
      </c>
      <c r="CL46" s="20">
        <f t="shared" ca="1" si="136"/>
        <v>0</v>
      </c>
      <c r="CM46" s="34"/>
      <c r="CN46" s="20">
        <f t="shared" ca="1" si="137"/>
        <v>50</v>
      </c>
      <c r="CO46" s="20">
        <f t="shared" ca="1" si="137"/>
        <v>47</v>
      </c>
      <c r="CP46" s="20">
        <f t="shared" ca="1" si="137"/>
        <v>58</v>
      </c>
      <c r="CQ46" s="20" t="str">
        <f t="shared" ca="1" si="137"/>
        <v/>
      </c>
      <c r="CR46" s="20" t="str">
        <f t="shared" ca="1" si="137"/>
        <v/>
      </c>
      <c r="CS46" s="20" t="str">
        <f t="shared" ca="1" si="137"/>
        <v/>
      </c>
      <c r="CT46" s="20">
        <f t="shared" ca="1" si="137"/>
        <v>56</v>
      </c>
      <c r="CU46" s="20" t="str">
        <f t="shared" ca="1" si="137"/>
        <v/>
      </c>
      <c r="CV46" s="20">
        <f t="shared" ca="1" si="137"/>
        <v>49</v>
      </c>
      <c r="CW46" s="20" t="str">
        <f t="shared" ca="1" si="137"/>
        <v/>
      </c>
      <c r="CX46" s="20" t="str">
        <f t="shared" ca="1" si="138"/>
        <v/>
      </c>
      <c r="CY46" s="20" t="str">
        <f t="shared" ca="1" si="138"/>
        <v/>
      </c>
      <c r="CZ46" s="20" t="str">
        <f t="shared" ca="1" si="138"/>
        <v/>
      </c>
      <c r="DA46" s="20" t="str">
        <f t="shared" ca="1" si="138"/>
        <v/>
      </c>
      <c r="DB46" s="20" t="str">
        <f t="shared" ca="1" si="138"/>
        <v/>
      </c>
      <c r="DC46" s="20" t="str">
        <f t="shared" ca="1" si="138"/>
        <v/>
      </c>
      <c r="DD46" s="20" t="str">
        <f t="shared" ca="1" si="138"/>
        <v/>
      </c>
      <c r="DE46" s="20" t="str">
        <f t="shared" ca="1" si="138"/>
        <v/>
      </c>
      <c r="DF46" s="20" t="str">
        <f t="shared" ca="1" si="138"/>
        <v/>
      </c>
      <c r="DG46" s="34"/>
      <c r="DH46" s="20">
        <f t="shared" ca="1" si="139"/>
        <v>3</v>
      </c>
      <c r="DI46" s="20">
        <f t="shared" ca="1" si="139"/>
        <v>3</v>
      </c>
      <c r="DJ46" s="20" t="str">
        <f t="shared" ca="1" si="139"/>
        <v/>
      </c>
      <c r="DK46" s="20" t="str">
        <f t="shared" ca="1" si="139"/>
        <v/>
      </c>
      <c r="DL46" s="20" t="str">
        <f t="shared" ca="1" si="139"/>
        <v/>
      </c>
      <c r="DM46" s="20" t="str">
        <f t="shared" ca="1" si="139"/>
        <v/>
      </c>
      <c r="DN46" s="20" t="str">
        <f t="shared" ca="1" si="139"/>
        <v/>
      </c>
      <c r="DO46" s="20" t="str">
        <f t="shared" ca="1" si="139"/>
        <v/>
      </c>
      <c r="DP46" s="20">
        <f t="shared" ca="1" si="139"/>
        <v>3</v>
      </c>
      <c r="DQ46" s="20" t="str">
        <f t="shared" ca="1" si="139"/>
        <v/>
      </c>
      <c r="DR46" s="20" t="str">
        <f t="shared" ca="1" si="140"/>
        <v/>
      </c>
      <c r="DS46" s="20" t="str">
        <f t="shared" ca="1" si="140"/>
        <v/>
      </c>
      <c r="DT46" s="20">
        <f t="shared" ca="1" si="140"/>
        <v>8</v>
      </c>
      <c r="DU46" s="20" t="str">
        <f t="shared" ca="1" si="140"/>
        <v/>
      </c>
      <c r="DV46" s="20" t="str">
        <f t="shared" ca="1" si="140"/>
        <v/>
      </c>
      <c r="DW46" s="20" t="str">
        <f t="shared" ca="1" si="140"/>
        <v/>
      </c>
      <c r="DX46" s="20" t="str">
        <f t="shared" ca="1" si="140"/>
        <v/>
      </c>
      <c r="DY46" s="20" t="str">
        <f t="shared" ca="1" si="140"/>
        <v/>
      </c>
      <c r="DZ46" s="20" t="str">
        <f t="shared" ca="1" si="140"/>
        <v/>
      </c>
      <c r="EA46" s="34"/>
      <c r="EB46" s="20" t="str">
        <f t="shared" ca="1" si="141"/>
        <v/>
      </c>
      <c r="EC46" s="20" t="str">
        <f t="shared" ca="1" si="141"/>
        <v/>
      </c>
      <c r="ED46" s="20" t="str">
        <f t="shared" ca="1" si="141"/>
        <v/>
      </c>
      <c r="EE46" s="20" t="str">
        <f t="shared" ca="1" si="141"/>
        <v/>
      </c>
      <c r="EF46" s="20" t="str">
        <f t="shared" ca="1" si="141"/>
        <v/>
      </c>
      <c r="EG46" s="20" t="str">
        <f t="shared" ca="1" si="141"/>
        <v/>
      </c>
      <c r="EH46" s="20" t="str">
        <f t="shared" ca="1" si="141"/>
        <v/>
      </c>
      <c r="EI46" s="20" t="str">
        <f t="shared" ca="1" si="141"/>
        <v/>
      </c>
      <c r="EJ46" s="20" t="str">
        <f t="shared" ca="1" si="141"/>
        <v/>
      </c>
      <c r="EK46" s="20" t="str">
        <f t="shared" ca="1" si="141"/>
        <v/>
      </c>
      <c r="EL46" s="20" t="str">
        <f t="shared" ca="1" si="142"/>
        <v/>
      </c>
      <c r="EM46" s="20" t="str">
        <f t="shared" ca="1" si="142"/>
        <v/>
      </c>
      <c r="EN46" s="20" t="str">
        <f t="shared" ca="1" si="142"/>
        <v/>
      </c>
      <c r="EO46" s="20" t="str">
        <f t="shared" ca="1" si="142"/>
        <v/>
      </c>
      <c r="EP46" s="20" t="str">
        <f t="shared" ca="1" si="142"/>
        <v/>
      </c>
      <c r="EQ46" s="20" t="str">
        <f t="shared" ca="1" si="142"/>
        <v/>
      </c>
      <c r="ER46" s="20" t="str">
        <f t="shared" ca="1" si="142"/>
        <v/>
      </c>
      <c r="ES46" s="20" t="str">
        <f t="shared" ca="1" si="142"/>
        <v/>
      </c>
      <c r="ET46" s="20" t="str">
        <f t="shared" ca="1" si="142"/>
        <v/>
      </c>
      <c r="EU46" s="34"/>
      <c r="EV46" s="20" t="str">
        <f t="shared" ca="1" si="143"/>
        <v/>
      </c>
      <c r="EW46" s="20" t="str">
        <f t="shared" ca="1" si="143"/>
        <v/>
      </c>
      <c r="EX46" s="20" t="str">
        <f t="shared" ca="1" si="143"/>
        <v/>
      </c>
      <c r="EY46" s="20" t="str">
        <f t="shared" ca="1" si="143"/>
        <v/>
      </c>
      <c r="EZ46" s="20" t="str">
        <f t="shared" ca="1" si="143"/>
        <v/>
      </c>
      <c r="FA46" s="20" t="str">
        <f t="shared" ca="1" si="143"/>
        <v/>
      </c>
      <c r="FB46" s="20" t="str">
        <f t="shared" ca="1" si="143"/>
        <v/>
      </c>
      <c r="FC46" s="20" t="str">
        <f t="shared" ca="1" si="143"/>
        <v/>
      </c>
      <c r="FD46" s="20" t="str">
        <f t="shared" ca="1" si="143"/>
        <v/>
      </c>
      <c r="FE46" s="20" t="str">
        <f t="shared" ca="1" si="143"/>
        <v/>
      </c>
      <c r="FF46" s="20" t="str">
        <f t="shared" ca="1" si="144"/>
        <v/>
      </c>
      <c r="FG46" s="20" t="str">
        <f t="shared" ca="1" si="144"/>
        <v/>
      </c>
      <c r="FH46" s="20" t="str">
        <f t="shared" ca="1" si="144"/>
        <v/>
      </c>
      <c r="FI46" s="20" t="str">
        <f t="shared" ca="1" si="144"/>
        <v/>
      </c>
      <c r="FJ46" s="20" t="str">
        <f t="shared" ca="1" si="144"/>
        <v/>
      </c>
      <c r="FK46" s="20" t="str">
        <f t="shared" ca="1" si="144"/>
        <v/>
      </c>
      <c r="FL46" s="20" t="str">
        <f t="shared" ca="1" si="144"/>
        <v/>
      </c>
      <c r="FM46" s="20" t="str">
        <f t="shared" ca="1" si="144"/>
        <v/>
      </c>
      <c r="FN46" s="20" t="str">
        <f t="shared" ca="1" si="144"/>
        <v/>
      </c>
      <c r="FO46" s="34"/>
      <c r="FP46" s="20" t="str">
        <f t="shared" ca="1" si="145"/>
        <v>l</v>
      </c>
      <c r="FQ46" s="20" t="str">
        <f t="shared" ca="1" si="145"/>
        <v>l</v>
      </c>
      <c r="FR46" s="20" t="str">
        <f t="shared" ca="1" si="145"/>
        <v>w</v>
      </c>
      <c r="FS46" s="20" t="str">
        <f t="shared" ca="1" si="145"/>
        <v/>
      </c>
      <c r="FT46" s="20" t="str">
        <f t="shared" ca="1" si="145"/>
        <v/>
      </c>
      <c r="FU46" s="20" t="str">
        <f t="shared" ca="1" si="145"/>
        <v/>
      </c>
      <c r="FV46" s="20" t="str">
        <f t="shared" ca="1" si="145"/>
        <v>w</v>
      </c>
      <c r="FW46" s="20" t="str">
        <f t="shared" ca="1" si="145"/>
        <v/>
      </c>
      <c r="FX46" s="20" t="str">
        <f t="shared" ca="1" si="145"/>
        <v>l</v>
      </c>
      <c r="FY46" s="20" t="str">
        <f t="shared" ca="1" si="145"/>
        <v/>
      </c>
      <c r="FZ46" s="20" t="str">
        <f t="shared" ca="1" si="146"/>
        <v/>
      </c>
      <c r="GA46" s="20" t="str">
        <f t="shared" ca="1" si="146"/>
        <v/>
      </c>
      <c r="GB46" s="20" t="str">
        <f t="shared" ca="1" si="146"/>
        <v>l</v>
      </c>
      <c r="GC46" s="20" t="str">
        <f t="shared" ca="1" si="146"/>
        <v/>
      </c>
      <c r="GD46" s="20" t="str">
        <f t="shared" ca="1" si="146"/>
        <v/>
      </c>
      <c r="GE46" s="20" t="str">
        <f t="shared" ca="1" si="146"/>
        <v/>
      </c>
      <c r="GF46" s="20" t="str">
        <f t="shared" ca="1" si="146"/>
        <v/>
      </c>
      <c r="GG46" s="20" t="str">
        <f t="shared" ca="1" si="146"/>
        <v/>
      </c>
      <c r="GH46" s="20" t="str">
        <f t="shared" ca="1" si="146"/>
        <v/>
      </c>
      <c r="GI46" s="34"/>
      <c r="HE46" s="34"/>
      <c r="HZ46" s="34"/>
      <c r="IA46" s="19" t="str">
        <f t="shared" ca="1" si="147"/>
        <v>No Hdcp</v>
      </c>
      <c r="IB46" s="19" t="str">
        <f ca="1">IF($D46&lt;&gt;"","Low of score &amp; "&amp;MIN($H46:$H46),"")</f>
        <v>Low of score &amp; 69</v>
      </c>
      <c r="IC46" s="19" t="str">
        <f ca="1">IF($D46&lt;&gt;"","Low of score &amp; "&amp;MIN($H46:$I46),"")</f>
        <v>Low of score &amp; 69</v>
      </c>
      <c r="ID46" s="18" t="str">
        <f ca="1">IF($D46&lt;&gt;"","Low of score &amp; "&amp;MIN($H46:$J46),"")</f>
        <v>Low of score &amp; 69</v>
      </c>
      <c r="IE46" s="18" t="str">
        <f ca="1">IF($D46&lt;&gt;"","Low of score &amp; "&amp;MIN($H46:$K46),"")</f>
        <v>Low of score &amp; 67</v>
      </c>
      <c r="IF46" s="18">
        <f ca="1">IF($D46&lt;&gt;"",ROUND(MIN((MIN($H46:$L46)-36)*0.96,20),2),"")</f>
        <v>20</v>
      </c>
      <c r="IG46" s="353">
        <f ca="1">IF($D46&lt;&gt;"",ROUND(MIN((AVERAGE(SMALL($H46:$M46,1),SMALL($H46:$M46,2))-36)*0.96,20),2),"")</f>
        <v>20</v>
      </c>
      <c r="IH46" s="18">
        <f ca="1">IF($D46&lt;&gt;"",ROUND(MIN((AVERAGE(SMALL($H46:$N46,1),SMALL($H46:$N46,2),SMALL($H46:$N46,3))-36)*0.96,20),2),"")</f>
        <v>20</v>
      </c>
      <c r="II46" s="18">
        <f ca="1">IF($D46&lt;&gt;"",ROUND(MIN((AVERAGE(SMALL($H46:$O46,1),SMALL($H46:$O46,2),SMALL($H46:$O46,3),SMALL($H46:$O46,4))-36)*0.96,20),2),"")</f>
        <v>20</v>
      </c>
      <c r="IJ46" s="18">
        <f ca="1">IF($D46&lt;&gt;"",ROUND(MIN((AVERAGE(SMALL($H46:$P46,1),SMALL($H46:$P46,2),SMALL($H46:$P46,3),SMALL($H46:$P46,4))-36)*0.96,20),2),"")</f>
        <v>20</v>
      </c>
      <c r="IK46" s="18">
        <f ca="1">IF($D46&lt;&gt;"",ROUND(MIN((AVERAGE(SMALL($H46:$Q46,1),SMALL($H46:$Q46,2),SMALL($H46:$Q46,3),SMALL($H46:$Q46,4),SMALL($H46:$Q46,5))-36)*0.96,20),2),"")</f>
        <v>20</v>
      </c>
      <c r="IL46" s="34"/>
      <c r="IN46" s="18">
        <f ca="1">AO46</f>
        <v>0</v>
      </c>
      <c r="IO46" s="18">
        <f ca="1">AN46</f>
        <v>0</v>
      </c>
      <c r="IP46" s="18">
        <f ca="1">AM46</f>
        <v>0</v>
      </c>
      <c r="IQ46" s="18">
        <f ca="1">AL46</f>
        <v>0</v>
      </c>
      <c r="IR46" s="18">
        <f ca="1">AK46</f>
        <v>0</v>
      </c>
      <c r="IS46" s="18">
        <f ca="1">AJ46</f>
        <v>0</v>
      </c>
      <c r="IT46" s="18">
        <f ca="1">AI46</f>
        <v>0</v>
      </c>
      <c r="IU46" s="18">
        <f ca="1">AH46</f>
        <v>0</v>
      </c>
      <c r="IV46" s="18">
        <f ca="1">AG46</f>
        <v>0</v>
      </c>
      <c r="IW46" s="18">
        <f ca="1">AF46</f>
        <v>0</v>
      </c>
      <c r="IX46" s="19">
        <f ca="1">IF(D46&lt;&gt;"",COUNT(IN46:IW46),"")</f>
        <v>10</v>
      </c>
      <c r="IY46" s="21">
        <f ca="1">IF(D46&lt;&gt;"",INDEX($JA46:$JK46,1,MATCH($IX46,$JA$6:$JK$6,0)), "")</f>
        <v>-34.56</v>
      </c>
      <c r="JA46" s="18" t="str">
        <f ca="1">IF(D46&lt;&gt;"","No Hdcp","")</f>
        <v>No Hdcp</v>
      </c>
      <c r="JB46" s="18" t="str">
        <f ca="1">IF(D46&lt;&gt;"","Low of score &amp; "&amp;MIN($IN46:$IN46),"")</f>
        <v>Low of score &amp; 0</v>
      </c>
      <c r="JC46" s="18" t="str">
        <f ca="1">IF(D46&lt;&gt;"","Low of score &amp; "&amp;MIN($IN46:$IO46),"")</f>
        <v>Low of score &amp; 0</v>
      </c>
      <c r="JD46" s="18" t="str">
        <f ca="1">IF(D46&lt;&gt;"","Low of score &amp; "&amp;MIN($IN46:$IP46),"")</f>
        <v>Low of score &amp; 0</v>
      </c>
      <c r="JE46" s="18" t="str">
        <f ca="1">IF(D46&lt;&gt;"","Low of score &amp; "&amp;MIN($IN46:$IQ46),"")</f>
        <v>Low of score &amp; 0</v>
      </c>
      <c r="JF46" s="18">
        <f ca="1">IF(D46&lt;&gt;"",MIN((MIN($IN46:$IR46)-36)*0.96,20),"")</f>
        <v>-34.56</v>
      </c>
      <c r="JG46" s="18">
        <f ca="1">IF(D46&lt;&gt;"",MIN((AVERAGE(SMALL($IN46:$IS46,1),SMALL($IN46:$IS46,2))-36)*0.96,20),"")</f>
        <v>-34.56</v>
      </c>
      <c r="JH46" s="18">
        <f ca="1">IF(D46&lt;&gt;"",MIN((AVERAGE(SMALL($IN46:$IT46,1),SMALL($IN46:$IT46,2),SMALL($IN46:$IT46,3))-36)*0.96,20),"")</f>
        <v>-34.56</v>
      </c>
      <c r="JI46" s="18">
        <f ca="1">IF(D46&lt;&gt;"",MIN((AVERAGE(SMALL($IN46:$IU46,1),SMALL($IN46:$IU46,2),SMALL($IN46:$IU46,3),SMALL($IN46:$IU46,4))-36)*0.96,20),"")</f>
        <v>-34.56</v>
      </c>
      <c r="JJ46" s="18">
        <f ca="1">IF(D46&lt;&gt;"",MIN((AVERAGE(SMALL($IN46:$IV46,1),SMALL($IN46:$IV46,2),SMALL($IN46:$IV46,3),SMALL($IN46:$IV46,4))-36)*0.96,20),"")</f>
        <v>-34.56</v>
      </c>
      <c r="JK46" s="18">
        <f ca="1">IF(D46&lt;&gt;"",MIN((AVERAGE(SMALL($IN46:$IW46,1),SMALL($IN46:$IW46,2),SMALL($IN46:$IW46,3),SMALL($IN46:$IW46,4),SMALL($IN46:$IW46,5))-36)*0.96,20),"")</f>
        <v>-34.56</v>
      </c>
    </row>
    <row r="47" spans="1:271" x14ac:dyDescent="0.2">
      <c r="A47" s="18" t="s">
        <v>27</v>
      </c>
      <c r="B47" s="19">
        <f>B46+7</f>
        <v>33</v>
      </c>
      <c r="C47" s="22">
        <f t="shared" ca="1" si="126"/>
        <v>3.5999999999999999E-3</v>
      </c>
      <c r="D47" s="18" t="str">
        <f t="shared" ca="1" si="127"/>
        <v>Dombrowski, Jerry - gold tees</v>
      </c>
      <c r="E47" s="19">
        <f t="shared" ca="1" si="128"/>
        <v>8</v>
      </c>
      <c r="F47" s="19">
        <f ca="1">IF(D47&lt;&gt;"",COUNT($H47:$Q47),"")</f>
        <v>8</v>
      </c>
      <c r="G47" s="21">
        <f ca="1">IF($D47&lt;&gt;"",INDEX($IA47:$IK47,1,MATCH($F47,$IA$6:$IK$6,0)), "")</f>
        <v>17.04</v>
      </c>
      <c r="H47" s="337" cm="1">
        <f t="array" aca="1" ref="H47" ca="1">IFERROR(_xlfn.SINGLE(INDEX($AF47:$BH47, , SUMPRODUCT(LARGE((($AF47:$BH47&lt;&gt;0)*($BJ47:$CL47&lt;&gt;1)*($AF$5:$BH$5)), H$6)))), "")</f>
        <v>54</v>
      </c>
      <c r="I47" s="338" cm="1">
        <f t="array" aca="1" ref="I47" ca="1">IFERROR(_xlfn.SINGLE(INDEX($AF47:$BH47, , SUMPRODUCT(LARGE((($AF47:$BH47&lt;&gt;0)*($BJ47:$CL47&lt;&gt;1)*($AF$5:$BH$5)), I$6)))), "")</f>
        <v>59</v>
      </c>
      <c r="J47" s="338" cm="1">
        <f t="array" aca="1" ref="J47" ca="1">IFERROR(_xlfn.SINGLE(INDEX($AF47:$BH47, , SUMPRODUCT(LARGE((($AF47:$BH47&lt;&gt;0)*($BJ47:$CL47&lt;&gt;1)*($AF$5:$BH$5)), J$6)))), "")</f>
        <v>60</v>
      </c>
      <c r="K47" s="338" cm="1">
        <f t="array" aca="1" ref="K47" ca="1">IFERROR(_xlfn.SINGLE(INDEX($AF47:$BH47, , SUMPRODUCT(LARGE((($AF47:$BH47&lt;&gt;0)*($BJ47:$CL47&lt;&gt;1)*($AF$5:$BH$5)), K$6)))), "")</f>
        <v>51</v>
      </c>
      <c r="L47" s="338" cm="1">
        <f t="array" aca="1" ref="L47" ca="1">IFERROR(_xlfn.SINGLE(INDEX($AF47:$BH47, , SUMPRODUCT(LARGE((($AF47:$BH47&lt;&gt;0)*($BJ47:$CL47&lt;&gt;1)*($AF$5:$BH$5)), L$6)))), "")</f>
        <v>51</v>
      </c>
      <c r="M47" s="338" cm="1">
        <f t="array" aca="1" ref="M47" ca="1">IFERROR(_xlfn.SINGLE(INDEX($AF47:$BH47, , SUMPRODUCT(LARGE((($AF47:$BH47&lt;&gt;0)*($BJ47:$CL47&lt;&gt;1)*($AF$5:$BH$5)), M$6)))), "")</f>
        <v>60</v>
      </c>
      <c r="N47" s="338" cm="1">
        <f t="array" aca="1" ref="N47" ca="1">IFERROR(_xlfn.SINGLE(INDEX($AF47:$BH47, , SUMPRODUCT(LARGE((($AF47:$BH47&lt;&gt;0)*($BJ47:$CL47&lt;&gt;1)*($AF$5:$BH$5)), N$6)))), "")</f>
        <v>63</v>
      </c>
      <c r="O47" s="338" cm="1">
        <f t="array" aca="1" ref="O47" ca="1">IFERROR(_xlfn.SINGLE(INDEX($AF47:$BH47, , SUMPRODUCT(LARGE((($AF47:$BH47&lt;&gt;0)*($BJ47:$CL47&lt;&gt;1)*($AF$5:$BH$5)), O$6)))), "")</f>
        <v>61</v>
      </c>
      <c r="P47" s="338" t="str" cm="1">
        <f t="array" aca="1" ref="P47" ca="1">IFERROR(_xlfn.SINGLE(INDEX($AF47:$BH47, , SUMPRODUCT(LARGE((($AF47:$BH47&lt;&gt;0)*($BJ47:$CL47&lt;&gt;1)*($AF$5:$BH$5)), P$6)))), "")</f>
        <v/>
      </c>
      <c r="Q47" s="339" t="str" cm="1">
        <f t="array" aca="1" ref="Q47" ca="1">IFERROR(_xlfn.SINGLE(INDEX($AF47:$BH47, , SUMPRODUCT(LARGE((($AF47:$BH47&lt;&gt;0)*($BJ47:$CL47&lt;&gt;1)*($AF$5:$BH$5)), Q$6)))), "")</f>
        <v/>
      </c>
      <c r="R47" s="21">
        <v>53.83</v>
      </c>
      <c r="S47" s="47">
        <f t="shared" ca="1" si="129"/>
        <v>55</v>
      </c>
      <c r="T47" s="21">
        <f ca="1">IF($D47&lt;&gt;"", IFERROR(IF($E47&gt;=qualifier, SUMIF($BT47:$CL47,0,$AP47:$BH47)/$E47, TEXT(SUMIF($BT47:$CL47,0,$AP47:$BH47)/$E47, "0.00")&amp;"*"), "-"), "")</f>
        <v>57.375</v>
      </c>
      <c r="U47" s="21">
        <f ca="1">IF($D47&lt;&gt;"", IFERROR(IF($E47&gt;=qualifier, SUMIF($BT47:$CL47,0,$CN47:$DF47)/$E47, TEXT(SUMIF($BT47:$CL47,0,$CN47:$DF47)/$E47, "0.00")&amp;"*"), "-"), "")</f>
        <v>41.5</v>
      </c>
      <c r="V47" s="46">
        <f ca="1">IF(AND($D47&lt;&gt;"", $E47&lt;&gt;0), _xlfn.MINIFS($AP47:$BH47,$BT47:$CL47,0,$AP47:$BH47,"&lt;&gt;0"), "")</f>
        <v>51</v>
      </c>
      <c r="W47" s="19">
        <f ca="1">IF(AND($D47&lt;&gt;"", $E47&lt;&gt;0), _xlfn.MINIFS($CN47:$DF47,$BT47:$CL47,0), "")</f>
        <v>35</v>
      </c>
      <c r="X47" s="46">
        <f ca="1">IF($D47&lt;&gt;"", SUM($DH47:$DZ47),  "")</f>
        <v>86</v>
      </c>
      <c r="Y47" s="21">
        <f ca="1">IF($D47&lt;&gt;"", IFERROR(IF($E47&gt;=qualifier, AVERAGE($DH47:$DZ47), TEXT(AVERAGE($DH47:$DZ47), "0.00")&amp;"*"), "-"), "")</f>
        <v>9.5555555555555554</v>
      </c>
      <c r="Z47" s="19">
        <f ca="1">IF($D47&lt;&gt;"", SUM($EB47:$ET47),  "")</f>
        <v>0</v>
      </c>
      <c r="AA47" s="19">
        <f ca="1">IF($D47&lt;&gt;"", SUM($EV47:$FN47),  "")</f>
        <v>0</v>
      </c>
      <c r="AB47" s="46" t="str">
        <f t="shared" ca="1" si="130"/>
        <v>5-4-0</v>
      </c>
      <c r="AC47" s="218">
        <f t="shared" ca="1" si="131"/>
        <v>3303090723</v>
      </c>
      <c r="AD47" s="57" t="str">
        <f t="shared" ca="1" si="132"/>
        <v>Jerybud@gmail.com</v>
      </c>
      <c r="AE47" s="34"/>
      <c r="AF47" s="341">
        <f ca="1">INDEX(PriorScores[],MATCH($D47,PriorScores[Team / Player],0),2)</f>
        <v>0</v>
      </c>
      <c r="AG47" s="341">
        <f ca="1">INDEX(PriorScores[],MATCH($D47,PriorScores[Team / Player],0),3)</f>
        <v>0</v>
      </c>
      <c r="AH47" s="341">
        <f ca="1">INDEX(PriorScores[],MATCH($D47,PriorScores[Team / Player],0),4)</f>
        <v>0</v>
      </c>
      <c r="AI47" s="341">
        <f ca="1">INDEX(PriorScores[],MATCH($D47,PriorScores[Team / Player],0),5)</f>
        <v>0</v>
      </c>
      <c r="AJ47" s="341"/>
      <c r="AK47" s="341"/>
      <c r="AL47" s="341"/>
      <c r="AM47" s="341"/>
      <c r="AN47" s="341"/>
      <c r="AO47" s="341"/>
      <c r="AP47" s="20">
        <f t="shared" ca="1" si="133"/>
        <v>0</v>
      </c>
      <c r="AQ47" s="20">
        <f t="shared" ca="1" si="133"/>
        <v>0</v>
      </c>
      <c r="AR47" s="20">
        <f t="shared" ca="1" si="133"/>
        <v>61</v>
      </c>
      <c r="AS47" s="20">
        <f t="shared" ca="1" si="133"/>
        <v>63</v>
      </c>
      <c r="AT47" s="20">
        <f t="shared" ca="1" si="133"/>
        <v>60</v>
      </c>
      <c r="AU47" s="20">
        <f t="shared" ca="1" si="133"/>
        <v>51</v>
      </c>
      <c r="AV47" s="20">
        <f t="shared" ca="1" si="133"/>
        <v>51</v>
      </c>
      <c r="AW47" s="20">
        <f t="shared" ca="1" si="133"/>
        <v>0</v>
      </c>
      <c r="AX47" s="20">
        <f t="shared" ca="1" si="133"/>
        <v>0</v>
      </c>
      <c r="AY47" s="20">
        <f t="shared" ca="1" si="133"/>
        <v>0</v>
      </c>
      <c r="AZ47" s="20">
        <f t="shared" ca="1" si="134"/>
        <v>60</v>
      </c>
      <c r="BA47" s="20">
        <f t="shared" ca="1" si="134"/>
        <v>0</v>
      </c>
      <c r="BB47" s="20">
        <f t="shared" ca="1" si="134"/>
        <v>0</v>
      </c>
      <c r="BC47" s="20">
        <f t="shared" ca="1" si="134"/>
        <v>0</v>
      </c>
      <c r="BD47" s="20">
        <f t="shared" ca="1" si="134"/>
        <v>0</v>
      </c>
      <c r="BE47" s="20">
        <f t="shared" ca="1" si="134"/>
        <v>59</v>
      </c>
      <c r="BF47" s="20">
        <f t="shared" ca="1" si="134"/>
        <v>54</v>
      </c>
      <c r="BG47" s="20">
        <f t="shared" ca="1" si="134"/>
        <v>0</v>
      </c>
      <c r="BH47" s="20">
        <f t="shared" ca="1" si="134"/>
        <v>0</v>
      </c>
      <c r="BI47" s="34"/>
      <c r="BJ47" s="341">
        <v>0</v>
      </c>
      <c r="BK47" s="341">
        <v>0</v>
      </c>
      <c r="BL47" s="341">
        <v>0</v>
      </c>
      <c r="BM47" s="341">
        <v>0</v>
      </c>
      <c r="BN47" s="341">
        <v>0</v>
      </c>
      <c r="BO47" s="341">
        <v>0</v>
      </c>
      <c r="BP47" s="341">
        <v>0</v>
      </c>
      <c r="BQ47" s="341">
        <v>0</v>
      </c>
      <c r="BR47" s="341">
        <v>0</v>
      </c>
      <c r="BS47" s="341">
        <v>0</v>
      </c>
      <c r="BT47" s="20">
        <f t="shared" ca="1" si="135"/>
        <v>0</v>
      </c>
      <c r="BU47" s="20">
        <f t="shared" ca="1" si="135"/>
        <v>0</v>
      </c>
      <c r="BV47" s="20">
        <f t="shared" ca="1" si="135"/>
        <v>0</v>
      </c>
      <c r="BW47" s="20">
        <f t="shared" ca="1" si="135"/>
        <v>0</v>
      </c>
      <c r="BX47" s="20">
        <f t="shared" ca="1" si="135"/>
        <v>0</v>
      </c>
      <c r="BY47" s="20">
        <f t="shared" ca="1" si="135"/>
        <v>0</v>
      </c>
      <c r="BZ47" s="20">
        <f t="shared" ca="1" si="135"/>
        <v>0</v>
      </c>
      <c r="CA47" s="20">
        <f t="shared" ca="1" si="135"/>
        <v>0</v>
      </c>
      <c r="CB47" s="20">
        <f t="shared" ca="1" si="135"/>
        <v>0</v>
      </c>
      <c r="CC47" s="20">
        <f t="shared" ca="1" si="135"/>
        <v>0</v>
      </c>
      <c r="CD47" s="20">
        <f t="shared" ca="1" si="136"/>
        <v>0</v>
      </c>
      <c r="CE47" s="20">
        <f t="shared" ca="1" si="136"/>
        <v>0</v>
      </c>
      <c r="CF47" s="20">
        <f t="shared" ca="1" si="136"/>
        <v>0</v>
      </c>
      <c r="CG47" s="20">
        <f t="shared" ca="1" si="136"/>
        <v>0</v>
      </c>
      <c r="CH47" s="20">
        <f t="shared" ca="1" si="136"/>
        <v>0</v>
      </c>
      <c r="CI47" s="20">
        <f t="shared" ca="1" si="136"/>
        <v>0</v>
      </c>
      <c r="CJ47" s="20">
        <f t="shared" ca="1" si="136"/>
        <v>0</v>
      </c>
      <c r="CK47" s="20">
        <f t="shared" ca="1" si="136"/>
        <v>1</v>
      </c>
      <c r="CL47" s="20">
        <f t="shared" ca="1" si="136"/>
        <v>0</v>
      </c>
      <c r="CM47" s="34"/>
      <c r="CN47" s="20" t="str">
        <f t="shared" ca="1" si="137"/>
        <v/>
      </c>
      <c r="CO47" s="20" t="str">
        <f t="shared" ca="1" si="137"/>
        <v/>
      </c>
      <c r="CP47" s="20">
        <f t="shared" ca="1" si="137"/>
        <v>47</v>
      </c>
      <c r="CQ47" s="20">
        <f t="shared" ca="1" si="137"/>
        <v>48</v>
      </c>
      <c r="CR47" s="20">
        <f t="shared" ca="1" si="137"/>
        <v>44</v>
      </c>
      <c r="CS47" s="20">
        <f t="shared" ca="1" si="137"/>
        <v>35</v>
      </c>
      <c r="CT47" s="20">
        <f t="shared" ca="1" si="137"/>
        <v>35</v>
      </c>
      <c r="CU47" s="20" t="str">
        <f t="shared" ca="1" si="137"/>
        <v/>
      </c>
      <c r="CV47" s="20" t="str">
        <f t="shared" ca="1" si="137"/>
        <v/>
      </c>
      <c r="CW47" s="20" t="str">
        <f t="shared" ca="1" si="137"/>
        <v/>
      </c>
      <c r="CX47" s="20">
        <f t="shared" ca="1" si="138"/>
        <v>44</v>
      </c>
      <c r="CY47" s="20" t="str">
        <f t="shared" ca="1" si="138"/>
        <v/>
      </c>
      <c r="CZ47" s="20" t="str">
        <f t="shared" ca="1" si="138"/>
        <v/>
      </c>
      <c r="DA47" s="20" t="str">
        <f t="shared" ca="1" si="138"/>
        <v/>
      </c>
      <c r="DB47" s="20" t="str">
        <f t="shared" ca="1" si="138"/>
        <v/>
      </c>
      <c r="DC47" s="20">
        <f t="shared" ca="1" si="138"/>
        <v>42</v>
      </c>
      <c r="DD47" s="20">
        <f t="shared" ca="1" si="138"/>
        <v>37</v>
      </c>
      <c r="DE47" s="20" t="str">
        <f t="shared" ca="1" si="138"/>
        <v/>
      </c>
      <c r="DF47" s="20" t="str">
        <f t="shared" ca="1" si="138"/>
        <v/>
      </c>
      <c r="DG47" s="34"/>
      <c r="DH47" s="20" t="str">
        <f t="shared" ca="1" si="139"/>
        <v/>
      </c>
      <c r="DI47" s="20" t="str">
        <f t="shared" ca="1" si="139"/>
        <v/>
      </c>
      <c r="DJ47" s="20">
        <f t="shared" ca="1" si="139"/>
        <v>8</v>
      </c>
      <c r="DK47" s="20">
        <f t="shared" ca="1" si="139"/>
        <v>5</v>
      </c>
      <c r="DL47" s="20">
        <f t="shared" ca="1" si="139"/>
        <v>11</v>
      </c>
      <c r="DM47" s="20">
        <f t="shared" ca="1" si="139"/>
        <v>12</v>
      </c>
      <c r="DN47" s="20">
        <f t="shared" ca="1" si="139"/>
        <v>12</v>
      </c>
      <c r="DO47" s="20" t="str">
        <f t="shared" ca="1" si="139"/>
        <v/>
      </c>
      <c r="DP47" s="20" t="str">
        <f t="shared" ca="1" si="139"/>
        <v/>
      </c>
      <c r="DQ47" s="20" t="str">
        <f t="shared" ca="1" si="139"/>
        <v/>
      </c>
      <c r="DR47" s="20">
        <f t="shared" ca="1" si="140"/>
        <v>6</v>
      </c>
      <c r="DS47" s="20" t="str">
        <f t="shared" ca="1" si="140"/>
        <v/>
      </c>
      <c r="DT47" s="20" t="str">
        <f t="shared" ca="1" si="140"/>
        <v/>
      </c>
      <c r="DU47" s="20" t="str">
        <f t="shared" ca="1" si="140"/>
        <v/>
      </c>
      <c r="DV47" s="20" t="str">
        <f t="shared" ca="1" si="140"/>
        <v/>
      </c>
      <c r="DW47" s="20">
        <f t="shared" ca="1" si="140"/>
        <v>8</v>
      </c>
      <c r="DX47" s="20">
        <f t="shared" ca="1" si="140"/>
        <v>12</v>
      </c>
      <c r="DY47" s="20">
        <f t="shared" ca="1" si="140"/>
        <v>12</v>
      </c>
      <c r="DZ47" s="20" t="str">
        <f t="shared" ca="1" si="140"/>
        <v/>
      </c>
      <c r="EA47" s="34"/>
      <c r="EB47" s="20" t="str">
        <f t="shared" ca="1" si="141"/>
        <v/>
      </c>
      <c r="EC47" s="20" t="str">
        <f t="shared" ca="1" si="141"/>
        <v/>
      </c>
      <c r="ED47" s="20" t="str">
        <f t="shared" ca="1" si="141"/>
        <v/>
      </c>
      <c r="EE47" s="20" t="str">
        <f t="shared" ca="1" si="141"/>
        <v/>
      </c>
      <c r="EF47" s="20" t="str">
        <f t="shared" ca="1" si="141"/>
        <v/>
      </c>
      <c r="EG47" s="20" t="str">
        <f t="shared" ca="1" si="141"/>
        <v/>
      </c>
      <c r="EH47" s="20" t="str">
        <f t="shared" ca="1" si="141"/>
        <v/>
      </c>
      <c r="EI47" s="20" t="str">
        <f t="shared" ca="1" si="141"/>
        <v/>
      </c>
      <c r="EJ47" s="20" t="str">
        <f t="shared" ca="1" si="141"/>
        <v/>
      </c>
      <c r="EK47" s="20" t="str">
        <f t="shared" ca="1" si="141"/>
        <v/>
      </c>
      <c r="EL47" s="20" t="str">
        <f t="shared" ca="1" si="142"/>
        <v/>
      </c>
      <c r="EM47" s="20" t="str">
        <f t="shared" ca="1" si="142"/>
        <v/>
      </c>
      <c r="EN47" s="20" t="str">
        <f t="shared" ca="1" si="142"/>
        <v/>
      </c>
      <c r="EO47" s="20" t="str">
        <f t="shared" ca="1" si="142"/>
        <v/>
      </c>
      <c r="EP47" s="20" t="str">
        <f t="shared" ca="1" si="142"/>
        <v/>
      </c>
      <c r="EQ47" s="20" t="str">
        <f t="shared" ca="1" si="142"/>
        <v/>
      </c>
      <c r="ER47" s="20" t="str">
        <f t="shared" ca="1" si="142"/>
        <v/>
      </c>
      <c r="ES47" s="20" t="str">
        <f t="shared" ca="1" si="142"/>
        <v/>
      </c>
      <c r="ET47" s="20" t="str">
        <f t="shared" ca="1" si="142"/>
        <v/>
      </c>
      <c r="EU47" s="34"/>
      <c r="EV47" s="20" t="str">
        <f t="shared" ca="1" si="143"/>
        <v/>
      </c>
      <c r="EW47" s="20" t="str">
        <f t="shared" ca="1" si="143"/>
        <v/>
      </c>
      <c r="EX47" s="20" t="str">
        <f t="shared" ca="1" si="143"/>
        <v/>
      </c>
      <c r="EY47" s="20" t="str">
        <f t="shared" ca="1" si="143"/>
        <v/>
      </c>
      <c r="EZ47" s="20" t="str">
        <f t="shared" ca="1" si="143"/>
        <v/>
      </c>
      <c r="FA47" s="20" t="str">
        <f t="shared" ca="1" si="143"/>
        <v/>
      </c>
      <c r="FB47" s="20" t="str">
        <f t="shared" ca="1" si="143"/>
        <v/>
      </c>
      <c r="FC47" s="20" t="str">
        <f t="shared" ca="1" si="143"/>
        <v/>
      </c>
      <c r="FD47" s="20" t="str">
        <f t="shared" ca="1" si="143"/>
        <v/>
      </c>
      <c r="FE47" s="20" t="str">
        <f t="shared" ca="1" si="143"/>
        <v/>
      </c>
      <c r="FF47" s="20" t="str">
        <f t="shared" ca="1" si="144"/>
        <v/>
      </c>
      <c r="FG47" s="20" t="str">
        <f t="shared" ca="1" si="144"/>
        <v/>
      </c>
      <c r="FH47" s="20" t="str">
        <f t="shared" ca="1" si="144"/>
        <v/>
      </c>
      <c r="FI47" s="20" t="str">
        <f t="shared" ca="1" si="144"/>
        <v/>
      </c>
      <c r="FJ47" s="20" t="str">
        <f t="shared" ca="1" si="144"/>
        <v/>
      </c>
      <c r="FK47" s="20" t="str">
        <f t="shared" ca="1" si="144"/>
        <v/>
      </c>
      <c r="FL47" s="20" t="str">
        <f t="shared" ca="1" si="144"/>
        <v/>
      </c>
      <c r="FM47" s="20" t="str">
        <f t="shared" ca="1" si="144"/>
        <v/>
      </c>
      <c r="FN47" s="20" t="str">
        <f t="shared" ca="1" si="144"/>
        <v/>
      </c>
      <c r="FO47" s="34"/>
      <c r="FP47" s="20" t="str">
        <f t="shared" ca="1" si="145"/>
        <v/>
      </c>
      <c r="FQ47" s="20" t="str">
        <f t="shared" ca="1" si="145"/>
        <v/>
      </c>
      <c r="FR47" s="20" t="str">
        <f t="shared" ca="1" si="145"/>
        <v>l</v>
      </c>
      <c r="FS47" s="20" t="str">
        <f t="shared" ca="1" si="145"/>
        <v>l</v>
      </c>
      <c r="FT47" s="20" t="str">
        <f t="shared" ca="1" si="145"/>
        <v>w</v>
      </c>
      <c r="FU47" s="20" t="str">
        <f t="shared" ca="1" si="145"/>
        <v>w</v>
      </c>
      <c r="FV47" s="20" t="str">
        <f t="shared" ca="1" si="145"/>
        <v>w</v>
      </c>
      <c r="FW47" s="20" t="str">
        <f t="shared" ca="1" si="145"/>
        <v/>
      </c>
      <c r="FX47" s="20" t="str">
        <f t="shared" ca="1" si="145"/>
        <v/>
      </c>
      <c r="FY47" s="20" t="str">
        <f t="shared" ca="1" si="145"/>
        <v/>
      </c>
      <c r="FZ47" s="20" t="str">
        <f t="shared" ca="1" si="146"/>
        <v>l</v>
      </c>
      <c r="GA47" s="20" t="str">
        <f t="shared" ca="1" si="146"/>
        <v/>
      </c>
      <c r="GB47" s="20" t="str">
        <f t="shared" ca="1" si="146"/>
        <v/>
      </c>
      <c r="GC47" s="20" t="str">
        <f t="shared" ca="1" si="146"/>
        <v/>
      </c>
      <c r="GD47" s="20" t="str">
        <f t="shared" ca="1" si="146"/>
        <v/>
      </c>
      <c r="GE47" s="20" t="str">
        <f t="shared" ca="1" si="146"/>
        <v>l</v>
      </c>
      <c r="GF47" s="20" t="str">
        <f t="shared" ca="1" si="146"/>
        <v>w</v>
      </c>
      <c r="GG47" s="20" t="str">
        <f t="shared" ca="1" si="146"/>
        <v>w</v>
      </c>
      <c r="GH47" s="20" t="str">
        <f t="shared" ca="1" si="146"/>
        <v/>
      </c>
      <c r="GI47" s="34"/>
      <c r="HE47" s="34"/>
      <c r="HZ47" s="34"/>
      <c r="IA47" s="19" t="str">
        <f t="shared" ca="1" si="147"/>
        <v>No Hdcp</v>
      </c>
      <c r="IB47" s="19" t="str">
        <f ca="1">IF($D47&lt;&gt;"","Low of score &amp; "&amp;MIN($H47:$H47),"")</f>
        <v>Low of score &amp; 54</v>
      </c>
      <c r="IC47" s="19" t="str">
        <f ca="1">IF($D47&lt;&gt;"","Low of score &amp; "&amp;MIN($H47:$I47),"")</f>
        <v>Low of score &amp; 54</v>
      </c>
      <c r="ID47" s="18" t="str">
        <f ca="1">IF($D47&lt;&gt;"","Low of score &amp; "&amp;MIN($H47:$J47),"")</f>
        <v>Low of score &amp; 54</v>
      </c>
      <c r="IE47" s="18" t="str">
        <f ca="1">IF($D47&lt;&gt;"","Low of score &amp; "&amp;MIN($H47:$K47),"")</f>
        <v>Low of score &amp; 51</v>
      </c>
      <c r="IF47" s="18">
        <f ca="1">IF($D47&lt;&gt;"",ROUND(MIN((MIN($H47:$L47)-36)*0.96,20),2),"")</f>
        <v>14.4</v>
      </c>
      <c r="IG47" s="353">
        <f ca="1">IF($D47&lt;&gt;"",ROUND(MIN((AVERAGE(SMALL($H47:$M47,1),SMALL($H47:$M47,2))-36)*0.96,20),2),"")</f>
        <v>14.4</v>
      </c>
      <c r="IH47" s="18">
        <f ca="1">IF($D47&lt;&gt;"",ROUND(MIN((AVERAGE(SMALL($H47:$N47,1),SMALL($H47:$N47,2),SMALL($H47:$N47,3))-36)*0.96,20),2),"")</f>
        <v>15.36</v>
      </c>
      <c r="II47" s="18">
        <f ca="1">IF($D47&lt;&gt;"",ROUND(MIN((AVERAGE(SMALL($H47:$O47,1),SMALL($H47:$O47,2),SMALL($H47:$O47,3),SMALL($H47:$O47,4))-36)*0.96,20),2),"")</f>
        <v>17.04</v>
      </c>
      <c r="IJ47" s="18">
        <f ca="1">IF($D47&lt;&gt;"",ROUND(MIN((AVERAGE(SMALL($H47:$P47,1),SMALL($H47:$P47,2),SMALL($H47:$P47,3),SMALL($H47:$P47,4))-36)*0.96,20),2),"")</f>
        <v>17.04</v>
      </c>
      <c r="IK47" s="18">
        <f ca="1">IF($D47&lt;&gt;"",ROUND(MIN((AVERAGE(SMALL($H47:$Q47,1),SMALL($H47:$Q47,2),SMALL($H47:$Q47,3),SMALL($H47:$Q47,4),SMALL($H47:$Q47,5))-36)*0.96,20),2),"")</f>
        <v>18.239999999999998</v>
      </c>
      <c r="IL47" s="34"/>
      <c r="IN47" s="18" cm="1">
        <f t="array" aca="1" ref="IN47" ca="1">IFERROR(_xlfn.SINGLE(INDEX($AP47:$BH47, , SUMPRODUCT(LARGE((($AP47:$BH47&lt;&gt;0)*($BT47:$CL47&lt;&gt;1)*(weeks)), IN$6)))), "")</f>
        <v>54</v>
      </c>
      <c r="IO47" s="18" cm="1">
        <f t="array" aca="1" ref="IO47" ca="1">IFERROR(_xlfn.SINGLE(INDEX($AP47:$BH47, , SUMPRODUCT(LARGE((($AP47:$BH47&lt;&gt;0)*($BT47:$CL47&lt;&gt;1)*(weeks)), IO$6)))), "")</f>
        <v>59</v>
      </c>
      <c r="IP47" s="18" cm="1">
        <f t="array" aca="1" ref="IP47" ca="1">IFERROR(_xlfn.SINGLE(INDEX($AP47:$BH47, , SUMPRODUCT(LARGE((($AP47:$BH47&lt;&gt;0)*($BT47:$CL47&lt;&gt;1)*(weeks)), IP$6)))), "")</f>
        <v>60</v>
      </c>
      <c r="IQ47" s="18" cm="1">
        <f t="array" aca="1" ref="IQ47" ca="1">IFERROR(_xlfn.SINGLE(INDEX($AP47:$BH47, , SUMPRODUCT(LARGE((($AP47:$BH47&lt;&gt;0)*($BT47:$CL47&lt;&gt;1)*(weeks)), IQ$6)))), "")</f>
        <v>51</v>
      </c>
      <c r="IR47" s="18" cm="1">
        <f t="array" aca="1" ref="IR47" ca="1">IFERROR(_xlfn.SINGLE(INDEX($AP47:$BH47, , SUMPRODUCT(LARGE((($AP47:$BH47&lt;&gt;0)*($BT47:$CL47&lt;&gt;1)*(weeks)), IR$6)))), "")</f>
        <v>51</v>
      </c>
      <c r="IS47" s="18" cm="1">
        <f t="array" aca="1" ref="IS47" ca="1">IFERROR(_xlfn.SINGLE(INDEX($AP47:$BH47, , SUMPRODUCT(LARGE((($AP47:$BH47&lt;&gt;0)*($BT47:$CL47&lt;&gt;1)*(weeks)), IS$6)))), "")</f>
        <v>60</v>
      </c>
      <c r="IT47" s="18" cm="1">
        <f t="array" aca="1" ref="IT47" ca="1">IFERROR(_xlfn.SINGLE(INDEX($AP47:$BH47, , SUMPRODUCT(LARGE((($AP47:$BH47&lt;&gt;0)*($BT47:$CL47&lt;&gt;1)*(weeks)), IT$6)))), "")</f>
        <v>63</v>
      </c>
      <c r="IU47" s="18" cm="1">
        <f t="array" aca="1" ref="IU47" ca="1">IFERROR(_xlfn.SINGLE(INDEX($AP47:$BH47, , SUMPRODUCT(LARGE((($AP47:$BH47&lt;&gt;0)*($BT47:$CL47&lt;&gt;1)*(weeks)), IU$6)))), "")</f>
        <v>61</v>
      </c>
      <c r="IV47" s="18" t="str" cm="1">
        <f t="array" aca="1" ref="IV47" ca="1">IFERROR(_xlfn.SINGLE(INDEX($AP47:$BH47, , SUMPRODUCT(LARGE((($AP47:$BH47&lt;&gt;0)*($BT47:$CL47&lt;&gt;1)*(weeks)), IV$6)))), "")</f>
        <v/>
      </c>
      <c r="IW47" s="18" t="str" cm="1">
        <f t="array" aca="1" ref="IW47" ca="1">IFERROR(_xlfn.SINGLE(INDEX($AP47:$BH47, , SUMPRODUCT(LARGE((($AP47:$BH47&lt;&gt;0)*($BT47:$CL47&lt;&gt;1)*(weeks)), IW$6)))), "")</f>
        <v/>
      </c>
      <c r="IX47" s="19">
        <f ca="1">IF(D47&lt;&gt;"",COUNT(IN47:IW47),"")</f>
        <v>8</v>
      </c>
      <c r="IY47" s="21">
        <f ca="1">IF(D47&lt;&gt;"",INDEX($JA47:$JK47,1,MATCH($IX47,$JA$6:$JK$6,0)), "")</f>
        <v>17.04</v>
      </c>
      <c r="JA47" s="18" t="str">
        <f ca="1">IF(D47&lt;&gt;"","No Hdcp","")</f>
        <v>No Hdcp</v>
      </c>
      <c r="JB47" s="18" t="str">
        <f ca="1">IF(D47&lt;&gt;"","Low of score &amp; "&amp;MIN($IN47:$IN47),"")</f>
        <v>Low of score &amp; 54</v>
      </c>
      <c r="JC47" s="18" t="str">
        <f ca="1">IF(D47&lt;&gt;"","Low of score &amp; "&amp;MIN($IN47:$IO47),"")</f>
        <v>Low of score &amp; 54</v>
      </c>
      <c r="JD47" s="18" t="str">
        <f ca="1">IF(D47&lt;&gt;"","Low of score &amp; "&amp;MIN($IN47:$IP47),"")</f>
        <v>Low of score &amp; 54</v>
      </c>
      <c r="JE47" s="18" t="str">
        <f ca="1">IF(D47&lt;&gt;"","Low of score &amp; "&amp;MIN($IN47:$IQ47),"")</f>
        <v>Low of score &amp; 51</v>
      </c>
      <c r="JF47" s="18">
        <f ca="1">IF(D47&lt;&gt;"",MIN((MIN($IN47:$IR47)-36)*0.96,20),"")</f>
        <v>14.399999999999999</v>
      </c>
      <c r="JG47" s="18">
        <f ca="1">IF(D47&lt;&gt;"",MIN((AVERAGE(SMALL($IN47:$IS47,1),SMALL($IN47:$IS47,2))-36)*0.96,20),"")</f>
        <v>14.399999999999999</v>
      </c>
      <c r="JH47" s="18">
        <f ca="1">IF(D47&lt;&gt;"",MIN((AVERAGE(SMALL($IN47:$IT47,1),SMALL($IN47:$IT47,2),SMALL($IN47:$IT47,3))-36)*0.96,20),"")</f>
        <v>15.36</v>
      </c>
      <c r="JI47" s="18">
        <f ca="1">IF(D47&lt;&gt;"",MIN((AVERAGE(SMALL($IN47:$IU47,1),SMALL($IN47:$IU47,2),SMALL($IN47:$IU47,3),SMALL($IN47:$IU47,4))-36)*0.96,20),"")</f>
        <v>17.04</v>
      </c>
      <c r="JJ47" s="18">
        <f ca="1">IF(D47&lt;&gt;"",MIN((AVERAGE(SMALL($IN47:$IV47,1),SMALL($IN47:$IV47,2),SMALL($IN47:$IV47,3),SMALL($IN47:$IV47,4))-36)*0.96,20),"")</f>
        <v>17.04</v>
      </c>
      <c r="JK47" s="18">
        <f ca="1">IF(D47&lt;&gt;"",MIN((AVERAGE(SMALL($IN47:$IW47,1),SMALL($IN47:$IW47,2),SMALL($IN47:$IW47,3),SMALL($IN47:$IW47,4),SMALL($IN47:$IW47,5))-36)*0.96,20),"")</f>
        <v>18.239999999999998</v>
      </c>
    </row>
    <row r="48" spans="1:271" x14ac:dyDescent="0.2">
      <c r="A48" s="18" t="s">
        <v>27</v>
      </c>
      <c r="B48" s="19">
        <f>B47+7</f>
        <v>40</v>
      </c>
      <c r="C48" s="22">
        <f t="shared" ca="1" si="126"/>
        <v>1.8E-3</v>
      </c>
      <c r="D48" s="18" t="str">
        <f t="shared" ca="1" si="127"/>
        <v>Blind Draw Who's Your Caddy?</v>
      </c>
      <c r="E48" s="19">
        <f t="shared" ca="1" si="128"/>
        <v>1</v>
      </c>
      <c r="F48" s="19">
        <f ca="1">IF($D48&lt;&gt;"", COUNT($AP48:$BH48)-COUNTIF($AP48:$BH48,0), "")</f>
        <v>1</v>
      </c>
      <c r="G48" s="21">
        <v>0</v>
      </c>
      <c r="H48" s="46" cm="1">
        <f t="array" aca="1" ref="H48" ca="1">IFERROR(_xlfn.SINGLE(INDEX($AP48:$BH48, , SUMPRODUCT(LARGE((($AP48:$BH48&lt;&gt;0)*($BT48:$CL48&lt;&gt;1)*(weeks)), H$6)))), "")</f>
        <v>40</v>
      </c>
      <c r="I48" s="19" t="str" cm="1">
        <f t="array" aca="1" ref="I48" ca="1">IFERROR(_xlfn.SINGLE(INDEX($AP48:$BH48, , SUMPRODUCT(LARGE((($AP48:$BH48&lt;&gt;0)*($BT48:$CL48&lt;&gt;1)*(weeks)), I$6)))), "")</f>
        <v/>
      </c>
      <c r="J48" s="19" t="str" cm="1">
        <f t="array" aca="1" ref="J48" ca="1">IFERROR(_xlfn.SINGLE(INDEX($AP48:$BH48, , SUMPRODUCT(LARGE((($AP48:$BH48&lt;&gt;0)*($BT48:$CL48&lt;&gt;1)*(weeks)), J$6)))), "")</f>
        <v/>
      </c>
      <c r="K48" s="19" t="str" cm="1">
        <f t="array" aca="1" ref="K48" ca="1">IFERROR(_xlfn.SINGLE(INDEX($AP48:$BH48, , SUMPRODUCT(LARGE((($AP48:$BH48&lt;&gt;0)*($BT48:$CL48&lt;&gt;1)*(weeks)), K$6)))), "")</f>
        <v/>
      </c>
      <c r="Q48" s="86" t="str" cm="1">
        <f t="array" aca="1" ref="Q48" ca="1">IFERROR(_xlfn.SINGLE(INDEX($AP48:$BH48, , SUMPRODUCT(LARGE((($AP48:$BH48&lt;&gt;0)*($BT48:$CL48&lt;&gt;1)*(weeks)), Q$6)))), "")</f>
        <v/>
      </c>
      <c r="R48" s="21" t="str">
        <f ca="1">IF($D48&lt;&gt;"", INDEX(INDIRECT($A48), $B48+1, 21), "")</f>
        <v/>
      </c>
      <c r="S48" s="47" t="str">
        <f t="shared" ca="1" si="129"/>
        <v>-</v>
      </c>
      <c r="T48" s="59"/>
      <c r="U48" s="59"/>
      <c r="V48" s="46"/>
      <c r="X48" s="46"/>
      <c r="Y48" s="21"/>
      <c r="AB48" s="46" t="str">
        <f t="shared" ca="1" si="130"/>
        <v>0-1-0</v>
      </c>
      <c r="AC48" s="218">
        <f t="shared" ca="1" si="131"/>
        <v>0</v>
      </c>
      <c r="AD48" s="57">
        <f t="shared" ca="1" si="132"/>
        <v>0</v>
      </c>
      <c r="AE48" s="34"/>
      <c r="AF48" s="341">
        <f ca="1">INDEX(PriorScores[],MATCH($D48,PriorScores[Team / Player],0),2)</f>
        <v>0</v>
      </c>
      <c r="AG48" s="341">
        <f ca="1">INDEX(PriorScores[],MATCH($D48,PriorScores[Team / Player],0),3)</f>
        <v>0</v>
      </c>
      <c r="AH48" s="341">
        <f ca="1">INDEX(PriorScores[],MATCH($D48,PriorScores[Team / Player],0),4)</f>
        <v>0</v>
      </c>
      <c r="AI48" s="341">
        <f ca="1">INDEX(PriorScores[],MATCH($D48,PriorScores[Team / Player],0),5)</f>
        <v>0</v>
      </c>
      <c r="AJ48" s="341">
        <f ca="1">INDEX(PriorScores[],MATCH($D48,PriorScores[Team / Player],0),6)</f>
        <v>0</v>
      </c>
      <c r="AK48" s="341">
        <f ca="1">INDEX(PriorScores[],MATCH($D48,PriorScores[Team / Player],0),7)</f>
        <v>0</v>
      </c>
      <c r="AL48" s="341">
        <f ca="1">INDEX(PriorScores[],MATCH($D48,PriorScores[Team / Player],0),8)</f>
        <v>0</v>
      </c>
      <c r="AM48" s="341">
        <f ca="1">INDEX(PriorScores[],MATCH($D48,PriorScores[Team / Player],0),9)</f>
        <v>0</v>
      </c>
      <c r="AN48" s="341">
        <f ca="1">INDEX(PriorScores[],MATCH($D48,PriorScores[Team / Player],0),10)</f>
        <v>0</v>
      </c>
      <c r="AO48" s="341">
        <f ca="1">INDEX(PriorScores[],MATCH($D48,PriorScores[Team / Player],0),11)</f>
        <v>0</v>
      </c>
      <c r="AP48" s="20">
        <f t="shared" ca="1" si="133"/>
        <v>0</v>
      </c>
      <c r="AQ48" s="20">
        <f t="shared" ca="1" si="133"/>
        <v>0</v>
      </c>
      <c r="AR48" s="20">
        <f t="shared" ca="1" si="133"/>
        <v>0</v>
      </c>
      <c r="AS48" s="20">
        <f t="shared" ca="1" si="133"/>
        <v>0</v>
      </c>
      <c r="AT48" s="20">
        <f t="shared" ca="1" si="133"/>
        <v>0</v>
      </c>
      <c r="AU48" s="20">
        <f t="shared" ca="1" si="133"/>
        <v>0</v>
      </c>
      <c r="AV48" s="20">
        <f t="shared" ca="1" si="133"/>
        <v>0</v>
      </c>
      <c r="AW48" s="20">
        <f t="shared" ca="1" si="133"/>
        <v>0</v>
      </c>
      <c r="AX48" s="20">
        <f t="shared" ca="1" si="133"/>
        <v>0</v>
      </c>
      <c r="AY48" s="20">
        <f t="shared" ca="1" si="133"/>
        <v>40</v>
      </c>
      <c r="AZ48" s="20">
        <f t="shared" ca="1" si="134"/>
        <v>0</v>
      </c>
      <c r="BA48" s="20">
        <f t="shared" ca="1" si="134"/>
        <v>0</v>
      </c>
      <c r="BB48" s="20">
        <f t="shared" ca="1" si="134"/>
        <v>0</v>
      </c>
      <c r="BC48" s="20">
        <f t="shared" ca="1" si="134"/>
        <v>0</v>
      </c>
      <c r="BD48" s="20">
        <f t="shared" ca="1" si="134"/>
        <v>0</v>
      </c>
      <c r="BE48" s="20">
        <f t="shared" ca="1" si="134"/>
        <v>0</v>
      </c>
      <c r="BF48" s="20">
        <f t="shared" ca="1" si="134"/>
        <v>0</v>
      </c>
      <c r="BG48" s="20">
        <f t="shared" ca="1" si="134"/>
        <v>0</v>
      </c>
      <c r="BH48" s="20">
        <f t="shared" ca="1" si="134"/>
        <v>0</v>
      </c>
      <c r="BI48" s="34"/>
      <c r="BJ48" s="341">
        <v>0</v>
      </c>
      <c r="BK48" s="341">
        <v>0</v>
      </c>
      <c r="BL48" s="341">
        <v>0</v>
      </c>
      <c r="BM48" s="341">
        <v>0</v>
      </c>
      <c r="BN48" s="341">
        <v>0</v>
      </c>
      <c r="BO48" s="341">
        <v>0</v>
      </c>
      <c r="BP48" s="341">
        <v>0</v>
      </c>
      <c r="BQ48" s="341">
        <v>0</v>
      </c>
      <c r="BR48" s="341">
        <v>0</v>
      </c>
      <c r="BS48" s="341">
        <v>0</v>
      </c>
      <c r="BT48" s="20">
        <f t="shared" ca="1" si="135"/>
        <v>0</v>
      </c>
      <c r="BU48" s="20">
        <f t="shared" ca="1" si="135"/>
        <v>0</v>
      </c>
      <c r="BV48" s="20">
        <f t="shared" ca="1" si="135"/>
        <v>0</v>
      </c>
      <c r="BW48" s="20">
        <f t="shared" ca="1" si="135"/>
        <v>0</v>
      </c>
      <c r="BX48" s="20">
        <f t="shared" ca="1" si="135"/>
        <v>0</v>
      </c>
      <c r="BY48" s="20">
        <f t="shared" ca="1" si="135"/>
        <v>0</v>
      </c>
      <c r="BZ48" s="20">
        <f t="shared" ca="1" si="135"/>
        <v>0</v>
      </c>
      <c r="CA48" s="20">
        <f t="shared" ca="1" si="135"/>
        <v>0</v>
      </c>
      <c r="CB48" s="20">
        <f t="shared" ca="1" si="135"/>
        <v>0</v>
      </c>
      <c r="CC48" s="20">
        <f t="shared" ca="1" si="135"/>
        <v>0</v>
      </c>
      <c r="CD48" s="20">
        <f t="shared" ca="1" si="136"/>
        <v>0</v>
      </c>
      <c r="CE48" s="20">
        <f t="shared" ca="1" si="136"/>
        <v>0</v>
      </c>
      <c r="CF48" s="20">
        <f t="shared" ca="1" si="136"/>
        <v>0</v>
      </c>
      <c r="CG48" s="20">
        <f t="shared" ca="1" si="136"/>
        <v>0</v>
      </c>
      <c r="CH48" s="20">
        <f t="shared" ca="1" si="136"/>
        <v>0</v>
      </c>
      <c r="CI48" s="20">
        <f t="shared" ca="1" si="136"/>
        <v>0</v>
      </c>
      <c r="CJ48" s="20">
        <f t="shared" ca="1" si="136"/>
        <v>0</v>
      </c>
      <c r="CK48" s="20">
        <f t="shared" ca="1" si="136"/>
        <v>0</v>
      </c>
      <c r="CL48" s="20">
        <f t="shared" ca="1" si="136"/>
        <v>0</v>
      </c>
      <c r="CM48" s="34"/>
      <c r="CN48" s="20" t="str">
        <f t="shared" ca="1" si="137"/>
        <v/>
      </c>
      <c r="CO48" s="20" t="str">
        <f t="shared" ca="1" si="137"/>
        <v/>
      </c>
      <c r="CP48" s="20" t="str">
        <f t="shared" ca="1" si="137"/>
        <v/>
      </c>
      <c r="CQ48" s="20" t="str">
        <f t="shared" ca="1" si="137"/>
        <v/>
      </c>
      <c r="CR48" s="20" t="str">
        <f t="shared" ca="1" si="137"/>
        <v/>
      </c>
      <c r="CS48" s="20" t="str">
        <f t="shared" ca="1" si="137"/>
        <v/>
      </c>
      <c r="CT48" s="20" t="str">
        <f t="shared" ca="1" si="137"/>
        <v/>
      </c>
      <c r="CU48" s="20" t="str">
        <f t="shared" ca="1" si="137"/>
        <v/>
      </c>
      <c r="CV48" s="20" t="str">
        <f t="shared" ca="1" si="137"/>
        <v/>
      </c>
      <c r="CW48" s="20">
        <f t="shared" ca="1" si="137"/>
        <v>40</v>
      </c>
      <c r="CX48" s="20" t="str">
        <f t="shared" ca="1" si="138"/>
        <v/>
      </c>
      <c r="CY48" s="20" t="str">
        <f t="shared" ca="1" si="138"/>
        <v/>
      </c>
      <c r="CZ48" s="20" t="str">
        <f t="shared" ca="1" si="138"/>
        <v/>
      </c>
      <c r="DA48" s="20" t="str">
        <f t="shared" ca="1" si="138"/>
        <v/>
      </c>
      <c r="DB48" s="20" t="str">
        <f t="shared" ca="1" si="138"/>
        <v/>
      </c>
      <c r="DC48" s="20" t="str">
        <f t="shared" ca="1" si="138"/>
        <v/>
      </c>
      <c r="DD48" s="20" t="str">
        <f t="shared" ca="1" si="138"/>
        <v/>
      </c>
      <c r="DE48" s="20" t="str">
        <f t="shared" ca="1" si="138"/>
        <v/>
      </c>
      <c r="DF48" s="20" t="str">
        <f t="shared" ca="1" si="138"/>
        <v/>
      </c>
      <c r="DG48" s="34"/>
      <c r="DH48" s="20" t="str">
        <f t="shared" ca="1" si="139"/>
        <v/>
      </c>
      <c r="DI48" s="20" t="str">
        <f t="shared" ca="1" si="139"/>
        <v/>
      </c>
      <c r="DJ48" s="20" t="str">
        <f t="shared" ca="1" si="139"/>
        <v/>
      </c>
      <c r="DK48" s="20" t="str">
        <f t="shared" ca="1" si="139"/>
        <v/>
      </c>
      <c r="DL48" s="20" t="str">
        <f t="shared" ca="1" si="139"/>
        <v/>
      </c>
      <c r="DM48" s="20" t="str">
        <f t="shared" ca="1" si="139"/>
        <v/>
      </c>
      <c r="DN48" s="20" t="str">
        <f t="shared" ca="1" si="139"/>
        <v/>
      </c>
      <c r="DO48" s="20" t="str">
        <f t="shared" ca="1" si="139"/>
        <v/>
      </c>
      <c r="DP48" s="20" t="str">
        <f t="shared" ca="1" si="139"/>
        <v/>
      </c>
      <c r="DQ48" s="20">
        <f t="shared" ca="1" si="139"/>
        <v>7</v>
      </c>
      <c r="DR48" s="20" t="str">
        <f t="shared" ca="1" si="140"/>
        <v/>
      </c>
      <c r="DS48" s="20" t="str">
        <f t="shared" ca="1" si="140"/>
        <v/>
      </c>
      <c r="DT48" s="20" t="str">
        <f t="shared" ca="1" si="140"/>
        <v/>
      </c>
      <c r="DU48" s="20" t="str">
        <f t="shared" ca="1" si="140"/>
        <v/>
      </c>
      <c r="DV48" s="20" t="str">
        <f t="shared" ca="1" si="140"/>
        <v/>
      </c>
      <c r="DW48" s="20" t="str">
        <f t="shared" ca="1" si="140"/>
        <v/>
      </c>
      <c r="DX48" s="20" t="str">
        <f t="shared" ca="1" si="140"/>
        <v/>
      </c>
      <c r="DY48" s="20" t="str">
        <f t="shared" ca="1" si="140"/>
        <v/>
      </c>
      <c r="DZ48" s="20" t="str">
        <f t="shared" ca="1" si="140"/>
        <v/>
      </c>
      <c r="EA48" s="34"/>
      <c r="EB48" s="20" t="str">
        <f t="shared" ca="1" si="141"/>
        <v/>
      </c>
      <c r="EC48" s="20" t="str">
        <f t="shared" ca="1" si="141"/>
        <v/>
      </c>
      <c r="ED48" s="20" t="str">
        <f t="shared" ca="1" si="141"/>
        <v/>
      </c>
      <c r="EE48" s="20" t="str">
        <f t="shared" ca="1" si="141"/>
        <v/>
      </c>
      <c r="EF48" s="20" t="str">
        <f t="shared" ca="1" si="141"/>
        <v/>
      </c>
      <c r="EG48" s="20" t="str">
        <f t="shared" ca="1" si="141"/>
        <v/>
      </c>
      <c r="EH48" s="20" t="str">
        <f t="shared" ca="1" si="141"/>
        <v/>
      </c>
      <c r="EI48" s="20" t="str">
        <f t="shared" ca="1" si="141"/>
        <v/>
      </c>
      <c r="EJ48" s="20" t="str">
        <f t="shared" ca="1" si="141"/>
        <v/>
      </c>
      <c r="EK48" s="20" t="str">
        <f t="shared" ca="1" si="141"/>
        <v/>
      </c>
      <c r="EL48" s="20" t="str">
        <f t="shared" ca="1" si="142"/>
        <v/>
      </c>
      <c r="EM48" s="20" t="str">
        <f t="shared" ca="1" si="142"/>
        <v/>
      </c>
      <c r="EN48" s="20" t="str">
        <f t="shared" ca="1" si="142"/>
        <v/>
      </c>
      <c r="EO48" s="20" t="str">
        <f t="shared" ca="1" si="142"/>
        <v/>
      </c>
      <c r="EP48" s="20" t="str">
        <f t="shared" ca="1" si="142"/>
        <v/>
      </c>
      <c r="EQ48" s="20" t="str">
        <f t="shared" ca="1" si="142"/>
        <v/>
      </c>
      <c r="ER48" s="20" t="str">
        <f t="shared" ca="1" si="142"/>
        <v/>
      </c>
      <c r="ES48" s="20" t="str">
        <f t="shared" ca="1" si="142"/>
        <v/>
      </c>
      <c r="ET48" s="20" t="str">
        <f t="shared" ca="1" si="142"/>
        <v/>
      </c>
      <c r="EU48" s="34"/>
      <c r="EV48" s="20" t="str">
        <f t="shared" ca="1" si="143"/>
        <v/>
      </c>
      <c r="EW48" s="20" t="str">
        <f t="shared" ca="1" si="143"/>
        <v/>
      </c>
      <c r="EX48" s="20" t="str">
        <f t="shared" ca="1" si="143"/>
        <v/>
      </c>
      <c r="EY48" s="20" t="str">
        <f t="shared" ca="1" si="143"/>
        <v/>
      </c>
      <c r="EZ48" s="20" t="str">
        <f t="shared" ca="1" si="143"/>
        <v/>
      </c>
      <c r="FA48" s="20" t="str">
        <f t="shared" ca="1" si="143"/>
        <v/>
      </c>
      <c r="FB48" s="20" t="str">
        <f t="shared" ca="1" si="143"/>
        <v/>
      </c>
      <c r="FC48" s="20" t="str">
        <f t="shared" ca="1" si="143"/>
        <v/>
      </c>
      <c r="FD48" s="20" t="str">
        <f t="shared" ca="1" si="143"/>
        <v/>
      </c>
      <c r="FE48" s="20" t="str">
        <f t="shared" ca="1" si="143"/>
        <v/>
      </c>
      <c r="FF48" s="20" t="str">
        <f t="shared" ca="1" si="144"/>
        <v/>
      </c>
      <c r="FG48" s="20" t="str">
        <f t="shared" ca="1" si="144"/>
        <v/>
      </c>
      <c r="FH48" s="20" t="str">
        <f t="shared" ca="1" si="144"/>
        <v/>
      </c>
      <c r="FI48" s="20" t="str">
        <f t="shared" ca="1" si="144"/>
        <v/>
      </c>
      <c r="FJ48" s="20" t="str">
        <f t="shared" ca="1" si="144"/>
        <v/>
      </c>
      <c r="FK48" s="20" t="str">
        <f t="shared" ca="1" si="144"/>
        <v/>
      </c>
      <c r="FL48" s="20" t="str">
        <f t="shared" ca="1" si="144"/>
        <v/>
      </c>
      <c r="FM48" s="20" t="str">
        <f t="shared" ca="1" si="144"/>
        <v/>
      </c>
      <c r="FN48" s="20" t="str">
        <f t="shared" ca="1" si="144"/>
        <v/>
      </c>
      <c r="FO48" s="34"/>
      <c r="FP48" s="20" t="str">
        <f t="shared" ca="1" si="145"/>
        <v/>
      </c>
      <c r="FQ48" s="20" t="str">
        <f t="shared" ca="1" si="145"/>
        <v/>
      </c>
      <c r="FR48" s="20" t="str">
        <f t="shared" ca="1" si="145"/>
        <v/>
      </c>
      <c r="FS48" s="20" t="str">
        <f t="shared" ca="1" si="145"/>
        <v/>
      </c>
      <c r="FT48" s="20" t="str">
        <f t="shared" ca="1" si="145"/>
        <v/>
      </c>
      <c r="FU48" s="20" t="str">
        <f t="shared" ca="1" si="145"/>
        <v/>
      </c>
      <c r="FV48" s="20" t="str">
        <f t="shared" ca="1" si="145"/>
        <v/>
      </c>
      <c r="FW48" s="20" t="str">
        <f t="shared" ca="1" si="145"/>
        <v/>
      </c>
      <c r="FX48" s="20" t="str">
        <f t="shared" ca="1" si="145"/>
        <v/>
      </c>
      <c r="FY48" s="20" t="str">
        <f t="shared" ca="1" si="145"/>
        <v>l</v>
      </c>
      <c r="FZ48" s="20" t="str">
        <f t="shared" ca="1" si="146"/>
        <v/>
      </c>
      <c r="GA48" s="20" t="str">
        <f t="shared" ca="1" si="146"/>
        <v/>
      </c>
      <c r="GB48" s="20" t="str">
        <f t="shared" ca="1" si="146"/>
        <v/>
      </c>
      <c r="GC48" s="20" t="str">
        <f t="shared" ca="1" si="146"/>
        <v/>
      </c>
      <c r="GD48" s="20" t="str">
        <f t="shared" ca="1" si="146"/>
        <v/>
      </c>
      <c r="GE48" s="20" t="str">
        <f t="shared" ca="1" si="146"/>
        <v/>
      </c>
      <c r="GF48" s="20" t="str">
        <f t="shared" ca="1" si="146"/>
        <v/>
      </c>
      <c r="GG48" s="20" t="str">
        <f t="shared" ca="1" si="146"/>
        <v/>
      </c>
      <c r="GH48" s="20" t="str">
        <f t="shared" ca="1" si="146"/>
        <v/>
      </c>
      <c r="GI48" s="34"/>
      <c r="HE48" s="34"/>
      <c r="HZ48" s="34"/>
      <c r="IA48" s="19" t="str">
        <f t="shared" ca="1" si="147"/>
        <v>No Hdcp</v>
      </c>
      <c r="IB48" s="19" t="str">
        <f ca="1">IF(D48&lt;&gt;"","1@"&amp;$H48,"")</f>
        <v>1@40</v>
      </c>
      <c r="IC48" s="19" t="str">
        <f ca="1">IF(D48&lt;&gt;"","2@"&amp;$I48&amp;","&amp;$H48,"")</f>
        <v>2@,40</v>
      </c>
      <c r="ID48" s="19" t="str">
        <f ca="1">IF(D48&lt;&gt;"","3@"&amp;$J48&amp;","&amp;$I48&amp;","&amp;$H48,"")</f>
        <v>3@,,40</v>
      </c>
      <c r="IE48" s="19" t="str">
        <f ca="1">IF(D48&lt;&gt;"","4@"&amp;$K48&amp;","&amp;$J48&amp;","&amp;$I48&amp;","&amp;$H48,"")</f>
        <v>4@,,,40</v>
      </c>
      <c r="IF48" s="19"/>
      <c r="IG48" s="19"/>
      <c r="IH48" s="19"/>
      <c r="II48" s="19"/>
      <c r="IJ48" s="19"/>
      <c r="IK48" s="263">
        <f ca="1">IF(D48&lt;&gt;"",MIN(ROUND((AVERAGE($H48:$Q48)-$C$4)*0.9,2),20),"")</f>
        <v>3.6</v>
      </c>
      <c r="IL48" s="34"/>
    </row>
    <row r="49" spans="1:271" ht="21" customHeight="1" x14ac:dyDescent="0.2">
      <c r="A49" s="38" t="s">
        <v>29</v>
      </c>
      <c r="B49" s="39" t="s">
        <v>75</v>
      </c>
      <c r="C49" s="40">
        <f ca="1">IFERROR(VLOOKUP(D49, leagueroster, 2, FALSE), 0)</f>
        <v>0.20699999999999999</v>
      </c>
      <c r="D49" s="38" t="str">
        <f ca="1">INDEX(INDIRECT($A49), 3, 1)</f>
        <v>Hack Squad</v>
      </c>
      <c r="E49" s="39"/>
      <c r="F49" s="39"/>
      <c r="G49" s="41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41"/>
      <c r="V49" s="39"/>
      <c r="W49" s="39"/>
      <c r="X49" s="39"/>
      <c r="Y49" s="39"/>
      <c r="Z49" s="39"/>
      <c r="AA49" s="39"/>
      <c r="AB49" s="39"/>
      <c r="AE49" s="34"/>
      <c r="AF49" s="341"/>
      <c r="AG49" s="341"/>
      <c r="AH49" s="341"/>
      <c r="AI49" s="341"/>
      <c r="AJ49" s="341"/>
      <c r="AK49" s="341"/>
      <c r="AL49" s="341"/>
      <c r="AM49" s="341"/>
      <c r="AN49" s="341"/>
      <c r="AO49" s="341"/>
      <c r="BI49" s="34"/>
      <c r="BJ49" s="340"/>
      <c r="BK49" s="340"/>
      <c r="BL49" s="340"/>
      <c r="BM49" s="340"/>
      <c r="BN49" s="340"/>
      <c r="BO49" s="340"/>
      <c r="BP49" s="340"/>
      <c r="BQ49" s="340"/>
      <c r="BR49" s="340"/>
      <c r="BS49" s="340"/>
      <c r="CM49" s="34"/>
      <c r="DG49" s="34"/>
      <c r="EA49" s="34"/>
      <c r="EU49" s="34"/>
      <c r="FO49" s="34"/>
      <c r="GI49" s="34"/>
      <c r="GJ49" s="20">
        <f t="shared" ref="GJ49:HB49" ca="1" si="148">IF(INDEX(INDIRECT($A49), 4, GJ$6+2)=0, "", INDEX(INDIRECT($A49), 4, GJ$6+2))</f>
        <v>168</v>
      </c>
      <c r="GK49" s="20">
        <f t="shared" ca="1" si="148"/>
        <v>174</v>
      </c>
      <c r="GL49" s="20">
        <f t="shared" ca="1" si="148"/>
        <v>172</v>
      </c>
      <c r="GM49" s="20">
        <f t="shared" ca="1" si="148"/>
        <v>159</v>
      </c>
      <c r="GN49" s="20">
        <f t="shared" ca="1" si="148"/>
        <v>174</v>
      </c>
      <c r="GO49" s="20">
        <f t="shared" ca="1" si="148"/>
        <v>182</v>
      </c>
      <c r="GP49" s="20">
        <f t="shared" ca="1" si="148"/>
        <v>160</v>
      </c>
      <c r="GQ49" s="20" t="str">
        <f t="shared" ca="1" si="148"/>
        <v/>
      </c>
      <c r="GR49" s="20">
        <f t="shared" ca="1" si="148"/>
        <v>162</v>
      </c>
      <c r="GS49" s="20">
        <f t="shared" ca="1" si="148"/>
        <v>152</v>
      </c>
      <c r="GT49" s="20">
        <f t="shared" ca="1" si="148"/>
        <v>150</v>
      </c>
      <c r="GU49" s="20" t="str">
        <f t="shared" ca="1" si="148"/>
        <v/>
      </c>
      <c r="GV49" s="20">
        <f t="shared" ca="1" si="148"/>
        <v>170</v>
      </c>
      <c r="GW49" s="20">
        <f t="shared" ca="1" si="148"/>
        <v>150</v>
      </c>
      <c r="GX49" s="20">
        <f t="shared" ca="1" si="148"/>
        <v>73</v>
      </c>
      <c r="GY49" s="20">
        <f t="shared" ca="1" si="148"/>
        <v>160</v>
      </c>
      <c r="GZ49" s="20">
        <f t="shared" ca="1" si="148"/>
        <v>155</v>
      </c>
      <c r="HA49" s="20">
        <f t="shared" ca="1" si="148"/>
        <v>135</v>
      </c>
      <c r="HB49" s="20" t="str">
        <f t="shared" ca="1" si="148"/>
        <v/>
      </c>
      <c r="HC49" s="20" cm="1">
        <f t="array" aca="1" ref="HC49" ca="1">MIN(_xlfn._xlws.FILTER(GJ49:HB49,GJ49:HB49&gt;129))</f>
        <v>135</v>
      </c>
      <c r="HD49" s="42">
        <f ca="1">IF(D49&lt;&gt;"", IFERROR(AVERAGE(GJ49:HA49), "-"), "")</f>
        <v>156</v>
      </c>
      <c r="HE49" s="34"/>
      <c r="HF49" s="20">
        <f t="shared" ref="HF49:HW49" ca="1" si="149">IF(INDEX(INDIRECT($A49), 3, HF$6+2)=0, "", INDEX(INDIRECT($A49), 3, HF$6+2))</f>
        <v>57</v>
      </c>
      <c r="HG49" s="20">
        <f t="shared" ca="1" si="149"/>
        <v>30</v>
      </c>
      <c r="HH49" s="20">
        <f t="shared" ca="1" si="149"/>
        <v>23</v>
      </c>
      <c r="HI49" s="20">
        <f t="shared" ca="1" si="149"/>
        <v>34</v>
      </c>
      <c r="HJ49" s="20">
        <f t="shared" ca="1" si="149"/>
        <v>31</v>
      </c>
      <c r="HK49" s="20">
        <f t="shared" ca="1" si="149"/>
        <v>26</v>
      </c>
      <c r="HL49" s="20">
        <f t="shared" ca="1" si="149"/>
        <v>51</v>
      </c>
      <c r="HM49" s="20" t="str">
        <f t="shared" ca="1" si="149"/>
        <v/>
      </c>
      <c r="HN49" s="20">
        <f t="shared" ca="1" si="149"/>
        <v>23</v>
      </c>
      <c r="HO49" s="20">
        <f t="shared" ca="1" si="149"/>
        <v>41</v>
      </c>
      <c r="HP49" s="20">
        <f t="shared" ca="1" si="149"/>
        <v>40</v>
      </c>
      <c r="HQ49" s="20" t="str">
        <f t="shared" ca="1" si="149"/>
        <v/>
      </c>
      <c r="HR49" s="20">
        <f t="shared" ca="1" si="149"/>
        <v>32</v>
      </c>
      <c r="HS49" s="20">
        <f t="shared" ca="1" si="149"/>
        <v>42</v>
      </c>
      <c r="HT49" s="20">
        <f t="shared" ca="1" si="149"/>
        <v>33</v>
      </c>
      <c r="HU49" s="20">
        <f t="shared" ca="1" si="149"/>
        <v>37</v>
      </c>
      <c r="HV49" s="20">
        <f t="shared" ca="1" si="149"/>
        <v>46</v>
      </c>
      <c r="HW49" s="20">
        <f t="shared" ca="1" si="149"/>
        <v>4</v>
      </c>
      <c r="HX49" s="20"/>
      <c r="HY49" s="20">
        <f ca="1">MAX(HF49:HX49)</f>
        <v>57</v>
      </c>
      <c r="HZ49" s="34"/>
      <c r="IA49" s="118"/>
      <c r="IB49" s="118"/>
      <c r="IC49" s="118"/>
      <c r="ID49" s="118"/>
      <c r="IE49" s="118"/>
      <c r="IF49" s="118"/>
      <c r="IG49" s="118"/>
      <c r="IH49" s="118"/>
      <c r="II49" s="118"/>
      <c r="IJ49" s="118"/>
      <c r="IK49" s="118"/>
      <c r="IL49" s="34"/>
    </row>
    <row r="50" spans="1:271" x14ac:dyDescent="0.2">
      <c r="A50" s="18" t="s">
        <v>29</v>
      </c>
      <c r="B50" s="19">
        <v>5</v>
      </c>
      <c r="C50" s="22">
        <f t="shared" ref="C50:C55" ca="1" si="150">IFERROR(VLOOKUP($D50, leagueroster, 2, FALSE), 0)</f>
        <v>0.01</v>
      </c>
      <c r="D50" s="269" t="str">
        <f t="shared" ref="D50:D55" ca="1" si="151">INDEX(INDIRECT($A50), $B50, 1)</f>
        <v>Williams, Jerry - C</v>
      </c>
      <c r="E50" s="19">
        <f t="shared" ref="E50:E55" ca="1" si="152">IF($D50&lt;&gt;"", COUNTIF($AP50:$BH50,"&lt;&gt;0"), "")</f>
        <v>10</v>
      </c>
      <c r="F50" s="19">
        <f ca="1">IF(D50&lt;&gt;"",COUNT($H50:$Q50),"")</f>
        <v>10</v>
      </c>
      <c r="G50" s="21">
        <f ca="1">IF($D50&lt;&gt;"",INDEX($IA50:$IK50,1,MATCH($F50,$IA$6:$IK$6,0)), "")</f>
        <v>17.47</v>
      </c>
      <c r="H50" s="337" cm="1">
        <f t="array" aca="1" ref="H50" ca="1">IFERROR(_xlfn.SINGLE(INDEX($AF50:$BH50, , SUMPRODUCT(LARGE((($AF50:$BH50&lt;&gt;0)*($BJ50:$CL50&lt;&gt;1)*($AF$5:$BH$5)), H$6)))), "")</f>
        <v>52</v>
      </c>
      <c r="I50" s="338" cm="1">
        <f t="array" aca="1" ref="I50" ca="1">IFERROR(_xlfn.SINGLE(INDEX($AF50:$BH50, , SUMPRODUCT(LARGE((($AF50:$BH50&lt;&gt;0)*($BJ50:$CL50&lt;&gt;1)*($AF$5:$BH$5)), I$6)))), "")</f>
        <v>56</v>
      </c>
      <c r="J50" s="338" cm="1">
        <f t="array" aca="1" ref="J50" ca="1">IFERROR(_xlfn.SINGLE(INDEX($AF50:$BH50, , SUMPRODUCT(LARGE((($AF50:$BH50&lt;&gt;0)*($BJ50:$CL50&lt;&gt;1)*($AF$5:$BH$5)), J$6)))), "")</f>
        <v>56</v>
      </c>
      <c r="K50" s="338" cm="1">
        <f t="array" aca="1" ref="K50" ca="1">IFERROR(_xlfn.SINGLE(INDEX($AF50:$BH50, , SUMPRODUCT(LARGE((($AF50:$BH50&lt;&gt;0)*($BJ50:$CL50&lt;&gt;1)*($AF$5:$BH$5)), K$6)))), "")</f>
        <v>59</v>
      </c>
      <c r="L50" s="338" cm="1">
        <f t="array" aca="1" ref="L50" ca="1">IFERROR(_xlfn.SINGLE(INDEX($AF50:$BH50, , SUMPRODUCT(LARGE((($AF50:$BH50&lt;&gt;0)*($BJ50:$CL50&lt;&gt;1)*($AF$5:$BH$5)), L$6)))), "")</f>
        <v>55</v>
      </c>
      <c r="M50" s="338" cm="1">
        <f t="array" aca="1" ref="M50" ca="1">IFERROR(_xlfn.SINGLE(INDEX($AF50:$BH50, , SUMPRODUCT(LARGE((($AF50:$BH50&lt;&gt;0)*($BJ50:$CL50&lt;&gt;1)*($AF$5:$BH$5)), M$6)))), "")</f>
        <v>54</v>
      </c>
      <c r="N50" s="338" cm="1">
        <f t="array" aca="1" ref="N50" ca="1">IFERROR(_xlfn.SINGLE(INDEX($AF50:$BH50, , SUMPRODUCT(LARGE((($AF50:$BH50&lt;&gt;0)*($BJ50:$CL50&lt;&gt;1)*($AF$5:$BH$5)), N$6)))), "")</f>
        <v>61</v>
      </c>
      <c r="O50" s="338" cm="1">
        <f t="array" aca="1" ref="O50" ca="1">IFERROR(_xlfn.SINGLE(INDEX($AF50:$BH50, , SUMPRODUCT(LARGE((($AF50:$BH50&lt;&gt;0)*($BJ50:$CL50&lt;&gt;1)*($AF$5:$BH$5)), O$6)))), "")</f>
        <v>59</v>
      </c>
      <c r="P50" s="338" cm="1">
        <f t="array" aca="1" ref="P50" ca="1">IFERROR(_xlfn.SINGLE(INDEX($AF50:$BH50, , SUMPRODUCT(LARGE((($AF50:$BH50&lt;&gt;0)*($BJ50:$CL50&lt;&gt;1)*($AF$5:$BH$5)), P$6)))), "")</f>
        <v>56</v>
      </c>
      <c r="Q50" s="339" cm="1">
        <f t="array" aca="1" ref="Q50" ca="1">IFERROR(_xlfn.SINGLE(INDEX($AF50:$BH50, , SUMPRODUCT(LARGE((($AF50:$BH50&lt;&gt;0)*($BJ50:$CL50&lt;&gt;1)*($AF$5:$BH$5)), Q$6)))), "")</f>
        <v>54</v>
      </c>
      <c r="R50" s="21">
        <v>53.166666666666664</v>
      </c>
      <c r="S50" s="47">
        <f t="shared" ref="S50:S55" ca="1" si="153">IF(COUNT($H50:$Q50)&lt;5,"-",AVERAGE(SMALL($H50:$Q50,1),SMALL($H50:$Q50,2),SMALL($H50:$Q50,3),SMALL($H50:$Q50,4),SMALL($H50:$Q50,5)))</f>
        <v>54.2</v>
      </c>
      <c r="T50" s="21">
        <f ca="1">IF($D50&lt;&gt;"", IFERROR(IF($E50&gt;=qualifier, SUMIF($BT50:$CL50,0,$AP50:$BH50)/$E50, TEXT(SUMIF($BT50:$CL50,0,$AP50:$BH50)/$E50, "0.00")&amp;"*"), "-"), "")</f>
        <v>56.2</v>
      </c>
      <c r="U50" s="21">
        <f ca="1">IF($D50&lt;&gt;"", IFERROR(IF($E50&gt;=qualifier, SUMIF($BT50:$CL50,0,$CN50:$DF50)/$E50, TEXT(SUMIF($BT50:$CL50,0,$CN50:$DF50)/$E50, "0.00")&amp;"*"), "-"), "")</f>
        <v>39.9</v>
      </c>
      <c r="V50" s="45">
        <f ca="1">IF(AND($D50&lt;&gt;"", $E50&lt;&gt;0), _xlfn.MINIFS($AP50:$BH50,$BT50:$CL50,0,$AP50:$BH50,"&lt;&gt;0"), "")</f>
        <v>52</v>
      </c>
      <c r="W50" s="62">
        <f ca="1">IF(AND($D50&lt;&gt;"", $E50&lt;&gt;0), _xlfn.MINIFS($CN50:$DF50,$BT50:$CL50,0), "")</f>
        <v>34</v>
      </c>
      <c r="X50" s="45">
        <f ca="1">IF($D50&lt;&gt;"", SUM($DH50:$DZ50),  "")</f>
        <v>110</v>
      </c>
      <c r="Y50" s="21">
        <f ca="1">IF($D50&lt;&gt;"", IFERROR(IF($E50&gt;=qualifier, AVERAGE($DH50:$DZ50), TEXT(AVERAGE($DH50:$DZ50), "0.00")&amp;"*"), "-"), "")</f>
        <v>11</v>
      </c>
      <c r="Z50" s="19">
        <f ca="1">IF($D50&lt;&gt;"", SUM($EB50:$ET50),  "")</f>
        <v>0</v>
      </c>
      <c r="AA50" s="19">
        <f ca="1">IF($D50&lt;&gt;"", SUM($EV50:$FN50),  "")</f>
        <v>0</v>
      </c>
      <c r="AB50" s="45" t="str">
        <f t="shared" ref="AB50:AB55" ca="1" si="154">IF($D50&lt;&gt;"", COUNTIF($FP50:$GH50, "w")&amp;"-"&amp;COUNTIF($FP50:$GH50, "l")&amp;"-"&amp;COUNTIF($FP50:$GH50, "t"),  "")</f>
        <v>6-4-0</v>
      </c>
      <c r="AC50" s="218">
        <f t="shared" ref="AC50:AC55" ca="1" si="155">IF($D50&lt;&gt;"", INDEX(INDIRECT($A50), $B50+1, 1), "")</f>
        <v>3304952692</v>
      </c>
      <c r="AD50" s="57" t="str">
        <f t="shared" ref="AD50:AD55" ca="1" si="156">IF($D50&lt;&gt;"", INDEX(INDIRECT($A50), $B50+2, 1), "")</f>
        <v>willjerr1215@gmail.com</v>
      </c>
      <c r="AE50" s="34"/>
      <c r="AF50" s="341">
        <f ca="1">INDEX(PriorScores[],MATCH($D50,PriorScores[Team / Player],0),2)</f>
        <v>54</v>
      </c>
      <c r="AG50" s="341">
        <f ca="1">INDEX(PriorScores[],MATCH($D50,PriorScores[Team / Player],0),3)</f>
        <v>53</v>
      </c>
      <c r="AH50" s="341">
        <f ca="1">INDEX(PriorScores[],MATCH($D50,PriorScores[Team / Player],0),4)</f>
        <v>54</v>
      </c>
      <c r="AI50" s="341">
        <f ca="1">INDEX(PriorScores[],MATCH($D50,PriorScores[Team / Player],0),5)</f>
        <v>51</v>
      </c>
      <c r="AJ50" s="341">
        <f ca="1">INDEX(PriorScores[],MATCH($D50,PriorScores[Team / Player],0),6)</f>
        <v>51</v>
      </c>
      <c r="AK50" s="341">
        <f ca="1">INDEX(PriorScores[],MATCH($D50,PriorScores[Team / Player],0),7)</f>
        <v>50</v>
      </c>
      <c r="AL50" s="341">
        <f ca="1">INDEX(PriorScores[],MATCH($D50,PriorScores[Team / Player],0),8)</f>
        <v>54</v>
      </c>
      <c r="AM50" s="341">
        <f ca="1">INDEX(PriorScores[],MATCH($D50,PriorScores[Team / Player],0),9)</f>
        <v>53</v>
      </c>
      <c r="AN50" s="341">
        <f ca="1">INDEX(PriorScores[],MATCH($D50,PriorScores[Team / Player],0),10)</f>
        <v>57</v>
      </c>
      <c r="AO50" s="341">
        <f ca="1">INDEX(PriorScores[],MATCH($D50,PriorScores[Team / Player],0),11)</f>
        <v>56</v>
      </c>
      <c r="AP50" s="20">
        <f t="shared" ref="AP50:AY55" ca="1" si="157">IF(OR(INDEX(INDIRECT($A50), $B50, AP$6+2)="",INDEX(INDIRECT($A50),$B50+5,AP$6+2)=1), 0, INDEX(INDIRECT($A50), $B50, AP$6+2))</f>
        <v>54</v>
      </c>
      <c r="AQ50" s="20">
        <f t="shared" ca="1" si="157"/>
        <v>0</v>
      </c>
      <c r="AR50" s="20">
        <f t="shared" ca="1" si="157"/>
        <v>0</v>
      </c>
      <c r="AS50" s="20">
        <f t="shared" ca="1" si="157"/>
        <v>0</v>
      </c>
      <c r="AT50" s="20">
        <f t="shared" ca="1" si="157"/>
        <v>56</v>
      </c>
      <c r="AU50" s="20">
        <f t="shared" ca="1" si="157"/>
        <v>59</v>
      </c>
      <c r="AV50" s="20">
        <f t="shared" ca="1" si="157"/>
        <v>61</v>
      </c>
      <c r="AW50" s="20">
        <f t="shared" ca="1" si="157"/>
        <v>0</v>
      </c>
      <c r="AX50" s="20">
        <f t="shared" ca="1" si="157"/>
        <v>0</v>
      </c>
      <c r="AY50" s="20">
        <f t="shared" ca="1" si="157"/>
        <v>54</v>
      </c>
      <c r="AZ50" s="20">
        <f t="shared" ref="AZ50:BH55" ca="1" si="158">IF(OR(INDEX(INDIRECT($A50), $B50, AZ$6+2)="",INDEX(INDIRECT($A50),$B50+5,AZ$6+2)=1), 0, INDEX(INDIRECT($A50), $B50, AZ$6+2))</f>
        <v>55</v>
      </c>
      <c r="BA50" s="20">
        <f t="shared" ca="1" si="158"/>
        <v>0</v>
      </c>
      <c r="BB50" s="20">
        <f t="shared" ca="1" si="158"/>
        <v>59</v>
      </c>
      <c r="BC50" s="20">
        <f t="shared" ca="1" si="158"/>
        <v>56</v>
      </c>
      <c r="BD50" s="20">
        <f t="shared" ca="1" si="158"/>
        <v>0</v>
      </c>
      <c r="BE50" s="20">
        <f t="shared" ca="1" si="158"/>
        <v>56</v>
      </c>
      <c r="BF50" s="20">
        <f t="shared" ca="1" si="158"/>
        <v>52</v>
      </c>
      <c r="BG50" s="20">
        <f t="shared" ca="1" si="158"/>
        <v>0</v>
      </c>
      <c r="BH50" s="20">
        <f t="shared" ca="1" si="158"/>
        <v>0</v>
      </c>
      <c r="BI50" s="34"/>
      <c r="BJ50" s="341">
        <v>0</v>
      </c>
      <c r="BK50" s="341">
        <v>0</v>
      </c>
      <c r="BL50" s="341">
        <v>0</v>
      </c>
      <c r="BM50" s="341">
        <v>0</v>
      </c>
      <c r="BN50" s="341">
        <v>0</v>
      </c>
      <c r="BO50" s="341">
        <v>0</v>
      </c>
      <c r="BP50" s="341">
        <v>0</v>
      </c>
      <c r="BQ50" s="341">
        <v>0</v>
      </c>
      <c r="BR50" s="341">
        <v>0</v>
      </c>
      <c r="BS50" s="341">
        <v>0</v>
      </c>
      <c r="BT50" s="20">
        <f t="shared" ref="BT50:CC55" ca="1" si="159">IF(INDEX(INDIRECT($A50), $B50+5, BT$6+2)="", 0, INDEX(INDIRECT($A50), $B50+5, BT$6+2))</f>
        <v>0</v>
      </c>
      <c r="BU50" s="20">
        <f t="shared" ca="1" si="159"/>
        <v>0</v>
      </c>
      <c r="BV50" s="20">
        <f t="shared" ca="1" si="159"/>
        <v>0</v>
      </c>
      <c r="BW50" s="20">
        <f t="shared" ca="1" si="159"/>
        <v>0</v>
      </c>
      <c r="BX50" s="20">
        <f t="shared" ca="1" si="159"/>
        <v>0</v>
      </c>
      <c r="BY50" s="20">
        <f t="shared" ca="1" si="159"/>
        <v>0</v>
      </c>
      <c r="BZ50" s="20">
        <f t="shared" ca="1" si="159"/>
        <v>0</v>
      </c>
      <c r="CA50" s="20">
        <f t="shared" ca="1" si="159"/>
        <v>0</v>
      </c>
      <c r="CB50" s="20">
        <f t="shared" ca="1" si="159"/>
        <v>0</v>
      </c>
      <c r="CC50" s="20">
        <f t="shared" ca="1" si="159"/>
        <v>0</v>
      </c>
      <c r="CD50" s="20">
        <f t="shared" ref="CD50:CL55" ca="1" si="160">IF(INDEX(INDIRECT($A50), $B50+5, CD$6+2)="", 0, INDEX(INDIRECT($A50), $B50+5, CD$6+2))</f>
        <v>0</v>
      </c>
      <c r="CE50" s="20">
        <f t="shared" ca="1" si="160"/>
        <v>0</v>
      </c>
      <c r="CF50" s="20">
        <f t="shared" ca="1" si="160"/>
        <v>0</v>
      </c>
      <c r="CG50" s="20">
        <f t="shared" ca="1" si="160"/>
        <v>0</v>
      </c>
      <c r="CH50" s="20">
        <f t="shared" ca="1" si="160"/>
        <v>0</v>
      </c>
      <c r="CI50" s="20">
        <f t="shared" ca="1" si="160"/>
        <v>0</v>
      </c>
      <c r="CJ50" s="20">
        <f t="shared" ca="1" si="160"/>
        <v>0</v>
      </c>
      <c r="CK50" s="20">
        <f t="shared" ca="1" si="160"/>
        <v>1</v>
      </c>
      <c r="CL50" s="20">
        <f t="shared" ca="1" si="160"/>
        <v>0</v>
      </c>
      <c r="CM50" s="34"/>
      <c r="CN50" s="20">
        <f t="shared" ref="CN50:CW55" ca="1" si="161">IF(OR(INDEX(INDIRECT($A50), $B50+1, CN$6+2)=0,INDEX(INDIRECT($A50),$B50+5,CN$6+2)=1), "", INDEX(INDIRECT($A50), $B50+1, CN$6+2))</f>
        <v>39</v>
      </c>
      <c r="CO50" s="20" t="str">
        <f t="shared" ca="1" si="161"/>
        <v/>
      </c>
      <c r="CP50" s="20" t="str">
        <f t="shared" ca="1" si="161"/>
        <v/>
      </c>
      <c r="CQ50" s="20" t="str">
        <f t="shared" ca="1" si="161"/>
        <v/>
      </c>
      <c r="CR50" s="20">
        <f t="shared" ca="1" si="161"/>
        <v>41</v>
      </c>
      <c r="CS50" s="20">
        <f t="shared" ca="1" si="161"/>
        <v>44</v>
      </c>
      <c r="CT50" s="20">
        <f t="shared" ca="1" si="161"/>
        <v>46</v>
      </c>
      <c r="CU50" s="20" t="str">
        <f t="shared" ca="1" si="161"/>
        <v/>
      </c>
      <c r="CV50" s="20" t="str">
        <f t="shared" ca="1" si="161"/>
        <v/>
      </c>
      <c r="CW50" s="20">
        <f t="shared" ca="1" si="161"/>
        <v>38</v>
      </c>
      <c r="CX50" s="20">
        <f t="shared" ref="CX50:DF55" ca="1" si="162">IF(OR(INDEX(INDIRECT($A50), $B50+1, CX$6+2)=0,INDEX(INDIRECT($A50),$B50+5,CX$6+2)=1), "", INDEX(INDIRECT($A50), $B50+1, CX$6+2))</f>
        <v>39</v>
      </c>
      <c r="CY50" s="20" t="str">
        <f t="shared" ca="1" si="162"/>
        <v/>
      </c>
      <c r="CZ50" s="20">
        <f t="shared" ca="1" si="162"/>
        <v>42</v>
      </c>
      <c r="DA50" s="20">
        <f t="shared" ca="1" si="162"/>
        <v>38</v>
      </c>
      <c r="DB50" s="20" t="str">
        <f t="shared" ca="1" si="162"/>
        <v/>
      </c>
      <c r="DC50" s="20">
        <f t="shared" ca="1" si="162"/>
        <v>38</v>
      </c>
      <c r="DD50" s="20">
        <f t="shared" ca="1" si="162"/>
        <v>34</v>
      </c>
      <c r="DE50" s="20" t="str">
        <f t="shared" ca="1" si="162"/>
        <v/>
      </c>
      <c r="DF50" s="20" t="str">
        <f t="shared" ca="1" si="162"/>
        <v/>
      </c>
      <c r="DG50" s="34"/>
      <c r="DH50" s="20">
        <f t="shared" ref="DH50:DQ55" ca="1" si="163">IF(INDEX(INDIRECT($A50), $B50+2, DH$6+2)=0, "", INDEX(INDIRECT($A50), $B50+2, DH$6+2))</f>
        <v>17</v>
      </c>
      <c r="DI50" s="20" t="str">
        <f t="shared" ca="1" si="163"/>
        <v/>
      </c>
      <c r="DJ50" s="20" t="str">
        <f t="shared" ca="1" si="163"/>
        <v/>
      </c>
      <c r="DK50" s="20" t="str">
        <f t="shared" ca="1" si="163"/>
        <v/>
      </c>
      <c r="DL50" s="20">
        <f t="shared" ca="1" si="163"/>
        <v>12</v>
      </c>
      <c r="DM50" s="20">
        <f t="shared" ca="1" si="163"/>
        <v>5</v>
      </c>
      <c r="DN50" s="20">
        <f t="shared" ca="1" si="163"/>
        <v>7</v>
      </c>
      <c r="DO50" s="20" t="str">
        <f t="shared" ca="1" si="163"/>
        <v/>
      </c>
      <c r="DP50" s="20" t="str">
        <f t="shared" ca="1" si="163"/>
        <v/>
      </c>
      <c r="DQ50" s="20">
        <f t="shared" ca="1" si="163"/>
        <v>11</v>
      </c>
      <c r="DR50" s="20">
        <f t="shared" ref="DR50:DZ55" ca="1" si="164">IF(INDEX(INDIRECT($A50), $B50+2, DR$6+2)=0, "", INDEX(INDIRECT($A50), $B50+2, DR$6+2))</f>
        <v>9</v>
      </c>
      <c r="DS50" s="20" t="str">
        <f t="shared" ca="1" si="164"/>
        <v/>
      </c>
      <c r="DT50" s="20">
        <f t="shared" ca="1" si="164"/>
        <v>9</v>
      </c>
      <c r="DU50" s="20">
        <f t="shared" ca="1" si="164"/>
        <v>13</v>
      </c>
      <c r="DV50" s="20" t="str">
        <f t="shared" ca="1" si="164"/>
        <v/>
      </c>
      <c r="DW50" s="20">
        <f t="shared" ca="1" si="164"/>
        <v>11</v>
      </c>
      <c r="DX50" s="20">
        <f t="shared" ca="1" si="164"/>
        <v>16</v>
      </c>
      <c r="DY50" s="20" t="str">
        <f t="shared" ca="1" si="164"/>
        <v/>
      </c>
      <c r="DZ50" s="20" t="str">
        <f t="shared" ca="1" si="164"/>
        <v/>
      </c>
      <c r="EA50" s="34"/>
      <c r="EB50" s="20" t="str">
        <f t="shared" ref="EB50:EK55" ca="1" si="165">IF(INDEX(INDIRECT($A50), $B50+3, EB$6+2)=0, "", INDEX(INDIRECT($A50), $B50+3, EB$6+2))</f>
        <v/>
      </c>
      <c r="EC50" s="20" t="str">
        <f t="shared" ca="1" si="165"/>
        <v/>
      </c>
      <c r="ED50" s="20" t="str">
        <f t="shared" ca="1" si="165"/>
        <v/>
      </c>
      <c r="EE50" s="20" t="str">
        <f t="shared" ca="1" si="165"/>
        <v/>
      </c>
      <c r="EF50" s="20" t="str">
        <f t="shared" ca="1" si="165"/>
        <v/>
      </c>
      <c r="EG50" s="20" t="str">
        <f t="shared" ca="1" si="165"/>
        <v/>
      </c>
      <c r="EH50" s="20" t="str">
        <f t="shared" ca="1" si="165"/>
        <v/>
      </c>
      <c r="EI50" s="20" t="str">
        <f t="shared" ca="1" si="165"/>
        <v/>
      </c>
      <c r="EJ50" s="20" t="str">
        <f t="shared" ca="1" si="165"/>
        <v/>
      </c>
      <c r="EK50" s="20" t="str">
        <f t="shared" ca="1" si="165"/>
        <v/>
      </c>
      <c r="EL50" s="20" t="str">
        <f t="shared" ref="EL50:ET55" ca="1" si="166">IF(INDEX(INDIRECT($A50), $B50+3, EL$6+2)=0, "", INDEX(INDIRECT($A50), $B50+3, EL$6+2))</f>
        <v/>
      </c>
      <c r="EM50" s="20" t="str">
        <f t="shared" ca="1" si="166"/>
        <v/>
      </c>
      <c r="EN50" s="20" t="str">
        <f t="shared" ca="1" si="166"/>
        <v/>
      </c>
      <c r="EO50" s="20" t="str">
        <f t="shared" ca="1" si="166"/>
        <v/>
      </c>
      <c r="EP50" s="20" t="str">
        <f t="shared" ca="1" si="166"/>
        <v/>
      </c>
      <c r="EQ50" s="20" t="str">
        <f t="shared" ca="1" si="166"/>
        <v/>
      </c>
      <c r="ER50" s="20" t="str">
        <f t="shared" ca="1" si="166"/>
        <v/>
      </c>
      <c r="ES50" s="20" t="str">
        <f t="shared" ca="1" si="166"/>
        <v/>
      </c>
      <c r="ET50" s="20" t="str">
        <f t="shared" ca="1" si="166"/>
        <v/>
      </c>
      <c r="EU50" s="34"/>
      <c r="EV50" s="20" t="str">
        <f t="shared" ref="EV50:FE55" ca="1" si="167">IF(INDEX(INDIRECT($A50), $B50+4, EV$6+2)=0, "", INDEX(INDIRECT($A50), $B50+4, EV$6+2))</f>
        <v/>
      </c>
      <c r="EW50" s="20" t="str">
        <f t="shared" ca="1" si="167"/>
        <v/>
      </c>
      <c r="EX50" s="20" t="str">
        <f t="shared" ca="1" si="167"/>
        <v/>
      </c>
      <c r="EY50" s="20" t="str">
        <f t="shared" ca="1" si="167"/>
        <v/>
      </c>
      <c r="EZ50" s="20" t="str">
        <f t="shared" ca="1" si="167"/>
        <v/>
      </c>
      <c r="FA50" s="20" t="str">
        <f t="shared" ca="1" si="167"/>
        <v/>
      </c>
      <c r="FB50" s="20" t="str">
        <f t="shared" ca="1" si="167"/>
        <v/>
      </c>
      <c r="FC50" s="20" t="str">
        <f t="shared" ca="1" si="167"/>
        <v/>
      </c>
      <c r="FD50" s="20" t="str">
        <f t="shared" ca="1" si="167"/>
        <v/>
      </c>
      <c r="FE50" s="20" t="str">
        <f t="shared" ca="1" si="167"/>
        <v/>
      </c>
      <c r="FF50" s="20" t="str">
        <f t="shared" ref="FF50:FN55" ca="1" si="168">IF(INDEX(INDIRECT($A50), $B50+4, FF$6+2)=0, "", INDEX(INDIRECT($A50), $B50+4, FF$6+2))</f>
        <v/>
      </c>
      <c r="FG50" s="20" t="str">
        <f t="shared" ca="1" si="168"/>
        <v/>
      </c>
      <c r="FH50" s="20" t="str">
        <f t="shared" ca="1" si="168"/>
        <v/>
      </c>
      <c r="FI50" s="20" t="str">
        <f t="shared" ca="1" si="168"/>
        <v/>
      </c>
      <c r="FJ50" s="20" t="str">
        <f t="shared" ca="1" si="168"/>
        <v/>
      </c>
      <c r="FK50" s="20" t="str">
        <f t="shared" ca="1" si="168"/>
        <v/>
      </c>
      <c r="FL50" s="20" t="str">
        <f t="shared" ca="1" si="168"/>
        <v/>
      </c>
      <c r="FM50" s="20" t="str">
        <f t="shared" ca="1" si="168"/>
        <v/>
      </c>
      <c r="FN50" s="20" t="str">
        <f t="shared" ca="1" si="168"/>
        <v/>
      </c>
      <c r="FO50" s="34"/>
      <c r="FP50" s="20" t="str">
        <f t="shared" ref="FP50:FY55" ca="1" si="169">IF(INDEX(INDIRECT($A50), $B50+6, FP$6+2)=0, "", INDEX(INDIRECT($A50), $B50+6, FP$6+2))</f>
        <v>w</v>
      </c>
      <c r="FQ50" s="20" t="str">
        <f t="shared" ca="1" si="169"/>
        <v/>
      </c>
      <c r="FR50" s="20" t="str">
        <f t="shared" ca="1" si="169"/>
        <v/>
      </c>
      <c r="FS50" s="20" t="str">
        <f t="shared" ca="1" si="169"/>
        <v/>
      </c>
      <c r="FT50" s="20" t="str">
        <f t="shared" ca="1" si="169"/>
        <v>w</v>
      </c>
      <c r="FU50" s="20" t="str">
        <f t="shared" ca="1" si="169"/>
        <v>l</v>
      </c>
      <c r="FV50" s="20" t="str">
        <f t="shared" ca="1" si="169"/>
        <v>l</v>
      </c>
      <c r="FW50" s="20" t="str">
        <f t="shared" ca="1" si="169"/>
        <v/>
      </c>
      <c r="FX50" s="20" t="str">
        <f t="shared" ca="1" si="169"/>
        <v/>
      </c>
      <c r="FY50" s="20" t="str">
        <f t="shared" ca="1" si="169"/>
        <v>w</v>
      </c>
      <c r="FZ50" s="20" t="str">
        <f t="shared" ref="FZ50:GH55" ca="1" si="170">IF(INDEX(INDIRECT($A50), $B50+6, FZ$6+2)=0, "", INDEX(INDIRECT($A50), $B50+6, FZ$6+2))</f>
        <v>l</v>
      </c>
      <c r="GA50" s="20" t="str">
        <f t="shared" ca="1" si="170"/>
        <v/>
      </c>
      <c r="GB50" s="20" t="str">
        <f t="shared" ca="1" si="170"/>
        <v>l</v>
      </c>
      <c r="GC50" s="20" t="str">
        <f t="shared" ca="1" si="170"/>
        <v>w</v>
      </c>
      <c r="GD50" s="20" t="str">
        <f t="shared" ca="1" si="170"/>
        <v/>
      </c>
      <c r="GE50" s="20" t="str">
        <f t="shared" ca="1" si="170"/>
        <v>w</v>
      </c>
      <c r="GF50" s="20" t="str">
        <f t="shared" ca="1" si="170"/>
        <v>w</v>
      </c>
      <c r="GG50" s="20" t="str">
        <f t="shared" ca="1" si="170"/>
        <v/>
      </c>
      <c r="GH50" s="20" t="str">
        <f t="shared" ca="1" si="170"/>
        <v/>
      </c>
      <c r="GI50" s="34"/>
      <c r="HE50" s="34"/>
      <c r="HZ50" s="34"/>
      <c r="IA50" s="19" t="str">
        <f t="shared" ref="IA50:IA55" ca="1" si="171">IF(D50&lt;&gt;"","No Hdcp","")</f>
        <v>No Hdcp</v>
      </c>
      <c r="IB50" s="19" t="str">
        <f ca="1">IF($D50&lt;&gt;"","Low of score &amp; "&amp;MIN($H50:$H50),"")</f>
        <v>Low of score &amp; 52</v>
      </c>
      <c r="IC50" s="19" t="str">
        <f ca="1">IF($D50&lt;&gt;"","Low of score &amp; "&amp;MIN($H50:$I50),"")</f>
        <v>Low of score &amp; 52</v>
      </c>
      <c r="ID50" s="18" t="str">
        <f ca="1">IF($D50&lt;&gt;"","Low of score &amp; "&amp;MIN($H50:$J50),"")</f>
        <v>Low of score &amp; 52</v>
      </c>
      <c r="IE50" s="18" t="str">
        <f ca="1">IF($D50&lt;&gt;"","Low of score &amp; "&amp;MIN($H50:$K50),"")</f>
        <v>Low of score &amp; 52</v>
      </c>
      <c r="IF50" s="18">
        <f ca="1">IF($D50&lt;&gt;"",ROUND(MIN((MIN($H50:$L50)-36)*0.96,20),2),"")</f>
        <v>15.36</v>
      </c>
      <c r="IG50" s="353">
        <f ca="1">IF($D50&lt;&gt;"",ROUND(MIN((AVERAGE(SMALL($H50:$M50,1),SMALL($H50:$M50,2))-36)*0.96,20),2),"")</f>
        <v>16.32</v>
      </c>
      <c r="IH50" s="18">
        <f ca="1">IF($D50&lt;&gt;"",ROUND(MIN((AVERAGE(SMALL($H50:$N50,1),SMALL($H50:$N50,2),SMALL($H50:$N50,3))-36)*0.96,20),2),"")</f>
        <v>16.96</v>
      </c>
      <c r="II50" s="18">
        <f ca="1">IF($D50&lt;&gt;"",ROUND(MIN((AVERAGE(SMALL($H50:$O50,1),SMALL($H50:$O50,2),SMALL($H50:$O50,3),SMALL($H50:$O50,4))-36)*0.96,20),2),"")</f>
        <v>17.52</v>
      </c>
      <c r="IJ50" s="18">
        <f ca="1">IF($D50&lt;&gt;"",ROUND(MIN((AVERAGE(SMALL($H50:$P50,1),SMALL($H50:$P50,2),SMALL($H50:$P50,3),SMALL($H50:$P50,4))-36)*0.96,20),2),"")</f>
        <v>17.52</v>
      </c>
      <c r="IK50" s="18">
        <f ca="1">IF($D50&lt;&gt;"",ROUND(MIN((AVERAGE(SMALL($H50:$Q50,1),SMALL($H50:$Q50,2),SMALL($H50:$Q50,3),SMALL($H50:$Q50,4),SMALL($H50:$Q50,5))-36)*0.96,20),2),"")</f>
        <v>17.47</v>
      </c>
      <c r="IL50" s="34"/>
      <c r="IN50" s="18">
        <f ca="1">AO50</f>
        <v>56</v>
      </c>
      <c r="IO50" s="18">
        <f ca="1">AN50</f>
        <v>57</v>
      </c>
      <c r="IP50" s="18">
        <f ca="1">AM50</f>
        <v>53</v>
      </c>
      <c r="IQ50" s="18">
        <f ca="1">AL50</f>
        <v>54</v>
      </c>
      <c r="IR50" s="18">
        <f ca="1">AK50</f>
        <v>50</v>
      </c>
      <c r="IS50" s="18">
        <f ca="1">AJ50</f>
        <v>51</v>
      </c>
      <c r="IT50" s="18">
        <f ca="1">AI50</f>
        <v>51</v>
      </c>
      <c r="IU50" s="18">
        <f ca="1">AH50</f>
        <v>54</v>
      </c>
      <c r="IV50" s="18">
        <f ca="1">AG50</f>
        <v>53</v>
      </c>
      <c r="IW50" s="18">
        <f ca="1">AF50</f>
        <v>54</v>
      </c>
      <c r="IX50" s="19">
        <f ca="1">IF(D50&lt;&gt;"",COUNT(IN50:IW50),"")</f>
        <v>10</v>
      </c>
      <c r="IY50" s="21">
        <f ca="1">IF(D50&lt;&gt;"",INDEX($JA50:$JK50,1,MATCH($IX50,$JA$6:$JK$6,0)), "")</f>
        <v>14.976000000000001</v>
      </c>
      <c r="JA50" s="18" t="str">
        <f ca="1">IF(D50&lt;&gt;"","No Hdcp","")</f>
        <v>No Hdcp</v>
      </c>
      <c r="JB50" s="18" t="str">
        <f ca="1">IF(D50&lt;&gt;"","Low of score &amp; "&amp;MIN($IN50:$IN50),"")</f>
        <v>Low of score &amp; 56</v>
      </c>
      <c r="JC50" s="18" t="str">
        <f ca="1">IF(D50&lt;&gt;"","Low of score &amp; "&amp;MIN($IN50:$IO50),"")</f>
        <v>Low of score &amp; 56</v>
      </c>
      <c r="JD50" s="18" t="str">
        <f ca="1">IF(D50&lt;&gt;"","Low of score &amp; "&amp;MIN($IN50:$IP50),"")</f>
        <v>Low of score &amp; 53</v>
      </c>
      <c r="JE50" s="18" t="str">
        <f ca="1">IF(D50&lt;&gt;"","Low of score &amp; "&amp;MIN($IN50:$IQ50),"")</f>
        <v>Low of score &amp; 53</v>
      </c>
      <c r="JF50" s="18">
        <f ca="1">IF(D50&lt;&gt;"",MIN((MIN($IN50:$IR50)-36)*0.96,20),"")</f>
        <v>13.44</v>
      </c>
      <c r="JG50" s="18">
        <f ca="1">IF(D50&lt;&gt;"",MIN((AVERAGE(SMALL($IN50:$IS50,1),SMALL($IN50:$IS50,2))-36)*0.96,20),"")</f>
        <v>13.92</v>
      </c>
      <c r="JH50" s="18">
        <f ca="1">IF(D50&lt;&gt;"",MIN((AVERAGE(SMALL($IN50:$IT50,1),SMALL($IN50:$IT50,2),SMALL($IN50:$IT50,3))-36)*0.96,20),"")</f>
        <v>14.079999999999997</v>
      </c>
      <c r="JI50" s="18">
        <f ca="1">IF(D50&lt;&gt;"",MIN((AVERAGE(SMALL($IN50:$IU50,1),SMALL($IN50:$IU50,2),SMALL($IN50:$IU50,3),SMALL($IN50:$IU50,4))-36)*0.96,20),"")</f>
        <v>14.639999999999999</v>
      </c>
      <c r="JJ50" s="18">
        <f ca="1">IF(D50&lt;&gt;"",MIN((AVERAGE(SMALL($IN50:$IV50,1),SMALL($IN50:$IV50,2),SMALL($IN50:$IV50,3),SMALL($IN50:$IV50,4))-36)*0.96,20),"")</f>
        <v>14.639999999999999</v>
      </c>
      <c r="JK50" s="18">
        <f ca="1">IF(D50&lt;&gt;"",MIN((AVERAGE(SMALL($IN50:$IW50,1),SMALL($IN50:$IW50,2),SMALL($IN50:$IW50,3),SMALL($IN50:$IW50,4),SMALL($IN50:$IW50,5))-36)*0.96,20),"")</f>
        <v>14.976000000000001</v>
      </c>
    </row>
    <row r="51" spans="1:271" x14ac:dyDescent="0.2">
      <c r="A51" s="18" t="s">
        <v>29</v>
      </c>
      <c r="B51" s="19">
        <f>B50+7</f>
        <v>12</v>
      </c>
      <c r="C51" s="22">
        <f t="shared" ca="1" si="150"/>
        <v>3.2000000000000002E-3</v>
      </c>
      <c r="D51" s="269" t="str">
        <f t="shared" ca="1" si="151"/>
        <v>Cox, Marcus</v>
      </c>
      <c r="E51" s="19">
        <f t="shared" ca="1" si="152"/>
        <v>11</v>
      </c>
      <c r="F51" s="19">
        <f ca="1">IF(D51&lt;&gt;"",COUNT($H51:$Q51),"")</f>
        <v>10</v>
      </c>
      <c r="G51" s="21">
        <f ca="1">IF($D51&lt;&gt;"",INDEX($IA51:$IK51,1,MATCH($F51,$IA$6:$IK$6,0)), "")</f>
        <v>18.82</v>
      </c>
      <c r="H51" s="337">
        <f ca="1">IFERROR(INDEX($AF51:$BH51, , SUMPRODUCT(LARGE((($AF51:$BH51&lt;&gt;0)*($BJ51:$CL51&lt;&gt;1)*($AF$5:$BH$5)), H$6))), "")</f>
        <v>62</v>
      </c>
      <c r="I51" s="338" cm="1">
        <f t="array" aca="1" ref="I51" ca="1">IFERROR(_xlfn.SINGLE(INDEX($AF51:$BH51, , SUMPRODUCT(LARGE((($AF51:$BH51&lt;&gt;0)*($BJ51:$CL51&lt;&gt;1)*($AF$5:$BH$5)), I$6)))), "")</f>
        <v>62</v>
      </c>
      <c r="J51" s="338" cm="1">
        <f t="array" aca="1" ref="J51" ca="1">IFERROR(_xlfn.SINGLE(INDEX($AF51:$BH51, , SUMPRODUCT(LARGE((($AF51:$BH51&lt;&gt;0)*($BJ51:$CL51&lt;&gt;1)*($AF$5:$BH$5)), J$6)))), "")</f>
        <v>51</v>
      </c>
      <c r="K51" s="338" cm="1">
        <f t="array" aca="1" ref="K51" ca="1">IFERROR(_xlfn.SINGLE(INDEX($AF51:$BH51, , SUMPRODUCT(LARGE((($AF51:$BH51&lt;&gt;0)*($BJ51:$CL51&lt;&gt;1)*($AF$5:$BH$5)), K$6)))), "")</f>
        <v>61</v>
      </c>
      <c r="L51" s="338" cm="1">
        <f t="array" aca="1" ref="L51" ca="1">IFERROR(_xlfn.SINGLE(INDEX($AF51:$BH51, , SUMPRODUCT(LARGE((($AF51:$BH51&lt;&gt;0)*($BJ51:$CL51&lt;&gt;1)*($AF$5:$BH$5)), L$6)))), "")</f>
        <v>57</v>
      </c>
      <c r="M51" s="338" cm="1">
        <f t="array" aca="1" ref="M51" ca="1">IFERROR(_xlfn.SINGLE(INDEX($AF51:$BH51, , SUMPRODUCT(LARGE((($AF51:$BH51&lt;&gt;0)*($BJ51:$CL51&lt;&gt;1)*($AF$5:$BH$5)), M$6)))), "")</f>
        <v>54</v>
      </c>
      <c r="N51" s="338" cm="1">
        <f t="array" aca="1" ref="N51" ca="1">IFERROR(_xlfn.SINGLE(INDEX($AF51:$BH51, , SUMPRODUCT(LARGE((($AF51:$BH51&lt;&gt;0)*($BJ51:$CL51&lt;&gt;1)*($AF$5:$BH$5)), N$6)))), "")</f>
        <v>58</v>
      </c>
      <c r="O51" s="338" cm="1">
        <f t="array" aca="1" ref="O51" ca="1">IFERROR(_xlfn.SINGLE(INDEX($AF51:$BH51, , SUMPRODUCT(LARGE((($AF51:$BH51&lt;&gt;0)*($BJ51:$CL51&lt;&gt;1)*($AF$5:$BH$5)), O$6)))), "")</f>
        <v>58</v>
      </c>
      <c r="P51" s="338" cm="1">
        <f t="array" aca="1" ref="P51" ca="1">IFERROR(_xlfn.SINGLE(INDEX($AF51:$BH51, , SUMPRODUCT(LARGE((($AF51:$BH51&lt;&gt;0)*($BJ51:$CL51&lt;&gt;1)*($AF$5:$BH$5)), P$6)))), "")</f>
        <v>58</v>
      </c>
      <c r="Q51" s="339" cm="1">
        <f t="array" aca="1" ref="Q51" ca="1">IFERROR(_xlfn.SINGLE(INDEX($AF51:$BH51, , SUMPRODUCT(LARGE((($AF51:$BH51&lt;&gt;0)*($BJ51:$CL51&lt;&gt;1)*($AF$5:$BH$5)), Q$6)))), "")</f>
        <v>64</v>
      </c>
      <c r="R51" s="21">
        <v>56.333333333333336</v>
      </c>
      <c r="S51" s="47">
        <f t="shared" ca="1" si="153"/>
        <v>55.6</v>
      </c>
      <c r="T51" s="21">
        <f ca="1">IF($D51&lt;&gt;"", IFERROR(IF($E51&gt;=qualifier, SUMIF($BT51:$CL51,0,$AP51:$BH51)/$E51, TEXT(SUMIF($BT51:$CL51,0,$AP51:$BH51)/$E51, "0.00")&amp;"*"), "-"), "")</f>
        <v>58.545454545454547</v>
      </c>
      <c r="U51" s="21">
        <f ca="1">IF($D51&lt;&gt;"", IFERROR(IF($E51&gt;=qualifier, SUMIF($BT51:$CL51,0,$CN51:$DF51)/$E51, TEXT(SUMIF($BT51:$CL51,0,$CN51:$DF51)/$E51, "0.00")&amp;"*"), "-"), "")</f>
        <v>41.272727272727273</v>
      </c>
      <c r="V51" s="46">
        <f ca="1">IF(AND($D51&lt;&gt;"", $E51&lt;&gt;0), _xlfn.MINIFS($AP51:$BH51,$BT51:$CL51,0,$AP51:$BH51,"&lt;&gt;0"), "")</f>
        <v>51</v>
      </c>
      <c r="W51" s="19">
        <f ca="1">IF(AND($D51&lt;&gt;"", $E51&lt;&gt;0), _xlfn.MINIFS($CN51:$DF51,$BT51:$CL51,0), "")</f>
        <v>33</v>
      </c>
      <c r="X51" s="46">
        <f ca="1">IF($D51&lt;&gt;"", SUM($DH51:$DZ51),  "")</f>
        <v>112</v>
      </c>
      <c r="Y51" s="21">
        <f ca="1">IF($D51&lt;&gt;"", IFERROR(IF($E51&gt;=qualifier, AVERAGE($DH51:$DZ51), TEXT(AVERAGE($DH51:$DZ51), "0.00")&amp;"*"), "-"), "")</f>
        <v>9.3333333333333339</v>
      </c>
      <c r="Z51" s="19">
        <f ca="1">IF($D51&lt;&gt;"", SUM($EB51:$ET51),  "")</f>
        <v>2</v>
      </c>
      <c r="AA51" s="19">
        <f ca="1">IF($D51&lt;&gt;"", SUM($EV51:$FN51),  "")</f>
        <v>0</v>
      </c>
      <c r="AB51" s="46" t="str">
        <f t="shared" ca="1" si="154"/>
        <v>4-7-1</v>
      </c>
      <c r="AC51" s="218">
        <f t="shared" ca="1" si="155"/>
        <v>3302658898</v>
      </c>
      <c r="AD51" s="57" t="str">
        <f t="shared" ca="1" si="156"/>
        <v>damarcus.cox@gmail.com</v>
      </c>
      <c r="AE51" s="34"/>
      <c r="AF51" s="341">
        <f ca="1">INDEX(PriorScores[],MATCH($D51,PriorScores[Team / Player],0),2)</f>
        <v>55</v>
      </c>
      <c r="AG51" s="341">
        <f ca="1">INDEX(PriorScores[],MATCH($D51,PriorScores[Team / Player],0),3)</f>
        <v>66</v>
      </c>
      <c r="AH51" s="341">
        <f ca="1">INDEX(PriorScores[],MATCH($D51,PriorScores[Team / Player],0),4)</f>
        <v>51</v>
      </c>
      <c r="AI51" s="341">
        <f ca="1">INDEX(PriorScores[],MATCH($D51,PriorScores[Team / Player],0),5)</f>
        <v>60</v>
      </c>
      <c r="AJ51" s="341">
        <f ca="1">INDEX(PriorScores[],MATCH($D51,PriorScores[Team / Player],0),6)</f>
        <v>53</v>
      </c>
      <c r="AK51" s="341">
        <f ca="1">INDEX(PriorScores[],MATCH($D51,PriorScores[Team / Player],0),7)</f>
        <v>57</v>
      </c>
      <c r="AL51" s="341">
        <f ca="1">INDEX(PriorScores[],MATCH($D51,PriorScores[Team / Player],0),8)</f>
        <v>52</v>
      </c>
      <c r="AM51" s="341">
        <f ca="1">INDEX(PriorScores[],MATCH($D51,PriorScores[Team / Player],0),9)</f>
        <v>59</v>
      </c>
      <c r="AN51" s="341">
        <f ca="1">INDEX(PriorScores[],MATCH($D51,PriorScores[Team / Player],0),10)</f>
        <v>51</v>
      </c>
      <c r="AO51" s="341">
        <f ca="1">INDEX(PriorScores[],MATCH($D51,PriorScores[Team / Player],0),11)</f>
        <v>54</v>
      </c>
      <c r="AP51" s="20">
        <f t="shared" ca="1" si="157"/>
        <v>59</v>
      </c>
      <c r="AQ51" s="20">
        <f t="shared" ca="1" si="157"/>
        <v>0</v>
      </c>
      <c r="AR51" s="20">
        <f t="shared" ca="1" si="157"/>
        <v>64</v>
      </c>
      <c r="AS51" s="20">
        <f t="shared" ca="1" si="157"/>
        <v>0</v>
      </c>
      <c r="AT51" s="20">
        <f t="shared" ca="1" si="157"/>
        <v>58</v>
      </c>
      <c r="AU51" s="20">
        <f t="shared" ca="1" si="157"/>
        <v>58</v>
      </c>
      <c r="AV51" s="20">
        <f t="shared" ca="1" si="157"/>
        <v>0</v>
      </c>
      <c r="AW51" s="20">
        <f t="shared" ca="1" si="157"/>
        <v>0</v>
      </c>
      <c r="AX51" s="20">
        <f t="shared" ca="1" si="157"/>
        <v>58</v>
      </c>
      <c r="AY51" s="20">
        <f t="shared" ca="1" si="157"/>
        <v>54</v>
      </c>
      <c r="AZ51" s="20">
        <f t="shared" ca="1" si="158"/>
        <v>57</v>
      </c>
      <c r="BA51" s="20">
        <f t="shared" ca="1" si="158"/>
        <v>0</v>
      </c>
      <c r="BB51" s="20">
        <f t="shared" ca="1" si="158"/>
        <v>61</v>
      </c>
      <c r="BC51" s="20">
        <f t="shared" ca="1" si="158"/>
        <v>51</v>
      </c>
      <c r="BD51" s="20">
        <f t="shared" ca="1" si="158"/>
        <v>0</v>
      </c>
      <c r="BE51" s="20">
        <f t="shared" ca="1" si="158"/>
        <v>62</v>
      </c>
      <c r="BF51" s="20">
        <f t="shared" ca="1" si="158"/>
        <v>62</v>
      </c>
      <c r="BG51" s="20">
        <f t="shared" ca="1" si="158"/>
        <v>0</v>
      </c>
      <c r="BH51" s="20">
        <f t="shared" ca="1" si="158"/>
        <v>0</v>
      </c>
      <c r="BI51" s="34"/>
      <c r="BJ51" s="341">
        <v>0</v>
      </c>
      <c r="BK51" s="341">
        <v>0</v>
      </c>
      <c r="BL51" s="341">
        <v>0</v>
      </c>
      <c r="BM51" s="341">
        <v>0</v>
      </c>
      <c r="BN51" s="341">
        <v>0</v>
      </c>
      <c r="BO51" s="341">
        <v>0</v>
      </c>
      <c r="BP51" s="341">
        <v>0</v>
      </c>
      <c r="BQ51" s="341">
        <v>0</v>
      </c>
      <c r="BR51" s="341">
        <v>0</v>
      </c>
      <c r="BS51" s="341">
        <v>0</v>
      </c>
      <c r="BT51" s="20">
        <f t="shared" ca="1" si="159"/>
        <v>0</v>
      </c>
      <c r="BU51" s="20">
        <f t="shared" ca="1" si="159"/>
        <v>0</v>
      </c>
      <c r="BV51" s="20">
        <f t="shared" ca="1" si="159"/>
        <v>0</v>
      </c>
      <c r="BW51" s="20">
        <f t="shared" ca="1" si="159"/>
        <v>0</v>
      </c>
      <c r="BX51" s="20">
        <f t="shared" ca="1" si="159"/>
        <v>0</v>
      </c>
      <c r="BY51" s="20">
        <f t="shared" ca="1" si="159"/>
        <v>0</v>
      </c>
      <c r="BZ51" s="20">
        <f t="shared" ca="1" si="159"/>
        <v>0</v>
      </c>
      <c r="CA51" s="20">
        <f t="shared" ca="1" si="159"/>
        <v>0</v>
      </c>
      <c r="CB51" s="20">
        <f t="shared" ca="1" si="159"/>
        <v>0</v>
      </c>
      <c r="CC51" s="20">
        <f t="shared" ca="1" si="159"/>
        <v>0</v>
      </c>
      <c r="CD51" s="20">
        <f t="shared" ca="1" si="160"/>
        <v>0</v>
      </c>
      <c r="CE51" s="20">
        <f t="shared" ca="1" si="160"/>
        <v>0</v>
      </c>
      <c r="CF51" s="20">
        <f t="shared" ca="1" si="160"/>
        <v>0</v>
      </c>
      <c r="CG51" s="20">
        <f t="shared" ca="1" si="160"/>
        <v>0</v>
      </c>
      <c r="CH51" s="20">
        <f t="shared" ca="1" si="160"/>
        <v>1</v>
      </c>
      <c r="CI51" s="20">
        <f t="shared" ca="1" si="160"/>
        <v>0</v>
      </c>
      <c r="CJ51" s="20">
        <f t="shared" ca="1" si="160"/>
        <v>0</v>
      </c>
      <c r="CK51" s="20">
        <f t="shared" ca="1" si="160"/>
        <v>1</v>
      </c>
      <c r="CL51" s="20">
        <f t="shared" ca="1" si="160"/>
        <v>0</v>
      </c>
      <c r="CM51" s="34"/>
      <c r="CN51" s="20">
        <f t="shared" ca="1" si="161"/>
        <v>43</v>
      </c>
      <c r="CO51" s="20" t="str">
        <f t="shared" ca="1" si="161"/>
        <v/>
      </c>
      <c r="CP51" s="20">
        <f t="shared" ca="1" si="161"/>
        <v>48</v>
      </c>
      <c r="CQ51" s="20" t="str">
        <f t="shared" ca="1" si="161"/>
        <v/>
      </c>
      <c r="CR51" s="20">
        <f t="shared" ca="1" si="161"/>
        <v>42</v>
      </c>
      <c r="CS51" s="20">
        <f t="shared" ca="1" si="161"/>
        <v>41</v>
      </c>
      <c r="CT51" s="20" t="str">
        <f t="shared" ca="1" si="161"/>
        <v/>
      </c>
      <c r="CU51" s="20" t="str">
        <f t="shared" ca="1" si="161"/>
        <v/>
      </c>
      <c r="CV51" s="20">
        <f t="shared" ca="1" si="161"/>
        <v>41</v>
      </c>
      <c r="CW51" s="20">
        <f t="shared" ca="1" si="161"/>
        <v>36</v>
      </c>
      <c r="CX51" s="20">
        <f t="shared" ca="1" si="162"/>
        <v>40</v>
      </c>
      <c r="CY51" s="20" t="str">
        <f t="shared" ca="1" si="162"/>
        <v/>
      </c>
      <c r="CZ51" s="20">
        <f t="shared" ca="1" si="162"/>
        <v>43</v>
      </c>
      <c r="DA51" s="20">
        <f t="shared" ca="1" si="162"/>
        <v>33</v>
      </c>
      <c r="DB51" s="20" t="str">
        <f t="shared" ca="1" si="162"/>
        <v/>
      </c>
      <c r="DC51" s="20">
        <f t="shared" ca="1" si="162"/>
        <v>44</v>
      </c>
      <c r="DD51" s="20">
        <f t="shared" ca="1" si="162"/>
        <v>43</v>
      </c>
      <c r="DE51" s="20" t="str">
        <f t="shared" ca="1" si="162"/>
        <v/>
      </c>
      <c r="DF51" s="20" t="str">
        <f t="shared" ca="1" si="162"/>
        <v/>
      </c>
      <c r="DG51" s="34"/>
      <c r="DH51" s="20">
        <f t="shared" ca="1" si="163"/>
        <v>12</v>
      </c>
      <c r="DI51" s="20" t="str">
        <f t="shared" ca="1" si="163"/>
        <v/>
      </c>
      <c r="DJ51" s="20">
        <f t="shared" ca="1" si="163"/>
        <v>4</v>
      </c>
      <c r="DK51" s="20" t="str">
        <f t="shared" ca="1" si="163"/>
        <v/>
      </c>
      <c r="DL51" s="20">
        <f t="shared" ca="1" si="163"/>
        <v>9</v>
      </c>
      <c r="DM51" s="20">
        <f t="shared" ca="1" si="163"/>
        <v>14</v>
      </c>
      <c r="DN51" s="20" t="str">
        <f t="shared" ca="1" si="163"/>
        <v/>
      </c>
      <c r="DO51" s="20" t="str">
        <f t="shared" ca="1" si="163"/>
        <v/>
      </c>
      <c r="DP51" s="20">
        <f t="shared" ca="1" si="163"/>
        <v>7</v>
      </c>
      <c r="DQ51" s="20">
        <f t="shared" ca="1" si="163"/>
        <v>11</v>
      </c>
      <c r="DR51" s="20">
        <f t="shared" ca="1" si="164"/>
        <v>9</v>
      </c>
      <c r="DS51" s="20" t="str">
        <f t="shared" ca="1" si="164"/>
        <v/>
      </c>
      <c r="DT51" s="20">
        <f t="shared" ca="1" si="164"/>
        <v>9</v>
      </c>
      <c r="DU51" s="20">
        <f t="shared" ca="1" si="164"/>
        <v>13</v>
      </c>
      <c r="DV51" s="20">
        <f t="shared" ca="1" si="164"/>
        <v>10</v>
      </c>
      <c r="DW51" s="20">
        <f t="shared" ca="1" si="164"/>
        <v>7</v>
      </c>
      <c r="DX51" s="20">
        <f t="shared" ca="1" si="164"/>
        <v>7</v>
      </c>
      <c r="DY51" s="20" t="str">
        <f t="shared" ca="1" si="164"/>
        <v/>
      </c>
      <c r="DZ51" s="20" t="str">
        <f t="shared" ca="1" si="164"/>
        <v/>
      </c>
      <c r="EA51" s="34"/>
      <c r="EB51" s="20" t="str">
        <f t="shared" ca="1" si="165"/>
        <v/>
      </c>
      <c r="EC51" s="20" t="str">
        <f t="shared" ca="1" si="165"/>
        <v/>
      </c>
      <c r="ED51" s="20" t="str">
        <f t="shared" ca="1" si="165"/>
        <v/>
      </c>
      <c r="EE51" s="20" t="str">
        <f t="shared" ca="1" si="165"/>
        <v/>
      </c>
      <c r="EF51" s="20" t="str">
        <f t="shared" ca="1" si="165"/>
        <v/>
      </c>
      <c r="EG51" s="20" t="str">
        <f t="shared" ca="1" si="165"/>
        <v/>
      </c>
      <c r="EH51" s="20" t="str">
        <f t="shared" ca="1" si="165"/>
        <v/>
      </c>
      <c r="EI51" s="20" t="str">
        <f t="shared" ca="1" si="165"/>
        <v/>
      </c>
      <c r="EJ51" s="20" t="str">
        <f t="shared" ca="1" si="165"/>
        <v/>
      </c>
      <c r="EK51" s="20" t="str">
        <f t="shared" ca="1" si="165"/>
        <v/>
      </c>
      <c r="EL51" s="20" t="str">
        <f t="shared" ca="1" si="166"/>
        <v/>
      </c>
      <c r="EM51" s="20" t="str">
        <f t="shared" ca="1" si="166"/>
        <v/>
      </c>
      <c r="EN51" s="20" t="str">
        <f t="shared" ca="1" si="166"/>
        <v/>
      </c>
      <c r="EO51" s="20">
        <f t="shared" ca="1" si="166"/>
        <v>1</v>
      </c>
      <c r="EP51" s="20">
        <f t="shared" ca="1" si="166"/>
        <v>1</v>
      </c>
      <c r="EQ51" s="20" t="str">
        <f t="shared" ca="1" si="166"/>
        <v/>
      </c>
      <c r="ER51" s="20" t="str">
        <f t="shared" ca="1" si="166"/>
        <v/>
      </c>
      <c r="ES51" s="20" t="str">
        <f t="shared" ca="1" si="166"/>
        <v/>
      </c>
      <c r="ET51" s="20" t="str">
        <f t="shared" ca="1" si="166"/>
        <v/>
      </c>
      <c r="EU51" s="34"/>
      <c r="EV51" s="20" t="str">
        <f t="shared" ca="1" si="167"/>
        <v/>
      </c>
      <c r="EW51" s="20" t="str">
        <f t="shared" ca="1" si="167"/>
        <v/>
      </c>
      <c r="EX51" s="20" t="str">
        <f t="shared" ca="1" si="167"/>
        <v/>
      </c>
      <c r="EY51" s="20" t="str">
        <f t="shared" ca="1" si="167"/>
        <v/>
      </c>
      <c r="EZ51" s="20" t="str">
        <f t="shared" ca="1" si="167"/>
        <v/>
      </c>
      <c r="FA51" s="20" t="str">
        <f t="shared" ca="1" si="167"/>
        <v/>
      </c>
      <c r="FB51" s="20" t="str">
        <f t="shared" ca="1" si="167"/>
        <v/>
      </c>
      <c r="FC51" s="20" t="str">
        <f t="shared" ca="1" si="167"/>
        <v/>
      </c>
      <c r="FD51" s="20" t="str">
        <f t="shared" ca="1" si="167"/>
        <v/>
      </c>
      <c r="FE51" s="20" t="str">
        <f t="shared" ca="1" si="167"/>
        <v/>
      </c>
      <c r="FF51" s="20" t="str">
        <f t="shared" ca="1" si="168"/>
        <v/>
      </c>
      <c r="FG51" s="20" t="str">
        <f t="shared" ca="1" si="168"/>
        <v/>
      </c>
      <c r="FH51" s="20" t="str">
        <f t="shared" ca="1" si="168"/>
        <v/>
      </c>
      <c r="FI51" s="20" t="str">
        <f t="shared" ca="1" si="168"/>
        <v/>
      </c>
      <c r="FJ51" s="20" t="str">
        <f t="shared" ca="1" si="168"/>
        <v/>
      </c>
      <c r="FK51" s="20" t="str">
        <f t="shared" ca="1" si="168"/>
        <v/>
      </c>
      <c r="FL51" s="20" t="str">
        <f t="shared" ca="1" si="168"/>
        <v/>
      </c>
      <c r="FM51" s="20" t="str">
        <f t="shared" ca="1" si="168"/>
        <v/>
      </c>
      <c r="FN51" s="20" t="str">
        <f t="shared" ca="1" si="168"/>
        <v/>
      </c>
      <c r="FO51" s="34"/>
      <c r="FP51" s="20" t="str">
        <f t="shared" ca="1" si="169"/>
        <v>w</v>
      </c>
      <c r="FQ51" s="20" t="str">
        <f t="shared" ca="1" si="169"/>
        <v/>
      </c>
      <c r="FR51" s="20" t="str">
        <f t="shared" ca="1" si="169"/>
        <v>l</v>
      </c>
      <c r="FS51" s="20" t="str">
        <f t="shared" ca="1" si="169"/>
        <v/>
      </c>
      <c r="FT51" s="20" t="str">
        <f t="shared" ca="1" si="169"/>
        <v>l</v>
      </c>
      <c r="FU51" s="20" t="str">
        <f t="shared" ca="1" si="169"/>
        <v>w</v>
      </c>
      <c r="FV51" s="20" t="str">
        <f t="shared" ca="1" si="169"/>
        <v/>
      </c>
      <c r="FW51" s="20" t="str">
        <f t="shared" ca="1" si="169"/>
        <v/>
      </c>
      <c r="FX51" s="20" t="str">
        <f t="shared" ca="1" si="169"/>
        <v>l</v>
      </c>
      <c r="FY51" s="20" t="str">
        <f t="shared" ca="1" si="169"/>
        <v>w</v>
      </c>
      <c r="FZ51" s="20" t="str">
        <f t="shared" ca="1" si="170"/>
        <v>l</v>
      </c>
      <c r="GA51" s="20" t="str">
        <f t="shared" ca="1" si="170"/>
        <v/>
      </c>
      <c r="GB51" s="20" t="str">
        <f t="shared" ca="1" si="170"/>
        <v>l</v>
      </c>
      <c r="GC51" s="20" t="str">
        <f t="shared" ca="1" si="170"/>
        <v>w</v>
      </c>
      <c r="GD51" s="20" t="str">
        <f t="shared" ca="1" si="170"/>
        <v>t</v>
      </c>
      <c r="GE51" s="20" t="str">
        <f t="shared" ca="1" si="170"/>
        <v>l</v>
      </c>
      <c r="GF51" s="20" t="str">
        <f t="shared" ca="1" si="170"/>
        <v>l</v>
      </c>
      <c r="GG51" s="20" t="str">
        <f t="shared" ca="1" si="170"/>
        <v/>
      </c>
      <c r="GH51" s="20" t="str">
        <f t="shared" ca="1" si="170"/>
        <v/>
      </c>
      <c r="GI51" s="34"/>
      <c r="HE51" s="34"/>
      <c r="HZ51" s="34"/>
      <c r="IA51" s="19" t="str">
        <f t="shared" ca="1" si="171"/>
        <v>No Hdcp</v>
      </c>
      <c r="IB51" s="19" t="str">
        <f ca="1">IF($D51&lt;&gt;"","Low of score &amp; "&amp;MIN($H51:$H51),"")</f>
        <v>Low of score &amp; 62</v>
      </c>
      <c r="IC51" s="19" t="str">
        <f ca="1">IF($D51&lt;&gt;"","Low of score &amp; "&amp;MIN($H51:$I51),"")</f>
        <v>Low of score &amp; 62</v>
      </c>
      <c r="ID51" s="18" t="str">
        <f ca="1">IF($D51&lt;&gt;"","Low of score &amp; "&amp;MIN($H51:$J51),"")</f>
        <v>Low of score &amp; 51</v>
      </c>
      <c r="IE51" s="18" t="str">
        <f ca="1">IF($D51&lt;&gt;"","Low of score &amp; "&amp;MIN($H51:$K51),"")</f>
        <v>Low of score &amp; 51</v>
      </c>
      <c r="IF51" s="18">
        <f ca="1">IF($D51&lt;&gt;"",ROUND(MIN((MIN($H51:$L51)-36)*0.96,20),2),"")</f>
        <v>14.4</v>
      </c>
      <c r="IG51" s="353">
        <f ca="1">IF($D51&lt;&gt;"",ROUND(MIN((AVERAGE(SMALL($H51:$M51,1),SMALL($H51:$M51,2))-36)*0.96,20),2),"")</f>
        <v>15.84</v>
      </c>
      <c r="IH51" s="18">
        <f ca="1">IF($D51&lt;&gt;"",ROUND(MIN((AVERAGE(SMALL($H51:$N51,1),SMALL($H51:$N51,2),SMALL($H51:$N51,3))-36)*0.96,20),2),"")</f>
        <v>17.28</v>
      </c>
      <c r="II51" s="18">
        <f ca="1">IF($D51&lt;&gt;"",ROUND(MIN((AVERAGE(SMALL($H51:$O51,1),SMALL($H51:$O51,2),SMALL($H51:$O51,3),SMALL($H51:$O51,4))-36)*0.96,20),2),"")</f>
        <v>18.239999999999998</v>
      </c>
      <c r="IJ51" s="18">
        <f ca="1">IF($D51&lt;&gt;"",ROUND(MIN((AVERAGE(SMALL($H51:$P51,1),SMALL($H51:$P51,2),SMALL($H51:$P51,3),SMALL($H51:$P51,4))-36)*0.96,20),2),"")</f>
        <v>18.239999999999998</v>
      </c>
      <c r="IK51" s="18">
        <f ca="1">IF($D51&lt;&gt;"",ROUND(MIN((AVERAGE(SMALL($H51:$Q51,1),SMALL($H51:$Q51,2),SMALL($H51:$Q51,3),SMALL($H51:$Q51,4),SMALL($H51:$Q51,5))-36)*0.96,20),2),"")</f>
        <v>18.82</v>
      </c>
      <c r="IL51" s="34"/>
      <c r="IN51" s="18">
        <f ca="1">AO51</f>
        <v>54</v>
      </c>
      <c r="IO51" s="18">
        <f ca="1">AN51</f>
        <v>51</v>
      </c>
      <c r="IP51" s="18">
        <f ca="1">AM51</f>
        <v>59</v>
      </c>
      <c r="IQ51" s="18">
        <f ca="1">AL51</f>
        <v>52</v>
      </c>
      <c r="IR51" s="18">
        <f ca="1">AK51</f>
        <v>57</v>
      </c>
      <c r="IS51" s="18">
        <f ca="1">AJ51</f>
        <v>53</v>
      </c>
      <c r="IT51" s="18">
        <f ca="1">AI51</f>
        <v>60</v>
      </c>
      <c r="IU51" s="18">
        <f ca="1">AH51</f>
        <v>51</v>
      </c>
      <c r="IV51" s="18">
        <f ca="1">AG51</f>
        <v>66</v>
      </c>
      <c r="IW51" s="18">
        <f ca="1">AF51</f>
        <v>55</v>
      </c>
      <c r="IX51" s="19">
        <f ca="1">IF(D51&lt;&gt;"",COUNT(IN51:IW51),"")</f>
        <v>10</v>
      </c>
      <c r="IY51" s="21">
        <f ca="1">IF(D51&lt;&gt;"",INDEX($JA51:$JK51,1,MATCH($IX51,$JA$6:$JK$6,0)), "")</f>
        <v>15.552000000000001</v>
      </c>
      <c r="JA51" s="18" t="str">
        <f ca="1">IF(D51&lt;&gt;"","No Hdcp","")</f>
        <v>No Hdcp</v>
      </c>
      <c r="JB51" s="18" t="str">
        <f ca="1">IF(D51&lt;&gt;"","Low of score &amp; "&amp;MIN($IN51:$IN51),"")</f>
        <v>Low of score &amp; 54</v>
      </c>
      <c r="JC51" s="18" t="str">
        <f ca="1">IF(D51&lt;&gt;"","Low of score &amp; "&amp;MIN($IN51:$IO51),"")</f>
        <v>Low of score &amp; 51</v>
      </c>
      <c r="JD51" s="18" t="str">
        <f ca="1">IF(D51&lt;&gt;"","Low of score &amp; "&amp;MIN($IN51:$IP51),"")</f>
        <v>Low of score &amp; 51</v>
      </c>
      <c r="JE51" s="18" t="str">
        <f ca="1">IF(D51&lt;&gt;"","Low of score &amp; "&amp;MIN($IN51:$IQ51),"")</f>
        <v>Low of score &amp; 51</v>
      </c>
      <c r="JF51" s="18">
        <f ca="1">IF(D51&lt;&gt;"",MIN((MIN($IN51:$IR51)-36)*0.96,20),"")</f>
        <v>14.399999999999999</v>
      </c>
      <c r="JG51" s="18">
        <f ca="1">IF(D51&lt;&gt;"",MIN((AVERAGE(SMALL($IN51:$IS51,1),SMALL($IN51:$IS51,2))-36)*0.96,20),"")</f>
        <v>14.879999999999999</v>
      </c>
      <c r="JH51" s="18">
        <f ca="1">IF(D51&lt;&gt;"",MIN((AVERAGE(SMALL($IN51:$IT51,1),SMALL($IN51:$IT51,2),SMALL($IN51:$IT51,3))-36)*0.96,20),"")</f>
        <v>15.36</v>
      </c>
      <c r="JI51" s="18">
        <f ca="1">IF(D51&lt;&gt;"",MIN((AVERAGE(SMALL($IN51:$IU51,1),SMALL($IN51:$IU51,2),SMALL($IN51:$IU51,3),SMALL($IN51:$IU51,4))-36)*0.96,20),"")</f>
        <v>15.12</v>
      </c>
      <c r="JJ51" s="18">
        <f ca="1">IF(D51&lt;&gt;"",MIN((AVERAGE(SMALL($IN51:$IV51,1),SMALL($IN51:$IV51,2),SMALL($IN51:$IV51,3),SMALL($IN51:$IV51,4))-36)*0.96,20),"")</f>
        <v>15.12</v>
      </c>
      <c r="JK51" s="18">
        <f ca="1">IF(D51&lt;&gt;"",MIN((AVERAGE(SMALL($IN51:$IW51,1),SMALL($IN51:$IW51,2),SMALL($IN51:$IW51,3),SMALL($IN51:$IW51,4),SMALL($IN51:$IW51,5))-36)*0.96,20),"")</f>
        <v>15.552000000000001</v>
      </c>
    </row>
    <row r="52" spans="1:271" x14ac:dyDescent="0.2">
      <c r="A52" s="18" t="s">
        <v>29</v>
      </c>
      <c r="B52" s="19">
        <f>B51+7</f>
        <v>19</v>
      </c>
      <c r="C52" s="22">
        <f t="shared" ca="1" si="150"/>
        <v>7.1999999999999998E-3</v>
      </c>
      <c r="D52" s="18" t="str">
        <f t="shared" ca="1" si="151"/>
        <v>Newsome, Gregg - gold tees</v>
      </c>
      <c r="E52" s="19">
        <f t="shared" ca="1" si="152"/>
        <v>14</v>
      </c>
      <c r="F52" s="19">
        <f ca="1">IF(D52&lt;&gt;"",COUNT($H52:$Q52),"")</f>
        <v>10</v>
      </c>
      <c r="G52" s="21">
        <f ca="1">IF($D52&lt;&gt;"",INDEX($IA52:$IK52,1,MATCH($F52,$IA$6:$IK$6,0)), "")</f>
        <v>20</v>
      </c>
      <c r="H52" s="337" cm="1">
        <f t="array" aca="1" ref="H52" ca="1">IFERROR(_xlfn.SINGLE(INDEX($AF52:$BH52, , SUMPRODUCT(LARGE((($AF52:$BH52&lt;&gt;0)*($BJ52:$CL52&lt;&gt;1)*($AF$5:$BH$5)), H$6)))), "")</f>
        <v>58</v>
      </c>
      <c r="I52" s="338" cm="1">
        <f t="array" aca="1" ref="I52" ca="1">IFERROR(_xlfn.SINGLE(INDEX($AF52:$BH52, , SUMPRODUCT(LARGE((($AF52:$BH52&lt;&gt;0)*($BJ52:$CL52&lt;&gt;1)*($AF$5:$BH$5)), I$6)))), "")</f>
        <v>61</v>
      </c>
      <c r="J52" s="338" cm="1">
        <f t="array" aca="1" ref="J52" ca="1">IFERROR(_xlfn.SINGLE(INDEX($AF52:$BH52, , SUMPRODUCT(LARGE((($AF52:$BH52&lt;&gt;0)*($BJ52:$CL52&lt;&gt;1)*($AF$5:$BH$5)), J$6)))), "")</f>
        <v>61</v>
      </c>
      <c r="K52" s="338" cm="1">
        <f t="array" aca="1" ref="K52" ca="1">IFERROR(_xlfn.SINGLE(INDEX($AF52:$BH52, , SUMPRODUCT(LARGE((($AF52:$BH52&lt;&gt;0)*($BJ52:$CL52&lt;&gt;1)*($AF$5:$BH$5)), K$6)))), "")</f>
        <v>61</v>
      </c>
      <c r="L52" s="338" cm="1">
        <f t="array" aca="1" ref="L52" ca="1">IFERROR(_xlfn.SINGLE(INDEX($AF52:$BH52, , SUMPRODUCT(LARGE((($AF52:$BH52&lt;&gt;0)*($BJ52:$CL52&lt;&gt;1)*($AF$5:$BH$5)), L$6)))), "")</f>
        <v>59</v>
      </c>
      <c r="M52" s="338" cm="1">
        <f t="array" aca="1" ref="M52" ca="1">IFERROR(_xlfn.SINGLE(INDEX($AF52:$BH52, , SUMPRODUCT(LARGE((($AF52:$BH52&lt;&gt;0)*($BJ52:$CL52&lt;&gt;1)*($AF$5:$BH$5)), M$6)))), "")</f>
        <v>59</v>
      </c>
      <c r="N52" s="338" cm="1">
        <f t="array" aca="1" ref="N52" ca="1">IFERROR(_xlfn.SINGLE(INDEX($AF52:$BH52, , SUMPRODUCT(LARGE((($AF52:$BH52&lt;&gt;0)*($BJ52:$CL52&lt;&gt;1)*($AF$5:$BH$5)), N$6)))), "")</f>
        <v>58</v>
      </c>
      <c r="O52" s="338" cm="1">
        <f t="array" aca="1" ref="O52" ca="1">IFERROR(_xlfn.SINGLE(INDEX($AF52:$BH52, , SUMPRODUCT(LARGE((($AF52:$BH52&lt;&gt;0)*($BJ52:$CL52&lt;&gt;1)*($AF$5:$BH$5)), O$6)))), "")</f>
        <v>53</v>
      </c>
      <c r="P52" s="338" cm="1">
        <f t="array" aca="1" ref="P52" ca="1">IFERROR(_xlfn.SINGLE(INDEX($AF52:$BH52, , SUMPRODUCT(LARGE((($AF52:$BH52&lt;&gt;0)*($BJ52:$CL52&lt;&gt;1)*($AF$5:$BH$5)), P$6)))), "")</f>
        <v>66</v>
      </c>
      <c r="Q52" s="339" cm="1">
        <f t="array" aca="1" ref="Q52" ca="1">IFERROR(_xlfn.SINGLE(INDEX($AF52:$BH52, , SUMPRODUCT(LARGE((($AF52:$BH52&lt;&gt;0)*($BJ52:$CL52&lt;&gt;1)*($AF$5:$BH$5)), Q$6)))), "")</f>
        <v>63</v>
      </c>
      <c r="R52" s="21">
        <v>56.133333333333333</v>
      </c>
      <c r="S52" s="47">
        <f t="shared" ca="1" si="153"/>
        <v>57.4</v>
      </c>
      <c r="T52" s="21">
        <f ca="1">IF($D52&lt;&gt;"", IFERROR(IF($E52&gt;=qualifier, SUMIF($BT52:$CL52,0,$AP52:$BH52)/$E52, TEXT(SUMIF($BT52:$CL52,0,$AP52:$BH52)/$E52, "0.00")&amp;"*"), "-"), "")</f>
        <v>59.214285714285715</v>
      </c>
      <c r="U52" s="21">
        <f ca="1">IF($D52&lt;&gt;"", IFERROR(IF($E52&gt;=qualifier, SUMIF($BT52:$CL52,0,$CN52:$DF52)/$E52, TEXT(SUMIF($BT52:$CL52,0,$CN52:$DF52)/$E52, "0.00")&amp;"*"), "-"), "")</f>
        <v>40.785714285714285</v>
      </c>
      <c r="V52" s="46">
        <f ca="1">IF(AND($D52&lt;&gt;"", $E52&lt;&gt;0), _xlfn.MINIFS($AP52:$BH52,$BT52:$CL52,0,$AP52:$BH52,"&lt;&gt;0"), "")</f>
        <v>53</v>
      </c>
      <c r="W52" s="19">
        <f ca="1">IF(AND($D52&lt;&gt;"", $E52&lt;&gt;0), _xlfn.MINIFS($CN52:$DF52,$BT52:$CL52,0), "")</f>
        <v>34</v>
      </c>
      <c r="X52" s="46">
        <f ca="1">IF($D52&lt;&gt;"", SUM($DH52:$DZ52),  "")</f>
        <v>116</v>
      </c>
      <c r="Y52" s="21">
        <f ca="1">IF($D52&lt;&gt;"", IFERROR(IF($E52&gt;=qualifier, AVERAGE($DH52:$DZ52), TEXT(AVERAGE($DH52:$DZ52), "0.00")&amp;"*"), "-"), "")</f>
        <v>7.7333333333333334</v>
      </c>
      <c r="Z52" s="19">
        <f ca="1">IF($D52&lt;&gt;"", SUM($EB52:$ET52),  "")</f>
        <v>1</v>
      </c>
      <c r="AA52" s="19">
        <f ca="1">IF($D52&lt;&gt;"", SUM($EV52:$FN52),  "")</f>
        <v>0</v>
      </c>
      <c r="AB52" s="46" t="str">
        <f t="shared" ca="1" si="154"/>
        <v>3-12-0</v>
      </c>
      <c r="AC52" s="218">
        <f t="shared" ca="1" si="155"/>
        <v>3308018978</v>
      </c>
      <c r="AD52" s="57" t="str">
        <f t="shared" ca="1" si="156"/>
        <v>gnewsome@ohiogratings.com</v>
      </c>
      <c r="AE52" s="34"/>
      <c r="AF52" s="341">
        <f ca="1">INDEX(PriorScores[],MATCH($D52,PriorScores[Team / Player],0),2)</f>
        <v>55</v>
      </c>
      <c r="AG52" s="341">
        <f ca="1">INDEX(PriorScores[],MATCH($D52,PriorScores[Team / Player],0),3)</f>
        <v>59</v>
      </c>
      <c r="AH52" s="341">
        <f ca="1">INDEX(PriorScores[],MATCH($D52,PriorScores[Team / Player],0),4)</f>
        <v>55</v>
      </c>
      <c r="AI52" s="341">
        <f ca="1">INDEX(PriorScores[],MATCH($D52,PriorScores[Team / Player],0),5)</f>
        <v>56</v>
      </c>
      <c r="AJ52" s="341">
        <f ca="1">INDEX(PriorScores[],MATCH($D52,PriorScores[Team / Player],0),6)</f>
        <v>48</v>
      </c>
      <c r="AK52" s="341">
        <f ca="1">INDEX(PriorScores[],MATCH($D52,PriorScores[Team / Player],0),7)</f>
        <v>60</v>
      </c>
      <c r="AL52" s="341">
        <f ca="1">INDEX(PriorScores[],MATCH($D52,PriorScores[Team / Player],0),8)</f>
        <v>62</v>
      </c>
      <c r="AM52" s="341">
        <f ca="1">INDEX(PriorScores[],MATCH($D52,PriorScores[Team / Player],0),9)</f>
        <v>56</v>
      </c>
      <c r="AN52" s="341">
        <f ca="1">INDEX(PriorScores[],MATCH($D52,PriorScores[Team / Player],0),10)</f>
        <v>59</v>
      </c>
      <c r="AO52" s="341">
        <f ca="1">INDEX(PriorScores[],MATCH($D52,PriorScores[Team / Player],0),11)</f>
        <v>55</v>
      </c>
      <c r="AP52" s="20">
        <f t="shared" ca="1" si="157"/>
        <v>55</v>
      </c>
      <c r="AQ52" s="20">
        <f t="shared" ca="1" si="157"/>
        <v>58</v>
      </c>
      <c r="AR52" s="20">
        <f t="shared" ca="1" si="157"/>
        <v>61</v>
      </c>
      <c r="AS52" s="20">
        <f t="shared" ca="1" si="157"/>
        <v>56</v>
      </c>
      <c r="AT52" s="20">
        <f t="shared" ca="1" si="157"/>
        <v>63</v>
      </c>
      <c r="AU52" s="20">
        <f t="shared" ca="1" si="157"/>
        <v>66</v>
      </c>
      <c r="AV52" s="20">
        <f t="shared" ca="1" si="157"/>
        <v>53</v>
      </c>
      <c r="AW52" s="20">
        <f t="shared" ca="1" si="157"/>
        <v>0</v>
      </c>
      <c r="AX52" s="20">
        <f t="shared" ca="1" si="157"/>
        <v>58</v>
      </c>
      <c r="AY52" s="20">
        <f t="shared" ca="1" si="157"/>
        <v>59</v>
      </c>
      <c r="AZ52" s="20">
        <f t="shared" ca="1" si="158"/>
        <v>59</v>
      </c>
      <c r="BA52" s="20">
        <f t="shared" ca="1" si="158"/>
        <v>0</v>
      </c>
      <c r="BB52" s="20">
        <f t="shared" ca="1" si="158"/>
        <v>61</v>
      </c>
      <c r="BC52" s="20">
        <f t="shared" ca="1" si="158"/>
        <v>61</v>
      </c>
      <c r="BD52" s="20">
        <f t="shared" ca="1" si="158"/>
        <v>0</v>
      </c>
      <c r="BE52" s="20">
        <f t="shared" ca="1" si="158"/>
        <v>61</v>
      </c>
      <c r="BF52" s="20">
        <f t="shared" ca="1" si="158"/>
        <v>58</v>
      </c>
      <c r="BG52" s="20">
        <f t="shared" ca="1" si="158"/>
        <v>0</v>
      </c>
      <c r="BH52" s="20">
        <f t="shared" ca="1" si="158"/>
        <v>0</v>
      </c>
      <c r="BI52" s="34"/>
      <c r="BJ52" s="341">
        <v>0</v>
      </c>
      <c r="BK52" s="341">
        <v>0</v>
      </c>
      <c r="BL52" s="341">
        <v>0</v>
      </c>
      <c r="BM52" s="341">
        <v>0</v>
      </c>
      <c r="BN52" s="341">
        <v>0</v>
      </c>
      <c r="BO52" s="341">
        <v>0</v>
      </c>
      <c r="BP52" s="341">
        <v>0</v>
      </c>
      <c r="BQ52" s="341">
        <v>0</v>
      </c>
      <c r="BR52" s="341">
        <v>0</v>
      </c>
      <c r="BS52" s="341">
        <v>0</v>
      </c>
      <c r="BT52" s="20">
        <f t="shared" ca="1" si="159"/>
        <v>0</v>
      </c>
      <c r="BU52" s="20">
        <f t="shared" ca="1" si="159"/>
        <v>0</v>
      </c>
      <c r="BV52" s="20">
        <f t="shared" ca="1" si="159"/>
        <v>0</v>
      </c>
      <c r="BW52" s="20">
        <f t="shared" ca="1" si="159"/>
        <v>0</v>
      </c>
      <c r="BX52" s="20">
        <f t="shared" ca="1" si="159"/>
        <v>0</v>
      </c>
      <c r="BY52" s="20">
        <f t="shared" ca="1" si="159"/>
        <v>0</v>
      </c>
      <c r="BZ52" s="20">
        <f t="shared" ca="1" si="159"/>
        <v>0</v>
      </c>
      <c r="CA52" s="20">
        <f t="shared" ca="1" si="159"/>
        <v>0</v>
      </c>
      <c r="CB52" s="20">
        <f t="shared" ca="1" si="159"/>
        <v>0</v>
      </c>
      <c r="CC52" s="20">
        <f t="shared" ca="1" si="159"/>
        <v>0</v>
      </c>
      <c r="CD52" s="20">
        <f t="shared" ca="1" si="160"/>
        <v>0</v>
      </c>
      <c r="CE52" s="20">
        <f t="shared" ca="1" si="160"/>
        <v>0</v>
      </c>
      <c r="CF52" s="20">
        <f t="shared" ca="1" si="160"/>
        <v>0</v>
      </c>
      <c r="CG52" s="20">
        <f t="shared" ca="1" si="160"/>
        <v>0</v>
      </c>
      <c r="CH52" s="20">
        <f t="shared" ca="1" si="160"/>
        <v>1</v>
      </c>
      <c r="CI52" s="20">
        <f t="shared" ca="1" si="160"/>
        <v>0</v>
      </c>
      <c r="CJ52" s="20">
        <f t="shared" ca="1" si="160"/>
        <v>0</v>
      </c>
      <c r="CK52" s="20">
        <f t="shared" ca="1" si="160"/>
        <v>1</v>
      </c>
      <c r="CL52" s="20">
        <f t="shared" ca="1" si="160"/>
        <v>0</v>
      </c>
      <c r="CM52" s="34"/>
      <c r="CN52" s="20">
        <f t="shared" ca="1" si="161"/>
        <v>38</v>
      </c>
      <c r="CO52" s="20">
        <f t="shared" ca="1" si="161"/>
        <v>41</v>
      </c>
      <c r="CP52" s="20">
        <f t="shared" ca="1" si="161"/>
        <v>44</v>
      </c>
      <c r="CQ52" s="20">
        <f t="shared" ca="1" si="161"/>
        <v>39</v>
      </c>
      <c r="CR52" s="20">
        <f t="shared" ca="1" si="161"/>
        <v>46</v>
      </c>
      <c r="CS52" s="20">
        <f t="shared" ca="1" si="161"/>
        <v>47</v>
      </c>
      <c r="CT52" s="20">
        <f t="shared" ca="1" si="161"/>
        <v>34</v>
      </c>
      <c r="CU52" s="20" t="str">
        <f t="shared" ca="1" si="161"/>
        <v/>
      </c>
      <c r="CV52" s="20">
        <f t="shared" ca="1" si="161"/>
        <v>40</v>
      </c>
      <c r="CW52" s="20">
        <f t="shared" ca="1" si="161"/>
        <v>40</v>
      </c>
      <c r="CX52" s="20">
        <f t="shared" ca="1" si="162"/>
        <v>40</v>
      </c>
      <c r="CY52" s="20" t="str">
        <f t="shared" ca="1" si="162"/>
        <v/>
      </c>
      <c r="CZ52" s="20">
        <f t="shared" ca="1" si="162"/>
        <v>42</v>
      </c>
      <c r="DA52" s="20">
        <f t="shared" ca="1" si="162"/>
        <v>41</v>
      </c>
      <c r="DB52" s="20" t="str">
        <f t="shared" ca="1" si="162"/>
        <v/>
      </c>
      <c r="DC52" s="20">
        <f t="shared" ca="1" si="162"/>
        <v>41</v>
      </c>
      <c r="DD52" s="20">
        <f t="shared" ca="1" si="162"/>
        <v>38</v>
      </c>
      <c r="DE52" s="20" t="str">
        <f t="shared" ca="1" si="162"/>
        <v/>
      </c>
      <c r="DF52" s="20" t="str">
        <f t="shared" ca="1" si="162"/>
        <v/>
      </c>
      <c r="DG52" s="34"/>
      <c r="DH52" s="20">
        <f t="shared" ca="1" si="163"/>
        <v>12</v>
      </c>
      <c r="DI52" s="20">
        <f t="shared" ca="1" si="163"/>
        <v>6</v>
      </c>
      <c r="DJ52" s="20">
        <f t="shared" ca="1" si="163"/>
        <v>4</v>
      </c>
      <c r="DK52" s="20">
        <f t="shared" ca="1" si="163"/>
        <v>11</v>
      </c>
      <c r="DL52" s="20">
        <f t="shared" ca="1" si="163"/>
        <v>5</v>
      </c>
      <c r="DM52" s="20">
        <f t="shared" ca="1" si="163"/>
        <v>4</v>
      </c>
      <c r="DN52" s="20">
        <f t="shared" ca="1" si="163"/>
        <v>15</v>
      </c>
      <c r="DO52" s="20" t="str">
        <f t="shared" ca="1" si="163"/>
        <v/>
      </c>
      <c r="DP52" s="20">
        <f t="shared" ca="1" si="163"/>
        <v>9</v>
      </c>
      <c r="DQ52" s="20">
        <f t="shared" ca="1" si="163"/>
        <v>6</v>
      </c>
      <c r="DR52" s="20">
        <f t="shared" ca="1" si="164"/>
        <v>7</v>
      </c>
      <c r="DS52" s="20" t="str">
        <f t="shared" ca="1" si="164"/>
        <v/>
      </c>
      <c r="DT52" s="20">
        <f t="shared" ca="1" si="164"/>
        <v>7</v>
      </c>
      <c r="DU52" s="20">
        <f t="shared" ca="1" si="164"/>
        <v>6</v>
      </c>
      <c r="DV52" s="20">
        <f t="shared" ca="1" si="164"/>
        <v>8</v>
      </c>
      <c r="DW52" s="20">
        <f t="shared" ca="1" si="164"/>
        <v>8</v>
      </c>
      <c r="DX52" s="20">
        <f t="shared" ca="1" si="164"/>
        <v>8</v>
      </c>
      <c r="DY52" s="20" t="str">
        <f t="shared" ca="1" si="164"/>
        <v/>
      </c>
      <c r="DZ52" s="20" t="str">
        <f t="shared" ca="1" si="164"/>
        <v/>
      </c>
      <c r="EA52" s="34"/>
      <c r="EB52" s="20" t="str">
        <f t="shared" ca="1" si="165"/>
        <v/>
      </c>
      <c r="EC52" s="20" t="str">
        <f t="shared" ca="1" si="165"/>
        <v/>
      </c>
      <c r="ED52" s="20" t="str">
        <f t="shared" ca="1" si="165"/>
        <v/>
      </c>
      <c r="EE52" s="20" t="str">
        <f t="shared" ca="1" si="165"/>
        <v/>
      </c>
      <c r="EF52" s="20" t="str">
        <f t="shared" ca="1" si="165"/>
        <v/>
      </c>
      <c r="EG52" s="20" t="str">
        <f t="shared" ca="1" si="165"/>
        <v/>
      </c>
      <c r="EH52" s="20" t="str">
        <f t="shared" ca="1" si="165"/>
        <v/>
      </c>
      <c r="EI52" s="20" t="str">
        <f t="shared" ca="1" si="165"/>
        <v/>
      </c>
      <c r="EJ52" s="20" t="str">
        <f t="shared" ca="1" si="165"/>
        <v/>
      </c>
      <c r="EK52" s="20" t="str">
        <f t="shared" ca="1" si="165"/>
        <v/>
      </c>
      <c r="EL52" s="20">
        <f t="shared" ca="1" si="166"/>
        <v>1</v>
      </c>
      <c r="EM52" s="20" t="str">
        <f t="shared" ca="1" si="166"/>
        <v/>
      </c>
      <c r="EN52" s="20" t="str">
        <f t="shared" ca="1" si="166"/>
        <v/>
      </c>
      <c r="EO52" s="20" t="str">
        <f t="shared" ca="1" si="166"/>
        <v/>
      </c>
      <c r="EP52" s="20" t="str">
        <f t="shared" ca="1" si="166"/>
        <v/>
      </c>
      <c r="EQ52" s="20" t="str">
        <f t="shared" ca="1" si="166"/>
        <v/>
      </c>
      <c r="ER52" s="20" t="str">
        <f t="shared" ca="1" si="166"/>
        <v/>
      </c>
      <c r="ES52" s="20" t="str">
        <f t="shared" ca="1" si="166"/>
        <v/>
      </c>
      <c r="ET52" s="20" t="str">
        <f t="shared" ca="1" si="166"/>
        <v/>
      </c>
      <c r="EU52" s="34"/>
      <c r="EV52" s="20" t="str">
        <f t="shared" ca="1" si="167"/>
        <v/>
      </c>
      <c r="EW52" s="20" t="str">
        <f t="shared" ca="1" si="167"/>
        <v/>
      </c>
      <c r="EX52" s="20" t="str">
        <f t="shared" ca="1" si="167"/>
        <v/>
      </c>
      <c r="EY52" s="20" t="str">
        <f t="shared" ca="1" si="167"/>
        <v/>
      </c>
      <c r="EZ52" s="20" t="str">
        <f t="shared" ca="1" si="167"/>
        <v/>
      </c>
      <c r="FA52" s="20" t="str">
        <f t="shared" ca="1" si="167"/>
        <v/>
      </c>
      <c r="FB52" s="20" t="str">
        <f t="shared" ca="1" si="167"/>
        <v/>
      </c>
      <c r="FC52" s="20" t="str">
        <f t="shared" ca="1" si="167"/>
        <v/>
      </c>
      <c r="FD52" s="20" t="str">
        <f t="shared" ca="1" si="167"/>
        <v/>
      </c>
      <c r="FE52" s="20" t="str">
        <f t="shared" ca="1" si="167"/>
        <v/>
      </c>
      <c r="FF52" s="20" t="str">
        <f t="shared" ca="1" si="168"/>
        <v/>
      </c>
      <c r="FG52" s="20" t="str">
        <f t="shared" ca="1" si="168"/>
        <v/>
      </c>
      <c r="FH52" s="20" t="str">
        <f t="shared" ca="1" si="168"/>
        <v/>
      </c>
      <c r="FI52" s="20" t="str">
        <f t="shared" ca="1" si="168"/>
        <v/>
      </c>
      <c r="FJ52" s="20" t="str">
        <f t="shared" ca="1" si="168"/>
        <v/>
      </c>
      <c r="FK52" s="20" t="str">
        <f t="shared" ca="1" si="168"/>
        <v/>
      </c>
      <c r="FL52" s="20" t="str">
        <f t="shared" ca="1" si="168"/>
        <v/>
      </c>
      <c r="FM52" s="20" t="str">
        <f t="shared" ca="1" si="168"/>
        <v/>
      </c>
      <c r="FN52" s="20" t="str">
        <f t="shared" ca="1" si="168"/>
        <v/>
      </c>
      <c r="FO52" s="34"/>
      <c r="FP52" s="20" t="str">
        <f t="shared" ca="1" si="169"/>
        <v>w</v>
      </c>
      <c r="FQ52" s="20" t="str">
        <f t="shared" ca="1" si="169"/>
        <v>l</v>
      </c>
      <c r="FR52" s="20" t="str">
        <f t="shared" ca="1" si="169"/>
        <v>l</v>
      </c>
      <c r="FS52" s="20" t="str">
        <f t="shared" ca="1" si="169"/>
        <v>w</v>
      </c>
      <c r="FT52" s="20" t="str">
        <f t="shared" ca="1" si="169"/>
        <v>l</v>
      </c>
      <c r="FU52" s="20" t="str">
        <f t="shared" ca="1" si="169"/>
        <v>l</v>
      </c>
      <c r="FV52" s="20" t="str">
        <f t="shared" ca="1" si="169"/>
        <v>w</v>
      </c>
      <c r="FW52" s="20" t="str">
        <f t="shared" ca="1" si="169"/>
        <v/>
      </c>
      <c r="FX52" s="20" t="str">
        <f t="shared" ca="1" si="169"/>
        <v>l</v>
      </c>
      <c r="FY52" s="20" t="str">
        <f t="shared" ca="1" si="169"/>
        <v>l</v>
      </c>
      <c r="FZ52" s="20" t="str">
        <f t="shared" ca="1" si="170"/>
        <v>l</v>
      </c>
      <c r="GA52" s="20" t="str">
        <f t="shared" ca="1" si="170"/>
        <v/>
      </c>
      <c r="GB52" s="20" t="str">
        <f t="shared" ca="1" si="170"/>
        <v>l</v>
      </c>
      <c r="GC52" s="20" t="str">
        <f t="shared" ca="1" si="170"/>
        <v>l</v>
      </c>
      <c r="GD52" s="20" t="str">
        <f t="shared" ca="1" si="170"/>
        <v>l</v>
      </c>
      <c r="GE52" s="20" t="str">
        <f t="shared" ca="1" si="170"/>
        <v>l</v>
      </c>
      <c r="GF52" s="20" t="str">
        <f t="shared" ca="1" si="170"/>
        <v>l</v>
      </c>
      <c r="GG52" s="20" t="str">
        <f t="shared" ca="1" si="170"/>
        <v/>
      </c>
      <c r="GH52" s="20" t="str">
        <f t="shared" ca="1" si="170"/>
        <v/>
      </c>
      <c r="GI52" s="34"/>
      <c r="HE52" s="34"/>
      <c r="HZ52" s="34"/>
      <c r="IA52" s="19" t="str">
        <f t="shared" ca="1" si="171"/>
        <v>No Hdcp</v>
      </c>
      <c r="IB52" s="19" t="str">
        <f ca="1">IF($D52&lt;&gt;"","Low of score &amp; "&amp;MIN($H52:$H52),"")</f>
        <v>Low of score &amp; 58</v>
      </c>
      <c r="IC52" s="19" t="str">
        <f ca="1">IF($D52&lt;&gt;"","Low of score &amp; "&amp;MIN($H52:$I52),"")</f>
        <v>Low of score &amp; 58</v>
      </c>
      <c r="ID52" s="18" t="str">
        <f ca="1">IF($D52&lt;&gt;"","Low of score &amp; "&amp;MIN($H52:$J52),"")</f>
        <v>Low of score &amp; 58</v>
      </c>
      <c r="IE52" s="18" t="str">
        <f ca="1">IF($D52&lt;&gt;"","Low of score &amp; "&amp;MIN($H52:$K52),"")</f>
        <v>Low of score &amp; 58</v>
      </c>
      <c r="IF52" s="18">
        <f ca="1">IF($D52&lt;&gt;"",ROUND(MIN((MIN($H52:$L52)-36)*0.96,20),2),"")</f>
        <v>20</v>
      </c>
      <c r="IG52" s="353">
        <f ca="1">IF($D52&lt;&gt;"",ROUND(MIN((AVERAGE(SMALL($H52:$M52,1),SMALL($H52:$M52,2))-36)*0.96,20),2),"")</f>
        <v>20</v>
      </c>
      <c r="IH52" s="18">
        <f ca="1">IF($D52&lt;&gt;"",ROUND(MIN((AVERAGE(SMALL($H52:$N52,1),SMALL($H52:$N52,2),SMALL($H52:$N52,3))-36)*0.96,20),2),"")</f>
        <v>20</v>
      </c>
      <c r="II52" s="18">
        <f ca="1">IF($D52&lt;&gt;"",ROUND(MIN((AVERAGE(SMALL($H52:$O52,1),SMALL($H52:$O52,2),SMALL($H52:$O52,3),SMALL($H52:$O52,4))-36)*0.96,20),2),"")</f>
        <v>20</v>
      </c>
      <c r="IJ52" s="18">
        <f ca="1">IF($D52&lt;&gt;"",ROUND(MIN((AVERAGE(SMALL($H52:$P52,1),SMALL($H52:$P52,2),SMALL($H52:$P52,3),SMALL($H52:$P52,4))-36)*0.96,20),2),"")</f>
        <v>20</v>
      </c>
      <c r="IK52" s="18">
        <f ca="1">IF($D52&lt;&gt;"",ROUND(MIN((AVERAGE(SMALL($H52:$Q52,1),SMALL($H52:$Q52,2),SMALL($H52:$Q52,3),SMALL($H52:$Q52,4),SMALL($H52:$Q52,5))-36)*0.96,20),2),"")</f>
        <v>20</v>
      </c>
      <c r="IL52" s="34"/>
      <c r="IN52" s="18">
        <f ca="1">AO52</f>
        <v>55</v>
      </c>
      <c r="IO52" s="18">
        <f ca="1">AN52</f>
        <v>59</v>
      </c>
      <c r="IP52" s="18">
        <f ca="1">AM52</f>
        <v>56</v>
      </c>
      <c r="IQ52" s="18">
        <f ca="1">AL52</f>
        <v>62</v>
      </c>
      <c r="IR52" s="18">
        <f ca="1">AK52</f>
        <v>60</v>
      </c>
      <c r="IS52" s="18">
        <f ca="1">AJ52</f>
        <v>48</v>
      </c>
      <c r="IT52" s="18">
        <f ca="1">AI52</f>
        <v>56</v>
      </c>
      <c r="IU52" s="18">
        <f ca="1">AH52</f>
        <v>55</v>
      </c>
      <c r="IV52" s="18">
        <f ca="1">AG52</f>
        <v>59</v>
      </c>
      <c r="IW52" s="18">
        <f ca="1">AF52</f>
        <v>55</v>
      </c>
      <c r="IX52" s="19">
        <f ca="1">IF(D52&lt;&gt;"",COUNT(IN52:IW52),"")</f>
        <v>10</v>
      </c>
      <c r="IY52" s="21">
        <f ca="1">IF(D52&lt;&gt;"",INDEX($JA52:$JK52,1,MATCH($IX52,$JA$6:$JK$6,0)), "")</f>
        <v>17.087999999999997</v>
      </c>
      <c r="JA52" s="18" t="str">
        <f ca="1">IF(D52&lt;&gt;"","No Hdcp","")</f>
        <v>No Hdcp</v>
      </c>
      <c r="JB52" s="18" t="str">
        <f ca="1">IF(D52&lt;&gt;"","Low of score &amp; "&amp;MIN($IN52:$IN52),"")</f>
        <v>Low of score &amp; 55</v>
      </c>
      <c r="JC52" s="18" t="str">
        <f ca="1">IF(D52&lt;&gt;"","Low of score &amp; "&amp;MIN($IN52:$IO52),"")</f>
        <v>Low of score &amp; 55</v>
      </c>
      <c r="JD52" s="18" t="str">
        <f ca="1">IF(D52&lt;&gt;"","Low of score &amp; "&amp;MIN($IN52:$IP52),"")</f>
        <v>Low of score &amp; 55</v>
      </c>
      <c r="JE52" s="18" t="str">
        <f ca="1">IF(D52&lt;&gt;"","Low of score &amp; "&amp;MIN($IN52:$IQ52),"")</f>
        <v>Low of score &amp; 55</v>
      </c>
      <c r="JF52" s="18">
        <f ca="1">IF(D52&lt;&gt;"",MIN((MIN($IN52:$IR52)-36)*0.96,20),"")</f>
        <v>18.239999999999998</v>
      </c>
      <c r="JG52" s="18">
        <f ca="1">IF(D52&lt;&gt;"",MIN((AVERAGE(SMALL($IN52:$IS52,1),SMALL($IN52:$IS52,2))-36)*0.96,20),"")</f>
        <v>14.879999999999999</v>
      </c>
      <c r="JH52" s="18">
        <f ca="1">IF(D52&lt;&gt;"",MIN((AVERAGE(SMALL($IN52:$IT52,1),SMALL($IN52:$IT52,2),SMALL($IN52:$IT52,3))-36)*0.96,20),"")</f>
        <v>16.32</v>
      </c>
      <c r="JI52" s="18">
        <f ca="1">IF(D52&lt;&gt;"",MIN((AVERAGE(SMALL($IN52:$IU52,1),SMALL($IN52:$IU52,2),SMALL($IN52:$IU52,3),SMALL($IN52:$IU52,4))-36)*0.96,20),"")</f>
        <v>16.8</v>
      </c>
      <c r="JJ52" s="18">
        <f ca="1">IF(D52&lt;&gt;"",MIN((AVERAGE(SMALL($IN52:$IV52,1),SMALL($IN52:$IV52,2),SMALL($IN52:$IV52,3),SMALL($IN52:$IV52,4))-36)*0.96,20),"")</f>
        <v>16.8</v>
      </c>
      <c r="JK52" s="18">
        <f ca="1">IF(D52&lt;&gt;"",MIN((AVERAGE(SMALL($IN52:$IW52,1),SMALL($IN52:$IW52,2),SMALL($IN52:$IW52,3),SMALL($IN52:$IW52,4),SMALL($IN52:$IW52,5))-36)*0.96,20),"")</f>
        <v>17.087999999999997</v>
      </c>
    </row>
    <row r="53" spans="1:271" x14ac:dyDescent="0.2">
      <c r="A53" s="18" t="s">
        <v>29</v>
      </c>
      <c r="B53" s="19">
        <f>B52+7</f>
        <v>26</v>
      </c>
      <c r="C53" s="22">
        <f t="shared" ca="1" si="150"/>
        <v>2.2000000000000001E-3</v>
      </c>
      <c r="D53" s="18" t="str">
        <f t="shared" ca="1" si="151"/>
        <v>Buckley, Chris - gold tees</v>
      </c>
      <c r="E53" s="19">
        <f t="shared" ca="1" si="152"/>
        <v>15</v>
      </c>
      <c r="F53" s="19">
        <f ca="1">IF(D53&lt;&gt;"",COUNT($H53:$Q53),"")</f>
        <v>10</v>
      </c>
      <c r="G53" s="21">
        <f ca="1">IF($D53&lt;&gt;"",INDEX($IA53:$IK53,1,MATCH($F53,$IA$6:$IK$6,0)), "")</f>
        <v>15.36</v>
      </c>
      <c r="H53" s="337" cm="1">
        <f t="array" aca="1" ref="H53" ca="1">IFERROR(_xlfn.SINGLE(INDEX($AF53:$BH53, , SUMPRODUCT(LARGE((($AF53:$BH53&lt;&gt;0)*($BJ53:$CL53&lt;&gt;1)*($AF$5:$BH$5)), H$6)))), "")</f>
        <v>55</v>
      </c>
      <c r="I53" s="338" cm="1">
        <f t="array" aca="1" ref="I53" ca="1">IFERROR(_xlfn.SINGLE(INDEX($AF53:$BH53, , SUMPRODUCT(LARGE((($AF53:$BH53&lt;&gt;0)*($BJ53:$CL53&lt;&gt;1)*($AF$5:$BH$5)), I$6)))), "")</f>
        <v>53</v>
      </c>
      <c r="J53" s="338" cm="1">
        <f t="array" aca="1" ref="J53" ca="1">IFERROR(_xlfn.SINGLE(INDEX($AF53:$BH53, , SUMPRODUCT(LARGE((($AF53:$BH53&lt;&gt;0)*($BJ53:$CL53&lt;&gt;1)*($AF$5:$BH$5)), J$6)))), "")</f>
        <v>50</v>
      </c>
      <c r="K53" s="338" cm="1">
        <f t="array" aca="1" ref="K53" ca="1">IFERROR(_xlfn.SINGLE(INDEX($AF53:$BH53, , SUMPRODUCT(LARGE((($AF53:$BH53&lt;&gt;0)*($BJ53:$CL53&lt;&gt;1)*($AF$5:$BH$5)), K$6)))), "")</f>
        <v>55</v>
      </c>
      <c r="L53" s="338" cm="1">
        <f t="array" aca="1" ref="L53" ca="1">IFERROR(_xlfn.SINGLE(INDEX($AF53:$BH53, , SUMPRODUCT(LARGE((($AF53:$BH53&lt;&gt;0)*($BJ53:$CL53&lt;&gt;1)*($AF$5:$BH$5)), L$6)))), "")</f>
        <v>60</v>
      </c>
      <c r="M53" s="338" cm="1">
        <f t="array" aca="1" ref="M53" ca="1">IFERROR(_xlfn.SINGLE(INDEX($AF53:$BH53, , SUMPRODUCT(LARGE((($AF53:$BH53&lt;&gt;0)*($BJ53:$CL53&lt;&gt;1)*($AF$5:$BH$5)), M$6)))), "")</f>
        <v>49</v>
      </c>
      <c r="N53" s="338" cm="1">
        <f t="array" aca="1" ref="N53" ca="1">IFERROR(_xlfn.SINGLE(INDEX($AF53:$BH53, , SUMPRODUCT(LARGE((($AF53:$BH53&lt;&gt;0)*($BJ53:$CL53&lt;&gt;1)*($AF$5:$BH$5)), N$6)))), "")</f>
        <v>55</v>
      </c>
      <c r="O53" s="338" cm="1">
        <f t="array" aca="1" ref="O53" ca="1">IFERROR(_xlfn.SINGLE(INDEX($AF53:$BH53, , SUMPRODUCT(LARGE((($AF53:$BH53&lt;&gt;0)*($BJ53:$CL53&lt;&gt;1)*($AF$5:$BH$5)), O$6)))), "")</f>
        <v>57</v>
      </c>
      <c r="P53" s="338" cm="1">
        <f t="array" aca="1" ref="P53" ca="1">IFERROR(_xlfn.SINGLE(INDEX($AF53:$BH53, , SUMPRODUCT(LARGE((($AF53:$BH53&lt;&gt;0)*($BJ53:$CL53&lt;&gt;1)*($AF$5:$BH$5)), P$6)))), "")</f>
        <v>53</v>
      </c>
      <c r="Q53" s="339" cm="1">
        <f t="array" aca="1" ref="Q53" ca="1">IFERROR(_xlfn.SINGLE(INDEX($AF53:$BH53, , SUMPRODUCT(LARGE((($AF53:$BH53&lt;&gt;0)*($BJ53:$CL53&lt;&gt;1)*($AF$5:$BH$5)), Q$6)))), "")</f>
        <v>64</v>
      </c>
      <c r="R53" s="21">
        <v>52.133333333333333</v>
      </c>
      <c r="S53" s="47">
        <f t="shared" ca="1" si="153"/>
        <v>52</v>
      </c>
      <c r="T53" s="21">
        <f ca="1">IF($D53&lt;&gt;"", IFERROR(IF($E53&gt;=qualifier, SUMIF($BT53:$CL53,0,$AP53:$BH53)/$E53, TEXT(SUMIF($BT53:$CL53,0,$AP53:$BH53)/$E53, "0.00")&amp;"*"), "-"), "")</f>
        <v>56.2</v>
      </c>
      <c r="U53" s="21">
        <f ca="1">IF($D53&lt;&gt;"", IFERROR(IF($E53&gt;=qualifier, SUMIF($BT53:$CL53,0,$CN53:$DF53)/$E53, TEXT(SUMIF($BT53:$CL53,0,$CN53:$DF53)/$E53, "0.00")&amp;"*"), "-"), "")</f>
        <v>41.06666666666667</v>
      </c>
      <c r="V53" s="46">
        <f ca="1">IF(AND($D53&lt;&gt;"", $E53&lt;&gt;0), _xlfn.MINIFS($AP53:$BH53,$BT53:$CL53,0,$AP53:$BH53,"&lt;&gt;0"), "")</f>
        <v>49</v>
      </c>
      <c r="W53" s="19">
        <f ca="1">IF(AND($D53&lt;&gt;"", $E53&lt;&gt;0), _xlfn.MINIFS($CN53:$DF53,$BT53:$CL53,0), "")</f>
        <v>31</v>
      </c>
      <c r="X53" s="46">
        <f ca="1">IF($D53&lt;&gt;"", SUM($DH53:$DZ53),  "")</f>
        <v>136</v>
      </c>
      <c r="Y53" s="21">
        <f ca="1">IF($D53&lt;&gt;"", IFERROR(IF($E53&gt;=qualifier, AVERAGE($DH53:$DZ53), TEXT(AVERAGE($DH53:$DZ53), "0.00")&amp;"*"), "-"), "")</f>
        <v>9.0666666666666664</v>
      </c>
      <c r="Z53" s="19">
        <f ca="1">IF($D53&lt;&gt;"", SUM($EB53:$ET53),  "")</f>
        <v>1</v>
      </c>
      <c r="AA53" s="19">
        <f ca="1">IF($D53&lt;&gt;"", SUM($EV53:$FN53),  "")</f>
        <v>0</v>
      </c>
      <c r="AB53" s="46" t="str">
        <f t="shared" ca="1" si="154"/>
        <v>6-8-1</v>
      </c>
      <c r="AC53" s="218">
        <f t="shared" ca="1" si="155"/>
        <v>3304547007</v>
      </c>
      <c r="AD53" s="57" t="str">
        <f t="shared" ca="1" si="156"/>
        <v>bucklc100455@yahoo.com</v>
      </c>
      <c r="AE53" s="34"/>
      <c r="AF53" s="341">
        <f ca="1">INDEX(PriorScores[],MATCH($D53,PriorScores[Team / Player],0),2)</f>
        <v>52</v>
      </c>
      <c r="AG53" s="341">
        <f ca="1">INDEX(PriorScores[],MATCH($D53,PriorScores[Team / Player],0),3)</f>
        <v>53</v>
      </c>
      <c r="AH53" s="341">
        <f ca="1">INDEX(PriorScores[],MATCH($D53,PriorScores[Team / Player],0),4)</f>
        <v>54</v>
      </c>
      <c r="AI53" s="341">
        <f ca="1">INDEX(PriorScores[],MATCH($D53,PriorScores[Team / Player],0),5)</f>
        <v>54</v>
      </c>
      <c r="AJ53" s="341">
        <f ca="1">INDEX(PriorScores[],MATCH($D53,PriorScores[Team / Player],0),6)</f>
        <v>46</v>
      </c>
      <c r="AK53" s="341">
        <f ca="1">INDEX(PriorScores[],MATCH($D53,PriorScores[Team / Player],0),7)</f>
        <v>51</v>
      </c>
      <c r="AL53" s="341">
        <f ca="1">INDEX(PriorScores[],MATCH($D53,PriorScores[Team / Player],0),8)</f>
        <v>52</v>
      </c>
      <c r="AM53" s="341">
        <f ca="1">INDEX(PriorScores[],MATCH($D53,PriorScores[Team / Player],0),9)</f>
        <v>50</v>
      </c>
      <c r="AN53" s="341">
        <f ca="1">INDEX(PriorScores[],MATCH($D53,PriorScores[Team / Player],0),10)</f>
        <v>47</v>
      </c>
      <c r="AO53" s="341">
        <f ca="1">INDEX(PriorScores[],MATCH($D53,PriorScores[Team / Player],0),11)</f>
        <v>56</v>
      </c>
      <c r="AP53" s="20">
        <f t="shared" ca="1" si="157"/>
        <v>61</v>
      </c>
      <c r="AQ53" s="20">
        <f t="shared" ca="1" si="157"/>
        <v>62</v>
      </c>
      <c r="AR53" s="20">
        <f t="shared" ca="1" si="157"/>
        <v>55</v>
      </c>
      <c r="AS53" s="20">
        <f t="shared" ca="1" si="157"/>
        <v>56</v>
      </c>
      <c r="AT53" s="20">
        <f t="shared" ca="1" si="157"/>
        <v>58</v>
      </c>
      <c r="AU53" s="20">
        <f t="shared" ca="1" si="157"/>
        <v>64</v>
      </c>
      <c r="AV53" s="20">
        <f t="shared" ca="1" si="157"/>
        <v>53</v>
      </c>
      <c r="AW53" s="20">
        <f t="shared" ca="1" si="157"/>
        <v>0</v>
      </c>
      <c r="AX53" s="20">
        <f t="shared" ca="1" si="157"/>
        <v>57</v>
      </c>
      <c r="AY53" s="20">
        <f t="shared" ca="1" si="157"/>
        <v>55</v>
      </c>
      <c r="AZ53" s="20">
        <f t="shared" ca="1" si="158"/>
        <v>49</v>
      </c>
      <c r="BA53" s="20">
        <f t="shared" ca="1" si="158"/>
        <v>0</v>
      </c>
      <c r="BB53" s="20">
        <f t="shared" ca="1" si="158"/>
        <v>60</v>
      </c>
      <c r="BC53" s="20">
        <f t="shared" ca="1" si="158"/>
        <v>55</v>
      </c>
      <c r="BD53" s="20">
        <f t="shared" ca="1" si="158"/>
        <v>50</v>
      </c>
      <c r="BE53" s="20">
        <f t="shared" ca="1" si="158"/>
        <v>53</v>
      </c>
      <c r="BF53" s="20">
        <f t="shared" ca="1" si="158"/>
        <v>55</v>
      </c>
      <c r="BG53" s="20">
        <f t="shared" ca="1" si="158"/>
        <v>0</v>
      </c>
      <c r="BH53" s="20">
        <f t="shared" ca="1" si="158"/>
        <v>0</v>
      </c>
      <c r="BI53" s="34"/>
      <c r="BJ53" s="341">
        <v>0</v>
      </c>
      <c r="BK53" s="341">
        <v>0</v>
      </c>
      <c r="BL53" s="341">
        <v>0</v>
      </c>
      <c r="BM53" s="341">
        <v>0</v>
      </c>
      <c r="BN53" s="341">
        <v>0</v>
      </c>
      <c r="BO53" s="341">
        <v>0</v>
      </c>
      <c r="BP53" s="341">
        <v>0</v>
      </c>
      <c r="BQ53" s="341">
        <v>0</v>
      </c>
      <c r="BR53" s="341">
        <v>0</v>
      </c>
      <c r="BS53" s="341">
        <v>0</v>
      </c>
      <c r="BT53" s="20">
        <f t="shared" ca="1" si="159"/>
        <v>0</v>
      </c>
      <c r="BU53" s="20">
        <f t="shared" ca="1" si="159"/>
        <v>0</v>
      </c>
      <c r="BV53" s="20">
        <f t="shared" ca="1" si="159"/>
        <v>0</v>
      </c>
      <c r="BW53" s="20">
        <f t="shared" ca="1" si="159"/>
        <v>0</v>
      </c>
      <c r="BX53" s="20">
        <f t="shared" ca="1" si="159"/>
        <v>0</v>
      </c>
      <c r="BY53" s="20">
        <f t="shared" ca="1" si="159"/>
        <v>0</v>
      </c>
      <c r="BZ53" s="20">
        <f t="shared" ca="1" si="159"/>
        <v>0</v>
      </c>
      <c r="CA53" s="20">
        <f t="shared" ca="1" si="159"/>
        <v>0</v>
      </c>
      <c r="CB53" s="20">
        <f t="shared" ca="1" si="159"/>
        <v>0</v>
      </c>
      <c r="CC53" s="20">
        <f t="shared" ca="1" si="159"/>
        <v>0</v>
      </c>
      <c r="CD53" s="20">
        <f t="shared" ca="1" si="160"/>
        <v>0</v>
      </c>
      <c r="CE53" s="20">
        <f t="shared" ca="1" si="160"/>
        <v>0</v>
      </c>
      <c r="CF53" s="20">
        <f t="shared" ca="1" si="160"/>
        <v>0</v>
      </c>
      <c r="CG53" s="20">
        <f t="shared" ca="1" si="160"/>
        <v>0</v>
      </c>
      <c r="CH53" s="20">
        <f t="shared" ca="1" si="160"/>
        <v>0</v>
      </c>
      <c r="CI53" s="20">
        <f t="shared" ca="1" si="160"/>
        <v>0</v>
      </c>
      <c r="CJ53" s="20">
        <f t="shared" ca="1" si="160"/>
        <v>0</v>
      </c>
      <c r="CK53" s="20">
        <f t="shared" ca="1" si="160"/>
        <v>1</v>
      </c>
      <c r="CL53" s="20">
        <f t="shared" ca="1" si="160"/>
        <v>0</v>
      </c>
      <c r="CM53" s="34"/>
      <c r="CN53" s="20">
        <f t="shared" ca="1" si="161"/>
        <v>48</v>
      </c>
      <c r="CO53" s="20">
        <f t="shared" ca="1" si="161"/>
        <v>49</v>
      </c>
      <c r="CP53" s="20">
        <f t="shared" ca="1" si="161"/>
        <v>42</v>
      </c>
      <c r="CQ53" s="20">
        <f t="shared" ca="1" si="161"/>
        <v>43</v>
      </c>
      <c r="CR53" s="20">
        <f t="shared" ca="1" si="161"/>
        <v>45</v>
      </c>
      <c r="CS53" s="20">
        <f t="shared" ca="1" si="161"/>
        <v>50</v>
      </c>
      <c r="CT53" s="20">
        <f t="shared" ca="1" si="161"/>
        <v>38</v>
      </c>
      <c r="CU53" s="20" t="str">
        <f t="shared" ca="1" si="161"/>
        <v/>
      </c>
      <c r="CV53" s="20">
        <f t="shared" ca="1" si="161"/>
        <v>41</v>
      </c>
      <c r="CW53" s="20">
        <f t="shared" ca="1" si="161"/>
        <v>38</v>
      </c>
      <c r="CX53" s="20">
        <f t="shared" ca="1" si="162"/>
        <v>31</v>
      </c>
      <c r="CY53" s="20" t="str">
        <f t="shared" ca="1" si="162"/>
        <v/>
      </c>
      <c r="CZ53" s="20">
        <f t="shared" ca="1" si="162"/>
        <v>43</v>
      </c>
      <c r="DA53" s="20">
        <f t="shared" ca="1" si="162"/>
        <v>38</v>
      </c>
      <c r="DB53" s="20">
        <f t="shared" ca="1" si="162"/>
        <v>33</v>
      </c>
      <c r="DC53" s="20">
        <f t="shared" ca="1" si="162"/>
        <v>37</v>
      </c>
      <c r="DD53" s="20">
        <f t="shared" ca="1" si="162"/>
        <v>40</v>
      </c>
      <c r="DE53" s="20" t="str">
        <f t="shared" ca="1" si="162"/>
        <v/>
      </c>
      <c r="DF53" s="20" t="str">
        <f t="shared" ca="1" si="162"/>
        <v/>
      </c>
      <c r="DG53" s="34"/>
      <c r="DH53" s="20">
        <f t="shared" ca="1" si="163"/>
        <v>12</v>
      </c>
      <c r="DI53" s="20">
        <f t="shared" ca="1" si="163"/>
        <v>6</v>
      </c>
      <c r="DJ53" s="20">
        <f t="shared" ca="1" si="163"/>
        <v>7</v>
      </c>
      <c r="DK53" s="20">
        <f t="shared" ca="1" si="163"/>
        <v>10</v>
      </c>
      <c r="DL53" s="20">
        <f t="shared" ca="1" si="163"/>
        <v>5</v>
      </c>
      <c r="DM53" s="20">
        <f t="shared" ca="1" si="163"/>
        <v>3</v>
      </c>
      <c r="DN53" s="20">
        <f t="shared" ca="1" si="163"/>
        <v>12</v>
      </c>
      <c r="DO53" s="20" t="str">
        <f t="shared" ca="1" si="163"/>
        <v/>
      </c>
      <c r="DP53" s="20">
        <f t="shared" ca="1" si="163"/>
        <v>7</v>
      </c>
      <c r="DQ53" s="20">
        <f t="shared" ca="1" si="163"/>
        <v>11</v>
      </c>
      <c r="DR53" s="20">
        <f t="shared" ca="1" si="164"/>
        <v>13</v>
      </c>
      <c r="DS53" s="20" t="str">
        <f t="shared" ca="1" si="164"/>
        <v/>
      </c>
      <c r="DT53" s="20">
        <f t="shared" ca="1" si="164"/>
        <v>7</v>
      </c>
      <c r="DU53" s="20">
        <f t="shared" ca="1" si="164"/>
        <v>8</v>
      </c>
      <c r="DV53" s="20">
        <f t="shared" ca="1" si="164"/>
        <v>15</v>
      </c>
      <c r="DW53" s="20">
        <f t="shared" ca="1" si="164"/>
        <v>9</v>
      </c>
      <c r="DX53" s="20">
        <f t="shared" ca="1" si="164"/>
        <v>11</v>
      </c>
      <c r="DY53" s="20" t="str">
        <f t="shared" ca="1" si="164"/>
        <v/>
      </c>
      <c r="DZ53" s="20" t="str">
        <f t="shared" ca="1" si="164"/>
        <v/>
      </c>
      <c r="EA53" s="34"/>
      <c r="EB53" s="20" t="str">
        <f t="shared" ca="1" si="165"/>
        <v/>
      </c>
      <c r="EC53" s="20" t="str">
        <f t="shared" ca="1" si="165"/>
        <v/>
      </c>
      <c r="ED53" s="20" t="str">
        <f t="shared" ca="1" si="165"/>
        <v/>
      </c>
      <c r="EE53" s="20" t="str">
        <f t="shared" ca="1" si="165"/>
        <v/>
      </c>
      <c r="EF53" s="20" t="str">
        <f t="shared" ca="1" si="165"/>
        <v/>
      </c>
      <c r="EG53" s="20" t="str">
        <f t="shared" ca="1" si="165"/>
        <v/>
      </c>
      <c r="EH53" s="20" t="str">
        <f t="shared" ca="1" si="165"/>
        <v/>
      </c>
      <c r="EI53" s="20" t="str">
        <f t="shared" ca="1" si="165"/>
        <v/>
      </c>
      <c r="EJ53" s="20" t="str">
        <f t="shared" ca="1" si="165"/>
        <v/>
      </c>
      <c r="EK53" s="20" t="str">
        <f t="shared" ca="1" si="165"/>
        <v/>
      </c>
      <c r="EL53" s="20" t="str">
        <f t="shared" ca="1" si="166"/>
        <v/>
      </c>
      <c r="EM53" s="20" t="str">
        <f t="shared" ca="1" si="166"/>
        <v/>
      </c>
      <c r="EN53" s="20" t="str">
        <f t="shared" ca="1" si="166"/>
        <v/>
      </c>
      <c r="EO53" s="20" t="str">
        <f t="shared" ca="1" si="166"/>
        <v/>
      </c>
      <c r="EP53" s="20" t="str">
        <f t="shared" ca="1" si="166"/>
        <v/>
      </c>
      <c r="EQ53" s="20">
        <f t="shared" ca="1" si="166"/>
        <v>1</v>
      </c>
      <c r="ER53" s="20" t="str">
        <f t="shared" ca="1" si="166"/>
        <v/>
      </c>
      <c r="ES53" s="20" t="str">
        <f t="shared" ca="1" si="166"/>
        <v/>
      </c>
      <c r="ET53" s="20" t="str">
        <f t="shared" ca="1" si="166"/>
        <v/>
      </c>
      <c r="EU53" s="34"/>
      <c r="EV53" s="20" t="str">
        <f t="shared" ca="1" si="167"/>
        <v/>
      </c>
      <c r="EW53" s="20" t="str">
        <f t="shared" ca="1" si="167"/>
        <v/>
      </c>
      <c r="EX53" s="20" t="str">
        <f t="shared" ca="1" si="167"/>
        <v/>
      </c>
      <c r="EY53" s="20" t="str">
        <f t="shared" ca="1" si="167"/>
        <v/>
      </c>
      <c r="EZ53" s="20" t="str">
        <f t="shared" ca="1" si="167"/>
        <v/>
      </c>
      <c r="FA53" s="20" t="str">
        <f t="shared" ca="1" si="167"/>
        <v/>
      </c>
      <c r="FB53" s="20" t="str">
        <f t="shared" ca="1" si="167"/>
        <v/>
      </c>
      <c r="FC53" s="20" t="str">
        <f t="shared" ca="1" si="167"/>
        <v/>
      </c>
      <c r="FD53" s="20" t="str">
        <f t="shared" ca="1" si="167"/>
        <v/>
      </c>
      <c r="FE53" s="20" t="str">
        <f t="shared" ca="1" si="167"/>
        <v/>
      </c>
      <c r="FF53" s="20" t="str">
        <f t="shared" ca="1" si="168"/>
        <v/>
      </c>
      <c r="FG53" s="20" t="str">
        <f t="shared" ca="1" si="168"/>
        <v/>
      </c>
      <c r="FH53" s="20" t="str">
        <f t="shared" ca="1" si="168"/>
        <v/>
      </c>
      <c r="FI53" s="20" t="str">
        <f t="shared" ca="1" si="168"/>
        <v/>
      </c>
      <c r="FJ53" s="20" t="str">
        <f t="shared" ca="1" si="168"/>
        <v/>
      </c>
      <c r="FK53" s="20" t="str">
        <f t="shared" ca="1" si="168"/>
        <v/>
      </c>
      <c r="FL53" s="20" t="str">
        <f t="shared" ca="1" si="168"/>
        <v/>
      </c>
      <c r="FM53" s="20" t="str">
        <f t="shared" ca="1" si="168"/>
        <v/>
      </c>
      <c r="FN53" s="20" t="str">
        <f t="shared" ca="1" si="168"/>
        <v/>
      </c>
      <c r="FO53" s="34"/>
      <c r="FP53" s="20" t="str">
        <f t="shared" ca="1" si="169"/>
        <v>w</v>
      </c>
      <c r="FQ53" s="20" t="str">
        <f t="shared" ca="1" si="169"/>
        <v>l</v>
      </c>
      <c r="FR53" s="20" t="str">
        <f t="shared" ca="1" si="169"/>
        <v>l</v>
      </c>
      <c r="FS53" s="20" t="str">
        <f t="shared" ca="1" si="169"/>
        <v>t</v>
      </c>
      <c r="FT53" s="20" t="str">
        <f t="shared" ca="1" si="169"/>
        <v>l</v>
      </c>
      <c r="FU53" s="20" t="str">
        <f t="shared" ca="1" si="169"/>
        <v>l</v>
      </c>
      <c r="FV53" s="20" t="str">
        <f t="shared" ca="1" si="169"/>
        <v>w</v>
      </c>
      <c r="FW53" s="20" t="str">
        <f t="shared" ca="1" si="169"/>
        <v/>
      </c>
      <c r="FX53" s="20" t="str">
        <f t="shared" ca="1" si="169"/>
        <v>l</v>
      </c>
      <c r="FY53" s="20" t="str">
        <f t="shared" ca="1" si="169"/>
        <v>w</v>
      </c>
      <c r="FZ53" s="20" t="str">
        <f t="shared" ca="1" si="170"/>
        <v>w</v>
      </c>
      <c r="GA53" s="20" t="str">
        <f t="shared" ca="1" si="170"/>
        <v/>
      </c>
      <c r="GB53" s="20" t="str">
        <f t="shared" ca="1" si="170"/>
        <v>l</v>
      </c>
      <c r="GC53" s="20" t="str">
        <f t="shared" ca="1" si="170"/>
        <v>l</v>
      </c>
      <c r="GD53" s="20" t="str">
        <f t="shared" ca="1" si="170"/>
        <v>w</v>
      </c>
      <c r="GE53" s="20" t="str">
        <f t="shared" ca="1" si="170"/>
        <v>l</v>
      </c>
      <c r="GF53" s="20" t="str">
        <f t="shared" ca="1" si="170"/>
        <v>w</v>
      </c>
      <c r="GG53" s="20" t="str">
        <f t="shared" ca="1" si="170"/>
        <v/>
      </c>
      <c r="GH53" s="20" t="str">
        <f t="shared" ca="1" si="170"/>
        <v/>
      </c>
      <c r="GI53" s="34"/>
      <c r="HE53" s="34"/>
      <c r="HZ53" s="34"/>
      <c r="IA53" s="19" t="str">
        <f t="shared" ca="1" si="171"/>
        <v>No Hdcp</v>
      </c>
      <c r="IB53" s="19" t="str">
        <f ca="1">IF($D53&lt;&gt;"","Low of score &amp; "&amp;MIN($H53:$H53),"")</f>
        <v>Low of score &amp; 55</v>
      </c>
      <c r="IC53" s="19" t="str">
        <f ca="1">IF($D53&lt;&gt;"","Low of score &amp; "&amp;MIN($H53:$I53),"")</f>
        <v>Low of score &amp; 53</v>
      </c>
      <c r="ID53" s="18" t="str">
        <f ca="1">IF($D53&lt;&gt;"","Low of score &amp; "&amp;MIN($H53:$J53),"")</f>
        <v>Low of score &amp; 50</v>
      </c>
      <c r="IE53" s="18" t="str">
        <f ca="1">IF($D53&lt;&gt;"","Low of score &amp; "&amp;MIN($H53:$K53),"")</f>
        <v>Low of score &amp; 50</v>
      </c>
      <c r="IF53" s="18">
        <f ca="1">IF($D53&lt;&gt;"",ROUND(MIN((MIN($H53:$L53)-36)*0.96,20),2),"")</f>
        <v>13.44</v>
      </c>
      <c r="IG53" s="353">
        <f ca="1">IF($D53&lt;&gt;"",ROUND(MIN((AVERAGE(SMALL($H53:$M53,1),SMALL($H53:$M53,2))-36)*0.96,20),2),"")</f>
        <v>12.96</v>
      </c>
      <c r="IH53" s="18">
        <f ca="1">IF($D53&lt;&gt;"",ROUND(MIN((AVERAGE(SMALL($H53:$N53,1),SMALL($H53:$N53,2),SMALL($H53:$N53,3))-36)*0.96,20),2),"")</f>
        <v>14.08</v>
      </c>
      <c r="II53" s="18">
        <f ca="1">IF($D53&lt;&gt;"",ROUND(MIN((AVERAGE(SMALL($H53:$O53,1),SMALL($H53:$O53,2),SMALL($H53:$O53,3),SMALL($H53:$O53,4))-36)*0.96,20),2),"")</f>
        <v>15.12</v>
      </c>
      <c r="IJ53" s="18">
        <f ca="1">IF($D53&lt;&gt;"",ROUND(MIN((AVERAGE(SMALL($H53:$P53,1),SMALL($H53:$P53,2),SMALL($H53:$P53,3),SMALL($H53:$P53,4))-36)*0.96,20),2),"")</f>
        <v>14.64</v>
      </c>
      <c r="IK53" s="18">
        <f ca="1">IF($D53&lt;&gt;"",ROUND(MIN((AVERAGE(SMALL($H53:$Q53,1),SMALL($H53:$Q53,2),SMALL($H53:$Q53,3),SMALL($H53:$Q53,4),SMALL($H53:$Q53,5))-36)*0.96,20),2),"")</f>
        <v>15.36</v>
      </c>
      <c r="IL53" s="34"/>
      <c r="IN53" s="18">
        <f ca="1">AO53</f>
        <v>56</v>
      </c>
      <c r="IO53" s="18">
        <f ca="1">AN53</f>
        <v>47</v>
      </c>
      <c r="IP53" s="18">
        <f ca="1">AM53</f>
        <v>50</v>
      </c>
      <c r="IQ53" s="18">
        <f ca="1">AL53</f>
        <v>52</v>
      </c>
      <c r="IR53" s="18">
        <f ca="1">AK53</f>
        <v>51</v>
      </c>
      <c r="IS53" s="18">
        <f ca="1">AJ53</f>
        <v>46</v>
      </c>
      <c r="IT53" s="18">
        <f ca="1">AI53</f>
        <v>54</v>
      </c>
      <c r="IU53" s="18">
        <f ca="1">AH53</f>
        <v>54</v>
      </c>
      <c r="IV53" s="18">
        <f ca="1">AG53</f>
        <v>53</v>
      </c>
      <c r="IW53" s="18">
        <f ca="1">AF53</f>
        <v>52</v>
      </c>
      <c r="IX53" s="19">
        <f ca="1">IF(D53&lt;&gt;"",COUNT(IN53:IW53),"")</f>
        <v>10</v>
      </c>
      <c r="IY53" s="21">
        <f ca="1">IF(D53&lt;&gt;"",INDEX($JA53:$JK53,1,MATCH($IX53,$JA$6:$JK$6,0)), "")</f>
        <v>12.672000000000002</v>
      </c>
      <c r="JA53" s="18" t="str">
        <f ca="1">IF(D53&lt;&gt;"","No Hdcp","")</f>
        <v>No Hdcp</v>
      </c>
      <c r="JB53" s="18" t="str">
        <f ca="1">IF(D53&lt;&gt;"","Low of score &amp; "&amp;MIN($IN53:$IN53),"")</f>
        <v>Low of score &amp; 56</v>
      </c>
      <c r="JC53" s="18" t="str">
        <f ca="1">IF(D53&lt;&gt;"","Low of score &amp; "&amp;MIN($IN53:$IO53),"")</f>
        <v>Low of score &amp; 47</v>
      </c>
      <c r="JD53" s="18" t="str">
        <f ca="1">IF(D53&lt;&gt;"","Low of score &amp; "&amp;MIN($IN53:$IP53),"")</f>
        <v>Low of score &amp; 47</v>
      </c>
      <c r="JE53" s="18" t="str">
        <f ca="1">IF(D53&lt;&gt;"","Low of score &amp; "&amp;MIN($IN53:$IQ53),"")</f>
        <v>Low of score &amp; 47</v>
      </c>
      <c r="JF53" s="18">
        <f ca="1">IF(D53&lt;&gt;"",MIN((MIN($IN53:$IR53)-36)*0.96,20),"")</f>
        <v>10.559999999999999</v>
      </c>
      <c r="JG53" s="18">
        <f ca="1">IF(D53&lt;&gt;"",MIN((AVERAGE(SMALL($IN53:$IS53,1),SMALL($IN53:$IS53,2))-36)*0.96,20),"")</f>
        <v>10.08</v>
      </c>
      <c r="JH53" s="18">
        <f ca="1">IF(D53&lt;&gt;"",MIN((AVERAGE(SMALL($IN53:$IT53,1),SMALL($IN53:$IT53,2),SMALL($IN53:$IT53,3))-36)*0.96,20),"")</f>
        <v>11.199999999999998</v>
      </c>
      <c r="JI53" s="18">
        <f ca="1">IF(D53&lt;&gt;"",MIN((AVERAGE(SMALL($IN53:$IU53,1),SMALL($IN53:$IU53,2),SMALL($IN53:$IU53,3),SMALL($IN53:$IU53,4))-36)*0.96,20),"")</f>
        <v>12</v>
      </c>
      <c r="JJ53" s="18">
        <f ca="1">IF(D53&lt;&gt;"",MIN((AVERAGE(SMALL($IN53:$IV53,1),SMALL($IN53:$IV53,2),SMALL($IN53:$IV53,3),SMALL($IN53:$IV53,4))-36)*0.96,20),"")</f>
        <v>12</v>
      </c>
      <c r="JK53" s="18">
        <f ca="1">IF(D53&lt;&gt;"",MIN((AVERAGE(SMALL($IN53:$IW53,1),SMALL($IN53:$IW53,2),SMALL($IN53:$IW53,3),SMALL($IN53:$IW53,4),SMALL($IN53:$IW53,5))-36)*0.96,20),"")</f>
        <v>12.672000000000002</v>
      </c>
    </row>
    <row r="54" spans="1:271" x14ac:dyDescent="0.2">
      <c r="A54" s="18" t="s">
        <v>29</v>
      </c>
      <c r="B54" s="19">
        <f>B53+7</f>
        <v>33</v>
      </c>
      <c r="C54" s="22">
        <f t="shared" si="150"/>
        <v>0</v>
      </c>
      <c r="E54" s="19" t="str">
        <f t="shared" si="152"/>
        <v/>
      </c>
      <c r="F54" s="19" t="str">
        <f>IF(D54&lt;&gt;"",COUNT($H54:$Q54),"")</f>
        <v/>
      </c>
      <c r="G54" s="21" t="str">
        <f>IF($D54&lt;&gt;"",INDEX($IA54:$IK54,1,MATCH($F54,$IA$6:$IK$6,0)), "")</f>
        <v/>
      </c>
      <c r="H54" s="337" t="str" cm="1">
        <f t="array" aca="1" ref="H54" ca="1">IFERROR(_xlfn.SINGLE(INDEX($AF54:$BH54, , SUMPRODUCT(LARGE((($AF54:$BH54&lt;&gt;0)*($BJ54:$CL54&lt;&gt;1)*($AF$5:$BH$5)), H$6)))), "")</f>
        <v/>
      </c>
      <c r="I54" s="338" t="str" cm="1">
        <f t="array" aca="1" ref="I54" ca="1">IFERROR(_xlfn.SINGLE(INDEX($AF54:$BH54, , SUMPRODUCT(LARGE((($AF54:$BH54&lt;&gt;0)*($BJ54:$CL54&lt;&gt;1)*($AF$5:$BH$5)), I$6)))), "")</f>
        <v/>
      </c>
      <c r="J54" s="338" t="str" cm="1">
        <f t="array" aca="1" ref="J54" ca="1">IFERROR(_xlfn.SINGLE(INDEX($AF54:$BH54, , SUMPRODUCT(LARGE((($AF54:$BH54&lt;&gt;0)*($BJ54:$CL54&lt;&gt;1)*($AF$5:$BH$5)), J$6)))), "")</f>
        <v/>
      </c>
      <c r="K54" s="338" t="str" cm="1">
        <f t="array" aca="1" ref="K54" ca="1">IFERROR(_xlfn.SINGLE(INDEX($AF54:$BH54, , SUMPRODUCT(LARGE((($AF54:$BH54&lt;&gt;0)*($BJ54:$CL54&lt;&gt;1)*($AF$5:$BH$5)), K$6)))), "")</f>
        <v/>
      </c>
      <c r="L54" s="338" t="str" cm="1">
        <f t="array" aca="1" ref="L54" ca="1">IFERROR(_xlfn.SINGLE(INDEX($AF54:$BH54, , SUMPRODUCT(LARGE((($AF54:$BH54&lt;&gt;0)*($BJ54:$CL54&lt;&gt;1)*($AF$5:$BH$5)), L$6)))), "")</f>
        <v/>
      </c>
      <c r="M54" s="338" t="str" cm="1">
        <f t="array" aca="1" ref="M54" ca="1">IFERROR(_xlfn.SINGLE(INDEX($AF54:$BH54, , SUMPRODUCT(LARGE((($AF54:$BH54&lt;&gt;0)*($BJ54:$CL54&lt;&gt;1)*($AF$5:$BH$5)), M$6)))), "")</f>
        <v/>
      </c>
      <c r="N54" s="338" t="str" cm="1">
        <f t="array" aca="1" ref="N54" ca="1">IFERROR(_xlfn.SINGLE(INDEX($AF54:$BH54, , SUMPRODUCT(LARGE((($AF54:$BH54&lt;&gt;0)*($BJ54:$CL54&lt;&gt;1)*($AF$5:$BH$5)), N$6)))), "")</f>
        <v/>
      </c>
      <c r="O54" s="338" t="str" cm="1">
        <f t="array" aca="1" ref="O54" ca="1">IFERROR(_xlfn.SINGLE(INDEX($AF54:$BH54, , SUMPRODUCT(LARGE((($AF54:$BH54&lt;&gt;0)*($BJ54:$CL54&lt;&gt;1)*($AF$5:$BH$5)), O$6)))), "")</f>
        <v/>
      </c>
      <c r="P54" s="338" t="str" cm="1">
        <f t="array" aca="1" ref="P54" ca="1">IFERROR(_xlfn.SINGLE(INDEX($AF54:$BH54, , SUMPRODUCT(LARGE((($AF54:$BH54&lt;&gt;0)*($BJ54:$CL54&lt;&gt;1)*($AF$5:$BH$5)), P$6)))), "")</f>
        <v/>
      </c>
      <c r="Q54" s="339" t="str" cm="1">
        <f t="array" aca="1" ref="Q54" ca="1">IFERROR(_xlfn.SINGLE(INDEX($AF54:$BH54, , SUMPRODUCT(LARGE((($AF54:$BH54&lt;&gt;0)*($BJ54:$CL54&lt;&gt;1)*($AF$5:$BH$5)), Q$6)))), "")</f>
        <v/>
      </c>
      <c r="R54" s="21" t="str">
        <f ca="1">IF($D54&lt;&gt;"", INDEX(INDIRECT($A54), $B54+1, 21), "")</f>
        <v/>
      </c>
      <c r="S54" s="47" t="str">
        <f t="shared" ca="1" si="153"/>
        <v>-</v>
      </c>
      <c r="T54" s="21"/>
      <c r="U54" s="21"/>
      <c r="V54" s="46"/>
      <c r="X54" s="46"/>
      <c r="Y54" s="21"/>
      <c r="AB54" s="46" t="str">
        <f t="shared" si="154"/>
        <v/>
      </c>
      <c r="AC54" s="218" t="str">
        <f t="shared" ca="1" si="155"/>
        <v/>
      </c>
      <c r="AD54" s="57" t="str">
        <f t="shared" ca="1" si="156"/>
        <v/>
      </c>
      <c r="AE54" s="34"/>
      <c r="AF54" s="341">
        <f>INDEX(PriorScores[],MATCH($D54,PriorScores[Team / Player],0),2)</f>
        <v>0</v>
      </c>
      <c r="AG54" s="341">
        <f>INDEX(PriorScores[],MATCH($D54,PriorScores[Team / Player],0),3)</f>
        <v>0</v>
      </c>
      <c r="AH54" s="341">
        <f>INDEX(PriorScores[],MATCH($D54,PriorScores[Team / Player],0),4)</f>
        <v>0</v>
      </c>
      <c r="AI54" s="341">
        <f>INDEX(PriorScores[],MATCH($D54,PriorScores[Team / Player],0),5)</f>
        <v>0</v>
      </c>
      <c r="AJ54" s="341">
        <f>INDEX(PriorScores[],MATCH($D54,PriorScores[Team / Player],0),6)</f>
        <v>0</v>
      </c>
      <c r="AK54" s="341">
        <f>INDEX(PriorScores[],MATCH($D54,PriorScores[Team / Player],0),7)</f>
        <v>0</v>
      </c>
      <c r="AL54" s="341">
        <f>INDEX(PriorScores[],MATCH($D54,PriorScores[Team / Player],0),8)</f>
        <v>0</v>
      </c>
      <c r="AM54" s="341">
        <f>INDEX(PriorScores[],MATCH($D54,PriorScores[Team / Player],0),9)</f>
        <v>0</v>
      </c>
      <c r="AN54" s="341">
        <f>INDEX(PriorScores[],MATCH($D54,PriorScores[Team / Player],0),10)</f>
        <v>0</v>
      </c>
      <c r="AO54" s="341">
        <f>INDEX(PriorScores[],MATCH($D54,PriorScores[Team / Player],0),11)</f>
        <v>0</v>
      </c>
      <c r="AP54" s="20">
        <f t="shared" ca="1" si="157"/>
        <v>0</v>
      </c>
      <c r="AQ54" s="20">
        <f t="shared" ca="1" si="157"/>
        <v>0</v>
      </c>
      <c r="AR54" s="20">
        <f t="shared" ca="1" si="157"/>
        <v>0</v>
      </c>
      <c r="AS54" s="20">
        <f t="shared" ca="1" si="157"/>
        <v>0</v>
      </c>
      <c r="AT54" s="20">
        <f t="shared" ca="1" si="157"/>
        <v>0</v>
      </c>
      <c r="AU54" s="20">
        <f t="shared" ca="1" si="157"/>
        <v>0</v>
      </c>
      <c r="AV54" s="20">
        <f t="shared" ca="1" si="157"/>
        <v>0</v>
      </c>
      <c r="AW54" s="20">
        <f t="shared" ca="1" si="157"/>
        <v>0</v>
      </c>
      <c r="AX54" s="20">
        <f t="shared" ca="1" si="157"/>
        <v>0</v>
      </c>
      <c r="AY54" s="20">
        <f t="shared" ca="1" si="157"/>
        <v>0</v>
      </c>
      <c r="AZ54" s="20">
        <f t="shared" ca="1" si="158"/>
        <v>0</v>
      </c>
      <c r="BA54" s="20">
        <f t="shared" ca="1" si="158"/>
        <v>0</v>
      </c>
      <c r="BB54" s="20">
        <f t="shared" ca="1" si="158"/>
        <v>0</v>
      </c>
      <c r="BC54" s="20">
        <f t="shared" ca="1" si="158"/>
        <v>0</v>
      </c>
      <c r="BD54" s="20">
        <f t="shared" ca="1" si="158"/>
        <v>0</v>
      </c>
      <c r="BE54" s="20">
        <f t="shared" ca="1" si="158"/>
        <v>0</v>
      </c>
      <c r="BF54" s="20">
        <f t="shared" ca="1" si="158"/>
        <v>0</v>
      </c>
      <c r="BG54" s="20">
        <f t="shared" ca="1" si="158"/>
        <v>0</v>
      </c>
      <c r="BH54" s="20">
        <f t="shared" ca="1" si="158"/>
        <v>0</v>
      </c>
      <c r="BI54" s="34"/>
      <c r="BJ54" s="341">
        <v>0</v>
      </c>
      <c r="BK54" s="341">
        <v>0</v>
      </c>
      <c r="BL54" s="341">
        <v>0</v>
      </c>
      <c r="BM54" s="341">
        <v>0</v>
      </c>
      <c r="BN54" s="341">
        <v>0</v>
      </c>
      <c r="BO54" s="341">
        <v>0</v>
      </c>
      <c r="BP54" s="341">
        <v>0</v>
      </c>
      <c r="BQ54" s="341">
        <v>0</v>
      </c>
      <c r="BR54" s="341">
        <v>0</v>
      </c>
      <c r="BS54" s="341">
        <v>0</v>
      </c>
      <c r="BT54" s="20">
        <f t="shared" ca="1" si="159"/>
        <v>0</v>
      </c>
      <c r="BU54" s="20">
        <f t="shared" ca="1" si="159"/>
        <v>0</v>
      </c>
      <c r="BV54" s="20">
        <f t="shared" ca="1" si="159"/>
        <v>0</v>
      </c>
      <c r="BW54" s="20">
        <f t="shared" ca="1" si="159"/>
        <v>0</v>
      </c>
      <c r="BX54" s="20">
        <f t="shared" ca="1" si="159"/>
        <v>0</v>
      </c>
      <c r="BY54" s="20">
        <f t="shared" ca="1" si="159"/>
        <v>0</v>
      </c>
      <c r="BZ54" s="20">
        <f t="shared" ca="1" si="159"/>
        <v>0</v>
      </c>
      <c r="CA54" s="20">
        <f t="shared" ca="1" si="159"/>
        <v>0</v>
      </c>
      <c r="CB54" s="20">
        <f t="shared" ca="1" si="159"/>
        <v>0</v>
      </c>
      <c r="CC54" s="20">
        <f t="shared" ca="1" si="159"/>
        <v>0</v>
      </c>
      <c r="CD54" s="20">
        <f t="shared" ca="1" si="160"/>
        <v>0</v>
      </c>
      <c r="CE54" s="20">
        <f t="shared" ca="1" si="160"/>
        <v>0</v>
      </c>
      <c r="CF54" s="20">
        <f t="shared" ca="1" si="160"/>
        <v>0</v>
      </c>
      <c r="CG54" s="20">
        <f t="shared" ca="1" si="160"/>
        <v>0</v>
      </c>
      <c r="CH54" s="20">
        <f t="shared" ca="1" si="160"/>
        <v>0</v>
      </c>
      <c r="CI54" s="20">
        <f t="shared" ca="1" si="160"/>
        <v>0</v>
      </c>
      <c r="CJ54" s="20">
        <f t="shared" ca="1" si="160"/>
        <v>0</v>
      </c>
      <c r="CK54" s="20">
        <f t="shared" ca="1" si="160"/>
        <v>0</v>
      </c>
      <c r="CL54" s="20">
        <f t="shared" ca="1" si="160"/>
        <v>0</v>
      </c>
      <c r="CM54" s="34"/>
      <c r="CN54" s="20" t="str">
        <f t="shared" ca="1" si="161"/>
        <v/>
      </c>
      <c r="CO54" s="20" t="str">
        <f t="shared" ca="1" si="161"/>
        <v/>
      </c>
      <c r="CP54" s="20" t="str">
        <f t="shared" ca="1" si="161"/>
        <v/>
      </c>
      <c r="CQ54" s="20" t="str">
        <f t="shared" ca="1" si="161"/>
        <v/>
      </c>
      <c r="CR54" s="20" t="str">
        <f t="shared" ca="1" si="161"/>
        <v/>
      </c>
      <c r="CS54" s="20" t="str">
        <f t="shared" ca="1" si="161"/>
        <v/>
      </c>
      <c r="CT54" s="20" t="str">
        <f t="shared" ca="1" si="161"/>
        <v/>
      </c>
      <c r="CU54" s="20" t="str">
        <f t="shared" ca="1" si="161"/>
        <v/>
      </c>
      <c r="CV54" s="20" t="str">
        <f t="shared" ca="1" si="161"/>
        <v/>
      </c>
      <c r="CW54" s="20" t="str">
        <f t="shared" ca="1" si="161"/>
        <v/>
      </c>
      <c r="CX54" s="20" t="str">
        <f t="shared" ca="1" si="162"/>
        <v/>
      </c>
      <c r="CY54" s="20" t="str">
        <f t="shared" ca="1" si="162"/>
        <v/>
      </c>
      <c r="CZ54" s="20" t="str">
        <f t="shared" ca="1" si="162"/>
        <v/>
      </c>
      <c r="DA54" s="20" t="str">
        <f t="shared" ca="1" si="162"/>
        <v/>
      </c>
      <c r="DB54" s="20" t="str">
        <f t="shared" ca="1" si="162"/>
        <v/>
      </c>
      <c r="DC54" s="20" t="str">
        <f t="shared" ca="1" si="162"/>
        <v/>
      </c>
      <c r="DD54" s="20" t="str">
        <f t="shared" ca="1" si="162"/>
        <v/>
      </c>
      <c r="DE54" s="20" t="str">
        <f t="shared" ca="1" si="162"/>
        <v/>
      </c>
      <c r="DF54" s="20" t="str">
        <f t="shared" ca="1" si="162"/>
        <v/>
      </c>
      <c r="DG54" s="34"/>
      <c r="DH54" s="20" t="str">
        <f t="shared" ca="1" si="163"/>
        <v/>
      </c>
      <c r="DI54" s="20" t="str">
        <f t="shared" ca="1" si="163"/>
        <v/>
      </c>
      <c r="DJ54" s="20" t="str">
        <f t="shared" ca="1" si="163"/>
        <v/>
      </c>
      <c r="DK54" s="20" t="str">
        <f t="shared" ca="1" si="163"/>
        <v/>
      </c>
      <c r="DL54" s="20" t="str">
        <f t="shared" ca="1" si="163"/>
        <v/>
      </c>
      <c r="DM54" s="20" t="str">
        <f t="shared" ca="1" si="163"/>
        <v/>
      </c>
      <c r="DN54" s="20" t="str">
        <f t="shared" ca="1" si="163"/>
        <v/>
      </c>
      <c r="DO54" s="20" t="str">
        <f t="shared" ca="1" si="163"/>
        <v/>
      </c>
      <c r="DP54" s="20" t="str">
        <f t="shared" ca="1" si="163"/>
        <v/>
      </c>
      <c r="DQ54" s="20" t="str">
        <f t="shared" ca="1" si="163"/>
        <v/>
      </c>
      <c r="DR54" s="20" t="str">
        <f t="shared" ca="1" si="164"/>
        <v/>
      </c>
      <c r="DS54" s="20" t="str">
        <f t="shared" ca="1" si="164"/>
        <v/>
      </c>
      <c r="DT54" s="20" t="str">
        <f t="shared" ca="1" si="164"/>
        <v/>
      </c>
      <c r="DU54" s="20" t="str">
        <f t="shared" ca="1" si="164"/>
        <v/>
      </c>
      <c r="DV54" s="20" t="str">
        <f t="shared" ca="1" si="164"/>
        <v/>
      </c>
      <c r="DW54" s="20" t="str">
        <f t="shared" ca="1" si="164"/>
        <v/>
      </c>
      <c r="DX54" s="20" t="str">
        <f t="shared" ca="1" si="164"/>
        <v/>
      </c>
      <c r="DY54" s="20" t="str">
        <f t="shared" ca="1" si="164"/>
        <v/>
      </c>
      <c r="DZ54" s="20" t="str">
        <f t="shared" ca="1" si="164"/>
        <v/>
      </c>
      <c r="EA54" s="34"/>
      <c r="EB54" s="20" t="str">
        <f t="shared" ca="1" si="165"/>
        <v/>
      </c>
      <c r="EC54" s="20" t="str">
        <f t="shared" ca="1" si="165"/>
        <v/>
      </c>
      <c r="ED54" s="20" t="str">
        <f t="shared" ca="1" si="165"/>
        <v/>
      </c>
      <c r="EE54" s="20" t="str">
        <f t="shared" ca="1" si="165"/>
        <v/>
      </c>
      <c r="EF54" s="20" t="str">
        <f t="shared" ca="1" si="165"/>
        <v/>
      </c>
      <c r="EG54" s="20" t="str">
        <f t="shared" ca="1" si="165"/>
        <v/>
      </c>
      <c r="EH54" s="20" t="str">
        <f t="shared" ca="1" si="165"/>
        <v/>
      </c>
      <c r="EI54" s="20" t="str">
        <f t="shared" ca="1" si="165"/>
        <v/>
      </c>
      <c r="EJ54" s="20" t="str">
        <f t="shared" ca="1" si="165"/>
        <v/>
      </c>
      <c r="EK54" s="20" t="str">
        <f t="shared" ca="1" si="165"/>
        <v/>
      </c>
      <c r="EL54" s="20" t="str">
        <f t="shared" ca="1" si="166"/>
        <v/>
      </c>
      <c r="EM54" s="20" t="str">
        <f t="shared" ca="1" si="166"/>
        <v/>
      </c>
      <c r="EN54" s="20" t="str">
        <f t="shared" ca="1" si="166"/>
        <v/>
      </c>
      <c r="EO54" s="20" t="str">
        <f t="shared" ca="1" si="166"/>
        <v/>
      </c>
      <c r="EP54" s="20" t="str">
        <f t="shared" ca="1" si="166"/>
        <v/>
      </c>
      <c r="EQ54" s="20" t="str">
        <f t="shared" ca="1" si="166"/>
        <v/>
      </c>
      <c r="ER54" s="20" t="str">
        <f t="shared" ca="1" si="166"/>
        <v/>
      </c>
      <c r="ES54" s="20" t="str">
        <f t="shared" ca="1" si="166"/>
        <v/>
      </c>
      <c r="ET54" s="20" t="str">
        <f t="shared" ca="1" si="166"/>
        <v/>
      </c>
      <c r="EU54" s="34"/>
      <c r="EV54" s="20" t="str">
        <f t="shared" ca="1" si="167"/>
        <v/>
      </c>
      <c r="EW54" s="20" t="str">
        <f t="shared" ca="1" si="167"/>
        <v/>
      </c>
      <c r="EX54" s="20" t="str">
        <f t="shared" ca="1" si="167"/>
        <v/>
      </c>
      <c r="EY54" s="20" t="str">
        <f t="shared" ca="1" si="167"/>
        <v/>
      </c>
      <c r="EZ54" s="20" t="str">
        <f t="shared" ca="1" si="167"/>
        <v/>
      </c>
      <c r="FA54" s="20" t="str">
        <f t="shared" ca="1" si="167"/>
        <v/>
      </c>
      <c r="FB54" s="20" t="str">
        <f t="shared" ca="1" si="167"/>
        <v/>
      </c>
      <c r="FC54" s="20" t="str">
        <f t="shared" ca="1" si="167"/>
        <v/>
      </c>
      <c r="FD54" s="20" t="str">
        <f t="shared" ca="1" si="167"/>
        <v/>
      </c>
      <c r="FE54" s="20" t="str">
        <f t="shared" ca="1" si="167"/>
        <v/>
      </c>
      <c r="FF54" s="20" t="str">
        <f t="shared" ca="1" si="168"/>
        <v/>
      </c>
      <c r="FG54" s="20" t="str">
        <f t="shared" ca="1" si="168"/>
        <v/>
      </c>
      <c r="FH54" s="20" t="str">
        <f t="shared" ca="1" si="168"/>
        <v/>
      </c>
      <c r="FI54" s="20" t="str">
        <f t="shared" ca="1" si="168"/>
        <v/>
      </c>
      <c r="FJ54" s="20" t="str">
        <f t="shared" ca="1" si="168"/>
        <v/>
      </c>
      <c r="FK54" s="20" t="str">
        <f t="shared" ca="1" si="168"/>
        <v/>
      </c>
      <c r="FL54" s="20" t="str">
        <f t="shared" ca="1" si="168"/>
        <v/>
      </c>
      <c r="FM54" s="20" t="str">
        <f t="shared" ca="1" si="168"/>
        <v/>
      </c>
      <c r="FN54" s="20" t="str">
        <f t="shared" ca="1" si="168"/>
        <v/>
      </c>
      <c r="FO54" s="34"/>
      <c r="FP54" s="20" t="str">
        <f t="shared" ca="1" si="169"/>
        <v/>
      </c>
      <c r="FQ54" s="20" t="str">
        <f t="shared" ca="1" si="169"/>
        <v/>
      </c>
      <c r="FR54" s="20" t="str">
        <f t="shared" ca="1" si="169"/>
        <v/>
      </c>
      <c r="FS54" s="20" t="str">
        <f t="shared" ca="1" si="169"/>
        <v/>
      </c>
      <c r="FT54" s="20" t="str">
        <f t="shared" ca="1" si="169"/>
        <v/>
      </c>
      <c r="FU54" s="20" t="str">
        <f t="shared" ca="1" si="169"/>
        <v/>
      </c>
      <c r="FV54" s="20" t="str">
        <f t="shared" ca="1" si="169"/>
        <v/>
      </c>
      <c r="FW54" s="20" t="str">
        <f t="shared" ca="1" si="169"/>
        <v/>
      </c>
      <c r="FX54" s="20" t="str">
        <f t="shared" ca="1" si="169"/>
        <v/>
      </c>
      <c r="FY54" s="20" t="str">
        <f t="shared" ca="1" si="169"/>
        <v/>
      </c>
      <c r="FZ54" s="20" t="str">
        <f t="shared" ca="1" si="170"/>
        <v/>
      </c>
      <c r="GA54" s="20" t="str">
        <f t="shared" ca="1" si="170"/>
        <v/>
      </c>
      <c r="GB54" s="20" t="str">
        <f t="shared" ca="1" si="170"/>
        <v/>
      </c>
      <c r="GC54" s="20" t="str">
        <f t="shared" ca="1" si="170"/>
        <v/>
      </c>
      <c r="GD54" s="20" t="str">
        <f t="shared" ca="1" si="170"/>
        <v/>
      </c>
      <c r="GE54" s="20" t="str">
        <f t="shared" ca="1" si="170"/>
        <v/>
      </c>
      <c r="GF54" s="20" t="str">
        <f t="shared" ca="1" si="170"/>
        <v/>
      </c>
      <c r="GG54" s="20" t="str">
        <f t="shared" ca="1" si="170"/>
        <v/>
      </c>
      <c r="GH54" s="20" t="str">
        <f t="shared" ca="1" si="170"/>
        <v/>
      </c>
      <c r="GI54" s="34"/>
      <c r="HE54" s="34"/>
      <c r="HZ54" s="34"/>
      <c r="IA54" s="19" t="str">
        <f t="shared" si="171"/>
        <v/>
      </c>
      <c r="IB54" s="19" t="str">
        <f>IF(D54&lt;&gt;"","1@"&amp;$H54,"")</f>
        <v/>
      </c>
      <c r="IC54" s="19" t="str">
        <f>IF(D54&lt;&gt;"","2@"&amp;$I54&amp;","&amp;$H54,"")</f>
        <v/>
      </c>
      <c r="ID54" s="19" t="str">
        <f>IF(D54&lt;&gt;"","3@"&amp;$J54&amp;","&amp;$I54&amp;","&amp;$H54,"")</f>
        <v/>
      </c>
      <c r="IE54" s="19" t="str">
        <f>IF(D54&lt;&gt;"","4@"&amp;$K54&amp;","&amp;$J54&amp;","&amp;$I54&amp;","&amp;$H54,"")</f>
        <v/>
      </c>
      <c r="IF54" s="19"/>
      <c r="IG54" s="19"/>
      <c r="IH54" s="19"/>
      <c r="II54" s="19"/>
      <c r="IJ54" s="19"/>
      <c r="IK54" s="263" t="str">
        <f>IF(D54&lt;&gt;"",MIN(ROUND((AVERAGE($H54:$Q54)-$C$4)*0.9,2),20),"")</f>
        <v/>
      </c>
      <c r="IL54" s="34"/>
      <c r="IN54" s="18" t="str" cm="1">
        <f t="array" aca="1" ref="IN54" ca="1">IFERROR(_xlfn.SINGLE(INDEX($AP54:$BH54, , SUMPRODUCT(LARGE((($AP54:$BH54&lt;&gt;0)*($BT54:$CL54&lt;&gt;1)*(weeks)), IN$6)))), "")</f>
        <v/>
      </c>
      <c r="IO54" s="18" t="str" cm="1">
        <f t="array" aca="1" ref="IO54" ca="1">IFERROR(_xlfn.SINGLE(INDEX($AP54:$BH54, , SUMPRODUCT(LARGE((($AP54:$BH54&lt;&gt;0)*($BT54:$CL54&lt;&gt;1)*(weeks)), IO$6)))), "")</f>
        <v/>
      </c>
      <c r="IP54" s="18" t="str" cm="1">
        <f t="array" aca="1" ref="IP54" ca="1">IFERROR(_xlfn.SINGLE(INDEX($AP54:$BH54, , SUMPRODUCT(LARGE((($AP54:$BH54&lt;&gt;0)*($BT54:$CL54&lt;&gt;1)*(weeks)), IP$6)))), "")</f>
        <v/>
      </c>
      <c r="IQ54" s="18" t="str" cm="1">
        <f t="array" aca="1" ref="IQ54" ca="1">IFERROR(_xlfn.SINGLE(INDEX($AP54:$BH54, , SUMPRODUCT(LARGE((($AP54:$BH54&lt;&gt;0)*($BT54:$CL54&lt;&gt;1)*(weeks)), IQ$6)))), "")</f>
        <v/>
      </c>
      <c r="IR54" s="18" t="str" cm="1">
        <f t="array" aca="1" ref="IR54" ca="1">IFERROR(_xlfn.SINGLE(INDEX($AP54:$BH54, , SUMPRODUCT(LARGE((($AP54:$BH54&lt;&gt;0)*($BT54:$CL54&lt;&gt;1)*(weeks)), IR$6)))), "")</f>
        <v/>
      </c>
      <c r="IS54" s="18" t="str" cm="1">
        <f t="array" aca="1" ref="IS54" ca="1">IFERROR(_xlfn.SINGLE(INDEX($AP54:$BH54, , SUMPRODUCT(LARGE((($AP54:$BH54&lt;&gt;0)*($BT54:$CL54&lt;&gt;1)*(weeks)), IS$6)))), "")</f>
        <v/>
      </c>
      <c r="IT54" s="18" t="str" cm="1">
        <f t="array" aca="1" ref="IT54" ca="1">IFERROR(_xlfn.SINGLE(INDEX($AP54:$BH54, , SUMPRODUCT(LARGE((($AP54:$BH54&lt;&gt;0)*($BT54:$CL54&lt;&gt;1)*(weeks)), IT$6)))), "")</f>
        <v/>
      </c>
      <c r="IU54" s="18" t="str" cm="1">
        <f t="array" aca="1" ref="IU54" ca="1">IFERROR(_xlfn.SINGLE(INDEX($AP54:$BH54, , SUMPRODUCT(LARGE((($AP54:$BH54&lt;&gt;0)*($BT54:$CL54&lt;&gt;1)*(weeks)), IU$6)))), "")</f>
        <v/>
      </c>
      <c r="IV54" s="18" t="str" cm="1">
        <f t="array" aca="1" ref="IV54" ca="1">IFERROR(_xlfn.SINGLE(INDEX($AP54:$BH54, , SUMPRODUCT(LARGE((($AP54:$BH54&lt;&gt;0)*($BT54:$CL54&lt;&gt;1)*(weeks)), IV$6)))), "")</f>
        <v/>
      </c>
      <c r="IW54" s="18" t="str" cm="1">
        <f t="array" aca="1" ref="IW54" ca="1">IFERROR(_xlfn.SINGLE(INDEX($AP54:$BH54, , SUMPRODUCT(LARGE((($AP54:$BH54&lt;&gt;0)*($BT54:$CL54&lt;&gt;1)*(weeks)), IW$6)))), "")</f>
        <v/>
      </c>
      <c r="IX54" s="19" t="str">
        <f>IF(D54&lt;&gt;"",COUNT(IN54:IW54),"")</f>
        <v/>
      </c>
      <c r="IY54" s="21" t="str">
        <f>IF(D54&lt;&gt;"",INDEX($JA54:$JK54,1,MATCH($IX54,$JA$6:$JK$6,0)), "")</f>
        <v/>
      </c>
      <c r="JA54" s="18" t="str">
        <f>IF(D54&lt;&gt;"","No Hdcp","")</f>
        <v/>
      </c>
      <c r="JB54" s="18" t="str">
        <f>IF(D54&lt;&gt;"","Low of "&amp;MIN($IN54:$IN54),"")</f>
        <v/>
      </c>
      <c r="JC54" s="18" t="str">
        <f>IF(D54&lt;&gt;"","Low of "&amp;MIN($IN54:$IO54),"")</f>
        <v/>
      </c>
      <c r="JD54" s="18" t="str">
        <f>IF(D54&lt;&gt;"","Low of "&amp;MIN($IN54:$IP54),"")</f>
        <v/>
      </c>
      <c r="JE54" s="18" t="str">
        <f>IF(D54&lt;&gt;"","Low of "&amp;MIN($IN54:$IQ54),"")</f>
        <v/>
      </c>
      <c r="JF54" s="18" t="str">
        <f>IF(D54&lt;&gt;"",MIN((MIN($IN54:$IR54)-36)*0.96,20),"")</f>
        <v/>
      </c>
      <c r="JG54" s="18" t="str">
        <f>IF(D54&lt;&gt;"",MIN((AVERAGE(SMALL($IN54:$IS54,1),SMALL($IN54:$IS54,2))-36)*0.96,20),"")</f>
        <v/>
      </c>
      <c r="JH54" s="18" t="str">
        <f>IF(D54&lt;&gt;"",MIN((AVERAGE(SMALL($IN54:$IT54,1),SMALL($IN54:$IT54,2),SMALL($IN54:$IT54,3))-36)*0.96,20),"")</f>
        <v/>
      </c>
      <c r="JI54" s="18" t="str">
        <f>IF(D54&lt;&gt;"",MIN((AVERAGE(SMALL($IN54:$IU54,1),SMALL($IN54:$IU54,2),SMALL($IN54:$IU54,3),SMALL($IN54:$IU54,4))-36)*0.96,20),"")</f>
        <v/>
      </c>
      <c r="JJ54" s="18" t="str">
        <f>IF(D54&lt;&gt;"",MIN((AVERAGE(SMALL($IN54:$IV54,1),SMALL($IN54:$IV54,2),SMALL($IN54:$IV54,3),SMALL($IN54:$IV54,4))-36)*0.96,20),"")</f>
        <v/>
      </c>
      <c r="JK54" s="18" t="str">
        <f>IF(D54&lt;&gt;"",MIN((AVERAGE(SMALL($IN54:$IW54,1),SMALL($IN54:$IW54,2),SMALL($IN54:$IW54,3),SMALL($IN54:$IW54,4),SMALL($IN54:$IW54,5))-36)*0.96,20),"")</f>
        <v/>
      </c>
    </row>
    <row r="55" spans="1:271" x14ac:dyDescent="0.2">
      <c r="A55" s="18" t="s">
        <v>29</v>
      </c>
      <c r="B55" s="19">
        <f>B54+7</f>
        <v>40</v>
      </c>
      <c r="C55" s="22">
        <f t="shared" ca="1" si="150"/>
        <v>1.2999999999999999E-3</v>
      </c>
      <c r="D55" s="18" t="str">
        <f t="shared" ca="1" si="151"/>
        <v>Blind Draw Hack Squad</v>
      </c>
      <c r="E55" s="19">
        <f t="shared" ca="1" si="152"/>
        <v>3</v>
      </c>
      <c r="F55" s="19">
        <f ca="1">IF($D55&lt;&gt;"", COUNT($AP55:$BH55)-COUNTIF($AP55:$BH55,0), "")</f>
        <v>3</v>
      </c>
      <c r="G55" s="21">
        <v>0</v>
      </c>
      <c r="H55" s="46" cm="1">
        <f t="array" aca="1" ref="H55" ca="1">IFERROR(_xlfn.SINGLE(INDEX($AP55:$BH55, , SUMPRODUCT(LARGE((($AP55:$BH55&lt;&gt;0)*($BT55:$CL55&lt;&gt;1)*(weeks)), H$6)))), "")</f>
        <v>40</v>
      </c>
      <c r="I55" s="19" cm="1">
        <f t="array" aca="1" ref="I55" ca="1">IFERROR(_xlfn.SINGLE(INDEX($AP55:$BH55, , SUMPRODUCT(LARGE((($AP55:$BH55&lt;&gt;0)*($BT55:$CL55&lt;&gt;1)*(weeks)), I$6)))), "")</f>
        <v>40</v>
      </c>
      <c r="J55" s="19" cm="1">
        <f t="array" aca="1" ref="J55" ca="1">IFERROR(_xlfn.SINGLE(INDEX($AP55:$BH55, , SUMPRODUCT(LARGE((($AP55:$BH55&lt;&gt;0)*($BT55:$CL55&lt;&gt;1)*(weeks)), J$6)))), "")</f>
        <v>40</v>
      </c>
      <c r="K55" s="19" t="str" cm="1">
        <f t="array" aca="1" ref="K55" ca="1">IFERROR(_xlfn.SINGLE(INDEX($AP55:$BH55, , SUMPRODUCT(LARGE((($AP55:$BH55&lt;&gt;0)*($BT55:$CL55&lt;&gt;1)*(weeks)), K$6)))), "")</f>
        <v/>
      </c>
      <c r="Q55" s="86" t="str" cm="1">
        <f t="array" aca="1" ref="Q55" ca="1">IFERROR(_xlfn.SINGLE(INDEX($AP55:$BH55, , SUMPRODUCT(LARGE((($AP55:$BH55&lt;&gt;0)*($BT55:$CL55&lt;&gt;1)*(weeks)), Q$6)))), "")</f>
        <v/>
      </c>
      <c r="R55" s="21" t="str">
        <f ca="1">IF($D55&lt;&gt;"", INDEX(INDIRECT($A55), $B55+1, 21), "")</f>
        <v/>
      </c>
      <c r="S55" s="47" t="str">
        <f t="shared" ca="1" si="153"/>
        <v>-</v>
      </c>
      <c r="T55" s="59"/>
      <c r="U55" s="59"/>
      <c r="V55" s="46"/>
      <c r="X55" s="46"/>
      <c r="Y55" s="21"/>
      <c r="AB55" s="46" t="str">
        <f t="shared" ca="1" si="154"/>
        <v>1-2-0</v>
      </c>
      <c r="AC55" s="218">
        <f t="shared" ca="1" si="155"/>
        <v>0</v>
      </c>
      <c r="AD55" s="57">
        <f t="shared" ca="1" si="156"/>
        <v>0</v>
      </c>
      <c r="AE55" s="34"/>
      <c r="AF55" s="341">
        <f ca="1">INDEX(PriorScores[],MATCH($D55,PriorScores[Team / Player],0),2)</f>
        <v>0</v>
      </c>
      <c r="AG55" s="341">
        <f ca="1">INDEX(PriorScores[],MATCH($D55,PriorScores[Team / Player],0),3)</f>
        <v>0</v>
      </c>
      <c r="AH55" s="341">
        <f ca="1">INDEX(PriorScores[],MATCH($D55,PriorScores[Team / Player],0),4)</f>
        <v>0</v>
      </c>
      <c r="AI55" s="341">
        <f ca="1">INDEX(PriorScores[],MATCH($D55,PriorScores[Team / Player],0),5)</f>
        <v>0</v>
      </c>
      <c r="AJ55" s="341">
        <f ca="1">INDEX(PriorScores[],MATCH($D55,PriorScores[Team / Player],0),6)</f>
        <v>0</v>
      </c>
      <c r="AK55" s="341">
        <f ca="1">INDEX(PriorScores[],MATCH($D55,PriorScores[Team / Player],0),7)</f>
        <v>0</v>
      </c>
      <c r="AL55" s="341">
        <f ca="1">INDEX(PriorScores[],MATCH($D55,PriorScores[Team / Player],0),8)</f>
        <v>0</v>
      </c>
      <c r="AM55" s="341">
        <f ca="1">INDEX(PriorScores[],MATCH($D55,PriorScores[Team / Player],0),9)</f>
        <v>0</v>
      </c>
      <c r="AN55" s="341">
        <f ca="1">INDEX(PriorScores[],MATCH($D55,PriorScores[Team / Player],0),10)</f>
        <v>0</v>
      </c>
      <c r="AO55" s="341">
        <f ca="1">INDEX(PriorScores[],MATCH($D55,PriorScores[Team / Player],0),11)</f>
        <v>0</v>
      </c>
      <c r="AP55" s="20">
        <f t="shared" ca="1" si="157"/>
        <v>0</v>
      </c>
      <c r="AQ55" s="20">
        <f t="shared" ca="1" si="157"/>
        <v>0</v>
      </c>
      <c r="AR55" s="20">
        <f t="shared" ca="1" si="157"/>
        <v>0</v>
      </c>
      <c r="AS55" s="20">
        <f t="shared" ca="1" si="157"/>
        <v>40</v>
      </c>
      <c r="AT55" s="20">
        <f t="shared" ca="1" si="157"/>
        <v>0</v>
      </c>
      <c r="AU55" s="20">
        <f t="shared" ca="1" si="157"/>
        <v>0</v>
      </c>
      <c r="AV55" s="20">
        <f t="shared" ca="1" si="157"/>
        <v>0</v>
      </c>
      <c r="AW55" s="20">
        <f t="shared" ca="1" si="157"/>
        <v>0</v>
      </c>
      <c r="AX55" s="20">
        <f t="shared" ca="1" si="157"/>
        <v>40</v>
      </c>
      <c r="AY55" s="20">
        <f t="shared" ca="1" si="157"/>
        <v>0</v>
      </c>
      <c r="AZ55" s="20">
        <f t="shared" ca="1" si="158"/>
        <v>0</v>
      </c>
      <c r="BA55" s="20">
        <f t="shared" ca="1" si="158"/>
        <v>0</v>
      </c>
      <c r="BB55" s="20">
        <f t="shared" ca="1" si="158"/>
        <v>0</v>
      </c>
      <c r="BC55" s="20">
        <f t="shared" ca="1" si="158"/>
        <v>0</v>
      </c>
      <c r="BD55" s="20">
        <f t="shared" ca="1" si="158"/>
        <v>40</v>
      </c>
      <c r="BE55" s="20">
        <f t="shared" ca="1" si="158"/>
        <v>0</v>
      </c>
      <c r="BF55" s="20">
        <f t="shared" ca="1" si="158"/>
        <v>0</v>
      </c>
      <c r="BG55" s="20">
        <f t="shared" ca="1" si="158"/>
        <v>0</v>
      </c>
      <c r="BH55" s="20">
        <f t="shared" ca="1" si="158"/>
        <v>0</v>
      </c>
      <c r="BI55" s="34"/>
      <c r="BJ55" s="341">
        <v>0</v>
      </c>
      <c r="BK55" s="341">
        <v>0</v>
      </c>
      <c r="BL55" s="341">
        <v>0</v>
      </c>
      <c r="BM55" s="341">
        <v>0</v>
      </c>
      <c r="BN55" s="341">
        <v>0</v>
      </c>
      <c r="BO55" s="341">
        <v>0</v>
      </c>
      <c r="BP55" s="341">
        <v>0</v>
      </c>
      <c r="BQ55" s="341">
        <v>0</v>
      </c>
      <c r="BR55" s="341">
        <v>0</v>
      </c>
      <c r="BS55" s="341">
        <v>0</v>
      </c>
      <c r="BT55" s="20">
        <f t="shared" ca="1" si="159"/>
        <v>0</v>
      </c>
      <c r="BU55" s="20">
        <f t="shared" ca="1" si="159"/>
        <v>0</v>
      </c>
      <c r="BV55" s="20">
        <f t="shared" ca="1" si="159"/>
        <v>0</v>
      </c>
      <c r="BW55" s="20">
        <f t="shared" ca="1" si="159"/>
        <v>0</v>
      </c>
      <c r="BX55" s="20">
        <f t="shared" ca="1" si="159"/>
        <v>0</v>
      </c>
      <c r="BY55" s="20">
        <f t="shared" ca="1" si="159"/>
        <v>0</v>
      </c>
      <c r="BZ55" s="20">
        <f t="shared" ca="1" si="159"/>
        <v>0</v>
      </c>
      <c r="CA55" s="20">
        <f t="shared" ca="1" si="159"/>
        <v>0</v>
      </c>
      <c r="CB55" s="20">
        <f t="shared" ca="1" si="159"/>
        <v>0</v>
      </c>
      <c r="CC55" s="20">
        <f t="shared" ca="1" si="159"/>
        <v>0</v>
      </c>
      <c r="CD55" s="20">
        <f t="shared" ca="1" si="160"/>
        <v>0</v>
      </c>
      <c r="CE55" s="20">
        <f t="shared" ca="1" si="160"/>
        <v>0</v>
      </c>
      <c r="CF55" s="20">
        <f t="shared" ca="1" si="160"/>
        <v>0</v>
      </c>
      <c r="CG55" s="20">
        <f t="shared" ca="1" si="160"/>
        <v>0</v>
      </c>
      <c r="CH55" s="20">
        <f t="shared" ca="1" si="160"/>
        <v>0</v>
      </c>
      <c r="CI55" s="20">
        <f t="shared" ca="1" si="160"/>
        <v>0</v>
      </c>
      <c r="CJ55" s="20">
        <f t="shared" ca="1" si="160"/>
        <v>0</v>
      </c>
      <c r="CK55" s="20">
        <f t="shared" ca="1" si="160"/>
        <v>0</v>
      </c>
      <c r="CL55" s="20">
        <f t="shared" ca="1" si="160"/>
        <v>0</v>
      </c>
      <c r="CM55" s="34"/>
      <c r="CN55" s="20" t="str">
        <f t="shared" ca="1" si="161"/>
        <v/>
      </c>
      <c r="CO55" s="20" t="str">
        <f t="shared" ca="1" si="161"/>
        <v/>
      </c>
      <c r="CP55" s="20" t="str">
        <f t="shared" ca="1" si="161"/>
        <v/>
      </c>
      <c r="CQ55" s="20">
        <f t="shared" ca="1" si="161"/>
        <v>40</v>
      </c>
      <c r="CR55" s="20" t="str">
        <f t="shared" ca="1" si="161"/>
        <v/>
      </c>
      <c r="CS55" s="20" t="str">
        <f t="shared" ca="1" si="161"/>
        <v/>
      </c>
      <c r="CT55" s="20" t="str">
        <f t="shared" ca="1" si="161"/>
        <v/>
      </c>
      <c r="CU55" s="20" t="str">
        <f t="shared" ca="1" si="161"/>
        <v/>
      </c>
      <c r="CV55" s="20">
        <f t="shared" ca="1" si="161"/>
        <v>40</v>
      </c>
      <c r="CW55" s="20" t="str">
        <f t="shared" ca="1" si="161"/>
        <v/>
      </c>
      <c r="CX55" s="20" t="str">
        <f t="shared" ca="1" si="162"/>
        <v/>
      </c>
      <c r="CY55" s="20" t="str">
        <f t="shared" ca="1" si="162"/>
        <v/>
      </c>
      <c r="CZ55" s="20" t="str">
        <f t="shared" ca="1" si="162"/>
        <v/>
      </c>
      <c r="DA55" s="20" t="str">
        <f t="shared" ca="1" si="162"/>
        <v/>
      </c>
      <c r="DB55" s="20">
        <f t="shared" ca="1" si="162"/>
        <v>40</v>
      </c>
      <c r="DC55" s="20" t="str">
        <f t="shared" ca="1" si="162"/>
        <v/>
      </c>
      <c r="DD55" s="20" t="str">
        <f t="shared" ca="1" si="162"/>
        <v/>
      </c>
      <c r="DE55" s="20" t="str">
        <f t="shared" ca="1" si="162"/>
        <v/>
      </c>
      <c r="DF55" s="20" t="str">
        <f t="shared" ca="1" si="162"/>
        <v/>
      </c>
      <c r="DG55" s="34"/>
      <c r="DH55" s="20" t="str">
        <f t="shared" ca="1" si="163"/>
        <v/>
      </c>
      <c r="DI55" s="20" t="str">
        <f t="shared" ca="1" si="163"/>
        <v/>
      </c>
      <c r="DJ55" s="20" t="str">
        <f t="shared" ca="1" si="163"/>
        <v/>
      </c>
      <c r="DK55" s="20" t="str">
        <f t="shared" ca="1" si="163"/>
        <v/>
      </c>
      <c r="DL55" s="20" t="str">
        <f t="shared" ca="1" si="163"/>
        <v/>
      </c>
      <c r="DM55" s="20" t="str">
        <f t="shared" ca="1" si="163"/>
        <v/>
      </c>
      <c r="DN55" s="20" t="str">
        <f t="shared" ca="1" si="163"/>
        <v/>
      </c>
      <c r="DO55" s="20" t="str">
        <f t="shared" ca="1" si="163"/>
        <v/>
      </c>
      <c r="DP55" s="20">
        <f t="shared" ca="1" si="163"/>
        <v>8</v>
      </c>
      <c r="DQ55" s="20" t="str">
        <f t="shared" ca="1" si="163"/>
        <v/>
      </c>
      <c r="DR55" s="20" t="str">
        <f t="shared" ca="1" si="164"/>
        <v/>
      </c>
      <c r="DS55" s="20" t="str">
        <f t="shared" ca="1" si="164"/>
        <v/>
      </c>
      <c r="DT55" s="20" t="str">
        <f t="shared" ca="1" si="164"/>
        <v/>
      </c>
      <c r="DU55" s="20" t="str">
        <f t="shared" ca="1" si="164"/>
        <v/>
      </c>
      <c r="DV55" s="20">
        <f t="shared" ca="1" si="164"/>
        <v>4</v>
      </c>
      <c r="DW55" s="20" t="str">
        <f t="shared" ca="1" si="164"/>
        <v/>
      </c>
      <c r="DX55" s="20" t="str">
        <f t="shared" ca="1" si="164"/>
        <v/>
      </c>
      <c r="DY55" s="20" t="str">
        <f t="shared" ca="1" si="164"/>
        <v/>
      </c>
      <c r="DZ55" s="20" t="str">
        <f t="shared" ca="1" si="164"/>
        <v/>
      </c>
      <c r="EA55" s="34"/>
      <c r="EB55" s="20" t="str">
        <f t="shared" ca="1" si="165"/>
        <v/>
      </c>
      <c r="EC55" s="20" t="str">
        <f t="shared" ca="1" si="165"/>
        <v/>
      </c>
      <c r="ED55" s="20" t="str">
        <f t="shared" ca="1" si="165"/>
        <v/>
      </c>
      <c r="EE55" s="20" t="str">
        <f t="shared" ca="1" si="165"/>
        <v/>
      </c>
      <c r="EF55" s="20" t="str">
        <f t="shared" ca="1" si="165"/>
        <v/>
      </c>
      <c r="EG55" s="20" t="str">
        <f t="shared" ca="1" si="165"/>
        <v/>
      </c>
      <c r="EH55" s="20" t="str">
        <f t="shared" ca="1" si="165"/>
        <v/>
      </c>
      <c r="EI55" s="20" t="str">
        <f t="shared" ca="1" si="165"/>
        <v/>
      </c>
      <c r="EJ55" s="20" t="str">
        <f t="shared" ca="1" si="165"/>
        <v/>
      </c>
      <c r="EK55" s="20" t="str">
        <f t="shared" ca="1" si="165"/>
        <v/>
      </c>
      <c r="EL55" s="20" t="str">
        <f t="shared" ca="1" si="166"/>
        <v/>
      </c>
      <c r="EM55" s="20" t="str">
        <f t="shared" ca="1" si="166"/>
        <v/>
      </c>
      <c r="EN55" s="20" t="str">
        <f t="shared" ca="1" si="166"/>
        <v/>
      </c>
      <c r="EO55" s="20" t="str">
        <f t="shared" ca="1" si="166"/>
        <v/>
      </c>
      <c r="EP55" s="20" t="str">
        <f t="shared" ca="1" si="166"/>
        <v/>
      </c>
      <c r="EQ55" s="20" t="str">
        <f t="shared" ca="1" si="166"/>
        <v/>
      </c>
      <c r="ER55" s="20" t="str">
        <f t="shared" ca="1" si="166"/>
        <v/>
      </c>
      <c r="ES55" s="20" t="str">
        <f t="shared" ca="1" si="166"/>
        <v/>
      </c>
      <c r="ET55" s="20" t="str">
        <f t="shared" ca="1" si="166"/>
        <v/>
      </c>
      <c r="EU55" s="34"/>
      <c r="EV55" s="20" t="str">
        <f t="shared" ca="1" si="167"/>
        <v/>
      </c>
      <c r="EW55" s="20" t="str">
        <f t="shared" ca="1" si="167"/>
        <v/>
      </c>
      <c r="EX55" s="20" t="str">
        <f t="shared" ca="1" si="167"/>
        <v/>
      </c>
      <c r="EY55" s="20" t="str">
        <f t="shared" ca="1" si="167"/>
        <v/>
      </c>
      <c r="EZ55" s="20" t="str">
        <f t="shared" ca="1" si="167"/>
        <v/>
      </c>
      <c r="FA55" s="20" t="str">
        <f t="shared" ca="1" si="167"/>
        <v/>
      </c>
      <c r="FB55" s="20" t="str">
        <f t="shared" ca="1" si="167"/>
        <v/>
      </c>
      <c r="FC55" s="20" t="str">
        <f t="shared" ca="1" si="167"/>
        <v/>
      </c>
      <c r="FD55" s="20" t="str">
        <f t="shared" ca="1" si="167"/>
        <v/>
      </c>
      <c r="FE55" s="20" t="str">
        <f t="shared" ca="1" si="167"/>
        <v/>
      </c>
      <c r="FF55" s="20" t="str">
        <f t="shared" ca="1" si="168"/>
        <v/>
      </c>
      <c r="FG55" s="20" t="str">
        <f t="shared" ca="1" si="168"/>
        <v/>
      </c>
      <c r="FH55" s="20" t="str">
        <f t="shared" ca="1" si="168"/>
        <v/>
      </c>
      <c r="FI55" s="20" t="str">
        <f t="shared" ca="1" si="168"/>
        <v/>
      </c>
      <c r="FJ55" s="20" t="str">
        <f t="shared" ca="1" si="168"/>
        <v/>
      </c>
      <c r="FK55" s="20" t="str">
        <f t="shared" ca="1" si="168"/>
        <v/>
      </c>
      <c r="FL55" s="20" t="str">
        <f t="shared" ca="1" si="168"/>
        <v/>
      </c>
      <c r="FM55" s="20" t="str">
        <f t="shared" ca="1" si="168"/>
        <v/>
      </c>
      <c r="FN55" s="20" t="str">
        <f t="shared" ca="1" si="168"/>
        <v/>
      </c>
      <c r="FO55" s="34"/>
      <c r="FP55" s="20" t="str">
        <f t="shared" ca="1" si="169"/>
        <v/>
      </c>
      <c r="FQ55" s="20" t="str">
        <f t="shared" ca="1" si="169"/>
        <v/>
      </c>
      <c r="FR55" s="20" t="str">
        <f t="shared" ca="1" si="169"/>
        <v/>
      </c>
      <c r="FS55" s="20" t="str">
        <f t="shared" ca="1" si="169"/>
        <v>w</v>
      </c>
      <c r="FT55" s="20" t="str">
        <f t="shared" ca="1" si="169"/>
        <v/>
      </c>
      <c r="FU55" s="20" t="str">
        <f t="shared" ca="1" si="169"/>
        <v/>
      </c>
      <c r="FV55" s="20" t="str">
        <f t="shared" ca="1" si="169"/>
        <v/>
      </c>
      <c r="FW55" s="20" t="str">
        <f t="shared" ca="1" si="169"/>
        <v/>
      </c>
      <c r="FX55" s="20" t="str">
        <f t="shared" ca="1" si="169"/>
        <v>l</v>
      </c>
      <c r="FY55" s="20" t="str">
        <f t="shared" ca="1" si="169"/>
        <v/>
      </c>
      <c r="FZ55" s="20" t="str">
        <f t="shared" ca="1" si="170"/>
        <v/>
      </c>
      <c r="GA55" s="20" t="str">
        <f t="shared" ca="1" si="170"/>
        <v/>
      </c>
      <c r="GB55" s="20" t="str">
        <f t="shared" ca="1" si="170"/>
        <v/>
      </c>
      <c r="GC55" s="20" t="str">
        <f t="shared" ca="1" si="170"/>
        <v/>
      </c>
      <c r="GD55" s="20" t="str">
        <f t="shared" ca="1" si="170"/>
        <v>l</v>
      </c>
      <c r="GE55" s="20" t="str">
        <f t="shared" ca="1" si="170"/>
        <v/>
      </c>
      <c r="GF55" s="20" t="str">
        <f t="shared" ca="1" si="170"/>
        <v/>
      </c>
      <c r="GG55" s="20" t="str">
        <f t="shared" ca="1" si="170"/>
        <v/>
      </c>
      <c r="GH55" s="20" t="str">
        <f t="shared" ca="1" si="170"/>
        <v/>
      </c>
      <c r="GI55" s="34"/>
      <c r="HE55" s="34"/>
      <c r="HZ55" s="34"/>
      <c r="IA55" s="19" t="str">
        <f t="shared" ca="1" si="171"/>
        <v>No Hdcp</v>
      </c>
      <c r="IB55" s="19" t="str">
        <f ca="1">IF(D55&lt;&gt;"","1@"&amp;$H55,"")</f>
        <v>1@40</v>
      </c>
      <c r="IC55" s="19" t="str">
        <f ca="1">IF(D55&lt;&gt;"","2@"&amp;$I55&amp;","&amp;$H55,"")</f>
        <v>2@40,40</v>
      </c>
      <c r="ID55" s="19" t="str">
        <f ca="1">IF(D55&lt;&gt;"","3@"&amp;$J55&amp;","&amp;$I55&amp;","&amp;$H55,"")</f>
        <v>3@40,40,40</v>
      </c>
      <c r="IE55" s="19" t="str">
        <f ca="1">IF(D55&lt;&gt;"","4@"&amp;$K55&amp;","&amp;$J55&amp;","&amp;$I55&amp;","&amp;$H55,"")</f>
        <v>4@,40,40,40</v>
      </c>
      <c r="IF55" s="19"/>
      <c r="IG55" s="19"/>
      <c r="IH55" s="19"/>
      <c r="II55" s="19"/>
      <c r="IJ55" s="19"/>
      <c r="IK55" s="263">
        <f ca="1">IF(D55&lt;&gt;"",MIN(ROUND((AVERAGE($H55:$Q55)-$C$4)*0.9,2),20),"")</f>
        <v>3.6</v>
      </c>
      <c r="IL55" s="34"/>
    </row>
    <row r="56" spans="1:271" ht="21" customHeight="1" x14ac:dyDescent="0.2">
      <c r="A56" s="38" t="s">
        <v>31</v>
      </c>
      <c r="B56" s="39" t="s">
        <v>75</v>
      </c>
      <c r="C56" s="40">
        <f ca="1">IFERROR(VLOOKUP(D56, leagueroster, 2, FALSE), 0)</f>
        <v>0.20799999999999999</v>
      </c>
      <c r="D56" s="38" t="str">
        <f ca="1">INDEX(INDIRECT($A56), 3, 1)</f>
        <v>Blind Draw</v>
      </c>
      <c r="E56" s="39"/>
      <c r="F56" s="39"/>
      <c r="G56" s="41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41"/>
      <c r="V56" s="39"/>
      <c r="W56" s="39"/>
      <c r="X56" s="39"/>
      <c r="Y56" s="39"/>
      <c r="Z56" s="39"/>
      <c r="AA56" s="39"/>
      <c r="AB56" s="39"/>
      <c r="AE56" s="34"/>
      <c r="AF56" s="341"/>
      <c r="AG56" s="341"/>
      <c r="AH56" s="341"/>
      <c r="AI56" s="341"/>
      <c r="AJ56" s="341"/>
      <c r="AK56" s="341"/>
      <c r="AL56" s="341"/>
      <c r="AM56" s="341"/>
      <c r="AN56" s="341"/>
      <c r="AO56" s="341"/>
      <c r="BI56" s="34"/>
      <c r="BJ56" s="340"/>
      <c r="BK56" s="340"/>
      <c r="BL56" s="340"/>
      <c r="BM56" s="340"/>
      <c r="BN56" s="340"/>
      <c r="BO56" s="340"/>
      <c r="BP56" s="340"/>
      <c r="BQ56" s="340"/>
      <c r="BR56" s="340"/>
      <c r="BS56" s="340"/>
      <c r="CM56" s="34"/>
      <c r="DG56" s="34"/>
      <c r="EA56" s="34"/>
      <c r="EU56" s="34"/>
      <c r="FO56" s="34"/>
      <c r="GI56" s="34"/>
      <c r="GJ56" s="20">
        <f t="shared" ref="GJ56:HB56" ca="1" si="172">IF(INDEX(INDIRECT($A56), 4, GJ$6+2)=0, "", INDEX(INDIRECT($A56), 4, GJ$6+2))</f>
        <v>152</v>
      </c>
      <c r="GK56" s="20">
        <f t="shared" ca="1" si="172"/>
        <v>152</v>
      </c>
      <c r="GL56" s="20">
        <f t="shared" ca="1" si="172"/>
        <v>152</v>
      </c>
      <c r="GM56" s="20">
        <f t="shared" ca="1" si="172"/>
        <v>152</v>
      </c>
      <c r="GN56" s="20">
        <f t="shared" ca="1" si="172"/>
        <v>152</v>
      </c>
      <c r="GO56" s="20">
        <f t="shared" ca="1" si="172"/>
        <v>152</v>
      </c>
      <c r="GP56" s="20">
        <f t="shared" ca="1" si="172"/>
        <v>152</v>
      </c>
      <c r="GQ56" s="20" t="str">
        <f t="shared" ca="1" si="172"/>
        <v/>
      </c>
      <c r="GR56" s="20">
        <f t="shared" ca="1" si="172"/>
        <v>152</v>
      </c>
      <c r="GS56" s="20">
        <f t="shared" ca="1" si="172"/>
        <v>152</v>
      </c>
      <c r="GT56" s="20">
        <f t="shared" ca="1" si="172"/>
        <v>152</v>
      </c>
      <c r="GU56" s="20" t="str">
        <f t="shared" ca="1" si="172"/>
        <v/>
      </c>
      <c r="GV56" s="20">
        <f t="shared" ca="1" si="172"/>
        <v>152</v>
      </c>
      <c r="GW56" s="20">
        <f t="shared" ca="1" si="172"/>
        <v>152</v>
      </c>
      <c r="GX56" s="20" t="str">
        <f t="shared" ca="1" si="172"/>
        <v/>
      </c>
      <c r="GY56" s="20">
        <f t="shared" ca="1" si="172"/>
        <v>152</v>
      </c>
      <c r="GZ56" s="20">
        <f t="shared" ca="1" si="172"/>
        <v>152</v>
      </c>
      <c r="HA56" s="20">
        <f t="shared" ca="1" si="172"/>
        <v>912</v>
      </c>
      <c r="HB56" s="20" t="str">
        <f t="shared" ca="1" si="172"/>
        <v/>
      </c>
      <c r="HC56" s="20" cm="1">
        <f t="array" aca="1" ref="HC56" ca="1">MIN(_xlfn._xlws.FILTER(GJ56:HB56,GJ56:HB56&gt;129))</f>
        <v>152</v>
      </c>
      <c r="HD56" s="42">
        <f ca="1">IF(D56&lt;&gt;"", IFERROR(AVERAGE(GJ56:HA56), "-"), "")</f>
        <v>202.66666666666666</v>
      </c>
      <c r="HE56" s="34"/>
      <c r="HF56" s="20">
        <f t="shared" ref="HF56:HW56" ca="1" si="173">IF(INDEX(INDIRECT($A56), 3, HF$6+2)=0, "", INDEX(INDIRECT($A56), 3, HF$6+2))</f>
        <v>56</v>
      </c>
      <c r="HG56" s="20">
        <f t="shared" ca="1" si="173"/>
        <v>61</v>
      </c>
      <c r="HH56" s="20">
        <f t="shared" ca="1" si="173"/>
        <v>61</v>
      </c>
      <c r="HI56" s="20">
        <f t="shared" ca="1" si="173"/>
        <v>61</v>
      </c>
      <c r="HJ56" s="20">
        <f t="shared" ca="1" si="173"/>
        <v>52</v>
      </c>
      <c r="HK56" s="20">
        <f t="shared" ca="1" si="173"/>
        <v>46</v>
      </c>
      <c r="HL56" s="20">
        <f t="shared" ca="1" si="173"/>
        <v>45</v>
      </c>
      <c r="HM56" s="20" t="str">
        <f t="shared" ca="1" si="173"/>
        <v/>
      </c>
      <c r="HN56" s="20">
        <f t="shared" ca="1" si="173"/>
        <v>51</v>
      </c>
      <c r="HO56" s="20">
        <f t="shared" ca="1" si="173"/>
        <v>43</v>
      </c>
      <c r="HP56" s="20">
        <f t="shared" ca="1" si="173"/>
        <v>42</v>
      </c>
      <c r="HQ56" s="20" t="str">
        <f t="shared" ca="1" si="173"/>
        <v/>
      </c>
      <c r="HR56" s="20">
        <f t="shared" ca="1" si="173"/>
        <v>44</v>
      </c>
      <c r="HS56" s="20">
        <f t="shared" ca="1" si="173"/>
        <v>46</v>
      </c>
      <c r="HT56" s="20">
        <f t="shared" ca="1" si="173"/>
        <v>26</v>
      </c>
      <c r="HU56" s="20">
        <f t="shared" ca="1" si="173"/>
        <v>31</v>
      </c>
      <c r="HV56" s="20">
        <f t="shared" ca="1" si="173"/>
        <v>28</v>
      </c>
      <c r="HW56" s="20">
        <f t="shared" ca="1" si="173"/>
        <v>254</v>
      </c>
      <c r="HX56" s="20"/>
      <c r="HY56" s="20">
        <f ca="1">MAX(HF56:HX56)</f>
        <v>254</v>
      </c>
      <c r="HZ56" s="34"/>
      <c r="IA56" s="118"/>
      <c r="IB56" s="118"/>
      <c r="IC56" s="118"/>
      <c r="ID56" s="118"/>
      <c r="IE56" s="118"/>
      <c r="IF56" s="118"/>
      <c r="IG56" s="118"/>
      <c r="IH56" s="118"/>
      <c r="II56" s="118"/>
      <c r="IJ56" s="118"/>
      <c r="IK56" s="118"/>
      <c r="IL56" s="34"/>
    </row>
    <row r="57" spans="1:271" x14ac:dyDescent="0.2">
      <c r="A57" s="18" t="s">
        <v>31</v>
      </c>
      <c r="B57" s="19">
        <v>5</v>
      </c>
      <c r="C57" s="22">
        <f t="shared" ref="C57:C62" ca="1" si="174">IFERROR(VLOOKUP($D57, leagueroster, 2, FALSE), 0)</f>
        <v>8.0000000000000004E-4</v>
      </c>
      <c r="D57" s="18" t="str">
        <f ca="1">INDEX(INDIRECT($A57), $B57, 1)</f>
        <v>Blind Draw #1</v>
      </c>
      <c r="E57" s="19">
        <f t="shared" ref="E57:E62" ca="1" si="175">IF($D57&lt;&gt;"", COUNTIF($AP57:$BH57,"&lt;&gt;0"), "")</f>
        <v>15</v>
      </c>
      <c r="F57" s="19">
        <v>0</v>
      </c>
      <c r="G57" s="21">
        <v>0</v>
      </c>
      <c r="H57" s="45"/>
      <c r="I57" s="24"/>
      <c r="J57" s="24"/>
      <c r="K57" s="24"/>
      <c r="L57" s="24"/>
      <c r="M57" s="24"/>
      <c r="N57" s="24"/>
      <c r="O57" s="24"/>
      <c r="P57" s="24"/>
      <c r="Q57" s="62"/>
      <c r="R57" s="21" t="str">
        <f t="shared" ref="R57:R62" ca="1" si="176">IF($D57&lt;&gt;"", INDEX(INDIRECT($A57), $B57+1, 21), "")</f>
        <v/>
      </c>
      <c r="S57" s="47" t="str">
        <f t="shared" ref="S57:S62" si="177">IF(COUNT($H57:$Q57)&lt;5,"-",AVERAGE(SMALL($H57:$Q57,1),SMALL($H57:$Q57,2),SMALL($H57:$Q57,3),SMALL($H57:$Q57,4),SMALL($H57:$Q57,5)))</f>
        <v>-</v>
      </c>
      <c r="T57" s="21" t="str">
        <f ca="1">IF($D57&lt;&gt;"", IFERROR(IF($F57&gt;=qualifier, SUMIF($BT57:$CL57,0,$AP57:$BH57)/$F57, TEXT(SUMIF($BT57:$CL57,0,$AP57:$BH57)/$F57, "0.00")&amp;"*"), "-"), "")</f>
        <v>-</v>
      </c>
      <c r="U57" s="21">
        <f ca="1">IF($D57&lt;&gt;"", IFERROR(IF($E57&gt;=qualifier, SUMIF($BT57:$CL57,0,$CN57:$DF57)/$E57, TEXT(SUMIF($BT57:$CL57,0,$CN57:$DF57)/$E57, "0.00")&amp;"*"), "-"), "")</f>
        <v>35.466666666666669</v>
      </c>
      <c r="V57" s="45">
        <f ca="1">IF(AND($D57&lt;&gt;"", $E57&lt;&gt;0), _xlfn.MINIFS($AP57:$BH57,$BT57:$CL57,0,$AP57:$BH57,"&lt;&gt;0"), "")</f>
        <v>38</v>
      </c>
      <c r="W57" s="62">
        <f ca="1">IF(AND($D57&lt;&gt;"", $E57&lt;&gt;0), _xlfn.MINIFS($CN57:$DF57,$BT57:$CL57,0), "")</f>
        <v>38</v>
      </c>
      <c r="X57" s="45">
        <f t="shared" ref="X57:X62" ca="1" si="178">IF($D57&lt;&gt;"", SUM($DH57:$DZ57),  "")</f>
        <v>215</v>
      </c>
      <c r="Y57" s="21">
        <f ca="1">IF($D57&lt;&gt;"", IFERROR(IF($E57&gt;=qualifier, AVERAGE($DH57:$DZ57), TEXT(AVERAGE($DH57:$DZ57), "0.00")&amp;"*"), "-"), "")</f>
        <v>13.4375</v>
      </c>
      <c r="Z57" s="19">
        <f t="shared" ref="Z57:Z62" ca="1" si="179">IF($D57&lt;&gt;"", SUM($EB57:$ET57),  "")</f>
        <v>0</v>
      </c>
      <c r="AA57" s="19">
        <f t="shared" ref="AA57:AA62" ca="1" si="180">IF($D57&lt;&gt;"", SUM($EV57:$FN57),  "")</f>
        <v>0</v>
      </c>
      <c r="AB57" s="45" t="str">
        <f t="shared" ref="AB57:AB62" ca="1" si="181">IF($D57&lt;&gt;"", COUNTIF($FP57:$GH57, "w")&amp;"-"&amp;COUNTIF($FP57:$GH57, "l")&amp;"-"&amp;COUNTIF($FP57:$GH57, "t"),  "")</f>
        <v>9-6-1</v>
      </c>
      <c r="AC57" s="218">
        <f t="shared" ref="AC57:AC62" ca="1" si="182">IF($D57&lt;&gt;"", INDEX(INDIRECT($A57), $B57+1, 1), "")</f>
        <v>0</v>
      </c>
      <c r="AD57" s="57">
        <f t="shared" ref="AD57:AD62" ca="1" si="183">IF($D57&lt;&gt;"", INDEX(INDIRECT($A57), $B57+2, 1), "")</f>
        <v>0</v>
      </c>
      <c r="AE57" s="34"/>
      <c r="AF57" s="341">
        <f ca="1">INDEX(PriorScores[],MATCH($D57,PriorScores[Team / Player],0),2)</f>
        <v>0</v>
      </c>
      <c r="AG57" s="341">
        <f ca="1">INDEX(PriorScores[],MATCH($D57,PriorScores[Team / Player],0),3)</f>
        <v>0</v>
      </c>
      <c r="AH57" s="341">
        <f ca="1">INDEX(PriorScores[],MATCH($D57,PriorScores[Team / Player],0),4)</f>
        <v>0</v>
      </c>
      <c r="AI57" s="341">
        <f ca="1">INDEX(PriorScores[],MATCH($D57,PriorScores[Team / Player],0),5)</f>
        <v>0</v>
      </c>
      <c r="AJ57" s="341">
        <f ca="1">INDEX(PriorScores[],MATCH($D57,PriorScores[Team / Player],0),6)</f>
        <v>0</v>
      </c>
      <c r="AK57" s="341">
        <f ca="1">INDEX(PriorScores[],MATCH($D57,PriorScores[Team / Player],0),7)</f>
        <v>0</v>
      </c>
      <c r="AL57" s="341">
        <f ca="1">INDEX(PriorScores[],MATCH($D57,PriorScores[Team / Player],0),8)</f>
        <v>0</v>
      </c>
      <c r="AM57" s="341">
        <f ca="1">INDEX(PriorScores[],MATCH($D57,PriorScores[Team / Player],0),9)</f>
        <v>0</v>
      </c>
      <c r="AN57" s="341">
        <f ca="1">INDEX(PriorScores[],MATCH($D57,PriorScores[Team / Player],0),10)</f>
        <v>0</v>
      </c>
      <c r="AO57" s="341">
        <f ca="1">INDEX(PriorScores[],MATCH($D57,PriorScores[Team / Player],0),11)</f>
        <v>0</v>
      </c>
      <c r="AP57" s="20">
        <f t="shared" ref="AP57:AY62" ca="1" si="184">IF(OR(INDEX(INDIRECT($A57), $B57, AP$6+2)="",INDEX(INDIRECT($A57),$B57+5,AP$6+2)=1), 0, INDEX(INDIRECT($A57), $B57, AP$6+2))</f>
        <v>38</v>
      </c>
      <c r="AQ57" s="20">
        <f t="shared" ca="1" si="184"/>
        <v>38</v>
      </c>
      <c r="AR57" s="20">
        <f t="shared" ca="1" si="184"/>
        <v>38</v>
      </c>
      <c r="AS57" s="20">
        <f t="shared" ca="1" si="184"/>
        <v>38</v>
      </c>
      <c r="AT57" s="20">
        <f t="shared" ca="1" si="184"/>
        <v>38</v>
      </c>
      <c r="AU57" s="20">
        <f t="shared" ca="1" si="184"/>
        <v>38</v>
      </c>
      <c r="AV57" s="20">
        <f t="shared" ca="1" si="184"/>
        <v>38</v>
      </c>
      <c r="AW57" s="20">
        <f t="shared" ca="1" si="184"/>
        <v>0</v>
      </c>
      <c r="AX57" s="20">
        <f t="shared" ca="1" si="184"/>
        <v>38</v>
      </c>
      <c r="AY57" s="20">
        <f t="shared" ca="1" si="184"/>
        <v>38</v>
      </c>
      <c r="AZ57" s="20">
        <f t="shared" ref="AZ57:BH62" ca="1" si="185">IF(OR(INDEX(INDIRECT($A57), $B57, AZ$6+2)="",INDEX(INDIRECT($A57),$B57+5,AZ$6+2)=1), 0, INDEX(INDIRECT($A57), $B57, AZ$6+2))</f>
        <v>38</v>
      </c>
      <c r="BA57" s="20">
        <f t="shared" ca="1" si="185"/>
        <v>0</v>
      </c>
      <c r="BB57" s="20">
        <f t="shared" ca="1" si="185"/>
        <v>38</v>
      </c>
      <c r="BC57" s="20">
        <f t="shared" ca="1" si="185"/>
        <v>38</v>
      </c>
      <c r="BD57" s="20">
        <f t="shared" ca="1" si="185"/>
        <v>0</v>
      </c>
      <c r="BE57" s="20">
        <f t="shared" ca="1" si="185"/>
        <v>38</v>
      </c>
      <c r="BF57" s="20">
        <f t="shared" ca="1" si="185"/>
        <v>38</v>
      </c>
      <c r="BG57" s="20">
        <f t="shared" ca="1" si="185"/>
        <v>228</v>
      </c>
      <c r="BH57" s="20">
        <f t="shared" ca="1" si="185"/>
        <v>0</v>
      </c>
      <c r="BI57" s="34"/>
      <c r="BJ57" s="341">
        <v>0</v>
      </c>
      <c r="BK57" s="341">
        <v>0</v>
      </c>
      <c r="BL57" s="341">
        <v>0</v>
      </c>
      <c r="BM57" s="341">
        <v>0</v>
      </c>
      <c r="BN57" s="341">
        <v>0</v>
      </c>
      <c r="BO57" s="341">
        <v>0</v>
      </c>
      <c r="BP57" s="341">
        <v>0</v>
      </c>
      <c r="BQ57" s="341">
        <v>0</v>
      </c>
      <c r="BR57" s="341">
        <v>0</v>
      </c>
      <c r="BS57" s="341">
        <v>0</v>
      </c>
      <c r="BT57" s="20">
        <f t="shared" ref="BT57:CC62" ca="1" si="186">IF(INDEX(INDIRECT($A57), $B57+5, BT$6+2)="", 0, INDEX(INDIRECT($A57), $B57+5, BT$6+2))</f>
        <v>0</v>
      </c>
      <c r="BU57" s="20">
        <f t="shared" ca="1" si="186"/>
        <v>0</v>
      </c>
      <c r="BV57" s="20">
        <f t="shared" ca="1" si="186"/>
        <v>0</v>
      </c>
      <c r="BW57" s="20">
        <f t="shared" ca="1" si="186"/>
        <v>0</v>
      </c>
      <c r="BX57" s="20">
        <f t="shared" ca="1" si="186"/>
        <v>0</v>
      </c>
      <c r="BY57" s="20">
        <f t="shared" ca="1" si="186"/>
        <v>0</v>
      </c>
      <c r="BZ57" s="20">
        <f t="shared" ca="1" si="186"/>
        <v>0</v>
      </c>
      <c r="CA57" s="20">
        <f t="shared" ca="1" si="186"/>
        <v>0</v>
      </c>
      <c r="CB57" s="20">
        <f t="shared" ca="1" si="186"/>
        <v>0</v>
      </c>
      <c r="CC57" s="20">
        <f t="shared" ca="1" si="186"/>
        <v>0</v>
      </c>
      <c r="CD57" s="20">
        <f t="shared" ref="CD57:CL62" ca="1" si="187">IF(INDEX(INDIRECT($A57), $B57+5, CD$6+2)="", 0, INDEX(INDIRECT($A57), $B57+5, CD$6+2))</f>
        <v>0</v>
      </c>
      <c r="CE57" s="20">
        <f t="shared" ca="1" si="187"/>
        <v>0</v>
      </c>
      <c r="CF57" s="20">
        <f t="shared" ca="1" si="187"/>
        <v>0</v>
      </c>
      <c r="CG57" s="20">
        <f t="shared" ca="1" si="187"/>
        <v>0</v>
      </c>
      <c r="CH57" s="20">
        <f t="shared" ca="1" si="187"/>
        <v>1</v>
      </c>
      <c r="CI57" s="20">
        <f t="shared" ca="1" si="187"/>
        <v>0</v>
      </c>
      <c r="CJ57" s="20">
        <f t="shared" ca="1" si="187"/>
        <v>0</v>
      </c>
      <c r="CK57" s="20">
        <f t="shared" ca="1" si="187"/>
        <v>6</v>
      </c>
      <c r="CL57" s="20">
        <f t="shared" ca="1" si="187"/>
        <v>0</v>
      </c>
      <c r="CM57" s="34"/>
      <c r="CN57" s="20">
        <f t="shared" ref="CN57:CW62" ca="1" si="188">IF(OR(INDEX(INDIRECT($A57), $B57+1, CN$6+2)=0,INDEX(INDIRECT($A57),$B57+5,CN$6+2)=1), "", INDEX(INDIRECT($A57), $B57+1, CN$6+2))</f>
        <v>38</v>
      </c>
      <c r="CO57" s="20">
        <f t="shared" ca="1" si="188"/>
        <v>38</v>
      </c>
      <c r="CP57" s="20">
        <f t="shared" ca="1" si="188"/>
        <v>38</v>
      </c>
      <c r="CQ57" s="20">
        <f t="shared" ca="1" si="188"/>
        <v>38</v>
      </c>
      <c r="CR57" s="20">
        <f t="shared" ca="1" si="188"/>
        <v>38</v>
      </c>
      <c r="CS57" s="20">
        <f t="shared" ca="1" si="188"/>
        <v>38</v>
      </c>
      <c r="CT57" s="20">
        <f t="shared" ca="1" si="188"/>
        <v>38</v>
      </c>
      <c r="CU57" s="20" t="str">
        <f t="shared" ca="1" si="188"/>
        <v/>
      </c>
      <c r="CV57" s="20">
        <f t="shared" ca="1" si="188"/>
        <v>38</v>
      </c>
      <c r="CW57" s="20">
        <f t="shared" ca="1" si="188"/>
        <v>38</v>
      </c>
      <c r="CX57" s="20">
        <f t="shared" ref="CX57:DF62" ca="1" si="189">IF(OR(INDEX(INDIRECT($A57), $B57+1, CX$6+2)=0,INDEX(INDIRECT($A57),$B57+5,CX$6+2)=1), "", INDEX(INDIRECT($A57), $B57+1, CX$6+2))</f>
        <v>38</v>
      </c>
      <c r="CY57" s="20" t="str">
        <f t="shared" ca="1" si="189"/>
        <v/>
      </c>
      <c r="CZ57" s="20">
        <f t="shared" ca="1" si="189"/>
        <v>38</v>
      </c>
      <c r="DA57" s="20">
        <f t="shared" ca="1" si="189"/>
        <v>38</v>
      </c>
      <c r="DB57" s="20" t="str">
        <f t="shared" ca="1" si="189"/>
        <v/>
      </c>
      <c r="DC57" s="20">
        <f t="shared" ca="1" si="189"/>
        <v>38</v>
      </c>
      <c r="DD57" s="20">
        <f t="shared" ca="1" si="189"/>
        <v>38</v>
      </c>
      <c r="DE57" s="20">
        <f t="shared" ca="1" si="189"/>
        <v>228</v>
      </c>
      <c r="DF57" s="20" t="str">
        <f t="shared" ca="1" si="189"/>
        <v/>
      </c>
      <c r="DG57" s="34"/>
      <c r="DH57" s="20">
        <f t="shared" ref="DH57:DQ62" ca="1" si="190">IF(INDEX(INDIRECT($A57), $B57+2, DH$6+2)=0, "", INDEX(INDIRECT($A57), $B57+2, DH$6+2))</f>
        <v>14</v>
      </c>
      <c r="DI57" s="20">
        <f t="shared" ca="1" si="190"/>
        <v>15</v>
      </c>
      <c r="DJ57" s="20">
        <f t="shared" ca="1" si="190"/>
        <v>13</v>
      </c>
      <c r="DK57" s="20">
        <f t="shared" ca="1" si="190"/>
        <v>16</v>
      </c>
      <c r="DL57" s="20">
        <f t="shared" ca="1" si="190"/>
        <v>11</v>
      </c>
      <c r="DM57" s="20">
        <f t="shared" ca="1" si="190"/>
        <v>11</v>
      </c>
      <c r="DN57" s="20">
        <f t="shared" ca="1" si="190"/>
        <v>12</v>
      </c>
      <c r="DO57" s="20" t="str">
        <f t="shared" ca="1" si="190"/>
        <v/>
      </c>
      <c r="DP57" s="20">
        <f t="shared" ca="1" si="190"/>
        <v>10</v>
      </c>
      <c r="DQ57" s="20">
        <f t="shared" ca="1" si="190"/>
        <v>9</v>
      </c>
      <c r="DR57" s="20">
        <f t="shared" ref="DR57:DZ62" ca="1" si="191">IF(INDEX(INDIRECT($A57), $B57+2, DR$6+2)=0, "", INDEX(INDIRECT($A57), $B57+2, DR$6+2))</f>
        <v>8</v>
      </c>
      <c r="DS57" s="20" t="str">
        <f t="shared" ca="1" si="191"/>
        <v/>
      </c>
      <c r="DT57" s="20">
        <f t="shared" ca="1" si="191"/>
        <v>6</v>
      </c>
      <c r="DU57" s="20">
        <f t="shared" ca="1" si="191"/>
        <v>12</v>
      </c>
      <c r="DV57" s="20">
        <f t="shared" ca="1" si="191"/>
        <v>6</v>
      </c>
      <c r="DW57" s="20">
        <f t="shared" ca="1" si="191"/>
        <v>9</v>
      </c>
      <c r="DX57" s="20">
        <f t="shared" ca="1" si="191"/>
        <v>8</v>
      </c>
      <c r="DY57" s="20">
        <f t="shared" ca="1" si="191"/>
        <v>55</v>
      </c>
      <c r="DZ57" s="20" t="str">
        <f t="shared" ca="1" si="191"/>
        <v/>
      </c>
      <c r="EA57" s="34"/>
      <c r="EB57" s="20" t="str">
        <f t="shared" ref="EB57:EK62" ca="1" si="192">IF(INDEX(INDIRECT($A57), $B57+3, EB$6+2)=0, "", INDEX(INDIRECT($A57), $B57+3, EB$6+2))</f>
        <v/>
      </c>
      <c r="EC57" s="20" t="str">
        <f t="shared" ca="1" si="192"/>
        <v/>
      </c>
      <c r="ED57" s="20" t="str">
        <f t="shared" ca="1" si="192"/>
        <v/>
      </c>
      <c r="EE57" s="20" t="str">
        <f t="shared" ca="1" si="192"/>
        <v/>
      </c>
      <c r="EF57" s="20" t="str">
        <f t="shared" ca="1" si="192"/>
        <v/>
      </c>
      <c r="EG57" s="20" t="str">
        <f t="shared" ca="1" si="192"/>
        <v/>
      </c>
      <c r="EH57" s="20" t="str">
        <f t="shared" ca="1" si="192"/>
        <v/>
      </c>
      <c r="EI57" s="20" t="str">
        <f t="shared" ca="1" si="192"/>
        <v/>
      </c>
      <c r="EJ57" s="20" t="str">
        <f t="shared" ca="1" si="192"/>
        <v/>
      </c>
      <c r="EK57" s="20" t="str">
        <f t="shared" ca="1" si="192"/>
        <v/>
      </c>
      <c r="EL57" s="20" t="str">
        <f t="shared" ref="EL57:ET62" ca="1" si="193">IF(INDEX(INDIRECT($A57), $B57+3, EL$6+2)=0, "", INDEX(INDIRECT($A57), $B57+3, EL$6+2))</f>
        <v/>
      </c>
      <c r="EM57" s="20" t="str">
        <f t="shared" ca="1" si="193"/>
        <v/>
      </c>
      <c r="EN57" s="20" t="str">
        <f t="shared" ca="1" si="193"/>
        <v/>
      </c>
      <c r="EO57" s="20" t="str">
        <f t="shared" ca="1" si="193"/>
        <v/>
      </c>
      <c r="EP57" s="20" t="str">
        <f t="shared" ca="1" si="193"/>
        <v/>
      </c>
      <c r="EQ57" s="20" t="str">
        <f t="shared" ca="1" si="193"/>
        <v/>
      </c>
      <c r="ER57" s="20" t="str">
        <f t="shared" ca="1" si="193"/>
        <v/>
      </c>
      <c r="ES57" s="20" t="str">
        <f t="shared" ca="1" si="193"/>
        <v/>
      </c>
      <c r="ET57" s="20" t="str">
        <f t="shared" ca="1" si="193"/>
        <v/>
      </c>
      <c r="EU57" s="34"/>
      <c r="EV57" s="20" t="str">
        <f t="shared" ref="EV57:FE62" ca="1" si="194">IF(INDEX(INDIRECT($A57), $B57+4, EV$6+2)=0, "", INDEX(INDIRECT($A57), $B57+4, EV$6+2))</f>
        <v/>
      </c>
      <c r="EW57" s="20" t="str">
        <f t="shared" ca="1" si="194"/>
        <v/>
      </c>
      <c r="EX57" s="20" t="str">
        <f t="shared" ca="1" si="194"/>
        <v/>
      </c>
      <c r="EY57" s="20" t="str">
        <f t="shared" ca="1" si="194"/>
        <v/>
      </c>
      <c r="EZ57" s="20" t="str">
        <f t="shared" ca="1" si="194"/>
        <v/>
      </c>
      <c r="FA57" s="20" t="str">
        <f t="shared" ca="1" si="194"/>
        <v/>
      </c>
      <c r="FB57" s="20" t="str">
        <f t="shared" ca="1" si="194"/>
        <v/>
      </c>
      <c r="FC57" s="20" t="str">
        <f t="shared" ca="1" si="194"/>
        <v/>
      </c>
      <c r="FD57" s="20" t="str">
        <f t="shared" ca="1" si="194"/>
        <v/>
      </c>
      <c r="FE57" s="20" t="str">
        <f t="shared" ca="1" si="194"/>
        <v/>
      </c>
      <c r="FF57" s="20" t="str">
        <f t="shared" ref="FF57:FN62" ca="1" si="195">IF(INDEX(INDIRECT($A57), $B57+4, FF$6+2)=0, "", INDEX(INDIRECT($A57), $B57+4, FF$6+2))</f>
        <v/>
      </c>
      <c r="FG57" s="20" t="str">
        <f t="shared" ca="1" si="195"/>
        <v/>
      </c>
      <c r="FH57" s="20" t="str">
        <f t="shared" ca="1" si="195"/>
        <v/>
      </c>
      <c r="FI57" s="20" t="str">
        <f t="shared" ca="1" si="195"/>
        <v/>
      </c>
      <c r="FJ57" s="20" t="str">
        <f t="shared" ca="1" si="195"/>
        <v/>
      </c>
      <c r="FK57" s="20" t="str">
        <f t="shared" ca="1" si="195"/>
        <v/>
      </c>
      <c r="FL57" s="20" t="str">
        <f t="shared" ca="1" si="195"/>
        <v/>
      </c>
      <c r="FM57" s="20" t="str">
        <f t="shared" ca="1" si="195"/>
        <v/>
      </c>
      <c r="FN57" s="20" t="str">
        <f t="shared" ca="1" si="195"/>
        <v/>
      </c>
      <c r="FO57" s="34"/>
      <c r="FP57" s="20" t="str">
        <f t="shared" ref="FP57:FY62" ca="1" si="196">IF(INDEX(INDIRECT($A57), $B57+6, FP$6+2)=0, "", INDEX(INDIRECT($A57), $B57+6, FP$6+2))</f>
        <v>w</v>
      </c>
      <c r="FQ57" s="20" t="str">
        <f t="shared" ca="1" si="196"/>
        <v>w</v>
      </c>
      <c r="FR57" s="20" t="str">
        <f t="shared" ca="1" si="196"/>
        <v>w</v>
      </c>
      <c r="FS57" s="20" t="str">
        <f t="shared" ca="1" si="196"/>
        <v>w</v>
      </c>
      <c r="FT57" s="20" t="str">
        <f t="shared" ca="1" si="196"/>
        <v>w</v>
      </c>
      <c r="FU57" s="20" t="str">
        <f t="shared" ca="1" si="196"/>
        <v>w</v>
      </c>
      <c r="FV57" s="20" t="str">
        <f t="shared" ca="1" si="196"/>
        <v>w</v>
      </c>
      <c r="FW57" s="20" t="str">
        <f t="shared" ca="1" si="196"/>
        <v/>
      </c>
      <c r="FX57" s="20" t="str">
        <f t="shared" ca="1" si="196"/>
        <v>t</v>
      </c>
      <c r="FY57" s="20" t="str">
        <f t="shared" ca="1" si="196"/>
        <v>l</v>
      </c>
      <c r="FZ57" s="20" t="str">
        <f t="shared" ref="FZ57:GH62" ca="1" si="197">IF(INDEX(INDIRECT($A57), $B57+6, FZ$6+2)=0, "", INDEX(INDIRECT($A57), $B57+6, FZ$6+2))</f>
        <v>l</v>
      </c>
      <c r="GA57" s="20" t="str">
        <f t="shared" ca="1" si="197"/>
        <v/>
      </c>
      <c r="GB57" s="20" t="str">
        <f t="shared" ca="1" si="197"/>
        <v>l</v>
      </c>
      <c r="GC57" s="20" t="str">
        <f t="shared" ca="1" si="197"/>
        <v>w</v>
      </c>
      <c r="GD57" s="20" t="str">
        <f t="shared" ca="1" si="197"/>
        <v>l</v>
      </c>
      <c r="GE57" s="20" t="str">
        <f t="shared" ca="1" si="197"/>
        <v>l</v>
      </c>
      <c r="GF57" s="20" t="str">
        <f t="shared" ca="1" si="197"/>
        <v>l</v>
      </c>
      <c r="GG57" s="20" t="str">
        <f t="shared" ca="1" si="197"/>
        <v>w</v>
      </c>
      <c r="GH57" s="20" t="str">
        <f t="shared" ca="1" si="197"/>
        <v/>
      </c>
      <c r="GI57" s="34"/>
      <c r="HE57" s="34"/>
      <c r="HZ57" s="34"/>
      <c r="IA57" s="19" t="str">
        <f t="shared" ref="IA57:IA62" ca="1" si="198">IF(D57&lt;&gt;"","No Hdcp","")</f>
        <v>No Hdcp</v>
      </c>
      <c r="IB57" s="19" t="str">
        <f t="shared" ref="IB57:IB62" ca="1" si="199">IF(D57&lt;&gt;"","1@"&amp;$H57,"")</f>
        <v>1@</v>
      </c>
      <c r="IC57" s="19" t="str">
        <f t="shared" ref="IC57:IC62" ca="1" si="200">IF(D57&lt;&gt;"","2@"&amp;$I57&amp;","&amp;$H57,"")</f>
        <v>2@,</v>
      </c>
      <c r="ID57" s="19" t="str">
        <f t="shared" ref="ID57:ID62" ca="1" si="201">IF(D57&lt;&gt;"","3@"&amp;$J57&amp;","&amp;$I57&amp;","&amp;$H57,"")</f>
        <v>3@,,</v>
      </c>
      <c r="IE57" s="19" t="str">
        <f t="shared" ref="IE57:IE62" ca="1" si="202">IF(D57&lt;&gt;"","4@"&amp;$K57&amp;","&amp;$J57&amp;","&amp;$I57&amp;","&amp;$H57,"")</f>
        <v>4@,,,</v>
      </c>
      <c r="IF57" s="19"/>
      <c r="IG57" s="19"/>
      <c r="IH57" s="19"/>
      <c r="II57" s="19"/>
      <c r="IJ57" s="19"/>
      <c r="IK57" s="263" t="e">
        <f t="shared" ref="IK57:IK62" ca="1" si="203">IF(D57&lt;&gt;"",MIN(ROUND((AVERAGE($H57:$Q57)-$C$4)*0.9,2),20),"")</f>
        <v>#DIV/0!</v>
      </c>
      <c r="IL57" s="34"/>
    </row>
    <row r="58" spans="1:271" x14ac:dyDescent="0.2">
      <c r="A58" s="18" t="s">
        <v>31</v>
      </c>
      <c r="B58" s="19">
        <f>B57+7</f>
        <v>12</v>
      </c>
      <c r="C58" s="22">
        <f t="shared" ca="1" si="174"/>
        <v>8.9999999999999998E-4</v>
      </c>
      <c r="D58" s="18" t="str">
        <f ca="1">INDEX(INDIRECT($A58), $B58, 1)</f>
        <v>Blind Draw #2</v>
      </c>
      <c r="E58" s="19">
        <f t="shared" ca="1" si="175"/>
        <v>15</v>
      </c>
      <c r="F58" s="19">
        <v>0</v>
      </c>
      <c r="G58" s="21">
        <v>0</v>
      </c>
      <c r="H58" s="46"/>
      <c r="Q58" s="86"/>
      <c r="R58" s="21" t="str">
        <f t="shared" ca="1" si="176"/>
        <v/>
      </c>
      <c r="S58" s="47" t="str">
        <f t="shared" si="177"/>
        <v>-</v>
      </c>
      <c r="T58" s="21" t="str">
        <f ca="1">IF($D58&lt;&gt;"", IFERROR(IF($F58&gt;=qualifier, SUMIF($BT58:$CL58,0,$AP58:$BH58)/$F58, TEXT(SUMIF($BT58:$CL58,0,$AP58:$BH58)/$F58, "0.00")&amp;"*"), "-"), "")</f>
        <v>-</v>
      </c>
      <c r="U58" s="21">
        <f ca="1">IF($D58&lt;&gt;"", IFERROR(IF($E58&gt;=qualifier, SUMIF($BT58:$CL58,0,$CN58:$DF58)/$E58, TEXT(SUMIF($BT58:$CL58,0,$CN58:$DF58)/$E58, "0.00")&amp;"*"), "-"), "")</f>
        <v>35.466666666666669</v>
      </c>
      <c r="V58" s="46">
        <f ca="1">IF(AND($D58&lt;&gt;"", $E58&lt;&gt;0), _xlfn.MINIFS($AP58:$BH58,$BT58:$CL58,0,$AP58:$BH58,"&lt;&gt;0"), "")</f>
        <v>38</v>
      </c>
      <c r="W58" s="19">
        <f ca="1">IF(AND($D58&lt;&gt;"", $E58&lt;&gt;0), _xlfn.MINIFS($CN58:$DF58,$BT58:$CL58,0), "")</f>
        <v>38</v>
      </c>
      <c r="X58" s="46">
        <f t="shared" ca="1" si="178"/>
        <v>236</v>
      </c>
      <c r="Y58" s="21">
        <f ca="1">IF($D58&lt;&gt;"", IFERROR(IF($E58&gt;=qualifier, AVERAGE($DH58:$DZ58), TEXT(AVERAGE($DH58:$DZ58), "0.00")&amp;"*"), "-"), "")</f>
        <v>14.75</v>
      </c>
      <c r="Z58" s="19">
        <f t="shared" ca="1" si="179"/>
        <v>0</v>
      </c>
      <c r="AA58" s="19">
        <f t="shared" ca="1" si="180"/>
        <v>0</v>
      </c>
      <c r="AB58" s="46" t="str">
        <f t="shared" ca="1" si="181"/>
        <v>9-7-0</v>
      </c>
      <c r="AC58" s="218">
        <f t="shared" ca="1" si="182"/>
        <v>0</v>
      </c>
      <c r="AD58" s="57">
        <f t="shared" ca="1" si="183"/>
        <v>0</v>
      </c>
      <c r="AE58" s="34"/>
      <c r="AF58" s="341">
        <f ca="1">INDEX(PriorScores[],MATCH($D58,PriorScores[Team / Player],0),2)</f>
        <v>0</v>
      </c>
      <c r="AG58" s="341">
        <f ca="1">INDEX(PriorScores[],MATCH($D58,PriorScores[Team / Player],0),3)</f>
        <v>0</v>
      </c>
      <c r="AH58" s="341">
        <f ca="1">INDEX(PriorScores[],MATCH($D58,PriorScores[Team / Player],0),4)</f>
        <v>0</v>
      </c>
      <c r="AI58" s="341">
        <f ca="1">INDEX(PriorScores[],MATCH($D58,PriorScores[Team / Player],0),5)</f>
        <v>0</v>
      </c>
      <c r="AJ58" s="341">
        <f ca="1">INDEX(PriorScores[],MATCH($D58,PriorScores[Team / Player],0),6)</f>
        <v>0</v>
      </c>
      <c r="AK58" s="341">
        <f ca="1">INDEX(PriorScores[],MATCH($D58,PriorScores[Team / Player],0),7)</f>
        <v>0</v>
      </c>
      <c r="AL58" s="341">
        <f ca="1">INDEX(PriorScores[],MATCH($D58,PriorScores[Team / Player],0),8)</f>
        <v>0</v>
      </c>
      <c r="AM58" s="341">
        <f ca="1">INDEX(PriorScores[],MATCH($D58,PriorScores[Team / Player],0),9)</f>
        <v>0</v>
      </c>
      <c r="AN58" s="341">
        <f ca="1">INDEX(PriorScores[],MATCH($D58,PriorScores[Team / Player],0),10)</f>
        <v>0</v>
      </c>
      <c r="AO58" s="341">
        <f ca="1">INDEX(PriorScores[],MATCH($D58,PriorScores[Team / Player],0),11)</f>
        <v>0</v>
      </c>
      <c r="AP58" s="20">
        <f t="shared" ca="1" si="184"/>
        <v>38</v>
      </c>
      <c r="AQ58" s="20">
        <f t="shared" ca="1" si="184"/>
        <v>38</v>
      </c>
      <c r="AR58" s="20">
        <f t="shared" ca="1" si="184"/>
        <v>38</v>
      </c>
      <c r="AS58" s="20">
        <f t="shared" ca="1" si="184"/>
        <v>38</v>
      </c>
      <c r="AT58" s="20">
        <f t="shared" ca="1" si="184"/>
        <v>38</v>
      </c>
      <c r="AU58" s="20">
        <f t="shared" ca="1" si="184"/>
        <v>38</v>
      </c>
      <c r="AV58" s="20">
        <f t="shared" ca="1" si="184"/>
        <v>38</v>
      </c>
      <c r="AW58" s="20">
        <f t="shared" ca="1" si="184"/>
        <v>0</v>
      </c>
      <c r="AX58" s="20">
        <f t="shared" ca="1" si="184"/>
        <v>38</v>
      </c>
      <c r="AY58" s="20">
        <f t="shared" ca="1" si="184"/>
        <v>38</v>
      </c>
      <c r="AZ58" s="20">
        <f t="shared" ca="1" si="185"/>
        <v>38</v>
      </c>
      <c r="BA58" s="20">
        <f t="shared" ca="1" si="185"/>
        <v>0</v>
      </c>
      <c r="BB58" s="20">
        <f t="shared" ca="1" si="185"/>
        <v>38</v>
      </c>
      <c r="BC58" s="20">
        <f t="shared" ca="1" si="185"/>
        <v>38</v>
      </c>
      <c r="BD58" s="20">
        <f t="shared" ca="1" si="185"/>
        <v>0</v>
      </c>
      <c r="BE58" s="20">
        <f t="shared" ca="1" si="185"/>
        <v>38</v>
      </c>
      <c r="BF58" s="20">
        <f t="shared" ca="1" si="185"/>
        <v>38</v>
      </c>
      <c r="BG58" s="20">
        <f t="shared" ca="1" si="185"/>
        <v>228</v>
      </c>
      <c r="BH58" s="20">
        <f t="shared" ca="1" si="185"/>
        <v>0</v>
      </c>
      <c r="BI58" s="34"/>
      <c r="BJ58" s="341">
        <v>0</v>
      </c>
      <c r="BK58" s="341">
        <v>0</v>
      </c>
      <c r="BL58" s="341">
        <v>0</v>
      </c>
      <c r="BM58" s="341">
        <v>0</v>
      </c>
      <c r="BN58" s="341">
        <v>0</v>
      </c>
      <c r="BO58" s="341">
        <v>0</v>
      </c>
      <c r="BP58" s="341">
        <v>0</v>
      </c>
      <c r="BQ58" s="341">
        <v>0</v>
      </c>
      <c r="BR58" s="341">
        <v>0</v>
      </c>
      <c r="BS58" s="341">
        <v>0</v>
      </c>
      <c r="BT58" s="20">
        <f t="shared" ca="1" si="186"/>
        <v>0</v>
      </c>
      <c r="BU58" s="20">
        <f t="shared" ca="1" si="186"/>
        <v>0</v>
      </c>
      <c r="BV58" s="20">
        <f t="shared" ca="1" si="186"/>
        <v>0</v>
      </c>
      <c r="BW58" s="20">
        <f t="shared" ca="1" si="186"/>
        <v>0</v>
      </c>
      <c r="BX58" s="20">
        <f t="shared" ca="1" si="186"/>
        <v>0</v>
      </c>
      <c r="BY58" s="20">
        <f t="shared" ca="1" si="186"/>
        <v>0</v>
      </c>
      <c r="BZ58" s="20">
        <f t="shared" ca="1" si="186"/>
        <v>0</v>
      </c>
      <c r="CA58" s="20">
        <f t="shared" ca="1" si="186"/>
        <v>0</v>
      </c>
      <c r="CB58" s="20">
        <f t="shared" ca="1" si="186"/>
        <v>0</v>
      </c>
      <c r="CC58" s="20">
        <f t="shared" ca="1" si="186"/>
        <v>0</v>
      </c>
      <c r="CD58" s="20">
        <f t="shared" ca="1" si="187"/>
        <v>0</v>
      </c>
      <c r="CE58" s="20">
        <f t="shared" ca="1" si="187"/>
        <v>0</v>
      </c>
      <c r="CF58" s="20">
        <f t="shared" ca="1" si="187"/>
        <v>0</v>
      </c>
      <c r="CG58" s="20">
        <f t="shared" ca="1" si="187"/>
        <v>0</v>
      </c>
      <c r="CH58" s="20">
        <f t="shared" ca="1" si="187"/>
        <v>1</v>
      </c>
      <c r="CI58" s="20">
        <f t="shared" ca="1" si="187"/>
        <v>0</v>
      </c>
      <c r="CJ58" s="20">
        <f t="shared" ca="1" si="187"/>
        <v>0</v>
      </c>
      <c r="CK58" s="20">
        <f t="shared" ca="1" si="187"/>
        <v>6</v>
      </c>
      <c r="CL58" s="20">
        <f t="shared" ca="1" si="187"/>
        <v>0</v>
      </c>
      <c r="CM58" s="34"/>
      <c r="CN58" s="20">
        <f t="shared" ca="1" si="188"/>
        <v>38</v>
      </c>
      <c r="CO58" s="20">
        <f t="shared" ca="1" si="188"/>
        <v>38</v>
      </c>
      <c r="CP58" s="20">
        <f t="shared" ca="1" si="188"/>
        <v>38</v>
      </c>
      <c r="CQ58" s="20">
        <f t="shared" ca="1" si="188"/>
        <v>38</v>
      </c>
      <c r="CR58" s="20">
        <f t="shared" ca="1" si="188"/>
        <v>38</v>
      </c>
      <c r="CS58" s="20">
        <f t="shared" ca="1" si="188"/>
        <v>38</v>
      </c>
      <c r="CT58" s="20">
        <f t="shared" ca="1" si="188"/>
        <v>38</v>
      </c>
      <c r="CU58" s="20" t="str">
        <f t="shared" ca="1" si="188"/>
        <v/>
      </c>
      <c r="CV58" s="20">
        <f t="shared" ca="1" si="188"/>
        <v>38</v>
      </c>
      <c r="CW58" s="20">
        <f t="shared" ca="1" si="188"/>
        <v>38</v>
      </c>
      <c r="CX58" s="20">
        <f t="shared" ca="1" si="189"/>
        <v>38</v>
      </c>
      <c r="CY58" s="20" t="str">
        <f t="shared" ca="1" si="189"/>
        <v/>
      </c>
      <c r="CZ58" s="20">
        <f t="shared" ca="1" si="189"/>
        <v>38</v>
      </c>
      <c r="DA58" s="20">
        <f t="shared" ca="1" si="189"/>
        <v>38</v>
      </c>
      <c r="DB58" s="20" t="str">
        <f t="shared" ca="1" si="189"/>
        <v/>
      </c>
      <c r="DC58" s="20">
        <f t="shared" ca="1" si="189"/>
        <v>38</v>
      </c>
      <c r="DD58" s="20">
        <f t="shared" ca="1" si="189"/>
        <v>38</v>
      </c>
      <c r="DE58" s="20">
        <f t="shared" ca="1" si="189"/>
        <v>228</v>
      </c>
      <c r="DF58" s="20" t="str">
        <f t="shared" ca="1" si="189"/>
        <v/>
      </c>
      <c r="DG58" s="34"/>
      <c r="DH58" s="20">
        <f t="shared" ca="1" si="190"/>
        <v>11</v>
      </c>
      <c r="DI58" s="20">
        <f t="shared" ca="1" si="190"/>
        <v>14</v>
      </c>
      <c r="DJ58" s="20">
        <f t="shared" ca="1" si="190"/>
        <v>16</v>
      </c>
      <c r="DK58" s="20">
        <f t="shared" ca="1" si="190"/>
        <v>17</v>
      </c>
      <c r="DL58" s="20">
        <f t="shared" ca="1" si="190"/>
        <v>14</v>
      </c>
      <c r="DM58" s="20">
        <f t="shared" ca="1" si="190"/>
        <v>12</v>
      </c>
      <c r="DN58" s="20">
        <f t="shared" ca="1" si="190"/>
        <v>8</v>
      </c>
      <c r="DO58" s="20" t="str">
        <f t="shared" ca="1" si="190"/>
        <v/>
      </c>
      <c r="DP58" s="20">
        <f t="shared" ca="1" si="190"/>
        <v>16</v>
      </c>
      <c r="DQ58" s="20">
        <f t="shared" ca="1" si="190"/>
        <v>9</v>
      </c>
      <c r="DR58" s="20">
        <f t="shared" ca="1" si="191"/>
        <v>7</v>
      </c>
      <c r="DS58" s="20" t="str">
        <f t="shared" ca="1" si="191"/>
        <v/>
      </c>
      <c r="DT58" s="20">
        <f t="shared" ca="1" si="191"/>
        <v>13</v>
      </c>
      <c r="DU58" s="20">
        <f t="shared" ca="1" si="191"/>
        <v>9</v>
      </c>
      <c r="DV58" s="20">
        <f t="shared" ca="1" si="191"/>
        <v>7</v>
      </c>
      <c r="DW58" s="20">
        <f t="shared" ca="1" si="191"/>
        <v>8</v>
      </c>
      <c r="DX58" s="20">
        <f t="shared" ca="1" si="191"/>
        <v>6</v>
      </c>
      <c r="DY58" s="20">
        <f t="shared" ca="1" si="191"/>
        <v>69</v>
      </c>
      <c r="DZ58" s="20" t="str">
        <f t="shared" ca="1" si="191"/>
        <v/>
      </c>
      <c r="EA58" s="34"/>
      <c r="EB58" s="20" t="str">
        <f t="shared" ca="1" si="192"/>
        <v/>
      </c>
      <c r="EC58" s="20" t="str">
        <f t="shared" ca="1" si="192"/>
        <v/>
      </c>
      <c r="ED58" s="20" t="str">
        <f t="shared" ca="1" si="192"/>
        <v/>
      </c>
      <c r="EE58" s="20" t="str">
        <f t="shared" ca="1" si="192"/>
        <v/>
      </c>
      <c r="EF58" s="20" t="str">
        <f t="shared" ca="1" si="192"/>
        <v/>
      </c>
      <c r="EG58" s="20" t="str">
        <f t="shared" ca="1" si="192"/>
        <v/>
      </c>
      <c r="EH58" s="20" t="str">
        <f t="shared" ca="1" si="192"/>
        <v/>
      </c>
      <c r="EI58" s="20" t="str">
        <f t="shared" ca="1" si="192"/>
        <v/>
      </c>
      <c r="EJ58" s="20" t="str">
        <f t="shared" ca="1" si="192"/>
        <v/>
      </c>
      <c r="EK58" s="20" t="str">
        <f t="shared" ca="1" si="192"/>
        <v/>
      </c>
      <c r="EL58" s="20" t="str">
        <f t="shared" ca="1" si="193"/>
        <v/>
      </c>
      <c r="EM58" s="20" t="str">
        <f t="shared" ca="1" si="193"/>
        <v/>
      </c>
      <c r="EN58" s="20" t="str">
        <f t="shared" ca="1" si="193"/>
        <v/>
      </c>
      <c r="EO58" s="20" t="str">
        <f t="shared" ca="1" si="193"/>
        <v/>
      </c>
      <c r="EP58" s="20" t="str">
        <f t="shared" ca="1" si="193"/>
        <v/>
      </c>
      <c r="EQ58" s="20" t="str">
        <f t="shared" ca="1" si="193"/>
        <v/>
      </c>
      <c r="ER58" s="20" t="str">
        <f t="shared" ca="1" si="193"/>
        <v/>
      </c>
      <c r="ES58" s="20" t="str">
        <f t="shared" ca="1" si="193"/>
        <v/>
      </c>
      <c r="ET58" s="20" t="str">
        <f t="shared" ca="1" si="193"/>
        <v/>
      </c>
      <c r="EU58" s="34"/>
      <c r="EV58" s="20" t="str">
        <f t="shared" ca="1" si="194"/>
        <v/>
      </c>
      <c r="EW58" s="20" t="str">
        <f t="shared" ca="1" si="194"/>
        <v/>
      </c>
      <c r="EX58" s="20" t="str">
        <f t="shared" ca="1" si="194"/>
        <v/>
      </c>
      <c r="EY58" s="20" t="str">
        <f t="shared" ca="1" si="194"/>
        <v/>
      </c>
      <c r="EZ58" s="20" t="str">
        <f t="shared" ca="1" si="194"/>
        <v/>
      </c>
      <c r="FA58" s="20" t="str">
        <f t="shared" ca="1" si="194"/>
        <v/>
      </c>
      <c r="FB58" s="20" t="str">
        <f t="shared" ca="1" si="194"/>
        <v/>
      </c>
      <c r="FC58" s="20" t="str">
        <f t="shared" ca="1" si="194"/>
        <v/>
      </c>
      <c r="FD58" s="20" t="str">
        <f t="shared" ca="1" si="194"/>
        <v/>
      </c>
      <c r="FE58" s="20" t="str">
        <f t="shared" ca="1" si="194"/>
        <v/>
      </c>
      <c r="FF58" s="20" t="str">
        <f t="shared" ca="1" si="195"/>
        <v/>
      </c>
      <c r="FG58" s="20" t="str">
        <f t="shared" ca="1" si="195"/>
        <v/>
      </c>
      <c r="FH58" s="20" t="str">
        <f t="shared" ca="1" si="195"/>
        <v/>
      </c>
      <c r="FI58" s="20" t="str">
        <f t="shared" ca="1" si="195"/>
        <v/>
      </c>
      <c r="FJ58" s="20" t="str">
        <f t="shared" ca="1" si="195"/>
        <v/>
      </c>
      <c r="FK58" s="20" t="str">
        <f t="shared" ca="1" si="195"/>
        <v/>
      </c>
      <c r="FL58" s="20" t="str">
        <f t="shared" ca="1" si="195"/>
        <v/>
      </c>
      <c r="FM58" s="20" t="str">
        <f t="shared" ca="1" si="195"/>
        <v/>
      </c>
      <c r="FN58" s="20" t="str">
        <f t="shared" ca="1" si="195"/>
        <v/>
      </c>
      <c r="FO58" s="34"/>
      <c r="FP58" s="20" t="str">
        <f t="shared" ca="1" si="196"/>
        <v>w</v>
      </c>
      <c r="FQ58" s="20" t="str">
        <f t="shared" ca="1" si="196"/>
        <v>w</v>
      </c>
      <c r="FR58" s="20" t="str">
        <f t="shared" ca="1" si="196"/>
        <v>w</v>
      </c>
      <c r="FS58" s="20" t="str">
        <f t="shared" ca="1" si="196"/>
        <v>w</v>
      </c>
      <c r="FT58" s="20" t="str">
        <f t="shared" ca="1" si="196"/>
        <v>w</v>
      </c>
      <c r="FU58" s="20" t="str">
        <f t="shared" ca="1" si="196"/>
        <v>w</v>
      </c>
      <c r="FV58" s="20" t="str">
        <f t="shared" ca="1" si="196"/>
        <v>l</v>
      </c>
      <c r="FW58" s="20" t="str">
        <f t="shared" ca="1" si="196"/>
        <v/>
      </c>
      <c r="FX58" s="20" t="str">
        <f t="shared" ca="1" si="196"/>
        <v>w</v>
      </c>
      <c r="FY58" s="20" t="str">
        <f t="shared" ca="1" si="196"/>
        <v>l</v>
      </c>
      <c r="FZ58" s="20" t="str">
        <f t="shared" ca="1" si="197"/>
        <v>l</v>
      </c>
      <c r="GA58" s="20" t="str">
        <f t="shared" ca="1" si="197"/>
        <v/>
      </c>
      <c r="GB58" s="20" t="str">
        <f t="shared" ca="1" si="197"/>
        <v>w</v>
      </c>
      <c r="GC58" s="20" t="str">
        <f t="shared" ca="1" si="197"/>
        <v>l</v>
      </c>
      <c r="GD58" s="20" t="str">
        <f t="shared" ca="1" si="197"/>
        <v>l</v>
      </c>
      <c r="GE58" s="20" t="str">
        <f t="shared" ca="1" si="197"/>
        <v>l</v>
      </c>
      <c r="GF58" s="20" t="str">
        <f t="shared" ca="1" si="197"/>
        <v>l</v>
      </c>
      <c r="GG58" s="20" t="str">
        <f t="shared" ca="1" si="197"/>
        <v>w</v>
      </c>
      <c r="GH58" s="20" t="str">
        <f t="shared" ca="1" si="197"/>
        <v/>
      </c>
      <c r="GI58" s="34"/>
      <c r="HE58" s="34"/>
      <c r="HZ58" s="34"/>
      <c r="IA58" s="19" t="str">
        <f t="shared" ca="1" si="198"/>
        <v>No Hdcp</v>
      </c>
      <c r="IB58" s="19" t="str">
        <f t="shared" ca="1" si="199"/>
        <v>1@</v>
      </c>
      <c r="IC58" s="19" t="str">
        <f t="shared" ca="1" si="200"/>
        <v>2@,</v>
      </c>
      <c r="ID58" s="19" t="str">
        <f t="shared" ca="1" si="201"/>
        <v>3@,,</v>
      </c>
      <c r="IE58" s="19" t="str">
        <f t="shared" ca="1" si="202"/>
        <v>4@,,,</v>
      </c>
      <c r="IF58" s="19"/>
      <c r="IG58" s="19"/>
      <c r="IH58" s="19"/>
      <c r="II58" s="19"/>
      <c r="IJ58" s="19"/>
      <c r="IK58" s="263" t="e">
        <f t="shared" ca="1" si="203"/>
        <v>#DIV/0!</v>
      </c>
      <c r="IL58" s="34"/>
    </row>
    <row r="59" spans="1:271" x14ac:dyDescent="0.2">
      <c r="A59" s="18" t="s">
        <v>31</v>
      </c>
      <c r="B59" s="19">
        <f>B58+7</f>
        <v>19</v>
      </c>
      <c r="C59" s="22">
        <f t="shared" ca="1" si="174"/>
        <v>1E-3</v>
      </c>
      <c r="D59" s="18" t="str">
        <f ca="1">INDEX(INDIRECT($A59), $B59, 1)</f>
        <v>Blind Draw #3</v>
      </c>
      <c r="E59" s="19">
        <f t="shared" ca="1" si="175"/>
        <v>15</v>
      </c>
      <c r="F59" s="19">
        <v>0</v>
      </c>
      <c r="G59" s="21">
        <v>0</v>
      </c>
      <c r="H59" s="46"/>
      <c r="Q59" s="86"/>
      <c r="R59" s="21" t="str">
        <f t="shared" ca="1" si="176"/>
        <v/>
      </c>
      <c r="S59" s="47" t="str">
        <f t="shared" si="177"/>
        <v>-</v>
      </c>
      <c r="T59" s="21" t="str">
        <f ca="1">IF($D59&lt;&gt;"", IFERROR(IF($F59&gt;=qualifier, SUMIF($BT59:$CL59,0,$AP59:$BH59)/$F59, TEXT(SUMIF($BT59:$CL59,0,$AP59:$BH59)/$F59, "0.00")&amp;"*"), "-"), "")</f>
        <v>-</v>
      </c>
      <c r="U59" s="21">
        <f ca="1">IF($D59&lt;&gt;"", IFERROR(IF($E59&gt;=qualifier, SUMIF($BT59:$CL59,0,$CN59:$DF59)/$E59, TEXT(SUMIF($BT59:$CL59,0,$CN59:$DF59)/$E59, "0.00")&amp;"*"), "-"), "")</f>
        <v>35.466666666666669</v>
      </c>
      <c r="V59" s="46">
        <f ca="1">IF(AND($D59&lt;&gt;"", $E59&lt;&gt;0), _xlfn.MINIFS($AP59:$BH59,$BT59:$CL59,0,$AP59:$BH59,"&lt;&gt;0"), "")</f>
        <v>38</v>
      </c>
      <c r="W59" s="19">
        <f ca="1">IF(AND($D59&lt;&gt;"", $E59&lt;&gt;0), _xlfn.MINIFS($CN59:$DF59,$BT59:$CL59,0), "")</f>
        <v>38</v>
      </c>
      <c r="X59" s="46">
        <f t="shared" ca="1" si="178"/>
        <v>208</v>
      </c>
      <c r="Y59" s="21">
        <f ca="1">IF($D59&lt;&gt;"", IFERROR(IF($E59&gt;=qualifier, AVERAGE($DH59:$DZ59), TEXT(AVERAGE($DH59:$DZ59), "0.00")&amp;"*"), "-"), "")</f>
        <v>13</v>
      </c>
      <c r="Z59" s="19">
        <f t="shared" ca="1" si="179"/>
        <v>0</v>
      </c>
      <c r="AA59" s="19">
        <f t="shared" ca="1" si="180"/>
        <v>0</v>
      </c>
      <c r="AB59" s="46" t="str">
        <f t="shared" ca="1" si="181"/>
        <v>8-7-1</v>
      </c>
      <c r="AC59" s="218">
        <f t="shared" ca="1" si="182"/>
        <v>0</v>
      </c>
      <c r="AD59" s="57">
        <f t="shared" ca="1" si="183"/>
        <v>0</v>
      </c>
      <c r="AE59" s="34"/>
      <c r="AF59" s="341">
        <f ca="1">INDEX(PriorScores[],MATCH($D59,PriorScores[Team / Player],0),2)</f>
        <v>0</v>
      </c>
      <c r="AG59" s="341">
        <f ca="1">INDEX(PriorScores[],MATCH($D59,PriorScores[Team / Player],0),3)</f>
        <v>0</v>
      </c>
      <c r="AH59" s="341">
        <f ca="1">INDEX(PriorScores[],MATCH($D59,PriorScores[Team / Player],0),4)</f>
        <v>0</v>
      </c>
      <c r="AI59" s="341">
        <f ca="1">INDEX(PriorScores[],MATCH($D59,PriorScores[Team / Player],0),5)</f>
        <v>0</v>
      </c>
      <c r="AJ59" s="341">
        <f ca="1">INDEX(PriorScores[],MATCH($D59,PriorScores[Team / Player],0),6)</f>
        <v>0</v>
      </c>
      <c r="AK59" s="341">
        <f ca="1">INDEX(PriorScores[],MATCH($D59,PriorScores[Team / Player],0),7)</f>
        <v>0</v>
      </c>
      <c r="AL59" s="341">
        <f ca="1">INDEX(PriorScores[],MATCH($D59,PriorScores[Team / Player],0),8)</f>
        <v>0</v>
      </c>
      <c r="AM59" s="341">
        <f ca="1">INDEX(PriorScores[],MATCH($D59,PriorScores[Team / Player],0),9)</f>
        <v>0</v>
      </c>
      <c r="AN59" s="341">
        <f ca="1">INDEX(PriorScores[],MATCH($D59,PriorScores[Team / Player],0),10)</f>
        <v>0</v>
      </c>
      <c r="AO59" s="341">
        <f ca="1">INDEX(PriorScores[],MATCH($D59,PriorScores[Team / Player],0),11)</f>
        <v>0</v>
      </c>
      <c r="AP59" s="20">
        <f t="shared" ca="1" si="184"/>
        <v>38</v>
      </c>
      <c r="AQ59" s="20">
        <f t="shared" ca="1" si="184"/>
        <v>38</v>
      </c>
      <c r="AR59" s="20">
        <f t="shared" ca="1" si="184"/>
        <v>38</v>
      </c>
      <c r="AS59" s="20">
        <f t="shared" ca="1" si="184"/>
        <v>38</v>
      </c>
      <c r="AT59" s="20">
        <f t="shared" ca="1" si="184"/>
        <v>38</v>
      </c>
      <c r="AU59" s="20">
        <f t="shared" ca="1" si="184"/>
        <v>38</v>
      </c>
      <c r="AV59" s="20">
        <f t="shared" ca="1" si="184"/>
        <v>38</v>
      </c>
      <c r="AW59" s="20">
        <f t="shared" ca="1" si="184"/>
        <v>0</v>
      </c>
      <c r="AX59" s="20">
        <f t="shared" ca="1" si="184"/>
        <v>38</v>
      </c>
      <c r="AY59" s="20">
        <f t="shared" ca="1" si="184"/>
        <v>38</v>
      </c>
      <c r="AZ59" s="20">
        <f t="shared" ca="1" si="185"/>
        <v>38</v>
      </c>
      <c r="BA59" s="20">
        <f t="shared" ca="1" si="185"/>
        <v>0</v>
      </c>
      <c r="BB59" s="20">
        <f t="shared" ca="1" si="185"/>
        <v>38</v>
      </c>
      <c r="BC59" s="20">
        <f t="shared" ca="1" si="185"/>
        <v>38</v>
      </c>
      <c r="BD59" s="20">
        <f t="shared" ca="1" si="185"/>
        <v>0</v>
      </c>
      <c r="BE59" s="20">
        <f t="shared" ca="1" si="185"/>
        <v>38</v>
      </c>
      <c r="BF59" s="20">
        <f t="shared" ca="1" si="185"/>
        <v>38</v>
      </c>
      <c r="BG59" s="20">
        <f t="shared" ca="1" si="185"/>
        <v>228</v>
      </c>
      <c r="BH59" s="20">
        <f t="shared" ca="1" si="185"/>
        <v>0</v>
      </c>
      <c r="BI59" s="34"/>
      <c r="BJ59" s="341">
        <v>0</v>
      </c>
      <c r="BK59" s="341">
        <v>0</v>
      </c>
      <c r="BL59" s="341">
        <v>0</v>
      </c>
      <c r="BM59" s="341">
        <v>0</v>
      </c>
      <c r="BN59" s="341">
        <v>0</v>
      </c>
      <c r="BO59" s="341">
        <v>0</v>
      </c>
      <c r="BP59" s="341">
        <v>0</v>
      </c>
      <c r="BQ59" s="341">
        <v>0</v>
      </c>
      <c r="BR59" s="341">
        <v>0</v>
      </c>
      <c r="BS59" s="341">
        <v>0</v>
      </c>
      <c r="BT59" s="20">
        <f t="shared" ca="1" si="186"/>
        <v>0</v>
      </c>
      <c r="BU59" s="20">
        <f t="shared" ca="1" si="186"/>
        <v>0</v>
      </c>
      <c r="BV59" s="20">
        <f t="shared" ca="1" si="186"/>
        <v>0</v>
      </c>
      <c r="BW59" s="20">
        <f t="shared" ca="1" si="186"/>
        <v>0</v>
      </c>
      <c r="BX59" s="20">
        <f t="shared" ca="1" si="186"/>
        <v>0</v>
      </c>
      <c r="BY59" s="20">
        <f t="shared" ca="1" si="186"/>
        <v>0</v>
      </c>
      <c r="BZ59" s="20">
        <f t="shared" ca="1" si="186"/>
        <v>0</v>
      </c>
      <c r="CA59" s="20">
        <f t="shared" ca="1" si="186"/>
        <v>0</v>
      </c>
      <c r="CB59" s="20">
        <f t="shared" ca="1" si="186"/>
        <v>0</v>
      </c>
      <c r="CC59" s="20">
        <f t="shared" ca="1" si="186"/>
        <v>0</v>
      </c>
      <c r="CD59" s="20">
        <f t="shared" ca="1" si="187"/>
        <v>0</v>
      </c>
      <c r="CE59" s="20">
        <f t="shared" ca="1" si="187"/>
        <v>0</v>
      </c>
      <c r="CF59" s="20">
        <f t="shared" ca="1" si="187"/>
        <v>0</v>
      </c>
      <c r="CG59" s="20">
        <f t="shared" ca="1" si="187"/>
        <v>0</v>
      </c>
      <c r="CH59" s="20">
        <f t="shared" ca="1" si="187"/>
        <v>1</v>
      </c>
      <c r="CI59" s="20">
        <f t="shared" ca="1" si="187"/>
        <v>0</v>
      </c>
      <c r="CJ59" s="20">
        <f t="shared" ca="1" si="187"/>
        <v>0</v>
      </c>
      <c r="CK59" s="20">
        <f t="shared" ca="1" si="187"/>
        <v>6</v>
      </c>
      <c r="CL59" s="20">
        <f t="shared" ca="1" si="187"/>
        <v>0</v>
      </c>
      <c r="CM59" s="34"/>
      <c r="CN59" s="20">
        <f t="shared" ca="1" si="188"/>
        <v>38</v>
      </c>
      <c r="CO59" s="20">
        <f t="shared" ca="1" si="188"/>
        <v>38</v>
      </c>
      <c r="CP59" s="20">
        <f t="shared" ca="1" si="188"/>
        <v>38</v>
      </c>
      <c r="CQ59" s="20">
        <f t="shared" ca="1" si="188"/>
        <v>38</v>
      </c>
      <c r="CR59" s="20">
        <f t="shared" ca="1" si="188"/>
        <v>38</v>
      </c>
      <c r="CS59" s="20">
        <f t="shared" ca="1" si="188"/>
        <v>38</v>
      </c>
      <c r="CT59" s="20">
        <f t="shared" ca="1" si="188"/>
        <v>38</v>
      </c>
      <c r="CU59" s="20" t="str">
        <f t="shared" ca="1" si="188"/>
        <v/>
      </c>
      <c r="CV59" s="20">
        <f t="shared" ca="1" si="188"/>
        <v>38</v>
      </c>
      <c r="CW59" s="20">
        <f t="shared" ca="1" si="188"/>
        <v>38</v>
      </c>
      <c r="CX59" s="20">
        <f t="shared" ca="1" si="189"/>
        <v>38</v>
      </c>
      <c r="CY59" s="20" t="str">
        <f t="shared" ca="1" si="189"/>
        <v/>
      </c>
      <c r="CZ59" s="20">
        <f t="shared" ca="1" si="189"/>
        <v>38</v>
      </c>
      <c r="DA59" s="20">
        <f t="shared" ca="1" si="189"/>
        <v>38</v>
      </c>
      <c r="DB59" s="20" t="str">
        <f t="shared" ca="1" si="189"/>
        <v/>
      </c>
      <c r="DC59" s="20">
        <f t="shared" ca="1" si="189"/>
        <v>38</v>
      </c>
      <c r="DD59" s="20">
        <f t="shared" ca="1" si="189"/>
        <v>38</v>
      </c>
      <c r="DE59" s="20">
        <f t="shared" ca="1" si="189"/>
        <v>228</v>
      </c>
      <c r="DF59" s="20" t="str">
        <f t="shared" ca="1" si="189"/>
        <v/>
      </c>
      <c r="DG59" s="34"/>
      <c r="DH59" s="20">
        <f t="shared" ca="1" si="190"/>
        <v>14</v>
      </c>
      <c r="DI59" s="20">
        <f t="shared" ca="1" si="190"/>
        <v>11</v>
      </c>
      <c r="DJ59" s="20">
        <f t="shared" ca="1" si="190"/>
        <v>16</v>
      </c>
      <c r="DK59" s="20">
        <f t="shared" ca="1" si="190"/>
        <v>10</v>
      </c>
      <c r="DL59" s="20">
        <f t="shared" ca="1" si="190"/>
        <v>11</v>
      </c>
      <c r="DM59" s="20">
        <f t="shared" ca="1" si="190"/>
        <v>9</v>
      </c>
      <c r="DN59" s="20">
        <f t="shared" ca="1" si="190"/>
        <v>13</v>
      </c>
      <c r="DO59" s="20" t="str">
        <f t="shared" ca="1" si="190"/>
        <v/>
      </c>
      <c r="DP59" s="20">
        <f t="shared" ca="1" si="190"/>
        <v>4</v>
      </c>
      <c r="DQ59" s="20">
        <f t="shared" ca="1" si="190"/>
        <v>9</v>
      </c>
      <c r="DR59" s="20">
        <f t="shared" ca="1" si="191"/>
        <v>15</v>
      </c>
      <c r="DS59" s="20" t="str">
        <f t="shared" ca="1" si="191"/>
        <v/>
      </c>
      <c r="DT59" s="20">
        <f t="shared" ca="1" si="191"/>
        <v>7</v>
      </c>
      <c r="DU59" s="20">
        <f t="shared" ca="1" si="191"/>
        <v>12</v>
      </c>
      <c r="DV59" s="20">
        <f t="shared" ca="1" si="191"/>
        <v>6</v>
      </c>
      <c r="DW59" s="20">
        <f t="shared" ca="1" si="191"/>
        <v>9</v>
      </c>
      <c r="DX59" s="20">
        <f t="shared" ca="1" si="191"/>
        <v>6</v>
      </c>
      <c r="DY59" s="20">
        <f t="shared" ca="1" si="191"/>
        <v>56</v>
      </c>
      <c r="DZ59" s="20" t="str">
        <f t="shared" ca="1" si="191"/>
        <v/>
      </c>
      <c r="EA59" s="34"/>
      <c r="EB59" s="20" t="str">
        <f t="shared" ca="1" si="192"/>
        <v/>
      </c>
      <c r="EC59" s="20" t="str">
        <f t="shared" ca="1" si="192"/>
        <v/>
      </c>
      <c r="ED59" s="20" t="str">
        <f t="shared" ca="1" si="192"/>
        <v/>
      </c>
      <c r="EE59" s="20" t="str">
        <f t="shared" ca="1" si="192"/>
        <v/>
      </c>
      <c r="EF59" s="20" t="str">
        <f t="shared" ca="1" si="192"/>
        <v/>
      </c>
      <c r="EG59" s="20" t="str">
        <f t="shared" ca="1" si="192"/>
        <v/>
      </c>
      <c r="EH59" s="20" t="str">
        <f t="shared" ca="1" si="192"/>
        <v/>
      </c>
      <c r="EI59" s="20" t="str">
        <f t="shared" ca="1" si="192"/>
        <v/>
      </c>
      <c r="EJ59" s="20" t="str">
        <f t="shared" ca="1" si="192"/>
        <v/>
      </c>
      <c r="EK59" s="20" t="str">
        <f t="shared" ca="1" si="192"/>
        <v/>
      </c>
      <c r="EL59" s="20" t="str">
        <f t="shared" ca="1" si="193"/>
        <v/>
      </c>
      <c r="EM59" s="20" t="str">
        <f t="shared" ca="1" si="193"/>
        <v/>
      </c>
      <c r="EN59" s="20" t="str">
        <f t="shared" ca="1" si="193"/>
        <v/>
      </c>
      <c r="EO59" s="20" t="str">
        <f t="shared" ca="1" si="193"/>
        <v/>
      </c>
      <c r="EP59" s="20" t="str">
        <f t="shared" ca="1" si="193"/>
        <v/>
      </c>
      <c r="EQ59" s="20" t="str">
        <f t="shared" ca="1" si="193"/>
        <v/>
      </c>
      <c r="ER59" s="20" t="str">
        <f t="shared" ca="1" si="193"/>
        <v/>
      </c>
      <c r="ES59" s="20" t="str">
        <f t="shared" ca="1" si="193"/>
        <v/>
      </c>
      <c r="ET59" s="20" t="str">
        <f t="shared" ca="1" si="193"/>
        <v/>
      </c>
      <c r="EU59" s="34"/>
      <c r="EV59" s="20" t="str">
        <f t="shared" ca="1" si="194"/>
        <v/>
      </c>
      <c r="EW59" s="20" t="str">
        <f t="shared" ca="1" si="194"/>
        <v/>
      </c>
      <c r="EX59" s="20" t="str">
        <f t="shared" ca="1" si="194"/>
        <v/>
      </c>
      <c r="EY59" s="20" t="str">
        <f t="shared" ca="1" si="194"/>
        <v/>
      </c>
      <c r="EZ59" s="20" t="str">
        <f t="shared" ca="1" si="194"/>
        <v/>
      </c>
      <c r="FA59" s="20" t="str">
        <f t="shared" ca="1" si="194"/>
        <v/>
      </c>
      <c r="FB59" s="20" t="str">
        <f t="shared" ca="1" si="194"/>
        <v/>
      </c>
      <c r="FC59" s="20" t="str">
        <f t="shared" ca="1" si="194"/>
        <v/>
      </c>
      <c r="FD59" s="20" t="str">
        <f t="shared" ca="1" si="194"/>
        <v/>
      </c>
      <c r="FE59" s="20" t="str">
        <f t="shared" ca="1" si="194"/>
        <v/>
      </c>
      <c r="FF59" s="20" t="str">
        <f t="shared" ca="1" si="195"/>
        <v/>
      </c>
      <c r="FG59" s="20" t="str">
        <f t="shared" ca="1" si="195"/>
        <v/>
      </c>
      <c r="FH59" s="20" t="str">
        <f t="shared" ca="1" si="195"/>
        <v/>
      </c>
      <c r="FI59" s="20" t="str">
        <f t="shared" ca="1" si="195"/>
        <v/>
      </c>
      <c r="FJ59" s="20" t="str">
        <f t="shared" ca="1" si="195"/>
        <v/>
      </c>
      <c r="FK59" s="20" t="str">
        <f t="shared" ca="1" si="195"/>
        <v/>
      </c>
      <c r="FL59" s="20" t="str">
        <f t="shared" ca="1" si="195"/>
        <v/>
      </c>
      <c r="FM59" s="20" t="str">
        <f t="shared" ca="1" si="195"/>
        <v/>
      </c>
      <c r="FN59" s="20" t="str">
        <f t="shared" ca="1" si="195"/>
        <v/>
      </c>
      <c r="FO59" s="34"/>
      <c r="FP59" s="20" t="str">
        <f t="shared" ca="1" si="196"/>
        <v>w</v>
      </c>
      <c r="FQ59" s="20" t="str">
        <f t="shared" ca="1" si="196"/>
        <v>w</v>
      </c>
      <c r="FR59" s="20" t="str">
        <f t="shared" ca="1" si="196"/>
        <v>w</v>
      </c>
      <c r="FS59" s="20" t="str">
        <f t="shared" ca="1" si="196"/>
        <v>t</v>
      </c>
      <c r="FT59" s="20" t="str">
        <f t="shared" ca="1" si="196"/>
        <v>w</v>
      </c>
      <c r="FU59" s="20" t="str">
        <f t="shared" ca="1" si="196"/>
        <v>l</v>
      </c>
      <c r="FV59" s="20" t="str">
        <f t="shared" ca="1" si="196"/>
        <v>w</v>
      </c>
      <c r="FW59" s="20" t="str">
        <f t="shared" ca="1" si="196"/>
        <v/>
      </c>
      <c r="FX59" s="20" t="str">
        <f t="shared" ca="1" si="196"/>
        <v>l</v>
      </c>
      <c r="FY59" s="20" t="str">
        <f t="shared" ca="1" si="196"/>
        <v>l</v>
      </c>
      <c r="FZ59" s="20" t="str">
        <f t="shared" ca="1" si="197"/>
        <v>w</v>
      </c>
      <c r="GA59" s="20" t="str">
        <f t="shared" ca="1" si="197"/>
        <v/>
      </c>
      <c r="GB59" s="20" t="str">
        <f t="shared" ca="1" si="197"/>
        <v>l</v>
      </c>
      <c r="GC59" s="20" t="str">
        <f t="shared" ca="1" si="197"/>
        <v>w</v>
      </c>
      <c r="GD59" s="20" t="str">
        <f t="shared" ca="1" si="197"/>
        <v>l</v>
      </c>
      <c r="GE59" s="20" t="str">
        <f t="shared" ca="1" si="197"/>
        <v>l</v>
      </c>
      <c r="GF59" s="20" t="str">
        <f t="shared" ca="1" si="197"/>
        <v>l</v>
      </c>
      <c r="GG59" s="20" t="str">
        <f t="shared" ca="1" si="197"/>
        <v>w</v>
      </c>
      <c r="GH59" s="20" t="str">
        <f t="shared" ca="1" si="197"/>
        <v/>
      </c>
      <c r="GI59" s="34"/>
      <c r="HE59" s="34"/>
      <c r="HZ59" s="34"/>
      <c r="IA59" s="19" t="str">
        <f t="shared" ca="1" si="198"/>
        <v>No Hdcp</v>
      </c>
      <c r="IB59" s="19" t="str">
        <f t="shared" ca="1" si="199"/>
        <v>1@</v>
      </c>
      <c r="IC59" s="19" t="str">
        <f t="shared" ca="1" si="200"/>
        <v>2@,</v>
      </c>
      <c r="ID59" s="19" t="str">
        <f t="shared" ca="1" si="201"/>
        <v>3@,,</v>
      </c>
      <c r="IE59" s="19" t="str">
        <f t="shared" ca="1" si="202"/>
        <v>4@,,,</v>
      </c>
      <c r="IF59" s="19"/>
      <c r="IG59" s="19"/>
      <c r="IH59" s="19"/>
      <c r="II59" s="19"/>
      <c r="IJ59" s="19"/>
      <c r="IK59" s="263" t="e">
        <f t="shared" ca="1" si="203"/>
        <v>#DIV/0!</v>
      </c>
      <c r="IL59" s="34"/>
    </row>
    <row r="60" spans="1:271" x14ac:dyDescent="0.2">
      <c r="A60" s="18" t="s">
        <v>31</v>
      </c>
      <c r="B60" s="19">
        <f>B59+7</f>
        <v>26</v>
      </c>
      <c r="C60" s="22">
        <f t="shared" ca="1" si="174"/>
        <v>1.1000000000000001E-3</v>
      </c>
      <c r="D60" s="18" t="str">
        <f ca="1">INDEX(INDIRECT($A60), $B60, 1)</f>
        <v>Blind Draw #4</v>
      </c>
      <c r="E60" s="19">
        <f t="shared" ca="1" si="175"/>
        <v>15</v>
      </c>
      <c r="F60" s="19">
        <v>0</v>
      </c>
      <c r="G60" s="21">
        <v>0</v>
      </c>
      <c r="H60" s="46"/>
      <c r="Q60" s="86"/>
      <c r="R60" s="21" t="str">
        <f t="shared" ca="1" si="176"/>
        <v/>
      </c>
      <c r="S60" s="47" t="str">
        <f t="shared" si="177"/>
        <v>-</v>
      </c>
      <c r="T60" s="21" t="str">
        <f ca="1">IF($D60&lt;&gt;"", IFERROR(IF($F60&gt;=qualifier, SUMIF($BT60:$CL60,0,$AP60:$BH60)/$F60, TEXT(SUMIF($BT60:$CL60,0,$AP60:$BH60)/$F60, "0.00")&amp;"*"), "-"), "")</f>
        <v>-</v>
      </c>
      <c r="U60" s="21">
        <f ca="1">IF($D60&lt;&gt;"", IFERROR(IF($E60&gt;=qualifier, SUMIF($BT60:$CL60,0,$CN60:$DF60)/$E60, TEXT(SUMIF($BT60:$CL60,0,$CN60:$DF60)/$E60, "0.00")&amp;"*"), "-"), "")</f>
        <v>35.466666666666669</v>
      </c>
      <c r="V60" s="46">
        <f ca="1">IF(AND($D60&lt;&gt;"", $E60&lt;&gt;0), _xlfn.MINIFS($AP60:$BH60,$BT60:$CL60,0,$AP60:$BH60,"&lt;&gt;0"), "")</f>
        <v>38</v>
      </c>
      <c r="W60" s="19">
        <f ca="1">IF(AND($D60&lt;&gt;"", $E60&lt;&gt;0), _xlfn.MINIFS($CN60:$DF60,$BT60:$CL60,0), "")</f>
        <v>38</v>
      </c>
      <c r="X60" s="46">
        <f t="shared" ca="1" si="178"/>
        <v>228</v>
      </c>
      <c r="Y60" s="21">
        <f ca="1">IF($D60&lt;&gt;"", IFERROR(IF($E60&gt;=qualifier, AVERAGE($DH60:$DZ60), TEXT(AVERAGE($DH60:$DZ60), "0.00")&amp;"*"), "-"), "")</f>
        <v>14.25</v>
      </c>
      <c r="Z60" s="19">
        <f t="shared" ca="1" si="179"/>
        <v>0</v>
      </c>
      <c r="AA60" s="19">
        <f t="shared" ca="1" si="180"/>
        <v>0</v>
      </c>
      <c r="AB60" s="46" t="str">
        <f t="shared" ca="1" si="181"/>
        <v>9-6-1</v>
      </c>
      <c r="AC60" s="218">
        <f t="shared" ca="1" si="182"/>
        <v>0</v>
      </c>
      <c r="AD60" s="57">
        <f t="shared" ca="1" si="183"/>
        <v>0</v>
      </c>
      <c r="AE60" s="34"/>
      <c r="AF60" s="341">
        <f ca="1">INDEX(PriorScores[],MATCH($D60,PriorScores[Team / Player],0),2)</f>
        <v>0</v>
      </c>
      <c r="AG60" s="341">
        <f ca="1">INDEX(PriorScores[],MATCH($D60,PriorScores[Team / Player],0),3)</f>
        <v>0</v>
      </c>
      <c r="AH60" s="341">
        <f ca="1">INDEX(PriorScores[],MATCH($D60,PriorScores[Team / Player],0),4)</f>
        <v>0</v>
      </c>
      <c r="AI60" s="341">
        <f ca="1">INDEX(PriorScores[],MATCH($D60,PriorScores[Team / Player],0),5)</f>
        <v>0</v>
      </c>
      <c r="AJ60" s="341">
        <f ca="1">INDEX(PriorScores[],MATCH($D60,PriorScores[Team / Player],0),6)</f>
        <v>0</v>
      </c>
      <c r="AK60" s="341">
        <f ca="1">INDEX(PriorScores[],MATCH($D60,PriorScores[Team / Player],0),7)</f>
        <v>0</v>
      </c>
      <c r="AL60" s="341">
        <f ca="1">INDEX(PriorScores[],MATCH($D60,PriorScores[Team / Player],0),8)</f>
        <v>0</v>
      </c>
      <c r="AM60" s="341">
        <f ca="1">INDEX(PriorScores[],MATCH($D60,PriorScores[Team / Player],0),9)</f>
        <v>0</v>
      </c>
      <c r="AN60" s="341">
        <f ca="1">INDEX(PriorScores[],MATCH($D60,PriorScores[Team / Player],0),10)</f>
        <v>0</v>
      </c>
      <c r="AO60" s="341">
        <f ca="1">INDEX(PriorScores[],MATCH($D60,PriorScores[Team / Player],0),11)</f>
        <v>0</v>
      </c>
      <c r="AP60" s="20">
        <f t="shared" ca="1" si="184"/>
        <v>38</v>
      </c>
      <c r="AQ60" s="20">
        <f t="shared" ca="1" si="184"/>
        <v>38</v>
      </c>
      <c r="AR60" s="20">
        <f t="shared" ca="1" si="184"/>
        <v>38</v>
      </c>
      <c r="AS60" s="20">
        <f t="shared" ca="1" si="184"/>
        <v>38</v>
      </c>
      <c r="AT60" s="20">
        <f t="shared" ca="1" si="184"/>
        <v>38</v>
      </c>
      <c r="AU60" s="20">
        <f t="shared" ca="1" si="184"/>
        <v>38</v>
      </c>
      <c r="AV60" s="20">
        <f t="shared" ca="1" si="184"/>
        <v>38</v>
      </c>
      <c r="AW60" s="20">
        <f t="shared" ca="1" si="184"/>
        <v>0</v>
      </c>
      <c r="AX60" s="20">
        <f t="shared" ca="1" si="184"/>
        <v>38</v>
      </c>
      <c r="AY60" s="20">
        <f t="shared" ca="1" si="184"/>
        <v>38</v>
      </c>
      <c r="AZ60" s="20">
        <f t="shared" ca="1" si="185"/>
        <v>38</v>
      </c>
      <c r="BA60" s="20">
        <f t="shared" ca="1" si="185"/>
        <v>0</v>
      </c>
      <c r="BB60" s="20">
        <f t="shared" ca="1" si="185"/>
        <v>38</v>
      </c>
      <c r="BC60" s="20">
        <f t="shared" ca="1" si="185"/>
        <v>38</v>
      </c>
      <c r="BD60" s="20">
        <f t="shared" ca="1" si="185"/>
        <v>0</v>
      </c>
      <c r="BE60" s="20">
        <f t="shared" ca="1" si="185"/>
        <v>38</v>
      </c>
      <c r="BF60" s="20">
        <f t="shared" ca="1" si="185"/>
        <v>38</v>
      </c>
      <c r="BG60" s="20">
        <f t="shared" ca="1" si="185"/>
        <v>228</v>
      </c>
      <c r="BH60" s="20">
        <f t="shared" ca="1" si="185"/>
        <v>0</v>
      </c>
      <c r="BI60" s="34"/>
      <c r="BJ60" s="341">
        <v>0</v>
      </c>
      <c r="BK60" s="341">
        <v>0</v>
      </c>
      <c r="BL60" s="341">
        <v>0</v>
      </c>
      <c r="BM60" s="341">
        <v>0</v>
      </c>
      <c r="BN60" s="341">
        <v>0</v>
      </c>
      <c r="BO60" s="341">
        <v>0</v>
      </c>
      <c r="BP60" s="341">
        <v>0</v>
      </c>
      <c r="BQ60" s="341">
        <v>0</v>
      </c>
      <c r="BR60" s="341">
        <v>0</v>
      </c>
      <c r="BS60" s="341">
        <v>0</v>
      </c>
      <c r="BT60" s="20">
        <f t="shared" ca="1" si="186"/>
        <v>0</v>
      </c>
      <c r="BU60" s="20">
        <f t="shared" ca="1" si="186"/>
        <v>0</v>
      </c>
      <c r="BV60" s="20">
        <f t="shared" ca="1" si="186"/>
        <v>0</v>
      </c>
      <c r="BW60" s="20">
        <f t="shared" ca="1" si="186"/>
        <v>0</v>
      </c>
      <c r="BX60" s="20">
        <f t="shared" ca="1" si="186"/>
        <v>0</v>
      </c>
      <c r="BY60" s="20">
        <f t="shared" ca="1" si="186"/>
        <v>0</v>
      </c>
      <c r="BZ60" s="20">
        <f t="shared" ca="1" si="186"/>
        <v>0</v>
      </c>
      <c r="CA60" s="20">
        <f t="shared" ca="1" si="186"/>
        <v>0</v>
      </c>
      <c r="CB60" s="20">
        <f t="shared" ca="1" si="186"/>
        <v>0</v>
      </c>
      <c r="CC60" s="20">
        <f t="shared" ca="1" si="186"/>
        <v>0</v>
      </c>
      <c r="CD60" s="20">
        <f t="shared" ca="1" si="187"/>
        <v>0</v>
      </c>
      <c r="CE60" s="20">
        <f t="shared" ca="1" si="187"/>
        <v>0</v>
      </c>
      <c r="CF60" s="20">
        <f t="shared" ca="1" si="187"/>
        <v>0</v>
      </c>
      <c r="CG60" s="20">
        <f t="shared" ca="1" si="187"/>
        <v>0</v>
      </c>
      <c r="CH60" s="20">
        <f t="shared" ca="1" si="187"/>
        <v>1</v>
      </c>
      <c r="CI60" s="20">
        <f t="shared" ca="1" si="187"/>
        <v>0</v>
      </c>
      <c r="CJ60" s="20">
        <f t="shared" ca="1" si="187"/>
        <v>0</v>
      </c>
      <c r="CK60" s="20">
        <f t="shared" ca="1" si="187"/>
        <v>6</v>
      </c>
      <c r="CL60" s="20">
        <f t="shared" ca="1" si="187"/>
        <v>0</v>
      </c>
      <c r="CM60" s="34"/>
      <c r="CN60" s="20">
        <f t="shared" ca="1" si="188"/>
        <v>38</v>
      </c>
      <c r="CO60" s="20">
        <f t="shared" ca="1" si="188"/>
        <v>38</v>
      </c>
      <c r="CP60" s="20">
        <f t="shared" ca="1" si="188"/>
        <v>38</v>
      </c>
      <c r="CQ60" s="20">
        <f t="shared" ca="1" si="188"/>
        <v>38</v>
      </c>
      <c r="CR60" s="20">
        <f t="shared" ca="1" si="188"/>
        <v>38</v>
      </c>
      <c r="CS60" s="20">
        <f t="shared" ca="1" si="188"/>
        <v>38</v>
      </c>
      <c r="CT60" s="20">
        <f t="shared" ca="1" si="188"/>
        <v>38</v>
      </c>
      <c r="CU60" s="20" t="str">
        <f t="shared" ca="1" si="188"/>
        <v/>
      </c>
      <c r="CV60" s="20">
        <f t="shared" ca="1" si="188"/>
        <v>38</v>
      </c>
      <c r="CW60" s="20">
        <f t="shared" ca="1" si="188"/>
        <v>38</v>
      </c>
      <c r="CX60" s="20">
        <f t="shared" ca="1" si="189"/>
        <v>38</v>
      </c>
      <c r="CY60" s="20" t="str">
        <f t="shared" ca="1" si="189"/>
        <v/>
      </c>
      <c r="CZ60" s="20">
        <f t="shared" ca="1" si="189"/>
        <v>38</v>
      </c>
      <c r="DA60" s="20">
        <f t="shared" ca="1" si="189"/>
        <v>38</v>
      </c>
      <c r="DB60" s="20" t="str">
        <f t="shared" ca="1" si="189"/>
        <v/>
      </c>
      <c r="DC60" s="20">
        <f t="shared" ca="1" si="189"/>
        <v>38</v>
      </c>
      <c r="DD60" s="20">
        <f t="shared" ca="1" si="189"/>
        <v>38</v>
      </c>
      <c r="DE60" s="20">
        <f t="shared" ca="1" si="189"/>
        <v>228</v>
      </c>
      <c r="DF60" s="20" t="str">
        <f t="shared" ca="1" si="189"/>
        <v/>
      </c>
      <c r="DG60" s="34"/>
      <c r="DH60" s="20">
        <f t="shared" ca="1" si="190"/>
        <v>13</v>
      </c>
      <c r="DI60" s="20">
        <f t="shared" ca="1" si="190"/>
        <v>17</v>
      </c>
      <c r="DJ60" s="20">
        <f t="shared" ca="1" si="190"/>
        <v>12</v>
      </c>
      <c r="DK60" s="20">
        <f t="shared" ca="1" si="190"/>
        <v>14</v>
      </c>
      <c r="DL60" s="20">
        <f t="shared" ca="1" si="190"/>
        <v>12</v>
      </c>
      <c r="DM60" s="20">
        <f t="shared" ca="1" si="190"/>
        <v>10</v>
      </c>
      <c r="DN60" s="20">
        <f t="shared" ca="1" si="190"/>
        <v>8</v>
      </c>
      <c r="DO60" s="20" t="str">
        <f t="shared" ca="1" si="190"/>
        <v/>
      </c>
      <c r="DP60" s="20">
        <f t="shared" ca="1" si="190"/>
        <v>17</v>
      </c>
      <c r="DQ60" s="20">
        <f t="shared" ca="1" si="190"/>
        <v>14</v>
      </c>
      <c r="DR60" s="20">
        <f t="shared" ca="1" si="191"/>
        <v>8</v>
      </c>
      <c r="DS60" s="20" t="str">
        <f t="shared" ca="1" si="191"/>
        <v/>
      </c>
      <c r="DT60" s="20">
        <f t="shared" ca="1" si="191"/>
        <v>14</v>
      </c>
      <c r="DU60" s="20">
        <f t="shared" ca="1" si="191"/>
        <v>9</v>
      </c>
      <c r="DV60" s="20">
        <f t="shared" ca="1" si="191"/>
        <v>5</v>
      </c>
      <c r="DW60" s="20">
        <f t="shared" ca="1" si="191"/>
        <v>5</v>
      </c>
      <c r="DX60" s="20">
        <f t="shared" ca="1" si="191"/>
        <v>8</v>
      </c>
      <c r="DY60" s="20">
        <f t="shared" ca="1" si="191"/>
        <v>62</v>
      </c>
      <c r="DZ60" s="20" t="str">
        <f t="shared" ca="1" si="191"/>
        <v/>
      </c>
      <c r="EA60" s="34"/>
      <c r="EB60" s="20" t="str">
        <f t="shared" ca="1" si="192"/>
        <v/>
      </c>
      <c r="EC60" s="20" t="str">
        <f t="shared" ca="1" si="192"/>
        <v/>
      </c>
      <c r="ED60" s="20" t="str">
        <f t="shared" ca="1" si="192"/>
        <v/>
      </c>
      <c r="EE60" s="20" t="str">
        <f t="shared" ca="1" si="192"/>
        <v/>
      </c>
      <c r="EF60" s="20" t="str">
        <f t="shared" ca="1" si="192"/>
        <v/>
      </c>
      <c r="EG60" s="20" t="str">
        <f t="shared" ca="1" si="192"/>
        <v/>
      </c>
      <c r="EH60" s="20" t="str">
        <f t="shared" ca="1" si="192"/>
        <v/>
      </c>
      <c r="EI60" s="20" t="str">
        <f t="shared" ca="1" si="192"/>
        <v/>
      </c>
      <c r="EJ60" s="20" t="str">
        <f t="shared" ca="1" si="192"/>
        <v/>
      </c>
      <c r="EK60" s="20" t="str">
        <f t="shared" ca="1" si="192"/>
        <v/>
      </c>
      <c r="EL60" s="20" t="str">
        <f t="shared" ca="1" si="193"/>
        <v/>
      </c>
      <c r="EM60" s="20" t="str">
        <f t="shared" ca="1" si="193"/>
        <v/>
      </c>
      <c r="EN60" s="20" t="str">
        <f t="shared" ca="1" si="193"/>
        <v/>
      </c>
      <c r="EO60" s="20" t="str">
        <f t="shared" ca="1" si="193"/>
        <v/>
      </c>
      <c r="EP60" s="20" t="str">
        <f t="shared" ca="1" si="193"/>
        <v/>
      </c>
      <c r="EQ60" s="20" t="str">
        <f t="shared" ca="1" si="193"/>
        <v/>
      </c>
      <c r="ER60" s="20" t="str">
        <f t="shared" ca="1" si="193"/>
        <v/>
      </c>
      <c r="ES60" s="20" t="str">
        <f t="shared" ca="1" si="193"/>
        <v/>
      </c>
      <c r="ET60" s="20" t="str">
        <f t="shared" ca="1" si="193"/>
        <v/>
      </c>
      <c r="EU60" s="34"/>
      <c r="EV60" s="20" t="str">
        <f t="shared" ca="1" si="194"/>
        <v/>
      </c>
      <c r="EW60" s="20" t="str">
        <f t="shared" ca="1" si="194"/>
        <v/>
      </c>
      <c r="EX60" s="20" t="str">
        <f t="shared" ca="1" si="194"/>
        <v/>
      </c>
      <c r="EY60" s="20" t="str">
        <f t="shared" ca="1" si="194"/>
        <v/>
      </c>
      <c r="EZ60" s="20" t="str">
        <f t="shared" ca="1" si="194"/>
        <v/>
      </c>
      <c r="FA60" s="20" t="str">
        <f t="shared" ca="1" si="194"/>
        <v/>
      </c>
      <c r="FB60" s="20" t="str">
        <f t="shared" ca="1" si="194"/>
        <v/>
      </c>
      <c r="FC60" s="20" t="str">
        <f t="shared" ca="1" si="194"/>
        <v/>
      </c>
      <c r="FD60" s="20" t="str">
        <f t="shared" ca="1" si="194"/>
        <v/>
      </c>
      <c r="FE60" s="20" t="str">
        <f t="shared" ca="1" si="194"/>
        <v/>
      </c>
      <c r="FF60" s="20" t="str">
        <f t="shared" ca="1" si="195"/>
        <v/>
      </c>
      <c r="FG60" s="20" t="str">
        <f t="shared" ca="1" si="195"/>
        <v/>
      </c>
      <c r="FH60" s="20" t="str">
        <f t="shared" ca="1" si="195"/>
        <v/>
      </c>
      <c r="FI60" s="20" t="str">
        <f t="shared" ca="1" si="195"/>
        <v/>
      </c>
      <c r="FJ60" s="20" t="str">
        <f t="shared" ca="1" si="195"/>
        <v/>
      </c>
      <c r="FK60" s="20" t="str">
        <f t="shared" ca="1" si="195"/>
        <v/>
      </c>
      <c r="FL60" s="20" t="str">
        <f t="shared" ca="1" si="195"/>
        <v/>
      </c>
      <c r="FM60" s="20" t="str">
        <f t="shared" ca="1" si="195"/>
        <v/>
      </c>
      <c r="FN60" s="20" t="str">
        <f t="shared" ca="1" si="195"/>
        <v/>
      </c>
      <c r="FO60" s="34"/>
      <c r="FP60" s="20" t="str">
        <f t="shared" ca="1" si="196"/>
        <v>w</v>
      </c>
      <c r="FQ60" s="20" t="str">
        <f t="shared" ca="1" si="196"/>
        <v>w</v>
      </c>
      <c r="FR60" s="20" t="str">
        <f t="shared" ca="1" si="196"/>
        <v>w</v>
      </c>
      <c r="FS60" s="20" t="str">
        <f t="shared" ca="1" si="196"/>
        <v>w</v>
      </c>
      <c r="FT60" s="20" t="str">
        <f t="shared" ca="1" si="196"/>
        <v>w</v>
      </c>
      <c r="FU60" s="20" t="str">
        <f t="shared" ca="1" si="196"/>
        <v>t</v>
      </c>
      <c r="FV60" s="20" t="str">
        <f t="shared" ca="1" si="196"/>
        <v>l</v>
      </c>
      <c r="FW60" s="20" t="str">
        <f t="shared" ca="1" si="196"/>
        <v/>
      </c>
      <c r="FX60" s="20" t="str">
        <f t="shared" ca="1" si="196"/>
        <v>w</v>
      </c>
      <c r="FY60" s="20" t="str">
        <f t="shared" ca="1" si="196"/>
        <v>w</v>
      </c>
      <c r="FZ60" s="20" t="str">
        <f t="shared" ca="1" si="197"/>
        <v>l</v>
      </c>
      <c r="GA60" s="20" t="str">
        <f t="shared" ca="1" si="197"/>
        <v/>
      </c>
      <c r="GB60" s="20" t="str">
        <f t="shared" ca="1" si="197"/>
        <v>w</v>
      </c>
      <c r="GC60" s="20" t="str">
        <f t="shared" ca="1" si="197"/>
        <v>l</v>
      </c>
      <c r="GD60" s="20" t="str">
        <f t="shared" ca="1" si="197"/>
        <v>l</v>
      </c>
      <c r="GE60" s="20" t="str">
        <f t="shared" ca="1" si="197"/>
        <v>l</v>
      </c>
      <c r="GF60" s="20" t="str">
        <f t="shared" ca="1" si="197"/>
        <v>l</v>
      </c>
      <c r="GG60" s="20" t="str">
        <f t="shared" ca="1" si="197"/>
        <v>w</v>
      </c>
      <c r="GH60" s="20" t="str">
        <f t="shared" ca="1" si="197"/>
        <v/>
      </c>
      <c r="GI60" s="34"/>
      <c r="HE60" s="34"/>
      <c r="HZ60" s="34"/>
      <c r="IA60" s="19" t="str">
        <f t="shared" ca="1" si="198"/>
        <v>No Hdcp</v>
      </c>
      <c r="IB60" s="19" t="str">
        <f t="shared" ca="1" si="199"/>
        <v>1@</v>
      </c>
      <c r="IC60" s="19" t="str">
        <f t="shared" ca="1" si="200"/>
        <v>2@,</v>
      </c>
      <c r="ID60" s="19" t="str">
        <f t="shared" ca="1" si="201"/>
        <v>3@,,</v>
      </c>
      <c r="IE60" s="19" t="str">
        <f t="shared" ca="1" si="202"/>
        <v>4@,,,</v>
      </c>
      <c r="IF60" s="19"/>
      <c r="IG60" s="19"/>
      <c r="IH60" s="19"/>
      <c r="II60" s="19"/>
      <c r="IJ60" s="19"/>
      <c r="IK60" s="263" t="e">
        <f t="shared" ca="1" si="203"/>
        <v>#DIV/0!</v>
      </c>
      <c r="IL60" s="34"/>
    </row>
    <row r="61" spans="1:271" x14ac:dyDescent="0.2">
      <c r="A61" s="18" t="s">
        <v>31</v>
      </c>
      <c r="B61" s="19">
        <f>B60+7</f>
        <v>33</v>
      </c>
      <c r="C61" s="22">
        <f t="shared" si="174"/>
        <v>0</v>
      </c>
      <c r="E61" s="19" t="str">
        <f t="shared" si="175"/>
        <v/>
      </c>
      <c r="F61" s="19" t="str">
        <f>IF($D61&lt;&gt;"", COUNT($AP61:$BH61)-COUNTIF($AP61:$BH61,0), "")</f>
        <v/>
      </c>
      <c r="H61" s="46" t="str" cm="1">
        <f t="array" aca="1" ref="H61" ca="1">IFERROR(_xlfn.SINGLE(INDEX($AP61:$BH61, , SUMPRODUCT(LARGE((($AP61:$BH61&lt;&gt;0)*($BT61:$CL61&lt;&gt;1)*(weeks)), H$6)))), "")</f>
        <v/>
      </c>
      <c r="I61" s="19" t="str" cm="1">
        <f t="array" aca="1" ref="I61" ca="1">IFERROR(_xlfn.SINGLE(INDEX($AP61:$BH61, , SUMPRODUCT(LARGE((($AP61:$BH61&lt;&gt;0)*($BT61:$CL61&lt;&gt;1)*(weeks)), I$6)))), "")</f>
        <v/>
      </c>
      <c r="J61" s="19" t="str" cm="1">
        <f t="array" aca="1" ref="J61" ca="1">IFERROR(_xlfn.SINGLE(INDEX($AP61:$BH61, , SUMPRODUCT(LARGE((($AP61:$BH61&lt;&gt;0)*($BT61:$CL61&lt;&gt;1)*(weeks)), J$6)))), "")</f>
        <v/>
      </c>
      <c r="K61" s="19" t="str" cm="1">
        <f t="array" aca="1" ref="K61" ca="1">IFERROR(_xlfn.SINGLE(INDEX($AP61:$BH61, , SUMPRODUCT(LARGE((($AP61:$BH61&lt;&gt;0)*($BT61:$CL61&lt;&gt;1)*(weeks)), K$6)))), "")</f>
        <v/>
      </c>
      <c r="Q61" s="86" t="str" cm="1">
        <f t="array" aca="1" ref="Q61" ca="1">IFERROR(_xlfn.SINGLE(INDEX($AP61:$BH61, , SUMPRODUCT(LARGE((($AP61:$BH61&lt;&gt;0)*($BT61:$CL61&lt;&gt;1)*(weeks)), Q$6)))), "")</f>
        <v/>
      </c>
      <c r="R61" s="21" t="str">
        <f t="shared" ca="1" si="176"/>
        <v/>
      </c>
      <c r="S61" s="47" t="str">
        <f t="shared" ca="1" si="177"/>
        <v>-</v>
      </c>
      <c r="T61" s="21" t="str">
        <f>IF($D61&lt;&gt;"", IFERROR(IF($F61&gt;=qualifier, SUMIF($BT61:$CL61,0,$AP61:$BH61)/$F61, TEXT(SUMIF($BT61:$CL61,0,$AP61:$BH61)/$F61, "0.00")&amp;"*"), "-"), "")</f>
        <v/>
      </c>
      <c r="U61" s="21" t="str">
        <f>IF($D61&lt;&gt;"", IFERROR(IF($F61&gt;=qualifier, SUMIF($BT61:$CL61,0,$CN61:$DF61)/$F61, TEXT(SUMIF($BT61:$CL61,0,$CN61:$DF61)/$F61, "0.00")&amp;"*"), "-"), "")</f>
        <v/>
      </c>
      <c r="V61" s="46" t="str">
        <f>IF(AND($D61&lt;&gt;"", $F61&lt;&gt;0), _xlfn.MINIFS($AP61:$BH61,$BT61:$CL61,0,$AP61:$BH61,"&lt;&gt;0"), "")</f>
        <v/>
      </c>
      <c r="W61" s="19" t="str">
        <f>IF(AND($D61&lt;&gt;"", $F61&lt;&gt;0), _xlfn.MINIFS($CN61:$DF61,$BT61:$CL61,0), "")</f>
        <v/>
      </c>
      <c r="X61" s="46" t="str">
        <f t="shared" si="178"/>
        <v/>
      </c>
      <c r="Y61" s="21" t="str">
        <f>IF($D61&lt;&gt;"", IFERROR(IF($F61&gt;=qualifier, AVERAGE($DH61:$DZ61), TEXT(AVERAGE($DH61:$DZ61), "0.00")&amp;"*"), "-"), "")</f>
        <v/>
      </c>
      <c r="Z61" s="19" t="str">
        <f t="shared" si="179"/>
        <v/>
      </c>
      <c r="AA61" s="19" t="str">
        <f t="shared" si="180"/>
        <v/>
      </c>
      <c r="AB61" s="46" t="str">
        <f t="shared" si="181"/>
        <v/>
      </c>
      <c r="AC61" s="218" t="str">
        <f t="shared" ca="1" si="182"/>
        <v/>
      </c>
      <c r="AD61" s="57" t="str">
        <f t="shared" ca="1" si="183"/>
        <v/>
      </c>
      <c r="AE61" s="34"/>
      <c r="AF61" s="341">
        <f>INDEX(PriorScores[],MATCH($D61,PriorScores[Team / Player],0),2)</f>
        <v>0</v>
      </c>
      <c r="AG61" s="341">
        <f>INDEX(PriorScores[],MATCH($D61,PriorScores[Team / Player],0),3)</f>
        <v>0</v>
      </c>
      <c r="AH61" s="341">
        <f>INDEX(PriorScores[],MATCH($D61,PriorScores[Team / Player],0),4)</f>
        <v>0</v>
      </c>
      <c r="AI61" s="341">
        <f>INDEX(PriorScores[],MATCH($D61,PriorScores[Team / Player],0),5)</f>
        <v>0</v>
      </c>
      <c r="AJ61" s="341">
        <f>INDEX(PriorScores[],MATCH($D61,PriorScores[Team / Player],0),6)</f>
        <v>0</v>
      </c>
      <c r="AK61" s="341">
        <f>INDEX(PriorScores[],MATCH($D61,PriorScores[Team / Player],0),7)</f>
        <v>0</v>
      </c>
      <c r="AL61" s="341">
        <f>INDEX(PriorScores[],MATCH($D61,PriorScores[Team / Player],0),8)</f>
        <v>0</v>
      </c>
      <c r="AM61" s="341">
        <f>INDEX(PriorScores[],MATCH($D61,PriorScores[Team / Player],0),9)</f>
        <v>0</v>
      </c>
      <c r="AN61" s="341">
        <f>INDEX(PriorScores[],MATCH($D61,PriorScores[Team / Player],0),10)</f>
        <v>0</v>
      </c>
      <c r="AO61" s="341">
        <f>INDEX(PriorScores[],MATCH($D61,PriorScores[Team / Player],0),11)</f>
        <v>0</v>
      </c>
      <c r="AP61" s="20">
        <f t="shared" ca="1" si="184"/>
        <v>0</v>
      </c>
      <c r="AQ61" s="20">
        <f t="shared" ca="1" si="184"/>
        <v>0</v>
      </c>
      <c r="AR61" s="20">
        <f t="shared" ca="1" si="184"/>
        <v>0</v>
      </c>
      <c r="AS61" s="20">
        <f t="shared" ca="1" si="184"/>
        <v>0</v>
      </c>
      <c r="AT61" s="20">
        <f t="shared" ca="1" si="184"/>
        <v>0</v>
      </c>
      <c r="AU61" s="20">
        <f t="shared" ca="1" si="184"/>
        <v>0</v>
      </c>
      <c r="AV61" s="20">
        <f t="shared" ca="1" si="184"/>
        <v>0</v>
      </c>
      <c r="AW61" s="20">
        <f t="shared" ca="1" si="184"/>
        <v>0</v>
      </c>
      <c r="AX61" s="20">
        <f t="shared" ca="1" si="184"/>
        <v>0</v>
      </c>
      <c r="AY61" s="20">
        <f t="shared" ca="1" si="184"/>
        <v>0</v>
      </c>
      <c r="AZ61" s="20">
        <f t="shared" ca="1" si="185"/>
        <v>0</v>
      </c>
      <c r="BA61" s="20">
        <f t="shared" ca="1" si="185"/>
        <v>0</v>
      </c>
      <c r="BB61" s="20">
        <f t="shared" ca="1" si="185"/>
        <v>0</v>
      </c>
      <c r="BC61" s="20">
        <f t="shared" ca="1" si="185"/>
        <v>0</v>
      </c>
      <c r="BD61" s="20">
        <f t="shared" ca="1" si="185"/>
        <v>0</v>
      </c>
      <c r="BE61" s="20">
        <f t="shared" ca="1" si="185"/>
        <v>0</v>
      </c>
      <c r="BF61" s="20">
        <f t="shared" ca="1" si="185"/>
        <v>0</v>
      </c>
      <c r="BG61" s="20">
        <f t="shared" ca="1" si="185"/>
        <v>0</v>
      </c>
      <c r="BH61" s="20">
        <f t="shared" ca="1" si="185"/>
        <v>0</v>
      </c>
      <c r="BI61" s="34"/>
      <c r="BJ61" s="341">
        <v>0</v>
      </c>
      <c r="BK61" s="341">
        <v>0</v>
      </c>
      <c r="BL61" s="341">
        <v>0</v>
      </c>
      <c r="BM61" s="341">
        <v>0</v>
      </c>
      <c r="BN61" s="341">
        <v>0</v>
      </c>
      <c r="BO61" s="341">
        <v>0</v>
      </c>
      <c r="BP61" s="341">
        <v>0</v>
      </c>
      <c r="BQ61" s="341">
        <v>0</v>
      </c>
      <c r="BR61" s="341">
        <v>0</v>
      </c>
      <c r="BS61" s="341">
        <v>0</v>
      </c>
      <c r="BT61" s="20">
        <f t="shared" ca="1" si="186"/>
        <v>0</v>
      </c>
      <c r="BU61" s="20">
        <f t="shared" ca="1" si="186"/>
        <v>0</v>
      </c>
      <c r="BV61" s="20">
        <f t="shared" ca="1" si="186"/>
        <v>0</v>
      </c>
      <c r="BW61" s="20">
        <f t="shared" ca="1" si="186"/>
        <v>0</v>
      </c>
      <c r="BX61" s="20">
        <f t="shared" ca="1" si="186"/>
        <v>0</v>
      </c>
      <c r="BY61" s="20">
        <f t="shared" ca="1" si="186"/>
        <v>0</v>
      </c>
      <c r="BZ61" s="20">
        <f t="shared" ca="1" si="186"/>
        <v>0</v>
      </c>
      <c r="CA61" s="20">
        <f t="shared" ca="1" si="186"/>
        <v>0</v>
      </c>
      <c r="CB61" s="20">
        <f t="shared" ca="1" si="186"/>
        <v>0</v>
      </c>
      <c r="CC61" s="20">
        <f t="shared" ca="1" si="186"/>
        <v>0</v>
      </c>
      <c r="CD61" s="20">
        <f t="shared" ca="1" si="187"/>
        <v>0</v>
      </c>
      <c r="CE61" s="20">
        <f t="shared" ca="1" si="187"/>
        <v>0</v>
      </c>
      <c r="CF61" s="20">
        <f t="shared" ca="1" si="187"/>
        <v>0</v>
      </c>
      <c r="CG61" s="20">
        <f t="shared" ca="1" si="187"/>
        <v>0</v>
      </c>
      <c r="CH61" s="20">
        <f t="shared" ca="1" si="187"/>
        <v>0</v>
      </c>
      <c r="CI61" s="20">
        <f t="shared" ca="1" si="187"/>
        <v>0</v>
      </c>
      <c r="CJ61" s="20">
        <f t="shared" ca="1" si="187"/>
        <v>0</v>
      </c>
      <c r="CK61" s="20">
        <f t="shared" ca="1" si="187"/>
        <v>0</v>
      </c>
      <c r="CL61" s="20">
        <f t="shared" ca="1" si="187"/>
        <v>0</v>
      </c>
      <c r="CM61" s="34"/>
      <c r="CN61" s="20" t="str">
        <f t="shared" ca="1" si="188"/>
        <v/>
      </c>
      <c r="CO61" s="20" t="str">
        <f t="shared" ca="1" si="188"/>
        <v/>
      </c>
      <c r="CP61" s="20" t="str">
        <f t="shared" ca="1" si="188"/>
        <v/>
      </c>
      <c r="CQ61" s="20" t="str">
        <f t="shared" ca="1" si="188"/>
        <v/>
      </c>
      <c r="CR61" s="20" t="str">
        <f t="shared" ca="1" si="188"/>
        <v/>
      </c>
      <c r="CS61" s="20" t="str">
        <f t="shared" ca="1" si="188"/>
        <v/>
      </c>
      <c r="CT61" s="20" t="str">
        <f t="shared" ca="1" si="188"/>
        <v/>
      </c>
      <c r="CU61" s="20" t="str">
        <f t="shared" ca="1" si="188"/>
        <v/>
      </c>
      <c r="CV61" s="20" t="str">
        <f t="shared" ca="1" si="188"/>
        <v/>
      </c>
      <c r="CW61" s="20" t="str">
        <f t="shared" ca="1" si="188"/>
        <v/>
      </c>
      <c r="CX61" s="20" t="str">
        <f t="shared" ca="1" si="189"/>
        <v/>
      </c>
      <c r="CY61" s="20" t="str">
        <f t="shared" ca="1" si="189"/>
        <v/>
      </c>
      <c r="CZ61" s="20" t="str">
        <f t="shared" ca="1" si="189"/>
        <v/>
      </c>
      <c r="DA61" s="20" t="str">
        <f t="shared" ca="1" si="189"/>
        <v/>
      </c>
      <c r="DB61" s="20" t="str">
        <f t="shared" ca="1" si="189"/>
        <v/>
      </c>
      <c r="DC61" s="20" t="str">
        <f t="shared" ca="1" si="189"/>
        <v/>
      </c>
      <c r="DD61" s="20" t="str">
        <f t="shared" ca="1" si="189"/>
        <v/>
      </c>
      <c r="DE61" s="20" t="str">
        <f t="shared" ca="1" si="189"/>
        <v/>
      </c>
      <c r="DF61" s="20" t="str">
        <f t="shared" ca="1" si="189"/>
        <v/>
      </c>
      <c r="DG61" s="34"/>
      <c r="DH61" s="20" t="str">
        <f t="shared" ca="1" si="190"/>
        <v/>
      </c>
      <c r="DI61" s="20" t="str">
        <f t="shared" ca="1" si="190"/>
        <v/>
      </c>
      <c r="DJ61" s="20" t="str">
        <f t="shared" ca="1" si="190"/>
        <v/>
      </c>
      <c r="DK61" s="20" t="str">
        <f t="shared" ca="1" si="190"/>
        <v/>
      </c>
      <c r="DL61" s="20" t="str">
        <f t="shared" ca="1" si="190"/>
        <v/>
      </c>
      <c r="DM61" s="20" t="str">
        <f t="shared" ca="1" si="190"/>
        <v/>
      </c>
      <c r="DN61" s="20" t="str">
        <f t="shared" ca="1" si="190"/>
        <v/>
      </c>
      <c r="DO61" s="20" t="str">
        <f t="shared" ca="1" si="190"/>
        <v/>
      </c>
      <c r="DP61" s="20" t="str">
        <f t="shared" ca="1" si="190"/>
        <v/>
      </c>
      <c r="DQ61" s="20" t="str">
        <f t="shared" ca="1" si="190"/>
        <v/>
      </c>
      <c r="DR61" s="20" t="str">
        <f t="shared" ca="1" si="191"/>
        <v/>
      </c>
      <c r="DS61" s="20" t="str">
        <f t="shared" ca="1" si="191"/>
        <v/>
      </c>
      <c r="DT61" s="20" t="str">
        <f t="shared" ca="1" si="191"/>
        <v/>
      </c>
      <c r="DU61" s="20" t="str">
        <f t="shared" ca="1" si="191"/>
        <v/>
      </c>
      <c r="DV61" s="20" t="str">
        <f t="shared" ca="1" si="191"/>
        <v/>
      </c>
      <c r="DW61" s="20" t="str">
        <f t="shared" ca="1" si="191"/>
        <v/>
      </c>
      <c r="DX61" s="20" t="str">
        <f t="shared" ca="1" si="191"/>
        <v/>
      </c>
      <c r="DY61" s="20" t="str">
        <f t="shared" ca="1" si="191"/>
        <v/>
      </c>
      <c r="DZ61" s="20" t="str">
        <f t="shared" ca="1" si="191"/>
        <v/>
      </c>
      <c r="EA61" s="34"/>
      <c r="EB61" s="20" t="str">
        <f t="shared" ca="1" si="192"/>
        <v/>
      </c>
      <c r="EC61" s="20" t="str">
        <f t="shared" ca="1" si="192"/>
        <v/>
      </c>
      <c r="ED61" s="20" t="str">
        <f t="shared" ca="1" si="192"/>
        <v/>
      </c>
      <c r="EE61" s="20" t="str">
        <f t="shared" ca="1" si="192"/>
        <v/>
      </c>
      <c r="EF61" s="20" t="str">
        <f t="shared" ca="1" si="192"/>
        <v/>
      </c>
      <c r="EG61" s="20" t="str">
        <f t="shared" ca="1" si="192"/>
        <v/>
      </c>
      <c r="EH61" s="20" t="str">
        <f t="shared" ca="1" si="192"/>
        <v/>
      </c>
      <c r="EI61" s="20" t="str">
        <f t="shared" ca="1" si="192"/>
        <v/>
      </c>
      <c r="EJ61" s="20" t="str">
        <f t="shared" ca="1" si="192"/>
        <v/>
      </c>
      <c r="EK61" s="20" t="str">
        <f t="shared" ca="1" si="192"/>
        <v/>
      </c>
      <c r="EL61" s="20" t="str">
        <f t="shared" ca="1" si="193"/>
        <v/>
      </c>
      <c r="EM61" s="20" t="str">
        <f t="shared" ca="1" si="193"/>
        <v/>
      </c>
      <c r="EN61" s="20" t="str">
        <f t="shared" ca="1" si="193"/>
        <v/>
      </c>
      <c r="EO61" s="20" t="str">
        <f t="shared" ca="1" si="193"/>
        <v/>
      </c>
      <c r="EP61" s="20" t="str">
        <f t="shared" ca="1" si="193"/>
        <v/>
      </c>
      <c r="EQ61" s="20" t="str">
        <f t="shared" ca="1" si="193"/>
        <v/>
      </c>
      <c r="ER61" s="20" t="str">
        <f t="shared" ca="1" si="193"/>
        <v/>
      </c>
      <c r="ES61" s="20" t="str">
        <f t="shared" ca="1" si="193"/>
        <v/>
      </c>
      <c r="ET61" s="20" t="str">
        <f t="shared" ca="1" si="193"/>
        <v/>
      </c>
      <c r="EU61" s="34"/>
      <c r="EV61" s="20" t="str">
        <f t="shared" ca="1" si="194"/>
        <v/>
      </c>
      <c r="EW61" s="20" t="str">
        <f t="shared" ca="1" si="194"/>
        <v/>
      </c>
      <c r="EX61" s="20" t="str">
        <f t="shared" ca="1" si="194"/>
        <v/>
      </c>
      <c r="EY61" s="20" t="str">
        <f t="shared" ca="1" si="194"/>
        <v/>
      </c>
      <c r="EZ61" s="20" t="str">
        <f t="shared" ca="1" si="194"/>
        <v/>
      </c>
      <c r="FA61" s="20" t="str">
        <f t="shared" ca="1" si="194"/>
        <v/>
      </c>
      <c r="FB61" s="20" t="str">
        <f t="shared" ca="1" si="194"/>
        <v/>
      </c>
      <c r="FC61" s="20" t="str">
        <f t="shared" ca="1" si="194"/>
        <v/>
      </c>
      <c r="FD61" s="20" t="str">
        <f t="shared" ca="1" si="194"/>
        <v/>
      </c>
      <c r="FE61" s="20" t="str">
        <f t="shared" ca="1" si="194"/>
        <v/>
      </c>
      <c r="FF61" s="20" t="str">
        <f t="shared" ca="1" si="195"/>
        <v/>
      </c>
      <c r="FG61" s="20" t="str">
        <f t="shared" ca="1" si="195"/>
        <v/>
      </c>
      <c r="FH61" s="20" t="str">
        <f t="shared" ca="1" si="195"/>
        <v/>
      </c>
      <c r="FI61" s="20" t="str">
        <f t="shared" ca="1" si="195"/>
        <v/>
      </c>
      <c r="FJ61" s="20" t="str">
        <f t="shared" ca="1" si="195"/>
        <v/>
      </c>
      <c r="FK61" s="20" t="str">
        <f t="shared" ca="1" si="195"/>
        <v/>
      </c>
      <c r="FL61" s="20" t="str">
        <f t="shared" ca="1" si="195"/>
        <v/>
      </c>
      <c r="FM61" s="20" t="str">
        <f t="shared" ca="1" si="195"/>
        <v/>
      </c>
      <c r="FN61" s="20" t="str">
        <f t="shared" ca="1" si="195"/>
        <v/>
      </c>
      <c r="FO61" s="34"/>
      <c r="FP61" s="20" t="str">
        <f t="shared" ca="1" si="196"/>
        <v/>
      </c>
      <c r="FQ61" s="20" t="str">
        <f t="shared" ca="1" si="196"/>
        <v/>
      </c>
      <c r="FR61" s="20" t="str">
        <f t="shared" ca="1" si="196"/>
        <v/>
      </c>
      <c r="FS61" s="20" t="str">
        <f t="shared" ca="1" si="196"/>
        <v/>
      </c>
      <c r="FT61" s="20" t="str">
        <f t="shared" ca="1" si="196"/>
        <v/>
      </c>
      <c r="FU61" s="20" t="str">
        <f t="shared" ca="1" si="196"/>
        <v/>
      </c>
      <c r="FV61" s="20" t="str">
        <f t="shared" ca="1" si="196"/>
        <v/>
      </c>
      <c r="FW61" s="20" t="str">
        <f t="shared" ca="1" si="196"/>
        <v/>
      </c>
      <c r="FX61" s="20" t="str">
        <f t="shared" ca="1" si="196"/>
        <v/>
      </c>
      <c r="FY61" s="20" t="str">
        <f t="shared" ca="1" si="196"/>
        <v/>
      </c>
      <c r="FZ61" s="20" t="str">
        <f t="shared" ca="1" si="197"/>
        <v/>
      </c>
      <c r="GA61" s="20" t="str">
        <f t="shared" ca="1" si="197"/>
        <v/>
      </c>
      <c r="GB61" s="20" t="str">
        <f t="shared" ca="1" si="197"/>
        <v/>
      </c>
      <c r="GC61" s="20" t="str">
        <f t="shared" ca="1" si="197"/>
        <v/>
      </c>
      <c r="GD61" s="20" t="str">
        <f t="shared" ca="1" si="197"/>
        <v/>
      </c>
      <c r="GE61" s="20" t="str">
        <f t="shared" ca="1" si="197"/>
        <v/>
      </c>
      <c r="GF61" s="20" t="str">
        <f t="shared" ca="1" si="197"/>
        <v/>
      </c>
      <c r="GG61" s="20" t="str">
        <f t="shared" ca="1" si="197"/>
        <v/>
      </c>
      <c r="GH61" s="20" t="str">
        <f t="shared" ca="1" si="197"/>
        <v/>
      </c>
      <c r="GI61" s="34"/>
      <c r="HE61" s="34"/>
      <c r="HZ61" s="34"/>
      <c r="IA61" s="19" t="str">
        <f t="shared" si="198"/>
        <v/>
      </c>
      <c r="IB61" s="19" t="str">
        <f t="shared" si="199"/>
        <v/>
      </c>
      <c r="IC61" s="19" t="str">
        <f t="shared" si="200"/>
        <v/>
      </c>
      <c r="ID61" s="19" t="str">
        <f t="shared" si="201"/>
        <v/>
      </c>
      <c r="IE61" s="19" t="str">
        <f t="shared" si="202"/>
        <v/>
      </c>
      <c r="IF61" s="19"/>
      <c r="IG61" s="19"/>
      <c r="IH61" s="19"/>
      <c r="II61" s="19"/>
      <c r="IJ61" s="19"/>
      <c r="IK61" s="263" t="str">
        <f t="shared" si="203"/>
        <v/>
      </c>
      <c r="IL61" s="34"/>
    </row>
    <row r="62" spans="1:271" x14ac:dyDescent="0.2">
      <c r="A62" s="18" t="s">
        <v>31</v>
      </c>
      <c r="B62" s="19">
        <f>B61+7</f>
        <v>40</v>
      </c>
      <c r="C62" s="22">
        <f t="shared" si="174"/>
        <v>0</v>
      </c>
      <c r="E62" s="19" t="str">
        <f t="shared" si="175"/>
        <v/>
      </c>
      <c r="F62" s="19" t="str">
        <f>IF($D62&lt;&gt;"", COUNT($AP62:$BH62)-COUNTIF($AP62:$BH62,0), "")</f>
        <v/>
      </c>
      <c r="H62" s="46" t="str" cm="1">
        <f t="array" aca="1" ref="H62" ca="1">IFERROR(_xlfn.SINGLE(INDEX($AP62:$BH62, , SUMPRODUCT(LARGE((($AP62:$BH62&lt;&gt;0)*($BT62:$CL62&lt;&gt;1)*(weeks)), H$6)))), "")</f>
        <v/>
      </c>
      <c r="I62" s="19" t="str" cm="1">
        <f t="array" aca="1" ref="I62" ca="1">IFERROR(_xlfn.SINGLE(INDEX($AP62:$BH62, , SUMPRODUCT(LARGE((($AP62:$BH62&lt;&gt;0)*($BT62:$CL62&lt;&gt;1)*(weeks)), I$6)))), "")</f>
        <v/>
      </c>
      <c r="J62" s="19" t="str" cm="1">
        <f t="array" aca="1" ref="J62" ca="1">IFERROR(_xlfn.SINGLE(INDEX($AP62:$BH62, , SUMPRODUCT(LARGE((($AP62:$BH62&lt;&gt;0)*($BT62:$CL62&lt;&gt;1)*(weeks)), J$6)))), "")</f>
        <v/>
      </c>
      <c r="K62" s="19" t="str" cm="1">
        <f t="array" aca="1" ref="K62" ca="1">IFERROR(_xlfn.SINGLE(INDEX($AP62:$BH62, , SUMPRODUCT(LARGE((($AP62:$BH62&lt;&gt;0)*($BT62:$CL62&lt;&gt;1)*(weeks)), K$6)))), "")</f>
        <v/>
      </c>
      <c r="Q62" s="86" t="str" cm="1">
        <f t="array" aca="1" ref="Q62" ca="1">IFERROR(_xlfn.SINGLE(INDEX($AP62:$BH62, , SUMPRODUCT(LARGE((($AP62:$BH62&lt;&gt;0)*($BT62:$CL62&lt;&gt;1)*(weeks)), Q$6)))), "")</f>
        <v/>
      </c>
      <c r="R62" s="21" t="str">
        <f t="shared" ca="1" si="176"/>
        <v/>
      </c>
      <c r="S62" s="47" t="str">
        <f t="shared" ca="1" si="177"/>
        <v>-</v>
      </c>
      <c r="T62" s="59"/>
      <c r="U62" s="59"/>
      <c r="V62" s="46"/>
      <c r="X62" s="46" t="str">
        <f t="shared" si="178"/>
        <v/>
      </c>
      <c r="Y62" s="21" t="str">
        <f>IF($D62&lt;&gt;"", IFERROR(IF($F62&gt;=qualifier, AVERAGE($DH62:$DZ62), TEXT(AVERAGE($DH62:$DZ62), "0.00")&amp;"*"), "-"), "")</f>
        <v/>
      </c>
      <c r="Z62" s="19" t="str">
        <f t="shared" si="179"/>
        <v/>
      </c>
      <c r="AA62" s="19" t="str">
        <f t="shared" si="180"/>
        <v/>
      </c>
      <c r="AB62" s="46" t="str">
        <f t="shared" si="181"/>
        <v/>
      </c>
      <c r="AC62" s="218" t="str">
        <f t="shared" ca="1" si="182"/>
        <v/>
      </c>
      <c r="AD62" s="57" t="str">
        <f t="shared" ca="1" si="183"/>
        <v/>
      </c>
      <c r="AE62" s="34"/>
      <c r="AF62" s="341">
        <f>INDEX(PriorScores[],MATCH($D62,PriorScores[Team / Player],0),2)</f>
        <v>0</v>
      </c>
      <c r="AG62" s="341">
        <f>INDEX(PriorScores[],MATCH($D62,PriorScores[Team / Player],0),3)</f>
        <v>0</v>
      </c>
      <c r="AH62" s="341">
        <f>INDEX(PriorScores[],MATCH($D62,PriorScores[Team / Player],0),4)</f>
        <v>0</v>
      </c>
      <c r="AI62" s="341">
        <f>INDEX(PriorScores[],MATCH($D62,PriorScores[Team / Player],0),5)</f>
        <v>0</v>
      </c>
      <c r="AJ62" s="341">
        <f>INDEX(PriorScores[],MATCH($D62,PriorScores[Team / Player],0),6)</f>
        <v>0</v>
      </c>
      <c r="AK62" s="341">
        <f>INDEX(PriorScores[],MATCH($D62,PriorScores[Team / Player],0),7)</f>
        <v>0</v>
      </c>
      <c r="AL62" s="341">
        <f>INDEX(PriorScores[],MATCH($D62,PriorScores[Team / Player],0),8)</f>
        <v>0</v>
      </c>
      <c r="AM62" s="341">
        <f>INDEX(PriorScores[],MATCH($D62,PriorScores[Team / Player],0),9)</f>
        <v>0</v>
      </c>
      <c r="AN62" s="341">
        <f>INDEX(PriorScores[],MATCH($D62,PriorScores[Team / Player],0),10)</f>
        <v>0</v>
      </c>
      <c r="AO62" s="341">
        <f>INDEX(PriorScores[],MATCH($D62,PriorScores[Team / Player],0),11)</f>
        <v>0</v>
      </c>
      <c r="AP62" s="20">
        <f t="shared" ca="1" si="184"/>
        <v>0</v>
      </c>
      <c r="AQ62" s="20">
        <f t="shared" ca="1" si="184"/>
        <v>0</v>
      </c>
      <c r="AR62" s="20">
        <f t="shared" ca="1" si="184"/>
        <v>0</v>
      </c>
      <c r="AS62" s="20">
        <f t="shared" ca="1" si="184"/>
        <v>0</v>
      </c>
      <c r="AT62" s="20">
        <f t="shared" ca="1" si="184"/>
        <v>0</v>
      </c>
      <c r="AU62" s="20">
        <f t="shared" ca="1" si="184"/>
        <v>0</v>
      </c>
      <c r="AV62" s="20">
        <f t="shared" ca="1" si="184"/>
        <v>0</v>
      </c>
      <c r="AW62" s="20">
        <f t="shared" ca="1" si="184"/>
        <v>0</v>
      </c>
      <c r="AX62" s="20">
        <f t="shared" ca="1" si="184"/>
        <v>0</v>
      </c>
      <c r="AY62" s="20">
        <f t="shared" ca="1" si="184"/>
        <v>0</v>
      </c>
      <c r="AZ62" s="20">
        <f t="shared" ca="1" si="185"/>
        <v>0</v>
      </c>
      <c r="BA62" s="20">
        <f t="shared" ca="1" si="185"/>
        <v>0</v>
      </c>
      <c r="BB62" s="20">
        <f t="shared" ca="1" si="185"/>
        <v>0</v>
      </c>
      <c r="BC62" s="20">
        <f t="shared" ca="1" si="185"/>
        <v>0</v>
      </c>
      <c r="BD62" s="20">
        <f t="shared" ca="1" si="185"/>
        <v>0</v>
      </c>
      <c r="BE62" s="20">
        <f t="shared" ca="1" si="185"/>
        <v>0</v>
      </c>
      <c r="BF62" s="20">
        <f t="shared" ca="1" si="185"/>
        <v>0</v>
      </c>
      <c r="BG62" s="20">
        <f t="shared" ca="1" si="185"/>
        <v>0</v>
      </c>
      <c r="BH62" s="20">
        <f t="shared" ca="1" si="185"/>
        <v>0</v>
      </c>
      <c r="BI62" s="34"/>
      <c r="BJ62" s="341">
        <v>0</v>
      </c>
      <c r="BK62" s="341">
        <v>0</v>
      </c>
      <c r="BL62" s="341">
        <v>0</v>
      </c>
      <c r="BM62" s="341">
        <v>0</v>
      </c>
      <c r="BN62" s="341">
        <v>0</v>
      </c>
      <c r="BO62" s="341">
        <v>0</v>
      </c>
      <c r="BP62" s="341">
        <v>0</v>
      </c>
      <c r="BQ62" s="341">
        <v>0</v>
      </c>
      <c r="BR62" s="341">
        <v>0</v>
      </c>
      <c r="BS62" s="341">
        <v>0</v>
      </c>
      <c r="BT62" s="20">
        <f t="shared" ca="1" si="186"/>
        <v>0</v>
      </c>
      <c r="BU62" s="20">
        <f t="shared" ca="1" si="186"/>
        <v>0</v>
      </c>
      <c r="BV62" s="20">
        <f t="shared" ca="1" si="186"/>
        <v>0</v>
      </c>
      <c r="BW62" s="20">
        <f t="shared" ca="1" si="186"/>
        <v>0</v>
      </c>
      <c r="BX62" s="20">
        <f t="shared" ca="1" si="186"/>
        <v>0</v>
      </c>
      <c r="BY62" s="20">
        <f t="shared" ca="1" si="186"/>
        <v>0</v>
      </c>
      <c r="BZ62" s="20">
        <f t="shared" ca="1" si="186"/>
        <v>0</v>
      </c>
      <c r="CA62" s="20">
        <f t="shared" ca="1" si="186"/>
        <v>0</v>
      </c>
      <c r="CB62" s="20">
        <f t="shared" ca="1" si="186"/>
        <v>0</v>
      </c>
      <c r="CC62" s="20">
        <f t="shared" ca="1" si="186"/>
        <v>0</v>
      </c>
      <c r="CD62" s="20">
        <f t="shared" ca="1" si="187"/>
        <v>0</v>
      </c>
      <c r="CE62" s="20">
        <f t="shared" ca="1" si="187"/>
        <v>0</v>
      </c>
      <c r="CF62" s="20">
        <f t="shared" ca="1" si="187"/>
        <v>0</v>
      </c>
      <c r="CG62" s="20">
        <f t="shared" ca="1" si="187"/>
        <v>0</v>
      </c>
      <c r="CH62" s="20">
        <f t="shared" ca="1" si="187"/>
        <v>0</v>
      </c>
      <c r="CI62" s="20">
        <f t="shared" ca="1" si="187"/>
        <v>0</v>
      </c>
      <c r="CJ62" s="20">
        <f t="shared" ca="1" si="187"/>
        <v>0</v>
      </c>
      <c r="CK62" s="20">
        <f t="shared" ca="1" si="187"/>
        <v>0</v>
      </c>
      <c r="CL62" s="20">
        <f t="shared" ca="1" si="187"/>
        <v>0</v>
      </c>
      <c r="CM62" s="34"/>
      <c r="CN62" s="20" t="str">
        <f t="shared" ca="1" si="188"/>
        <v/>
      </c>
      <c r="CO62" s="20" t="str">
        <f t="shared" ca="1" si="188"/>
        <v/>
      </c>
      <c r="CP62" s="20" t="str">
        <f t="shared" ca="1" si="188"/>
        <v/>
      </c>
      <c r="CQ62" s="20" t="str">
        <f t="shared" ca="1" si="188"/>
        <v/>
      </c>
      <c r="CR62" s="20" t="str">
        <f t="shared" ca="1" si="188"/>
        <v/>
      </c>
      <c r="CS62" s="20" t="str">
        <f t="shared" ca="1" si="188"/>
        <v/>
      </c>
      <c r="CT62" s="20" t="str">
        <f t="shared" ca="1" si="188"/>
        <v/>
      </c>
      <c r="CU62" s="20" t="str">
        <f t="shared" ca="1" si="188"/>
        <v/>
      </c>
      <c r="CV62" s="20" t="str">
        <f t="shared" ca="1" si="188"/>
        <v/>
      </c>
      <c r="CW62" s="20" t="str">
        <f t="shared" ca="1" si="188"/>
        <v/>
      </c>
      <c r="CX62" s="20" t="str">
        <f t="shared" ca="1" si="189"/>
        <v/>
      </c>
      <c r="CY62" s="20" t="str">
        <f t="shared" ca="1" si="189"/>
        <v/>
      </c>
      <c r="CZ62" s="20" t="str">
        <f t="shared" ca="1" si="189"/>
        <v/>
      </c>
      <c r="DA62" s="20" t="str">
        <f t="shared" ca="1" si="189"/>
        <v/>
      </c>
      <c r="DB62" s="20" t="str">
        <f t="shared" ca="1" si="189"/>
        <v/>
      </c>
      <c r="DC62" s="20" t="str">
        <f t="shared" ca="1" si="189"/>
        <v/>
      </c>
      <c r="DD62" s="20" t="str">
        <f t="shared" ca="1" si="189"/>
        <v/>
      </c>
      <c r="DE62" s="20" t="str">
        <f t="shared" ca="1" si="189"/>
        <v/>
      </c>
      <c r="DF62" s="20" t="str">
        <f t="shared" ca="1" si="189"/>
        <v/>
      </c>
      <c r="DG62" s="34"/>
      <c r="DH62" s="20" t="str">
        <f t="shared" ca="1" si="190"/>
        <v/>
      </c>
      <c r="DI62" s="20" t="str">
        <f t="shared" ca="1" si="190"/>
        <v/>
      </c>
      <c r="DJ62" s="20" t="str">
        <f t="shared" ca="1" si="190"/>
        <v/>
      </c>
      <c r="DK62" s="20" t="str">
        <f t="shared" ca="1" si="190"/>
        <v/>
      </c>
      <c r="DL62" s="20" t="str">
        <f t="shared" ca="1" si="190"/>
        <v/>
      </c>
      <c r="DM62" s="20" t="str">
        <f t="shared" ca="1" si="190"/>
        <v/>
      </c>
      <c r="DN62" s="20" t="str">
        <f t="shared" ca="1" si="190"/>
        <v/>
      </c>
      <c r="DO62" s="20" t="str">
        <f t="shared" ca="1" si="190"/>
        <v/>
      </c>
      <c r="DP62" s="20" t="str">
        <f t="shared" ca="1" si="190"/>
        <v/>
      </c>
      <c r="DQ62" s="20" t="str">
        <f t="shared" ca="1" si="190"/>
        <v/>
      </c>
      <c r="DR62" s="20" t="str">
        <f t="shared" ca="1" si="191"/>
        <v/>
      </c>
      <c r="DS62" s="20" t="str">
        <f t="shared" ca="1" si="191"/>
        <v/>
      </c>
      <c r="DT62" s="20" t="str">
        <f t="shared" ca="1" si="191"/>
        <v/>
      </c>
      <c r="DU62" s="20" t="str">
        <f t="shared" ca="1" si="191"/>
        <v/>
      </c>
      <c r="DV62" s="20" t="str">
        <f t="shared" ca="1" si="191"/>
        <v/>
      </c>
      <c r="DW62" s="20" t="str">
        <f t="shared" ca="1" si="191"/>
        <v/>
      </c>
      <c r="DX62" s="20" t="str">
        <f t="shared" ca="1" si="191"/>
        <v/>
      </c>
      <c r="DY62" s="20" t="str">
        <f t="shared" ca="1" si="191"/>
        <v/>
      </c>
      <c r="DZ62" s="20" t="str">
        <f t="shared" ca="1" si="191"/>
        <v/>
      </c>
      <c r="EA62" s="34"/>
      <c r="EB62" s="20" t="str">
        <f t="shared" ca="1" si="192"/>
        <v/>
      </c>
      <c r="EC62" s="20" t="str">
        <f t="shared" ca="1" si="192"/>
        <v/>
      </c>
      <c r="ED62" s="20" t="str">
        <f t="shared" ca="1" si="192"/>
        <v/>
      </c>
      <c r="EE62" s="20" t="str">
        <f t="shared" ca="1" si="192"/>
        <v/>
      </c>
      <c r="EF62" s="20" t="str">
        <f t="shared" ca="1" si="192"/>
        <v/>
      </c>
      <c r="EG62" s="20" t="str">
        <f t="shared" ca="1" si="192"/>
        <v/>
      </c>
      <c r="EH62" s="20" t="str">
        <f t="shared" ca="1" si="192"/>
        <v/>
      </c>
      <c r="EI62" s="20" t="str">
        <f t="shared" ca="1" si="192"/>
        <v/>
      </c>
      <c r="EJ62" s="20" t="str">
        <f t="shared" ca="1" si="192"/>
        <v/>
      </c>
      <c r="EK62" s="20" t="str">
        <f t="shared" ca="1" si="192"/>
        <v/>
      </c>
      <c r="EL62" s="20" t="str">
        <f t="shared" ca="1" si="193"/>
        <v/>
      </c>
      <c r="EM62" s="20" t="str">
        <f t="shared" ca="1" si="193"/>
        <v/>
      </c>
      <c r="EN62" s="20" t="str">
        <f t="shared" ca="1" si="193"/>
        <v/>
      </c>
      <c r="EO62" s="20" t="str">
        <f t="shared" ca="1" si="193"/>
        <v/>
      </c>
      <c r="EP62" s="20" t="str">
        <f t="shared" ca="1" si="193"/>
        <v/>
      </c>
      <c r="EQ62" s="20" t="str">
        <f t="shared" ca="1" si="193"/>
        <v/>
      </c>
      <c r="ER62" s="20" t="str">
        <f t="shared" ca="1" si="193"/>
        <v/>
      </c>
      <c r="ES62" s="20" t="str">
        <f t="shared" ca="1" si="193"/>
        <v/>
      </c>
      <c r="ET62" s="20" t="str">
        <f t="shared" ca="1" si="193"/>
        <v/>
      </c>
      <c r="EU62" s="34"/>
      <c r="EV62" s="20" t="str">
        <f t="shared" ca="1" si="194"/>
        <v/>
      </c>
      <c r="EW62" s="20" t="str">
        <f t="shared" ca="1" si="194"/>
        <v/>
      </c>
      <c r="EX62" s="20" t="str">
        <f t="shared" ca="1" si="194"/>
        <v/>
      </c>
      <c r="EY62" s="20" t="str">
        <f t="shared" ca="1" si="194"/>
        <v/>
      </c>
      <c r="EZ62" s="20" t="str">
        <f t="shared" ca="1" si="194"/>
        <v/>
      </c>
      <c r="FA62" s="20" t="str">
        <f t="shared" ca="1" si="194"/>
        <v/>
      </c>
      <c r="FB62" s="20" t="str">
        <f t="shared" ca="1" si="194"/>
        <v/>
      </c>
      <c r="FC62" s="20" t="str">
        <f t="shared" ca="1" si="194"/>
        <v/>
      </c>
      <c r="FD62" s="20" t="str">
        <f t="shared" ca="1" si="194"/>
        <v/>
      </c>
      <c r="FE62" s="20" t="str">
        <f t="shared" ca="1" si="194"/>
        <v/>
      </c>
      <c r="FF62" s="20" t="str">
        <f t="shared" ca="1" si="195"/>
        <v/>
      </c>
      <c r="FG62" s="20" t="str">
        <f t="shared" ca="1" si="195"/>
        <v/>
      </c>
      <c r="FH62" s="20" t="str">
        <f t="shared" ca="1" si="195"/>
        <v/>
      </c>
      <c r="FI62" s="20" t="str">
        <f t="shared" ca="1" si="195"/>
        <v/>
      </c>
      <c r="FJ62" s="20" t="str">
        <f t="shared" ca="1" si="195"/>
        <v/>
      </c>
      <c r="FK62" s="20" t="str">
        <f t="shared" ca="1" si="195"/>
        <v/>
      </c>
      <c r="FL62" s="20" t="str">
        <f t="shared" ca="1" si="195"/>
        <v/>
      </c>
      <c r="FM62" s="20" t="str">
        <f t="shared" ca="1" si="195"/>
        <v/>
      </c>
      <c r="FN62" s="20" t="str">
        <f t="shared" ca="1" si="195"/>
        <v/>
      </c>
      <c r="FO62" s="34"/>
      <c r="FP62" s="20" t="str">
        <f t="shared" ca="1" si="196"/>
        <v/>
      </c>
      <c r="FQ62" s="20" t="str">
        <f t="shared" ca="1" si="196"/>
        <v/>
      </c>
      <c r="FR62" s="20" t="str">
        <f t="shared" ca="1" si="196"/>
        <v/>
      </c>
      <c r="FS62" s="20" t="str">
        <f t="shared" ca="1" si="196"/>
        <v/>
      </c>
      <c r="FT62" s="20" t="str">
        <f t="shared" ca="1" si="196"/>
        <v/>
      </c>
      <c r="FU62" s="20" t="str">
        <f t="shared" ca="1" si="196"/>
        <v/>
      </c>
      <c r="FV62" s="20" t="str">
        <f t="shared" ca="1" si="196"/>
        <v/>
      </c>
      <c r="FW62" s="20" t="str">
        <f t="shared" ca="1" si="196"/>
        <v/>
      </c>
      <c r="FX62" s="20" t="str">
        <f t="shared" ca="1" si="196"/>
        <v/>
      </c>
      <c r="FY62" s="20" t="str">
        <f t="shared" ca="1" si="196"/>
        <v/>
      </c>
      <c r="FZ62" s="20" t="str">
        <f t="shared" ca="1" si="197"/>
        <v/>
      </c>
      <c r="GA62" s="20" t="str">
        <f t="shared" ca="1" si="197"/>
        <v/>
      </c>
      <c r="GB62" s="20" t="str">
        <f t="shared" ca="1" si="197"/>
        <v/>
      </c>
      <c r="GC62" s="20" t="str">
        <f t="shared" ca="1" si="197"/>
        <v/>
      </c>
      <c r="GD62" s="20" t="str">
        <f t="shared" ca="1" si="197"/>
        <v/>
      </c>
      <c r="GE62" s="20" t="str">
        <f t="shared" ca="1" si="197"/>
        <v/>
      </c>
      <c r="GF62" s="20" t="str">
        <f t="shared" ca="1" si="197"/>
        <v/>
      </c>
      <c r="GG62" s="20" t="str">
        <f t="shared" ca="1" si="197"/>
        <v/>
      </c>
      <c r="GH62" s="20" t="str">
        <f t="shared" ca="1" si="197"/>
        <v/>
      </c>
      <c r="GI62" s="34"/>
      <c r="HE62" s="34"/>
      <c r="HZ62" s="34"/>
      <c r="IA62" s="19" t="str">
        <f t="shared" si="198"/>
        <v/>
      </c>
      <c r="IB62" s="19" t="str">
        <f t="shared" si="199"/>
        <v/>
      </c>
      <c r="IC62" s="19" t="str">
        <f t="shared" si="200"/>
        <v/>
      </c>
      <c r="ID62" s="19" t="str">
        <f t="shared" si="201"/>
        <v/>
      </c>
      <c r="IE62" s="19" t="str">
        <f t="shared" si="202"/>
        <v/>
      </c>
      <c r="IF62" s="19"/>
      <c r="IG62" s="19"/>
      <c r="IH62" s="19"/>
      <c r="II62" s="19"/>
      <c r="IJ62" s="19"/>
      <c r="IK62" s="263" t="str">
        <f t="shared" si="203"/>
        <v/>
      </c>
      <c r="IL62" s="34"/>
    </row>
    <row r="63" spans="1:271" ht="21" customHeight="1" x14ac:dyDescent="0.2">
      <c r="A63" s="38" t="s">
        <v>76</v>
      </c>
      <c r="B63" s="39" t="s">
        <v>75</v>
      </c>
      <c r="C63" s="40">
        <f>IFERROR(VLOOKUP(D63, leagueroster, 2, FALSE), 0)</f>
        <v>0</v>
      </c>
      <c r="D63" s="38" t="s">
        <v>77</v>
      </c>
      <c r="E63" s="39"/>
      <c r="F63" s="39"/>
      <c r="G63" s="41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41"/>
      <c r="V63" s="39"/>
      <c r="W63" s="39"/>
      <c r="X63" s="39"/>
      <c r="Y63" s="39"/>
      <c r="Z63" s="39"/>
      <c r="AA63" s="39"/>
      <c r="AB63" s="39"/>
      <c r="AE63" s="34"/>
      <c r="AF63" s="341"/>
      <c r="AG63" s="341"/>
      <c r="AH63" s="341"/>
      <c r="AI63" s="341"/>
      <c r="AJ63" s="341"/>
      <c r="AK63" s="341"/>
      <c r="AL63" s="341"/>
      <c r="AM63" s="341"/>
      <c r="AN63" s="341"/>
      <c r="AO63" s="341"/>
      <c r="BI63" s="34"/>
      <c r="BJ63" s="340"/>
      <c r="BK63" s="340"/>
      <c r="BL63" s="340"/>
      <c r="BM63" s="340"/>
      <c r="BN63" s="340"/>
      <c r="BO63" s="340"/>
      <c r="BP63" s="340"/>
      <c r="BQ63" s="340"/>
      <c r="BR63" s="340"/>
      <c r="BS63" s="340"/>
      <c r="CM63" s="34"/>
      <c r="DG63" s="34"/>
      <c r="EA63" s="34"/>
      <c r="EU63" s="34"/>
      <c r="FO63" s="34"/>
      <c r="GI63" s="34"/>
      <c r="GJ63" s="20" t="str">
        <f t="shared" ref="GJ63:HB63" ca="1" si="204">IF(INDEX(INDIRECT($A63), 4, GJ$6+2)=0, "", INDEX(INDIRECT($A63), 4, GJ$6+2))</f>
        <v/>
      </c>
      <c r="GK63" s="20" t="str">
        <f t="shared" ca="1" si="204"/>
        <v/>
      </c>
      <c r="GL63" s="20" t="str">
        <f t="shared" ca="1" si="204"/>
        <v/>
      </c>
      <c r="GM63" s="20" t="str">
        <f t="shared" ca="1" si="204"/>
        <v/>
      </c>
      <c r="GN63" s="20" t="str">
        <f t="shared" ca="1" si="204"/>
        <v/>
      </c>
      <c r="GO63" s="20" t="str">
        <f t="shared" ca="1" si="204"/>
        <v/>
      </c>
      <c r="GP63" s="20" t="str">
        <f t="shared" ca="1" si="204"/>
        <v/>
      </c>
      <c r="GQ63" s="20" t="str">
        <f t="shared" ca="1" si="204"/>
        <v/>
      </c>
      <c r="GR63" s="20" t="str">
        <f t="shared" ca="1" si="204"/>
        <v/>
      </c>
      <c r="GS63" s="20" t="str">
        <f t="shared" ca="1" si="204"/>
        <v/>
      </c>
      <c r="GT63" s="20" t="str">
        <f t="shared" ca="1" si="204"/>
        <v/>
      </c>
      <c r="GU63" s="20" t="str">
        <f t="shared" ca="1" si="204"/>
        <v/>
      </c>
      <c r="GV63" s="20" t="str">
        <f t="shared" ca="1" si="204"/>
        <v/>
      </c>
      <c r="GW63" s="20" t="str">
        <f t="shared" ca="1" si="204"/>
        <v/>
      </c>
      <c r="GX63" s="20" t="str">
        <f t="shared" ca="1" si="204"/>
        <v/>
      </c>
      <c r="GY63" s="20" t="str">
        <f t="shared" ca="1" si="204"/>
        <v/>
      </c>
      <c r="GZ63" s="20" t="str">
        <f t="shared" ca="1" si="204"/>
        <v/>
      </c>
      <c r="HA63" s="20" t="str">
        <f t="shared" ca="1" si="204"/>
        <v/>
      </c>
      <c r="HB63" s="20" t="str">
        <f t="shared" ca="1" si="204"/>
        <v/>
      </c>
      <c r="HC63" s="20"/>
      <c r="HD63" s="42" t="str">
        <f ca="1">IF(D63&lt;&gt;"", IFERROR(AVERAGE(GJ63:HA63), "-"), "")</f>
        <v>-</v>
      </c>
      <c r="HE63" s="34"/>
      <c r="HF63" s="20" t="str">
        <f t="shared" ref="HF63:HW63" ca="1" si="205">IF(INDEX(INDIRECT($A63), 3, HF$6+2)=0, "", INDEX(INDIRECT($A63), 3, HF$6+2))</f>
        <v/>
      </c>
      <c r="HG63" s="20" t="str">
        <f t="shared" ca="1" si="205"/>
        <v/>
      </c>
      <c r="HH63" s="20" t="str">
        <f t="shared" ca="1" si="205"/>
        <v/>
      </c>
      <c r="HI63" s="20" t="str">
        <f t="shared" ca="1" si="205"/>
        <v/>
      </c>
      <c r="HJ63" s="20" t="str">
        <f t="shared" ca="1" si="205"/>
        <v/>
      </c>
      <c r="HK63" s="20" t="str">
        <f t="shared" ca="1" si="205"/>
        <v/>
      </c>
      <c r="HL63" s="20" t="str">
        <f t="shared" ca="1" si="205"/>
        <v/>
      </c>
      <c r="HM63" s="20" t="str">
        <f t="shared" ca="1" si="205"/>
        <v/>
      </c>
      <c r="HN63" s="20" t="str">
        <f t="shared" ca="1" si="205"/>
        <v/>
      </c>
      <c r="HO63" s="20" t="str">
        <f t="shared" ca="1" si="205"/>
        <v/>
      </c>
      <c r="HP63" s="20" t="str">
        <f t="shared" ca="1" si="205"/>
        <v/>
      </c>
      <c r="HQ63" s="20" t="str">
        <f t="shared" ca="1" si="205"/>
        <v/>
      </c>
      <c r="HR63" s="20" t="str">
        <f t="shared" ca="1" si="205"/>
        <v/>
      </c>
      <c r="HS63" s="20" t="str">
        <f t="shared" ca="1" si="205"/>
        <v/>
      </c>
      <c r="HT63" s="20" t="str">
        <f t="shared" ca="1" si="205"/>
        <v/>
      </c>
      <c r="HU63" s="20" t="str">
        <f t="shared" ca="1" si="205"/>
        <v/>
      </c>
      <c r="HV63" s="20" t="str">
        <f t="shared" ca="1" si="205"/>
        <v/>
      </c>
      <c r="HW63" s="20" t="str">
        <f t="shared" ca="1" si="205"/>
        <v/>
      </c>
      <c r="HX63" s="20"/>
      <c r="HY63" s="20"/>
      <c r="HZ63" s="34"/>
      <c r="IA63" s="118"/>
      <c r="IB63" s="118"/>
      <c r="IC63" s="118"/>
      <c r="ID63" s="118"/>
      <c r="IE63" s="118"/>
      <c r="IF63" s="118"/>
      <c r="IG63" s="118"/>
      <c r="IH63" s="118"/>
      <c r="II63" s="118"/>
      <c r="IJ63" s="118"/>
      <c r="IK63" s="118"/>
      <c r="IL63" s="34"/>
    </row>
    <row r="64" spans="1:271" x14ac:dyDescent="0.2">
      <c r="A64" s="18" t="s">
        <v>76</v>
      </c>
      <c r="B64" s="19">
        <v>5</v>
      </c>
      <c r="C64" s="22">
        <f t="shared" ref="C64:C92" ca="1" si="206">IFERROR(VLOOKUP($D64, leagueroster, 2, FALSE), 0)</f>
        <v>1E-4</v>
      </c>
      <c r="D64" s="18" t="str">
        <f ca="1">INDEX(INDIRECT($A64), $B64, 1)</f>
        <v>Albaugh, Dick - green tees</v>
      </c>
      <c r="E64" s="19">
        <f t="shared" ref="E64:E92" ca="1" si="207">IF($D64&lt;&gt;"", COUNTIF($AP64:$BH64,"&lt;&gt;0"), "")</f>
        <v>2</v>
      </c>
      <c r="F64" s="19">
        <f t="shared" ref="F64:F86" ca="1" si="208">IF(D64&lt;&gt;"",COUNT($H64:$Q64),"")</f>
        <v>2</v>
      </c>
      <c r="G64" s="21" t="str">
        <f t="shared" ref="G64:G92" ca="1" si="209">IF($D64&lt;&gt;"",INDEX($IA64:$IK64,1,MATCH($F64,$IA$6:$IK$6,0)), "")</f>
        <v>Low of score &amp; 47</v>
      </c>
      <c r="H64" s="337" cm="1">
        <f t="array" aca="1" ref="H64" ca="1">IFERROR(_xlfn.SINGLE(INDEX($AF64:$BH64, , SUMPRODUCT(LARGE((($AF64:$BH64&lt;&gt;0)*($BJ64:$CL64&lt;&gt;1)*($AF$5:$BH$5)), H$6)))), "")</f>
        <v>47</v>
      </c>
      <c r="I64" s="338" cm="1">
        <f t="array" aca="1" ref="I64" ca="1">IFERROR(_xlfn.SINGLE(INDEX($AF64:$BH64, , SUMPRODUCT(LARGE((($AF64:$BH64&lt;&gt;0)*($BJ64:$CL64&lt;&gt;1)*($AF$5:$BH$5)), I$6)))), "")</f>
        <v>49</v>
      </c>
      <c r="J64" s="338" t="str" cm="1">
        <f t="array" aca="1" ref="J64" ca="1">IFERROR(_xlfn.SINGLE(INDEX($AF64:$BH64, , SUMPRODUCT(LARGE((($AF64:$BH64&lt;&gt;0)*($BJ64:$CL64&lt;&gt;1)*($AF$5:$BH$5)), J$6)))), "")</f>
        <v/>
      </c>
      <c r="K64" s="338" t="str" cm="1">
        <f t="array" aca="1" ref="K64" ca="1">IFERROR(_xlfn.SINGLE(INDEX($AF64:$BH64, , SUMPRODUCT(LARGE((($AF64:$BH64&lt;&gt;0)*($BJ64:$CL64&lt;&gt;1)*($AF$5:$BH$5)), K$6)))), "")</f>
        <v/>
      </c>
      <c r="L64" s="338" t="str" cm="1">
        <f t="array" aca="1" ref="L64" ca="1">IFERROR(_xlfn.SINGLE(INDEX($AF64:$BH64, , SUMPRODUCT(LARGE((($AF64:$BH64&lt;&gt;0)*($BJ64:$CL64&lt;&gt;1)*($AF$5:$BH$5)), L$6)))), "")</f>
        <v/>
      </c>
      <c r="M64" s="338" t="str" cm="1">
        <f t="array" aca="1" ref="M64" ca="1">IFERROR(_xlfn.SINGLE(INDEX($AF64:$BH64, , SUMPRODUCT(LARGE((($AF64:$BH64&lt;&gt;0)*($BJ64:$CL64&lt;&gt;1)*($AF$5:$BH$5)), M$6)))), "")</f>
        <v/>
      </c>
      <c r="N64" s="338" t="str" cm="1">
        <f t="array" aca="1" ref="N64" ca="1">IFERROR(_xlfn.SINGLE(INDEX($AF64:$BH64, , SUMPRODUCT(LARGE((($AF64:$BH64&lt;&gt;0)*($BJ64:$CL64&lt;&gt;1)*($AF$5:$BH$5)), N$6)))), "")</f>
        <v/>
      </c>
      <c r="O64" s="338" t="str" cm="1">
        <f t="array" aca="1" ref="O64" ca="1">IFERROR(_xlfn.SINGLE(INDEX($AF64:$BH64, , SUMPRODUCT(LARGE((($AF64:$BH64&lt;&gt;0)*($BJ64:$CL64&lt;&gt;1)*($AF$5:$BH$5)), O$6)))), "")</f>
        <v/>
      </c>
      <c r="P64" s="338" t="str" cm="1">
        <f t="array" aca="1" ref="P64" ca="1">IFERROR(_xlfn.SINGLE(INDEX($AF64:$BH64, , SUMPRODUCT(LARGE((($AF64:$BH64&lt;&gt;0)*($BJ64:$CL64&lt;&gt;1)*($AF$5:$BH$5)), P$6)))), "")</f>
        <v/>
      </c>
      <c r="Q64" s="339" t="str" cm="1">
        <f t="array" aca="1" ref="Q64" ca="1">IFERROR(_xlfn.SINGLE(INDEX($AF64:$BH64, , SUMPRODUCT(LARGE((($AF64:$BH64&lt;&gt;0)*($BJ64:$CL64&lt;&gt;1)*($AF$5:$BH$5)), Q$6)))), "")</f>
        <v/>
      </c>
      <c r="R64" s="116" t="s">
        <v>452</v>
      </c>
      <c r="S64" s="47" t="str">
        <f t="shared" ref="S64:S92" ca="1" si="210">IF(COUNT($H64:$Q64)&lt;5,"-",AVERAGE(SMALL($H64:$Q64,1),SMALL($H64:$Q64,2),SMALL($H64:$Q64,3),SMALL($H64:$Q64,4),SMALL($H64:$Q64,5)))</f>
        <v>-</v>
      </c>
      <c r="T64" s="21" t="str">
        <f t="shared" ref="T64:T92" ca="1" si="211">IF($D64&lt;&gt;"", IFERROR(IF($E64&gt;=qualifier, SUMIF($BT64:$CL64,0,$AP64:$BH64)/$E64, TEXT(SUMIF($BT64:$CL64,0,$AP64:$BH64)/$E64, "0.00")&amp;"*"), "-"), "")</f>
        <v>48.00*</v>
      </c>
      <c r="U64" s="21" t="str">
        <f t="shared" ref="U64:U92" ca="1" si="212">IF($D64&lt;&gt;"", IFERROR(IF($E64&gt;=qualifier, SUMIF($BT64:$CL64,0,$CN64:$DF64)/$E64, TEXT(SUMIF($BT64:$CL64,0,$CN64:$DF64)/$E64, "0.00")&amp;"*"), "-"), "")</f>
        <v>38.00*</v>
      </c>
      <c r="V64" s="45">
        <f t="shared" ref="V64:V92" ca="1" si="213">IF(AND($D64&lt;&gt;"", $E64&lt;&gt;0), _xlfn.MINIFS($AP64:$BH64,$BT64:$CL64,0,$AP64:$BH64,"&lt;&gt;0"), "")</f>
        <v>47</v>
      </c>
      <c r="W64" s="62">
        <f t="shared" ref="W64:W92" ca="1" si="214">IF(AND($D64&lt;&gt;"", $E64&lt;&gt;0), _xlfn.MINIFS($CN64:$DF64,$BT64:$CL64,0), "")</f>
        <v>37</v>
      </c>
      <c r="X64" s="45">
        <f t="shared" ref="X64:X92" ca="1" si="215">IF($D64&lt;&gt;"", SUM($DH64:$DZ64),  "")</f>
        <v>22</v>
      </c>
      <c r="Y64" s="21" t="str">
        <f t="shared" ref="Y64:Y92" ca="1" si="216">IF($D64&lt;&gt;"", IFERROR(IF($E64&gt;=qualifier, AVERAGE($DH64:$DZ64), TEXT(AVERAGE($DH64:$DZ64), "0.00")&amp;"*"), "-"), "")</f>
        <v>11.00*</v>
      </c>
      <c r="Z64" s="19">
        <f t="shared" ref="Z64:Z92" ca="1" si="217">IF($D64&lt;&gt;"", SUM($EB64:$ET64),  "")</f>
        <v>0</v>
      </c>
      <c r="AA64" s="19">
        <f t="shared" ref="AA64:AA92" ca="1" si="218">IF($D64&lt;&gt;"", SUM($EV64:$FN64),  "")</f>
        <v>0</v>
      </c>
      <c r="AB64" s="45" t="str">
        <f t="shared" ref="AB64:AB92" ca="1" si="219">IF($D64&lt;&gt;"", COUNTIF($FP64:$GH64, "w")&amp;"-"&amp;COUNTIF($FP64:$GH64, "l")&amp;"-"&amp;COUNTIF($FP64:$GH64, "t"),  "")</f>
        <v>0-0-0</v>
      </c>
      <c r="AC64" s="218">
        <f ca="1">IF($D64&lt;&gt;"", INDEX(INDIRECT($A64), $B64+1, 1), "")</f>
        <v>0</v>
      </c>
      <c r="AD64" s="57">
        <f ca="1">IF($D64&lt;&gt;"", INDEX(INDIRECT($A64), $B64+2, 1), "")</f>
        <v>0</v>
      </c>
      <c r="AE64" s="34"/>
      <c r="AF64" s="341">
        <f ca="1">INDEX(PriorScores[],MATCH($D64,PriorScores[Team / Player],0),2)</f>
        <v>0</v>
      </c>
      <c r="AG64" s="341">
        <f ca="1">INDEX(PriorScores[],MATCH($D64,PriorScores[Team / Player],0),3)</f>
        <v>0</v>
      </c>
      <c r="AH64" s="341">
        <f ca="1">INDEX(PriorScores[],MATCH($D64,PriorScores[Team / Player],0),4)</f>
        <v>0</v>
      </c>
      <c r="AI64" s="341">
        <f ca="1">INDEX(PriorScores[],MATCH($D64,PriorScores[Team / Player],0),5)</f>
        <v>0</v>
      </c>
      <c r="AJ64" s="341">
        <f ca="1">INDEX(PriorScores[],MATCH($D64,PriorScores[Team / Player],0),6)</f>
        <v>0</v>
      </c>
      <c r="AK64" s="341">
        <f ca="1">INDEX(PriorScores[],MATCH($D64,PriorScores[Team / Player],0),7)</f>
        <v>0</v>
      </c>
      <c r="AL64" s="341">
        <f ca="1">INDEX(PriorScores[],MATCH($D64,PriorScores[Team / Player],0),8)</f>
        <v>0</v>
      </c>
      <c r="AM64" s="341">
        <f ca="1">INDEX(PriorScores[],MATCH($D64,PriorScores[Team / Player],0),9)</f>
        <v>0</v>
      </c>
      <c r="AN64" s="341">
        <f ca="1">INDEX(PriorScores[],MATCH($D64,PriorScores[Team / Player],0),10)</f>
        <v>0</v>
      </c>
      <c r="AO64" s="341">
        <f ca="1">INDEX(PriorScores[],MATCH($D64,PriorScores[Team / Player],0),11)</f>
        <v>0</v>
      </c>
      <c r="AP64" s="20">
        <f t="shared" ref="AP64:AY73" ca="1" si="220">IF(OR(INDEX(INDIRECT($A64), $B64, AP$6+2)="",INDEX(INDIRECT($A64),$B64+5,AP$6+2)=1), 0, INDEX(INDIRECT($A64), $B64, AP$6+2))</f>
        <v>0</v>
      </c>
      <c r="AQ64" s="20">
        <f t="shared" ca="1" si="220"/>
        <v>0</v>
      </c>
      <c r="AR64" s="20">
        <f t="shared" ca="1" si="220"/>
        <v>0</v>
      </c>
      <c r="AS64" s="20">
        <f t="shared" ca="1" si="220"/>
        <v>0</v>
      </c>
      <c r="AT64" s="20">
        <f t="shared" ca="1" si="220"/>
        <v>0</v>
      </c>
      <c r="AU64" s="20">
        <f t="shared" ca="1" si="220"/>
        <v>0</v>
      </c>
      <c r="AV64" s="20">
        <f t="shared" ca="1" si="220"/>
        <v>0</v>
      </c>
      <c r="AW64" s="20">
        <f t="shared" ca="1" si="220"/>
        <v>0</v>
      </c>
      <c r="AX64" s="20">
        <f t="shared" ca="1" si="220"/>
        <v>0</v>
      </c>
      <c r="AY64" s="20">
        <f t="shared" ca="1" si="220"/>
        <v>49</v>
      </c>
      <c r="AZ64" s="20">
        <f t="shared" ref="AZ64:BH73" ca="1" si="221">IF(OR(INDEX(INDIRECT($A64), $B64, AZ$6+2)="",INDEX(INDIRECT($A64),$B64+5,AZ$6+2)=1), 0, INDEX(INDIRECT($A64), $B64, AZ$6+2))</f>
        <v>47</v>
      </c>
      <c r="BA64" s="20">
        <f t="shared" ca="1" si="221"/>
        <v>0</v>
      </c>
      <c r="BB64" s="20">
        <f t="shared" ca="1" si="221"/>
        <v>0</v>
      </c>
      <c r="BC64" s="20">
        <f t="shared" ca="1" si="221"/>
        <v>0</v>
      </c>
      <c r="BD64" s="20">
        <f t="shared" ca="1" si="221"/>
        <v>0</v>
      </c>
      <c r="BE64" s="20">
        <f t="shared" ca="1" si="221"/>
        <v>0</v>
      </c>
      <c r="BF64" s="20">
        <f t="shared" ca="1" si="221"/>
        <v>0</v>
      </c>
      <c r="BG64" s="20">
        <f t="shared" ca="1" si="221"/>
        <v>0</v>
      </c>
      <c r="BH64" s="20">
        <f t="shared" ca="1" si="221"/>
        <v>0</v>
      </c>
      <c r="BI64" s="34"/>
      <c r="BJ64" s="341">
        <v>0</v>
      </c>
      <c r="BK64" s="341">
        <v>0</v>
      </c>
      <c r="BL64" s="341">
        <v>0</v>
      </c>
      <c r="BM64" s="341">
        <v>0</v>
      </c>
      <c r="BN64" s="341">
        <v>0</v>
      </c>
      <c r="BO64" s="341">
        <v>0</v>
      </c>
      <c r="BP64" s="341">
        <v>0</v>
      </c>
      <c r="BQ64" s="341">
        <v>0</v>
      </c>
      <c r="BR64" s="341">
        <v>0</v>
      </c>
      <c r="BS64" s="341">
        <v>0</v>
      </c>
      <c r="BT64" s="20">
        <f t="shared" ref="BT64:CL64" ca="1" si="222">IF(INDEX(INDIRECT($A64), $B64+5, BT$6+2)="", 0, INDEX(INDIRECT($A64), $B64+5, BT$6+2))</f>
        <v>0</v>
      </c>
      <c r="BU64" s="20">
        <f t="shared" ca="1" si="222"/>
        <v>0</v>
      </c>
      <c r="BV64" s="20">
        <f t="shared" ca="1" si="222"/>
        <v>0</v>
      </c>
      <c r="BW64" s="20">
        <f t="shared" ca="1" si="222"/>
        <v>0</v>
      </c>
      <c r="BX64" s="20">
        <f t="shared" ca="1" si="222"/>
        <v>0</v>
      </c>
      <c r="BY64" s="20">
        <f t="shared" ca="1" si="222"/>
        <v>0</v>
      </c>
      <c r="BZ64" s="20">
        <f t="shared" ca="1" si="222"/>
        <v>0</v>
      </c>
      <c r="CA64" s="20">
        <f t="shared" ca="1" si="222"/>
        <v>0</v>
      </c>
      <c r="CB64" s="20">
        <f t="shared" ca="1" si="222"/>
        <v>0</v>
      </c>
      <c r="CC64" s="20">
        <f t="shared" ca="1" si="222"/>
        <v>0</v>
      </c>
      <c r="CD64" s="20">
        <f t="shared" ca="1" si="222"/>
        <v>0</v>
      </c>
      <c r="CE64" s="20">
        <f t="shared" ca="1" si="222"/>
        <v>0</v>
      </c>
      <c r="CF64" s="20">
        <f t="shared" ca="1" si="222"/>
        <v>0</v>
      </c>
      <c r="CG64" s="20">
        <f t="shared" ca="1" si="222"/>
        <v>0</v>
      </c>
      <c r="CH64" s="20">
        <f t="shared" ca="1" si="222"/>
        <v>0</v>
      </c>
      <c r="CI64" s="20">
        <f t="shared" ca="1" si="222"/>
        <v>0</v>
      </c>
      <c r="CJ64" s="20">
        <f t="shared" ca="1" si="222"/>
        <v>0</v>
      </c>
      <c r="CK64" s="20">
        <f t="shared" ca="1" si="222"/>
        <v>0</v>
      </c>
      <c r="CL64" s="20">
        <f t="shared" ca="1" si="222"/>
        <v>0</v>
      </c>
      <c r="CM64" s="34"/>
      <c r="CN64" s="20" t="str">
        <f t="shared" ref="CN64:CW73" ca="1" si="223">IF(OR(INDEX(INDIRECT($A64), $B64+1, CN$6+2)=0,INDEX(INDIRECT($A64),$B64+5,CN$6+2)=1), "", INDEX(INDIRECT($A64), $B64+1, CN$6+2))</f>
        <v/>
      </c>
      <c r="CO64" s="20" t="str">
        <f t="shared" ca="1" si="223"/>
        <v/>
      </c>
      <c r="CP64" s="20" t="str">
        <f t="shared" ca="1" si="223"/>
        <v/>
      </c>
      <c r="CQ64" s="20" t="str">
        <f t="shared" ca="1" si="223"/>
        <v/>
      </c>
      <c r="CR64" s="20" t="str">
        <f t="shared" ca="1" si="223"/>
        <v/>
      </c>
      <c r="CS64" s="20" t="str">
        <f t="shared" ca="1" si="223"/>
        <v/>
      </c>
      <c r="CT64" s="20" t="str">
        <f t="shared" ca="1" si="223"/>
        <v/>
      </c>
      <c r="CU64" s="20" t="str">
        <f t="shared" ca="1" si="223"/>
        <v/>
      </c>
      <c r="CV64" s="20" t="str">
        <f t="shared" ca="1" si="223"/>
        <v/>
      </c>
      <c r="CW64" s="20">
        <f t="shared" ca="1" si="223"/>
        <v>39</v>
      </c>
      <c r="CX64" s="20">
        <f t="shared" ref="CX64:DF73" ca="1" si="224">IF(OR(INDEX(INDIRECT($A64), $B64+1, CX$6+2)=0,INDEX(INDIRECT($A64),$B64+5,CX$6+2)=1), "", INDEX(INDIRECT($A64), $B64+1, CX$6+2))</f>
        <v>37</v>
      </c>
      <c r="CY64" s="20" t="str">
        <f t="shared" ca="1" si="224"/>
        <v/>
      </c>
      <c r="CZ64" s="20" t="str">
        <f t="shared" ca="1" si="224"/>
        <v/>
      </c>
      <c r="DA64" s="20" t="str">
        <f t="shared" ca="1" si="224"/>
        <v/>
      </c>
      <c r="DB64" s="20" t="str">
        <f t="shared" ca="1" si="224"/>
        <v/>
      </c>
      <c r="DC64" s="20" t="str">
        <f t="shared" ca="1" si="224"/>
        <v/>
      </c>
      <c r="DD64" s="20" t="str">
        <f t="shared" ca="1" si="224"/>
        <v/>
      </c>
      <c r="DE64" s="20" t="str">
        <f t="shared" ca="1" si="224"/>
        <v/>
      </c>
      <c r="DF64" s="20" t="str">
        <f t="shared" ca="1" si="224"/>
        <v/>
      </c>
      <c r="DG64" s="34"/>
      <c r="DH64" s="20" t="str">
        <f t="shared" ref="DH64:DZ64" ca="1" si="225">IF(INDEX(INDIRECT($A64), $B64+2, DH$6+2)=0, "", INDEX(INDIRECT($A64), $B64+2, DH$6+2))</f>
        <v/>
      </c>
      <c r="DI64" s="20" t="str">
        <f t="shared" ca="1" si="225"/>
        <v/>
      </c>
      <c r="DJ64" s="20" t="str">
        <f t="shared" ca="1" si="225"/>
        <v/>
      </c>
      <c r="DK64" s="20" t="str">
        <f t="shared" ca="1" si="225"/>
        <v/>
      </c>
      <c r="DL64" s="20" t="str">
        <f t="shared" ca="1" si="225"/>
        <v/>
      </c>
      <c r="DM64" s="20" t="str">
        <f t="shared" ca="1" si="225"/>
        <v/>
      </c>
      <c r="DN64" s="20" t="str">
        <f t="shared" ca="1" si="225"/>
        <v/>
      </c>
      <c r="DO64" s="20" t="str">
        <f t="shared" ca="1" si="225"/>
        <v/>
      </c>
      <c r="DP64" s="20" t="str">
        <f t="shared" ca="1" si="225"/>
        <v/>
      </c>
      <c r="DQ64" s="20">
        <f t="shared" ca="1" si="225"/>
        <v>13</v>
      </c>
      <c r="DR64" s="20">
        <f t="shared" ca="1" si="225"/>
        <v>9</v>
      </c>
      <c r="DS64" s="20" t="str">
        <f t="shared" ca="1" si="225"/>
        <v/>
      </c>
      <c r="DT64" s="20" t="str">
        <f t="shared" ca="1" si="225"/>
        <v/>
      </c>
      <c r="DU64" s="20" t="str">
        <f t="shared" ca="1" si="225"/>
        <v/>
      </c>
      <c r="DV64" s="20" t="str">
        <f t="shared" ca="1" si="225"/>
        <v/>
      </c>
      <c r="DW64" s="20" t="str">
        <f t="shared" ca="1" si="225"/>
        <v/>
      </c>
      <c r="DX64" s="20" t="str">
        <f t="shared" ca="1" si="225"/>
        <v/>
      </c>
      <c r="DY64" s="20" t="str">
        <f t="shared" ca="1" si="225"/>
        <v/>
      </c>
      <c r="DZ64" s="20" t="str">
        <f t="shared" ca="1" si="225"/>
        <v/>
      </c>
      <c r="EA64" s="34"/>
      <c r="EB64" s="20" t="str">
        <f t="shared" ref="EB64:ET64" ca="1" si="226">IF(INDEX(INDIRECT($A64), $B64+3, EB$6+2)=0, "", INDEX(INDIRECT($A64), $B64+3, EB$6+2))</f>
        <v/>
      </c>
      <c r="EC64" s="20" t="str">
        <f t="shared" ca="1" si="226"/>
        <v/>
      </c>
      <c r="ED64" s="20" t="str">
        <f t="shared" ca="1" si="226"/>
        <v/>
      </c>
      <c r="EE64" s="20" t="str">
        <f t="shared" ca="1" si="226"/>
        <v/>
      </c>
      <c r="EF64" s="20" t="str">
        <f t="shared" ca="1" si="226"/>
        <v/>
      </c>
      <c r="EG64" s="20" t="str">
        <f t="shared" ca="1" si="226"/>
        <v/>
      </c>
      <c r="EH64" s="20" t="str">
        <f t="shared" ca="1" si="226"/>
        <v/>
      </c>
      <c r="EI64" s="20" t="str">
        <f t="shared" ca="1" si="226"/>
        <v/>
      </c>
      <c r="EJ64" s="20" t="str">
        <f t="shared" ca="1" si="226"/>
        <v/>
      </c>
      <c r="EK64" s="20" t="str">
        <f t="shared" ca="1" si="226"/>
        <v/>
      </c>
      <c r="EL64" s="20" t="str">
        <f t="shared" ca="1" si="226"/>
        <v/>
      </c>
      <c r="EM64" s="20" t="str">
        <f t="shared" ca="1" si="226"/>
        <v/>
      </c>
      <c r="EN64" s="20" t="str">
        <f t="shared" ca="1" si="226"/>
        <v/>
      </c>
      <c r="EO64" s="20" t="str">
        <f t="shared" ca="1" si="226"/>
        <v/>
      </c>
      <c r="EP64" s="20" t="str">
        <f t="shared" ca="1" si="226"/>
        <v/>
      </c>
      <c r="EQ64" s="20" t="str">
        <f t="shared" ca="1" si="226"/>
        <v/>
      </c>
      <c r="ER64" s="20" t="str">
        <f t="shared" ca="1" si="226"/>
        <v/>
      </c>
      <c r="ES64" s="20" t="str">
        <f t="shared" ca="1" si="226"/>
        <v/>
      </c>
      <c r="ET64" s="20" t="str">
        <f t="shared" ca="1" si="226"/>
        <v/>
      </c>
      <c r="EU64" s="34"/>
      <c r="EV64" s="20" t="str">
        <f t="shared" ref="EV64:FE77" ca="1" si="227">IF(INDEX(INDIRECT($A64), $B64+4, EV$6+2)=0, "", INDEX(INDIRECT($A64), $B64+4, EV$6+2))</f>
        <v/>
      </c>
      <c r="EW64" s="20" t="str">
        <f t="shared" ca="1" si="227"/>
        <v/>
      </c>
      <c r="EX64" s="20" t="str">
        <f t="shared" ca="1" si="227"/>
        <v/>
      </c>
      <c r="EY64" s="20" t="str">
        <f t="shared" ca="1" si="227"/>
        <v/>
      </c>
      <c r="EZ64" s="20" t="str">
        <f t="shared" ca="1" si="227"/>
        <v/>
      </c>
      <c r="FA64" s="20" t="str">
        <f t="shared" ca="1" si="227"/>
        <v/>
      </c>
      <c r="FB64" s="20" t="str">
        <f t="shared" ca="1" si="227"/>
        <v/>
      </c>
      <c r="FC64" s="20" t="str">
        <f t="shared" ca="1" si="227"/>
        <v/>
      </c>
      <c r="FD64" s="20" t="str">
        <f t="shared" ca="1" si="227"/>
        <v/>
      </c>
      <c r="FE64" s="20" t="str">
        <f t="shared" ca="1" si="227"/>
        <v/>
      </c>
      <c r="FF64" s="20" t="str">
        <f t="shared" ref="FF64:FN77" ca="1" si="228">IF(INDEX(INDIRECT($A64), $B64+4, FF$6+2)=0, "", INDEX(INDIRECT($A64), $B64+4, FF$6+2))</f>
        <v/>
      </c>
      <c r="FG64" s="20" t="str">
        <f t="shared" ca="1" si="228"/>
        <v/>
      </c>
      <c r="FH64" s="20" t="str">
        <f t="shared" ca="1" si="228"/>
        <v/>
      </c>
      <c r="FI64" s="20" t="str">
        <f t="shared" ca="1" si="228"/>
        <v/>
      </c>
      <c r="FJ64" s="20" t="str">
        <f t="shared" ca="1" si="228"/>
        <v/>
      </c>
      <c r="FK64" s="20" t="str">
        <f t="shared" ca="1" si="228"/>
        <v/>
      </c>
      <c r="FL64" s="20" t="str">
        <f t="shared" ca="1" si="228"/>
        <v/>
      </c>
      <c r="FM64" s="20" t="str">
        <f t="shared" ca="1" si="228"/>
        <v/>
      </c>
      <c r="FN64" s="20" t="str">
        <f t="shared" ca="1" si="228"/>
        <v/>
      </c>
      <c r="FO64" s="34"/>
      <c r="FP64" s="20" t="str">
        <f t="shared" ref="FP64:FY77" ca="1" si="229">IF(INDEX(INDIRECT($A64), $B64+6, FP$6+2)=0, "", INDEX(INDIRECT($A64), $B64+6, FP$6+2))</f>
        <v/>
      </c>
      <c r="FQ64" s="20" t="str">
        <f t="shared" ca="1" si="229"/>
        <v/>
      </c>
      <c r="FR64" s="20" t="str">
        <f t="shared" ca="1" si="229"/>
        <v/>
      </c>
      <c r="FS64" s="20" t="str">
        <f t="shared" ca="1" si="229"/>
        <v/>
      </c>
      <c r="FT64" s="20" t="str">
        <f t="shared" ca="1" si="229"/>
        <v/>
      </c>
      <c r="FU64" s="20" t="str">
        <f t="shared" ca="1" si="229"/>
        <v/>
      </c>
      <c r="FV64" s="20" t="str">
        <f t="shared" ca="1" si="229"/>
        <v/>
      </c>
      <c r="FW64" s="20" t="str">
        <f t="shared" ca="1" si="229"/>
        <v/>
      </c>
      <c r="FX64" s="20" t="str">
        <f t="shared" ca="1" si="229"/>
        <v/>
      </c>
      <c r="FY64" s="20" t="str">
        <f t="shared" ca="1" si="229"/>
        <v>Who's Your Caddy?</v>
      </c>
      <c r="FZ64" s="20" t="str">
        <f t="shared" ref="FZ64:GH77" ca="1" si="230">IF(INDEX(INDIRECT($A64), $B64+6, FZ$6+2)=0, "", INDEX(INDIRECT($A64), $B64+6, FZ$6+2))</f>
        <v>Who's Your Caddy?</v>
      </c>
      <c r="GA64" s="20" t="str">
        <f t="shared" ca="1" si="230"/>
        <v/>
      </c>
      <c r="GB64" s="20" t="str">
        <f t="shared" ca="1" si="230"/>
        <v/>
      </c>
      <c r="GC64" s="20" t="str">
        <f t="shared" ca="1" si="230"/>
        <v/>
      </c>
      <c r="GD64" s="20" t="str">
        <f t="shared" ca="1" si="230"/>
        <v/>
      </c>
      <c r="GE64" s="20" t="str">
        <f t="shared" ca="1" si="230"/>
        <v/>
      </c>
      <c r="GF64" s="20" t="str">
        <f t="shared" ca="1" si="230"/>
        <v/>
      </c>
      <c r="GG64" s="20" t="str">
        <f t="shared" ca="1" si="230"/>
        <v/>
      </c>
      <c r="GH64" s="20" t="str">
        <f t="shared" ca="1" si="230"/>
        <v/>
      </c>
      <c r="GI64" s="34"/>
      <c r="HE64" s="34"/>
      <c r="HZ64" s="34"/>
      <c r="IA64" s="19" t="str">
        <f t="shared" ref="IA64:IA86" ca="1" si="231">IF(D64&lt;&gt;"","No Hdcp","")</f>
        <v>No Hdcp</v>
      </c>
      <c r="IB64" s="19" t="str">
        <f t="shared" ref="IB64:IB92" ca="1" si="232">IF($D64&lt;&gt;"","Low of score &amp; "&amp;MIN($H64:$H64),"")</f>
        <v>Low of score &amp; 47</v>
      </c>
      <c r="IC64" s="19" t="str">
        <f t="shared" ref="IC64:IC92" ca="1" si="233">IF($D64&lt;&gt;"","Low of score &amp; "&amp;MIN($H64:$I64),"")</f>
        <v>Low of score &amp; 47</v>
      </c>
      <c r="ID64" s="18" t="str">
        <f t="shared" ref="ID64:ID92" ca="1" si="234">IF($D64&lt;&gt;"","Low of score &amp; "&amp;MIN($H64:$J64),"")</f>
        <v>Low of score &amp; 47</v>
      </c>
      <c r="IE64" s="18" t="str">
        <f t="shared" ref="IE64:IE92" ca="1" si="235">IF($D64&lt;&gt;"","Low of score &amp; "&amp;MIN($H64:$K64),"")</f>
        <v>Low of score &amp; 47</v>
      </c>
      <c r="IF64" s="18">
        <f t="shared" ref="IF64:IF92" ca="1" si="236">IF($D64&lt;&gt;"",ROUND(MIN((MIN($H64:$L64)-36)*0.96,20),2),"")</f>
        <v>10.56</v>
      </c>
      <c r="IG64" s="353">
        <f t="shared" ref="IG64:IG92" ca="1" si="237">IF($D64&lt;&gt;"",ROUND(MIN((AVERAGE(SMALL($H64:$M64,1),SMALL($H64:$M64,2))-36)*0.96,20),2),"")</f>
        <v>11.52</v>
      </c>
      <c r="IH64" s="18" t="e">
        <f t="shared" ref="IH64:IH92" ca="1" si="238">IF($D64&lt;&gt;"",ROUND(MIN((AVERAGE(SMALL($H64:$N64,1),SMALL($H64:$N64,2),SMALL($H64:$N64,3))-36)*0.96,20),2),"")</f>
        <v>#NUM!</v>
      </c>
      <c r="II64" s="18" t="e">
        <f t="shared" ref="II64:II92" ca="1" si="239">IF($D64&lt;&gt;"",ROUND(MIN((AVERAGE(SMALL($H64:$O64,1),SMALL($H64:$O64,2),SMALL($H64:$O64,3),SMALL($H64:$O64,4))-36)*0.96,20),2),"")</f>
        <v>#NUM!</v>
      </c>
      <c r="IJ64" s="18" t="e">
        <f t="shared" ref="IJ64:IJ92" ca="1" si="240">IF($D64&lt;&gt;"",ROUND(MIN((AVERAGE(SMALL($H64:$P64,1),SMALL($H64:$P64,2),SMALL($H64:$P64,3),SMALL($H64:$P64,4))-36)*0.96,20),2),"")</f>
        <v>#NUM!</v>
      </c>
      <c r="IK64" s="18" t="e">
        <f t="shared" ref="IK64:IK92" ca="1" si="241">IF($D64&lt;&gt;"",ROUND(MIN((AVERAGE(SMALL($H64:$Q64,1),SMALL($H64:$Q64,2),SMALL($H64:$Q64,3),SMALL($H64:$Q64,4),SMALL($H64:$Q64,5))-36)*0.96,20),2),"")</f>
        <v>#NUM!</v>
      </c>
      <c r="IL64" s="34"/>
      <c r="IN64" s="18">
        <f t="shared" ref="IN64:IN86" ca="1" si="242">AO64</f>
        <v>0</v>
      </c>
      <c r="IO64" s="18">
        <f t="shared" ref="IO64:IO86" ca="1" si="243">AN64</f>
        <v>0</v>
      </c>
      <c r="IP64" s="18">
        <f t="shared" ref="IP64:IP86" ca="1" si="244">AM64</f>
        <v>0</v>
      </c>
      <c r="IQ64" s="18">
        <f t="shared" ref="IQ64:IQ86" ca="1" si="245">AL64</f>
        <v>0</v>
      </c>
      <c r="IR64" s="18">
        <f t="shared" ref="IR64:IR86" ca="1" si="246">AK64</f>
        <v>0</v>
      </c>
      <c r="IS64" s="18">
        <f t="shared" ref="IS64:IS86" ca="1" si="247">AJ64</f>
        <v>0</v>
      </c>
      <c r="IT64" s="18">
        <f t="shared" ref="IT64:IT86" ca="1" si="248">AI64</f>
        <v>0</v>
      </c>
      <c r="IU64" s="18">
        <f t="shared" ref="IU64:IU86" ca="1" si="249">AH64</f>
        <v>0</v>
      </c>
      <c r="IV64" s="18">
        <f t="shared" ref="IV64:IV86" ca="1" si="250">AG64</f>
        <v>0</v>
      </c>
      <c r="IW64" s="18">
        <f t="shared" ref="IW64:IW86" ca="1" si="251">AF64</f>
        <v>0</v>
      </c>
      <c r="IX64" s="19">
        <f t="shared" ref="IX64:IX86" ca="1" si="252">IF(D64&lt;&gt;"",COUNT(IN64:IW64),"")</f>
        <v>10</v>
      </c>
      <c r="IY64" s="21">
        <f t="shared" ref="IY64:IY86" ca="1" si="253">IF(D64&lt;&gt;"",INDEX($JA64:$JK64,1,MATCH($IX64,$JA$6:$JK$6,0)), "")</f>
        <v>-34.56</v>
      </c>
      <c r="JA64" s="18" t="str">
        <f t="shared" ref="JA64:JA86" ca="1" si="254">IF(D64&lt;&gt;"","No Hdcp","")</f>
        <v>No Hdcp</v>
      </c>
      <c r="JB64" s="18" t="str">
        <f t="shared" ref="JB64:JB86" ca="1" si="255">IF(D64&lt;&gt;"","Low of score &amp; "&amp;MIN($IN64:$IN64),"")</f>
        <v>Low of score &amp; 0</v>
      </c>
      <c r="JC64" s="18" t="str">
        <f t="shared" ref="JC64:JC86" ca="1" si="256">IF(D64&lt;&gt;"","Low of score &amp; "&amp;MIN($IN64:$IO64),"")</f>
        <v>Low of score &amp; 0</v>
      </c>
      <c r="JD64" s="18" t="str">
        <f t="shared" ref="JD64:JD86" ca="1" si="257">IF(D64&lt;&gt;"","Low of score &amp; "&amp;MIN($IN64:$IP64),"")</f>
        <v>Low of score &amp; 0</v>
      </c>
      <c r="JE64" s="18" t="str">
        <f t="shared" ref="JE64:JE86" ca="1" si="258">IF(D64&lt;&gt;"","Low of score &amp; "&amp;MIN($IN64:$IQ64),"")</f>
        <v>Low of score &amp; 0</v>
      </c>
      <c r="JF64" s="18">
        <f t="shared" ref="JF64:JF86" ca="1" si="259">IF(D64&lt;&gt;"",MIN((MIN($IN64:$IR64)-36)*0.96,20),"")</f>
        <v>-34.56</v>
      </c>
      <c r="JG64" s="18">
        <f t="shared" ref="JG64:JG86" ca="1" si="260">IF(D64&lt;&gt;"",MIN((AVERAGE(SMALL($IN64:$IS64,1),SMALL($IN64:$IS64,2))-36)*0.96,20),"")</f>
        <v>-34.56</v>
      </c>
      <c r="JH64" s="18">
        <f t="shared" ref="JH64:JH86" ca="1" si="261">IF(D64&lt;&gt;"",MIN((AVERAGE(SMALL($IN64:$IT64,1),SMALL($IN64:$IT64,2),SMALL($IN64:$IT64,3))-36)*0.96,20),"")</f>
        <v>-34.56</v>
      </c>
      <c r="JI64" s="18">
        <f t="shared" ref="JI64:JI86" ca="1" si="262">IF(D64&lt;&gt;"",MIN((AVERAGE(SMALL($IN64:$IU64,1),SMALL($IN64:$IU64,2),SMALL($IN64:$IU64,3),SMALL($IN64:$IU64,4))-36)*0.96,20),"")</f>
        <v>-34.56</v>
      </c>
      <c r="JJ64" s="18">
        <f t="shared" ref="JJ64:JJ86" ca="1" si="263">IF(D64&lt;&gt;"",MIN((AVERAGE(SMALL($IN64:$IV64,1),SMALL($IN64:$IV64,2),SMALL($IN64:$IV64,3),SMALL($IN64:$IV64,4))-36)*0.96,20),"")</f>
        <v>-34.56</v>
      </c>
      <c r="JK64" s="18">
        <f t="shared" ref="JK64:JK86" ca="1" si="264">IF(D64&lt;&gt;"",MIN((AVERAGE(SMALL($IN64:$IW64,1),SMALL($IN64:$IW64,2),SMALL($IN64:$IW64,3),SMALL($IN64:$IW64,4),SMALL($IN64:$IW64,5))-36)*0.96,20),"")</f>
        <v>-34.56</v>
      </c>
    </row>
    <row r="65" spans="1:271" x14ac:dyDescent="0.2">
      <c r="A65" s="18" t="s">
        <v>76</v>
      </c>
      <c r="B65" s="19">
        <f>B64+8</f>
        <v>13</v>
      </c>
      <c r="C65" s="22">
        <f t="shared" ca="1" si="206"/>
        <v>2.0000000000000001E-4</v>
      </c>
      <c r="D65" s="18" t="str">
        <f t="shared" ref="D65:D92" ca="1" si="265">INDEX(INDIRECT($A65), $B65, 1)</f>
        <v>Avery, Chris</v>
      </c>
      <c r="E65" s="19">
        <f t="shared" ca="1" si="207"/>
        <v>0</v>
      </c>
      <c r="F65" s="19">
        <f t="shared" ca="1" si="208"/>
        <v>0</v>
      </c>
      <c r="G65" s="21" t="str">
        <f t="shared" ca="1" si="209"/>
        <v>No Hdcp</v>
      </c>
      <c r="H65" s="337" t="str">
        <f ca="1">IFERROR(INDEX($AF65:$BH65, , SUMPRODUCT(LARGE((($AF65:$BH65&lt;&gt;0)*($BJ65:$CL65&lt;&gt;1)*($AF$5:$BH$5)), H$6))), "")</f>
        <v/>
      </c>
      <c r="I65" s="338" t="str" cm="1">
        <f t="array" aca="1" ref="I65" ca="1">IFERROR(_xlfn.SINGLE(INDEX($AF65:$BH65, , SUMPRODUCT(LARGE((($AF65:$BH65&lt;&gt;0)*($BJ65:$CL65&lt;&gt;1)*($AF$5:$BH$5)), I$6)))), "")</f>
        <v/>
      </c>
      <c r="J65" s="338" t="str" cm="1">
        <f t="array" aca="1" ref="J65" ca="1">IFERROR(_xlfn.SINGLE(INDEX($AF65:$BH65, , SUMPRODUCT(LARGE((($AF65:$BH65&lt;&gt;0)*($BJ65:$CL65&lt;&gt;1)*($AF$5:$BH$5)), J$6)))), "")</f>
        <v/>
      </c>
      <c r="K65" s="338" t="str" cm="1">
        <f t="array" aca="1" ref="K65" ca="1">IFERROR(_xlfn.SINGLE(INDEX($AF65:$BH65, , SUMPRODUCT(LARGE((($AF65:$BH65&lt;&gt;0)*($BJ65:$CL65&lt;&gt;1)*($AF$5:$BH$5)), K$6)))), "")</f>
        <v/>
      </c>
      <c r="L65" s="338" t="str" cm="1">
        <f t="array" aca="1" ref="L65" ca="1">IFERROR(_xlfn.SINGLE(INDEX($AF65:$BH65, , SUMPRODUCT(LARGE((($AF65:$BH65&lt;&gt;0)*($BJ65:$CL65&lt;&gt;1)*($AF$5:$BH$5)), L$6)))), "")</f>
        <v/>
      </c>
      <c r="M65" s="338" t="str" cm="1">
        <f t="array" aca="1" ref="M65" ca="1">IFERROR(_xlfn.SINGLE(INDEX($AF65:$BH65, , SUMPRODUCT(LARGE((($AF65:$BH65&lt;&gt;0)*($BJ65:$CL65&lt;&gt;1)*($AF$5:$BH$5)), M$6)))), "")</f>
        <v/>
      </c>
      <c r="N65" s="338" t="str" cm="1">
        <f t="array" aca="1" ref="N65" ca="1">IFERROR(_xlfn.SINGLE(INDEX($AF65:$BH65, , SUMPRODUCT(LARGE((($AF65:$BH65&lt;&gt;0)*($BJ65:$CL65&lt;&gt;1)*($AF$5:$BH$5)), N$6)))), "")</f>
        <v/>
      </c>
      <c r="O65" s="338" t="str" cm="1">
        <f t="array" aca="1" ref="O65" ca="1">IFERROR(_xlfn.SINGLE(INDEX($AF65:$BH65, , SUMPRODUCT(LARGE((($AF65:$BH65&lt;&gt;0)*($BJ65:$CL65&lt;&gt;1)*($AF$5:$BH$5)), O$6)))), "")</f>
        <v/>
      </c>
      <c r="P65" s="338" t="str" cm="1">
        <f t="array" aca="1" ref="P65" ca="1">IFERROR(_xlfn.SINGLE(INDEX($AF65:$BH65, , SUMPRODUCT(LARGE((($AF65:$BH65&lt;&gt;0)*($BJ65:$CL65&lt;&gt;1)*($AF$5:$BH$5)), P$6)))), "")</f>
        <v/>
      </c>
      <c r="Q65" s="339" t="str" cm="1">
        <f t="array" aca="1" ref="Q65" ca="1">IFERROR(_xlfn.SINGLE(INDEX($AF65:$BH65, , SUMPRODUCT(LARGE((($AF65:$BH65&lt;&gt;0)*($BJ65:$CL65&lt;&gt;1)*($AF$5:$BH$5)), Q$6)))), "")</f>
        <v/>
      </c>
      <c r="R65" s="19" t="s">
        <v>453</v>
      </c>
      <c r="S65" s="47" t="str">
        <f t="shared" ca="1" si="210"/>
        <v>-</v>
      </c>
      <c r="T65" s="21" t="str">
        <f t="shared" ca="1" si="211"/>
        <v>-</v>
      </c>
      <c r="U65" s="21" t="str">
        <f t="shared" ca="1" si="212"/>
        <v>-</v>
      </c>
      <c r="V65" s="46" t="str">
        <f t="shared" ca="1" si="213"/>
        <v/>
      </c>
      <c r="W65" s="19" t="str">
        <f t="shared" ca="1" si="214"/>
        <v/>
      </c>
      <c r="X65" s="46">
        <f t="shared" ca="1" si="215"/>
        <v>0</v>
      </c>
      <c r="Y65" s="21" t="str">
        <f t="shared" ca="1" si="216"/>
        <v>-</v>
      </c>
      <c r="Z65" s="19">
        <f t="shared" ca="1" si="217"/>
        <v>0</v>
      </c>
      <c r="AA65" s="19">
        <f t="shared" ca="1" si="218"/>
        <v>0</v>
      </c>
      <c r="AB65" s="46" t="str">
        <f t="shared" ca="1" si="219"/>
        <v>0-0-0</v>
      </c>
      <c r="AC65" s="218">
        <f ca="1">IF($D65&lt;&gt;"", INDEX(INDIRECT($A65), $B65+1, 1), "")</f>
        <v>3309338846</v>
      </c>
      <c r="AD65" s="57" t="str">
        <f ca="1">IF($D65&lt;&gt;"", INDEX(INDIRECT($A65), $B65+2, 1), "")</f>
        <v>cmavery92@gmail.com</v>
      </c>
      <c r="AE65" s="34"/>
      <c r="AF65" s="341">
        <f ca="1">INDEX(PriorScores[],MATCH($D65,PriorScores[Team / Player],0),2)</f>
        <v>0</v>
      </c>
      <c r="AG65" s="341">
        <f ca="1">INDEX(PriorScores[],MATCH($D65,PriorScores[Team / Player],0),3)</f>
        <v>0</v>
      </c>
      <c r="AH65" s="341">
        <f ca="1">INDEX(PriorScores[],MATCH($D65,PriorScores[Team / Player],0),4)</f>
        <v>0</v>
      </c>
      <c r="AI65" s="341">
        <f ca="1">INDEX(PriorScores[],MATCH($D65,PriorScores[Team / Player],0),5)</f>
        <v>0</v>
      </c>
      <c r="AJ65" s="341">
        <f ca="1">INDEX(PriorScores[],MATCH($D65,PriorScores[Team / Player],0),6)</f>
        <v>0</v>
      </c>
      <c r="AK65" s="341">
        <f ca="1">INDEX(PriorScores[],MATCH($D65,PriorScores[Team / Player],0),7)</f>
        <v>0</v>
      </c>
      <c r="AL65" s="341">
        <f ca="1">INDEX(PriorScores[],MATCH($D65,PriorScores[Team / Player],0),8)</f>
        <v>0</v>
      </c>
      <c r="AM65" s="341">
        <f ca="1">INDEX(PriorScores[],MATCH($D65,PriorScores[Team / Player],0),9)</f>
        <v>0</v>
      </c>
      <c r="AN65" s="341">
        <f ca="1">INDEX(PriorScores[],MATCH($D65,PriorScores[Team / Player],0),10)</f>
        <v>0</v>
      </c>
      <c r="AO65" s="341">
        <f ca="1">INDEX(PriorScores[],MATCH($D65,PriorScores[Team / Player],0),11)</f>
        <v>0</v>
      </c>
      <c r="AP65" s="20">
        <f t="shared" ca="1" si="220"/>
        <v>0</v>
      </c>
      <c r="AQ65" s="20">
        <f t="shared" ca="1" si="220"/>
        <v>0</v>
      </c>
      <c r="AR65" s="20">
        <f t="shared" ca="1" si="220"/>
        <v>0</v>
      </c>
      <c r="AS65" s="20">
        <f t="shared" ca="1" si="220"/>
        <v>0</v>
      </c>
      <c r="AT65" s="20">
        <f t="shared" ca="1" si="220"/>
        <v>0</v>
      </c>
      <c r="AU65" s="20">
        <f t="shared" ca="1" si="220"/>
        <v>0</v>
      </c>
      <c r="AV65" s="20">
        <f t="shared" ca="1" si="220"/>
        <v>0</v>
      </c>
      <c r="AW65" s="20">
        <f t="shared" ca="1" si="220"/>
        <v>0</v>
      </c>
      <c r="AX65" s="20">
        <f t="shared" ca="1" si="220"/>
        <v>0</v>
      </c>
      <c r="AY65" s="20">
        <f t="shared" ca="1" si="220"/>
        <v>0</v>
      </c>
      <c r="AZ65" s="20">
        <f t="shared" ca="1" si="221"/>
        <v>0</v>
      </c>
      <c r="BA65" s="20">
        <f t="shared" ca="1" si="221"/>
        <v>0</v>
      </c>
      <c r="BB65" s="20">
        <f t="shared" ca="1" si="221"/>
        <v>0</v>
      </c>
      <c r="BC65" s="20">
        <f t="shared" ca="1" si="221"/>
        <v>0</v>
      </c>
      <c r="BD65" s="20">
        <f t="shared" ca="1" si="221"/>
        <v>0</v>
      </c>
      <c r="BE65" s="20">
        <f t="shared" ca="1" si="221"/>
        <v>0</v>
      </c>
      <c r="BF65" s="20">
        <f t="shared" ca="1" si="221"/>
        <v>0</v>
      </c>
      <c r="BG65" s="20">
        <f t="shared" ca="1" si="221"/>
        <v>0</v>
      </c>
      <c r="BH65" s="20">
        <f t="shared" ca="1" si="221"/>
        <v>0</v>
      </c>
      <c r="BI65" s="34"/>
      <c r="BJ65" s="341">
        <v>0</v>
      </c>
      <c r="BK65" s="341">
        <v>0</v>
      </c>
      <c r="BL65" s="341">
        <v>0</v>
      </c>
      <c r="BM65" s="341">
        <v>0</v>
      </c>
      <c r="BN65" s="341">
        <v>0</v>
      </c>
      <c r="BO65" s="341">
        <v>0</v>
      </c>
      <c r="BP65" s="341">
        <v>0</v>
      </c>
      <c r="BQ65" s="341">
        <v>0</v>
      </c>
      <c r="BR65" s="341">
        <v>0</v>
      </c>
      <c r="BS65" s="341">
        <v>0</v>
      </c>
      <c r="BT65" s="20">
        <f t="shared" ref="BT65:CI80" ca="1" si="266">IF(INDEX(INDIRECT($A65), $B65+5, BT$6+2)="", 0, INDEX(INDIRECT($A65), $B65+5, BT$6+2))</f>
        <v>0</v>
      </c>
      <c r="BU65" s="20">
        <f t="shared" ca="1" si="266"/>
        <v>0</v>
      </c>
      <c r="BV65" s="20">
        <f t="shared" ca="1" si="266"/>
        <v>0</v>
      </c>
      <c r="BW65" s="20">
        <f t="shared" ca="1" si="266"/>
        <v>0</v>
      </c>
      <c r="BX65" s="20">
        <f t="shared" ca="1" si="266"/>
        <v>0</v>
      </c>
      <c r="BY65" s="20">
        <f t="shared" ca="1" si="266"/>
        <v>0</v>
      </c>
      <c r="BZ65" s="20">
        <f t="shared" ca="1" si="266"/>
        <v>0</v>
      </c>
      <c r="CA65" s="20">
        <f t="shared" ca="1" si="266"/>
        <v>0</v>
      </c>
      <c r="CB65" s="20">
        <f t="shared" ca="1" si="266"/>
        <v>0</v>
      </c>
      <c r="CC65" s="20">
        <f t="shared" ca="1" si="266"/>
        <v>0</v>
      </c>
      <c r="CD65" s="20">
        <f t="shared" ca="1" si="266"/>
        <v>0</v>
      </c>
      <c r="CE65" s="20">
        <f t="shared" ca="1" si="266"/>
        <v>0</v>
      </c>
      <c r="CF65" s="20">
        <f t="shared" ca="1" si="266"/>
        <v>0</v>
      </c>
      <c r="CG65" s="20">
        <f t="shared" ca="1" si="266"/>
        <v>0</v>
      </c>
      <c r="CH65" s="20">
        <f t="shared" ca="1" si="266"/>
        <v>0</v>
      </c>
      <c r="CI65" s="20">
        <f t="shared" ca="1" si="266"/>
        <v>0</v>
      </c>
      <c r="CJ65" s="20">
        <f t="shared" ref="CJ65:CL79" ca="1" si="267">IF(INDEX(INDIRECT($A65), $B65+5, CJ$6+2)="", 0, INDEX(INDIRECT($A65), $B65+5, CJ$6+2))</f>
        <v>0</v>
      </c>
      <c r="CK65" s="20">
        <f t="shared" ca="1" si="267"/>
        <v>0</v>
      </c>
      <c r="CL65" s="20">
        <f t="shared" ca="1" si="267"/>
        <v>0</v>
      </c>
      <c r="CM65" s="34"/>
      <c r="CN65" s="20" t="str">
        <f t="shared" ca="1" si="223"/>
        <v/>
      </c>
      <c r="CO65" s="20" t="str">
        <f t="shared" ca="1" si="223"/>
        <v/>
      </c>
      <c r="CP65" s="20" t="str">
        <f t="shared" ca="1" si="223"/>
        <v/>
      </c>
      <c r="CQ65" s="20" t="str">
        <f t="shared" ca="1" si="223"/>
        <v/>
      </c>
      <c r="CR65" s="20" t="str">
        <f t="shared" ca="1" si="223"/>
        <v/>
      </c>
      <c r="CS65" s="20" t="str">
        <f t="shared" ca="1" si="223"/>
        <v/>
      </c>
      <c r="CT65" s="20" t="str">
        <f t="shared" ca="1" si="223"/>
        <v/>
      </c>
      <c r="CU65" s="20" t="str">
        <f t="shared" ca="1" si="223"/>
        <v/>
      </c>
      <c r="CV65" s="20" t="str">
        <f t="shared" ca="1" si="223"/>
        <v/>
      </c>
      <c r="CW65" s="20" t="str">
        <f t="shared" ca="1" si="223"/>
        <v/>
      </c>
      <c r="CX65" s="20" t="str">
        <f t="shared" ca="1" si="224"/>
        <v/>
      </c>
      <c r="CY65" s="20" t="str">
        <f t="shared" ca="1" si="224"/>
        <v/>
      </c>
      <c r="CZ65" s="20" t="str">
        <f t="shared" ca="1" si="224"/>
        <v/>
      </c>
      <c r="DA65" s="20" t="str">
        <f t="shared" ca="1" si="224"/>
        <v/>
      </c>
      <c r="DB65" s="20" t="str">
        <f t="shared" ca="1" si="224"/>
        <v/>
      </c>
      <c r="DC65" s="20" t="str">
        <f t="shared" ca="1" si="224"/>
        <v/>
      </c>
      <c r="DD65" s="20" t="str">
        <f t="shared" ca="1" si="224"/>
        <v/>
      </c>
      <c r="DE65" s="20" t="str">
        <f t="shared" ca="1" si="224"/>
        <v/>
      </c>
      <c r="DF65" s="20" t="str">
        <f t="shared" ca="1" si="224"/>
        <v/>
      </c>
      <c r="DG65" s="34"/>
      <c r="DH65" s="20" t="str">
        <f t="shared" ref="DH65:DW67" ca="1" si="268">IF(INDEX(INDIRECT($A65), $B65+2, DH$6+2)=0, "", INDEX(INDIRECT($A65), $B65+2, DH$6+2))</f>
        <v/>
      </c>
      <c r="DI65" s="20" t="str">
        <f t="shared" ca="1" si="268"/>
        <v/>
      </c>
      <c r="DJ65" s="20" t="str">
        <f t="shared" ca="1" si="268"/>
        <v/>
      </c>
      <c r="DK65" s="20" t="str">
        <f t="shared" ca="1" si="268"/>
        <v/>
      </c>
      <c r="DL65" s="20" t="str">
        <f t="shared" ca="1" si="268"/>
        <v/>
      </c>
      <c r="DM65" s="20" t="str">
        <f t="shared" ca="1" si="268"/>
        <v/>
      </c>
      <c r="DN65" s="20" t="str">
        <f t="shared" ca="1" si="268"/>
        <v/>
      </c>
      <c r="DO65" s="20" t="str">
        <f t="shared" ca="1" si="268"/>
        <v/>
      </c>
      <c r="DP65" s="20" t="str">
        <f t="shared" ca="1" si="268"/>
        <v/>
      </c>
      <c r="DQ65" s="20" t="str">
        <f t="shared" ca="1" si="268"/>
        <v/>
      </c>
      <c r="DR65" s="20" t="str">
        <f t="shared" ca="1" si="268"/>
        <v/>
      </c>
      <c r="DS65" s="20" t="str">
        <f t="shared" ca="1" si="268"/>
        <v/>
      </c>
      <c r="DT65" s="20" t="str">
        <f t="shared" ca="1" si="268"/>
        <v/>
      </c>
      <c r="DU65" s="20" t="str">
        <f t="shared" ca="1" si="268"/>
        <v/>
      </c>
      <c r="DV65" s="20" t="str">
        <f t="shared" ca="1" si="268"/>
        <v/>
      </c>
      <c r="DW65" s="20" t="str">
        <f t="shared" ca="1" si="268"/>
        <v/>
      </c>
      <c r="DX65" s="20" t="str">
        <f t="shared" ref="DX65:DZ67" ca="1" si="269">IF(INDEX(INDIRECT($A65), $B65+2, DX$6+2)=0, "", INDEX(INDIRECT($A65), $B65+2, DX$6+2))</f>
        <v/>
      </c>
      <c r="DY65" s="20" t="str">
        <f t="shared" ca="1" si="269"/>
        <v/>
      </c>
      <c r="DZ65" s="20" t="str">
        <f t="shared" ca="1" si="269"/>
        <v/>
      </c>
      <c r="EA65" s="34"/>
      <c r="EB65" s="20" t="str">
        <f t="shared" ref="EB65:EQ67" ca="1" si="270">IF(INDEX(INDIRECT($A65), $B65+3, EB$6+2)=0, "", INDEX(INDIRECT($A65), $B65+3, EB$6+2))</f>
        <v/>
      </c>
      <c r="EC65" s="20" t="str">
        <f t="shared" ca="1" si="270"/>
        <v/>
      </c>
      <c r="ED65" s="20" t="str">
        <f t="shared" ca="1" si="270"/>
        <v/>
      </c>
      <c r="EE65" s="20" t="str">
        <f t="shared" ca="1" si="270"/>
        <v/>
      </c>
      <c r="EF65" s="20" t="str">
        <f t="shared" ca="1" si="270"/>
        <v/>
      </c>
      <c r="EG65" s="20" t="str">
        <f t="shared" ca="1" si="270"/>
        <v/>
      </c>
      <c r="EH65" s="20" t="str">
        <f t="shared" ca="1" si="270"/>
        <v/>
      </c>
      <c r="EI65" s="20" t="str">
        <f t="shared" ca="1" si="270"/>
        <v/>
      </c>
      <c r="EJ65" s="20" t="str">
        <f t="shared" ca="1" si="270"/>
        <v/>
      </c>
      <c r="EK65" s="20" t="str">
        <f t="shared" ca="1" si="270"/>
        <v/>
      </c>
      <c r="EL65" s="20" t="str">
        <f t="shared" ca="1" si="270"/>
        <v/>
      </c>
      <c r="EM65" s="20" t="str">
        <f t="shared" ca="1" si="270"/>
        <v/>
      </c>
      <c r="EN65" s="20" t="str">
        <f t="shared" ca="1" si="270"/>
        <v/>
      </c>
      <c r="EO65" s="20" t="str">
        <f t="shared" ca="1" si="270"/>
        <v/>
      </c>
      <c r="EP65" s="20" t="str">
        <f t="shared" ca="1" si="270"/>
        <v/>
      </c>
      <c r="EQ65" s="20" t="str">
        <f t="shared" ca="1" si="270"/>
        <v/>
      </c>
      <c r="ER65" s="20" t="str">
        <f t="shared" ref="ER65:ET67" ca="1" si="271">IF(INDEX(INDIRECT($A65), $B65+3, ER$6+2)=0, "", INDEX(INDIRECT($A65), $B65+3, ER$6+2))</f>
        <v/>
      </c>
      <c r="ES65" s="20" t="str">
        <f t="shared" ca="1" si="271"/>
        <v/>
      </c>
      <c r="ET65" s="20" t="str">
        <f t="shared" ca="1" si="271"/>
        <v/>
      </c>
      <c r="EU65" s="34"/>
      <c r="EV65" s="20" t="str">
        <f t="shared" ca="1" si="227"/>
        <v/>
      </c>
      <c r="EW65" s="20" t="str">
        <f t="shared" ca="1" si="227"/>
        <v/>
      </c>
      <c r="EX65" s="20" t="str">
        <f t="shared" ca="1" si="227"/>
        <v/>
      </c>
      <c r="EY65" s="20" t="str">
        <f t="shared" ca="1" si="227"/>
        <v/>
      </c>
      <c r="EZ65" s="20" t="str">
        <f t="shared" ca="1" si="227"/>
        <v/>
      </c>
      <c r="FA65" s="20" t="str">
        <f t="shared" ca="1" si="227"/>
        <v/>
      </c>
      <c r="FB65" s="20" t="str">
        <f t="shared" ca="1" si="227"/>
        <v/>
      </c>
      <c r="FC65" s="20" t="str">
        <f t="shared" ca="1" si="227"/>
        <v/>
      </c>
      <c r="FD65" s="20" t="str">
        <f t="shared" ca="1" si="227"/>
        <v/>
      </c>
      <c r="FE65" s="20" t="str">
        <f t="shared" ca="1" si="227"/>
        <v/>
      </c>
      <c r="FF65" s="20" t="str">
        <f t="shared" ca="1" si="228"/>
        <v/>
      </c>
      <c r="FG65" s="20" t="str">
        <f t="shared" ca="1" si="228"/>
        <v/>
      </c>
      <c r="FH65" s="20" t="str">
        <f t="shared" ca="1" si="228"/>
        <v/>
      </c>
      <c r="FI65" s="20" t="str">
        <f t="shared" ca="1" si="228"/>
        <v/>
      </c>
      <c r="FJ65" s="20" t="str">
        <f t="shared" ca="1" si="228"/>
        <v/>
      </c>
      <c r="FK65" s="20" t="str">
        <f t="shared" ca="1" si="228"/>
        <v/>
      </c>
      <c r="FL65" s="20" t="str">
        <f t="shared" ca="1" si="228"/>
        <v/>
      </c>
      <c r="FM65" s="20" t="str">
        <f t="shared" ca="1" si="228"/>
        <v/>
      </c>
      <c r="FN65" s="20" t="str">
        <f t="shared" ca="1" si="228"/>
        <v/>
      </c>
      <c r="FO65" s="34"/>
      <c r="FP65" s="20" t="str">
        <f t="shared" ca="1" si="229"/>
        <v/>
      </c>
      <c r="FQ65" s="20" t="str">
        <f t="shared" ca="1" si="229"/>
        <v/>
      </c>
      <c r="FR65" s="20" t="str">
        <f t="shared" ca="1" si="229"/>
        <v/>
      </c>
      <c r="FS65" s="20" t="str">
        <f t="shared" ca="1" si="229"/>
        <v/>
      </c>
      <c r="FT65" s="20" t="str">
        <f t="shared" ca="1" si="229"/>
        <v/>
      </c>
      <c r="FU65" s="20" t="str">
        <f t="shared" ca="1" si="229"/>
        <v/>
      </c>
      <c r="FV65" s="20" t="str">
        <f t="shared" ca="1" si="229"/>
        <v/>
      </c>
      <c r="FW65" s="20" t="str">
        <f t="shared" ca="1" si="229"/>
        <v/>
      </c>
      <c r="FX65" s="20" t="str">
        <f t="shared" ca="1" si="229"/>
        <v/>
      </c>
      <c r="FY65" s="20" t="str">
        <f t="shared" ca="1" si="229"/>
        <v/>
      </c>
      <c r="FZ65" s="20" t="str">
        <f t="shared" ca="1" si="230"/>
        <v/>
      </c>
      <c r="GA65" s="20" t="str">
        <f t="shared" ca="1" si="230"/>
        <v/>
      </c>
      <c r="GB65" s="20" t="str">
        <f t="shared" ca="1" si="230"/>
        <v/>
      </c>
      <c r="GC65" s="20" t="str">
        <f t="shared" ca="1" si="230"/>
        <v/>
      </c>
      <c r="GD65" s="20" t="str">
        <f t="shared" ca="1" si="230"/>
        <v/>
      </c>
      <c r="GE65" s="20" t="str">
        <f t="shared" ca="1" si="230"/>
        <v/>
      </c>
      <c r="GF65" s="20" t="str">
        <f t="shared" ca="1" si="230"/>
        <v/>
      </c>
      <c r="GG65" s="20" t="str">
        <f t="shared" ca="1" si="230"/>
        <v/>
      </c>
      <c r="GH65" s="20" t="str">
        <f t="shared" ca="1" si="230"/>
        <v/>
      </c>
      <c r="GI65" s="34"/>
      <c r="HE65" s="34"/>
      <c r="HZ65" s="34"/>
      <c r="IA65" s="19" t="str">
        <f t="shared" ca="1" si="231"/>
        <v>No Hdcp</v>
      </c>
      <c r="IB65" s="19" t="str">
        <f t="shared" ca="1" si="232"/>
        <v>Low of score &amp; 0</v>
      </c>
      <c r="IC65" s="19" t="str">
        <f t="shared" ca="1" si="233"/>
        <v>Low of score &amp; 0</v>
      </c>
      <c r="ID65" s="18" t="str">
        <f t="shared" ca="1" si="234"/>
        <v>Low of score &amp; 0</v>
      </c>
      <c r="IE65" s="18" t="str">
        <f t="shared" ca="1" si="235"/>
        <v>Low of score &amp; 0</v>
      </c>
      <c r="IF65" s="18">
        <f t="shared" ca="1" si="236"/>
        <v>-34.56</v>
      </c>
      <c r="IG65" s="353" t="e">
        <f t="shared" ca="1" si="237"/>
        <v>#NUM!</v>
      </c>
      <c r="IH65" s="18" t="e">
        <f t="shared" ca="1" si="238"/>
        <v>#NUM!</v>
      </c>
      <c r="II65" s="18" t="e">
        <f t="shared" ca="1" si="239"/>
        <v>#NUM!</v>
      </c>
      <c r="IJ65" s="18" t="e">
        <f t="shared" ca="1" si="240"/>
        <v>#NUM!</v>
      </c>
      <c r="IK65" s="18" t="e">
        <f t="shared" ca="1" si="241"/>
        <v>#NUM!</v>
      </c>
      <c r="IL65" s="34"/>
      <c r="IN65" s="18">
        <f t="shared" ca="1" si="242"/>
        <v>0</v>
      </c>
      <c r="IO65" s="18">
        <f t="shared" ca="1" si="243"/>
        <v>0</v>
      </c>
      <c r="IP65" s="18">
        <f t="shared" ca="1" si="244"/>
        <v>0</v>
      </c>
      <c r="IQ65" s="18">
        <f t="shared" ca="1" si="245"/>
        <v>0</v>
      </c>
      <c r="IR65" s="18">
        <f t="shared" ca="1" si="246"/>
        <v>0</v>
      </c>
      <c r="IS65" s="18">
        <f t="shared" ca="1" si="247"/>
        <v>0</v>
      </c>
      <c r="IT65" s="18">
        <f t="shared" ca="1" si="248"/>
        <v>0</v>
      </c>
      <c r="IU65" s="18">
        <f t="shared" ca="1" si="249"/>
        <v>0</v>
      </c>
      <c r="IV65" s="18">
        <f t="shared" ca="1" si="250"/>
        <v>0</v>
      </c>
      <c r="IW65" s="18">
        <f t="shared" ca="1" si="251"/>
        <v>0</v>
      </c>
      <c r="IX65" s="19">
        <f t="shared" ca="1" si="252"/>
        <v>10</v>
      </c>
      <c r="IY65" s="21">
        <f t="shared" ca="1" si="253"/>
        <v>-34.56</v>
      </c>
      <c r="JA65" s="18" t="str">
        <f t="shared" ca="1" si="254"/>
        <v>No Hdcp</v>
      </c>
      <c r="JB65" s="18" t="str">
        <f t="shared" ca="1" si="255"/>
        <v>Low of score &amp; 0</v>
      </c>
      <c r="JC65" s="18" t="str">
        <f t="shared" ca="1" si="256"/>
        <v>Low of score &amp; 0</v>
      </c>
      <c r="JD65" s="18" t="str">
        <f t="shared" ca="1" si="257"/>
        <v>Low of score &amp; 0</v>
      </c>
      <c r="JE65" s="18" t="str">
        <f t="shared" ca="1" si="258"/>
        <v>Low of score &amp; 0</v>
      </c>
      <c r="JF65" s="18">
        <f t="shared" ca="1" si="259"/>
        <v>-34.56</v>
      </c>
      <c r="JG65" s="18">
        <f t="shared" ca="1" si="260"/>
        <v>-34.56</v>
      </c>
      <c r="JH65" s="18">
        <f t="shared" ca="1" si="261"/>
        <v>-34.56</v>
      </c>
      <c r="JI65" s="18">
        <f t="shared" ca="1" si="262"/>
        <v>-34.56</v>
      </c>
      <c r="JJ65" s="18">
        <f t="shared" ca="1" si="263"/>
        <v>-34.56</v>
      </c>
      <c r="JK65" s="18">
        <f t="shared" ca="1" si="264"/>
        <v>-34.56</v>
      </c>
    </row>
    <row r="66" spans="1:271" x14ac:dyDescent="0.2">
      <c r="A66" s="18" t="s">
        <v>76</v>
      </c>
      <c r="B66" s="19">
        <f t="shared" ref="B66:B75" si="272">B65+8</f>
        <v>21</v>
      </c>
      <c r="C66" s="22">
        <f t="shared" ca="1" si="206"/>
        <v>2.3E-3</v>
      </c>
      <c r="D66" s="18" t="str">
        <f t="shared" ca="1" si="265"/>
        <v>Burdett, Cory</v>
      </c>
      <c r="E66" s="19">
        <f t="shared" ca="1" si="207"/>
        <v>0</v>
      </c>
      <c r="F66" s="19">
        <f t="shared" ca="1" si="208"/>
        <v>0</v>
      </c>
      <c r="G66" s="21" t="str">
        <f t="shared" ca="1" si="209"/>
        <v>No Hdcp</v>
      </c>
      <c r="H66" s="337" t="str" cm="1">
        <f t="array" aca="1" ref="H66" ca="1">IFERROR(_xlfn.SINGLE(INDEX($AF66:$BH66, , SUMPRODUCT(LARGE((($AF66:$BH66&lt;&gt;0)*($BJ66:$CL66&lt;&gt;1)*($AF$5:$BH$5)), H$6)))), "")</f>
        <v/>
      </c>
      <c r="I66" s="338" t="str" cm="1">
        <f t="array" aca="1" ref="I66" ca="1">IFERROR(_xlfn.SINGLE(INDEX($AF66:$BH66, , SUMPRODUCT(LARGE((($AF66:$BH66&lt;&gt;0)*($BJ66:$CL66&lt;&gt;1)*($AF$5:$BH$5)), I$6)))), "")</f>
        <v/>
      </c>
      <c r="J66" s="338" t="str" cm="1">
        <f t="array" aca="1" ref="J66" ca="1">IFERROR(_xlfn.SINGLE(INDEX($AF66:$BH66, , SUMPRODUCT(LARGE((($AF66:$BH66&lt;&gt;0)*($BJ66:$CL66&lt;&gt;1)*($AF$5:$BH$5)), J$6)))), "")</f>
        <v/>
      </c>
      <c r="K66" s="338" t="str" cm="1">
        <f t="array" aca="1" ref="K66" ca="1">IFERROR(_xlfn.SINGLE(INDEX($AF66:$BH66, , SUMPRODUCT(LARGE((($AF66:$BH66&lt;&gt;0)*($BJ66:$CL66&lt;&gt;1)*($AF$5:$BH$5)), K$6)))), "")</f>
        <v/>
      </c>
      <c r="L66" s="338" t="str" cm="1">
        <f t="array" aca="1" ref="L66" ca="1">IFERROR(_xlfn.SINGLE(INDEX($AF66:$BH66, , SUMPRODUCT(LARGE((($AF66:$BH66&lt;&gt;0)*($BJ66:$CL66&lt;&gt;1)*($AF$5:$BH$5)), L$6)))), "")</f>
        <v/>
      </c>
      <c r="M66" s="338" t="str" cm="1">
        <f t="array" aca="1" ref="M66" ca="1">IFERROR(_xlfn.SINGLE(INDEX($AF66:$BH66, , SUMPRODUCT(LARGE((($AF66:$BH66&lt;&gt;0)*($BJ66:$CL66&lt;&gt;1)*($AF$5:$BH$5)), M$6)))), "")</f>
        <v/>
      </c>
      <c r="N66" s="338" t="str" cm="1">
        <f t="array" aca="1" ref="N66" ca="1">IFERROR(_xlfn.SINGLE(INDEX($AF66:$BH66, , SUMPRODUCT(LARGE((($AF66:$BH66&lt;&gt;0)*($BJ66:$CL66&lt;&gt;1)*($AF$5:$BH$5)), N$6)))), "")</f>
        <v/>
      </c>
      <c r="O66" s="338" t="str" cm="1">
        <f t="array" aca="1" ref="O66" ca="1">IFERROR(_xlfn.SINGLE(INDEX($AF66:$BH66, , SUMPRODUCT(LARGE((($AF66:$BH66&lt;&gt;0)*($BJ66:$CL66&lt;&gt;1)*($AF$5:$BH$5)), O$6)))), "")</f>
        <v/>
      </c>
      <c r="P66" s="338" t="str" cm="1">
        <f t="array" aca="1" ref="P66" ca="1">IFERROR(_xlfn.SINGLE(INDEX($AF66:$BH66, , SUMPRODUCT(LARGE((($AF66:$BH66&lt;&gt;0)*($BJ66:$CL66&lt;&gt;1)*($AF$5:$BH$5)), P$6)))), "")</f>
        <v/>
      </c>
      <c r="Q66" s="339" t="str" cm="1">
        <f t="array" aca="1" ref="Q66" ca="1">IFERROR(_xlfn.SINGLE(INDEX($AF66:$BH66, , SUMPRODUCT(LARGE((($AF66:$BH66&lt;&gt;0)*($BJ66:$CL66&lt;&gt;1)*($AF$5:$BH$5)), Q$6)))), "")</f>
        <v/>
      </c>
      <c r="R66" s="116" t="s">
        <v>451</v>
      </c>
      <c r="S66" s="47" t="str">
        <f t="shared" ca="1" si="210"/>
        <v>-</v>
      </c>
      <c r="T66" s="21" t="str">
        <f t="shared" ca="1" si="211"/>
        <v>-</v>
      </c>
      <c r="U66" s="21" t="str">
        <f t="shared" ca="1" si="212"/>
        <v>-</v>
      </c>
      <c r="V66" s="46" t="str">
        <f t="shared" ca="1" si="213"/>
        <v/>
      </c>
      <c r="W66" s="19" t="str">
        <f t="shared" ca="1" si="214"/>
        <v/>
      </c>
      <c r="X66" s="46">
        <f t="shared" ca="1" si="215"/>
        <v>0</v>
      </c>
      <c r="Y66" s="21" t="str">
        <f t="shared" ca="1" si="216"/>
        <v>-</v>
      </c>
      <c r="Z66" s="19">
        <f t="shared" ca="1" si="217"/>
        <v>0</v>
      </c>
      <c r="AA66" s="19">
        <f t="shared" ca="1" si="218"/>
        <v>0</v>
      </c>
      <c r="AB66" s="46" t="str">
        <f t="shared" ca="1" si="219"/>
        <v>0-0-0</v>
      </c>
      <c r="AC66" s="218">
        <f t="shared" ref="AC66:AC92" ca="1" si="273">IF($D66&lt;&gt;"", INDEX(INDIRECT($A66), $B66+1, 1), "")</f>
        <v>3304713160</v>
      </c>
      <c r="AD66" s="57" t="str">
        <f t="shared" ref="AD66:AD92" ca="1" si="274">IF($D66&lt;&gt;"", INDEX(INDIRECT($A66), $B66+2, 1), "")</f>
        <v>cory.burdett@metallus.com</v>
      </c>
      <c r="AE66" s="34"/>
      <c r="AF66" s="341">
        <f ca="1">INDEX(PriorScores[],MATCH($D66,PriorScores[Team / Player],0),2)</f>
        <v>0</v>
      </c>
      <c r="AG66" s="341">
        <f ca="1">INDEX(PriorScores[],MATCH($D66,PriorScores[Team / Player],0),3)</f>
        <v>0</v>
      </c>
      <c r="AH66" s="341">
        <f ca="1">INDEX(PriorScores[],MATCH($D66,PriorScores[Team / Player],0),4)</f>
        <v>0</v>
      </c>
      <c r="AI66" s="341">
        <f ca="1">INDEX(PriorScores[],MATCH($D66,PriorScores[Team / Player],0),5)</f>
        <v>0</v>
      </c>
      <c r="AJ66" s="341">
        <f ca="1">INDEX(PriorScores[],MATCH($D66,PriorScores[Team / Player],0),6)</f>
        <v>0</v>
      </c>
      <c r="AK66" s="341">
        <f ca="1">INDEX(PriorScores[],MATCH($D66,PriorScores[Team / Player],0),7)</f>
        <v>0</v>
      </c>
      <c r="AL66" s="341">
        <f ca="1">INDEX(PriorScores[],MATCH($D66,PriorScores[Team / Player],0),8)</f>
        <v>0</v>
      </c>
      <c r="AM66" s="341">
        <f ca="1">INDEX(PriorScores[],MATCH($D66,PriorScores[Team / Player],0),9)</f>
        <v>0</v>
      </c>
      <c r="AN66" s="341"/>
      <c r="AO66" s="341"/>
      <c r="AP66" s="20">
        <f t="shared" ca="1" si="220"/>
        <v>0</v>
      </c>
      <c r="AQ66" s="20">
        <f t="shared" ca="1" si="220"/>
        <v>0</v>
      </c>
      <c r="AR66" s="20">
        <f t="shared" ca="1" si="220"/>
        <v>0</v>
      </c>
      <c r="AS66" s="20">
        <f t="shared" ca="1" si="220"/>
        <v>0</v>
      </c>
      <c r="AT66" s="20">
        <f t="shared" ca="1" si="220"/>
        <v>0</v>
      </c>
      <c r="AU66" s="20">
        <f t="shared" ca="1" si="220"/>
        <v>0</v>
      </c>
      <c r="AV66" s="20">
        <f t="shared" ca="1" si="220"/>
        <v>0</v>
      </c>
      <c r="AW66" s="20">
        <f t="shared" ca="1" si="220"/>
        <v>0</v>
      </c>
      <c r="AX66" s="20">
        <f t="shared" ca="1" si="220"/>
        <v>0</v>
      </c>
      <c r="AY66" s="20">
        <f t="shared" ca="1" si="220"/>
        <v>0</v>
      </c>
      <c r="AZ66" s="20">
        <f t="shared" ca="1" si="221"/>
        <v>0</v>
      </c>
      <c r="BA66" s="20">
        <f t="shared" ca="1" si="221"/>
        <v>0</v>
      </c>
      <c r="BB66" s="20">
        <f t="shared" ca="1" si="221"/>
        <v>0</v>
      </c>
      <c r="BC66" s="20">
        <f t="shared" ca="1" si="221"/>
        <v>0</v>
      </c>
      <c r="BD66" s="20">
        <f t="shared" ca="1" si="221"/>
        <v>0</v>
      </c>
      <c r="BE66" s="20">
        <f t="shared" ca="1" si="221"/>
        <v>0</v>
      </c>
      <c r="BF66" s="20">
        <f t="shared" ca="1" si="221"/>
        <v>0</v>
      </c>
      <c r="BG66" s="20">
        <f t="shared" ca="1" si="221"/>
        <v>0</v>
      </c>
      <c r="BH66" s="20">
        <f t="shared" ca="1" si="221"/>
        <v>0</v>
      </c>
      <c r="BI66" s="34"/>
      <c r="BJ66" s="341">
        <v>0</v>
      </c>
      <c r="BK66" s="341">
        <v>0</v>
      </c>
      <c r="BL66" s="341">
        <v>0</v>
      </c>
      <c r="BM66" s="341">
        <v>0</v>
      </c>
      <c r="BN66" s="341">
        <v>0</v>
      </c>
      <c r="BO66" s="341">
        <v>0</v>
      </c>
      <c r="BP66" s="341">
        <v>0</v>
      </c>
      <c r="BQ66" s="341">
        <v>0</v>
      </c>
      <c r="BR66" s="341">
        <v>0</v>
      </c>
      <c r="BS66" s="341">
        <v>0</v>
      </c>
      <c r="BT66" s="20">
        <f t="shared" ca="1" si="266"/>
        <v>0</v>
      </c>
      <c r="BU66" s="20">
        <f t="shared" ca="1" si="266"/>
        <v>0</v>
      </c>
      <c r="BV66" s="20">
        <f t="shared" ca="1" si="266"/>
        <v>0</v>
      </c>
      <c r="BW66" s="20">
        <f t="shared" ca="1" si="266"/>
        <v>0</v>
      </c>
      <c r="BX66" s="20">
        <f t="shared" ca="1" si="266"/>
        <v>0</v>
      </c>
      <c r="BY66" s="20">
        <f t="shared" ca="1" si="266"/>
        <v>0</v>
      </c>
      <c r="BZ66" s="20">
        <f t="shared" ca="1" si="266"/>
        <v>0</v>
      </c>
      <c r="CA66" s="20">
        <f t="shared" ca="1" si="266"/>
        <v>0</v>
      </c>
      <c r="CB66" s="20">
        <f t="shared" ca="1" si="266"/>
        <v>0</v>
      </c>
      <c r="CC66" s="20">
        <f t="shared" ca="1" si="266"/>
        <v>0</v>
      </c>
      <c r="CD66" s="20">
        <f t="shared" ca="1" si="266"/>
        <v>0</v>
      </c>
      <c r="CE66" s="20">
        <f t="shared" ca="1" si="266"/>
        <v>0</v>
      </c>
      <c r="CF66" s="20">
        <f t="shared" ca="1" si="266"/>
        <v>0</v>
      </c>
      <c r="CG66" s="20">
        <f t="shared" ca="1" si="266"/>
        <v>0</v>
      </c>
      <c r="CH66" s="20">
        <f t="shared" ca="1" si="266"/>
        <v>0</v>
      </c>
      <c r="CI66" s="20">
        <f t="shared" ca="1" si="266"/>
        <v>0</v>
      </c>
      <c r="CJ66" s="20">
        <f t="shared" ca="1" si="267"/>
        <v>0</v>
      </c>
      <c r="CK66" s="20">
        <f t="shared" ca="1" si="267"/>
        <v>0</v>
      </c>
      <c r="CL66" s="20">
        <f t="shared" ca="1" si="267"/>
        <v>0</v>
      </c>
      <c r="CM66" s="34"/>
      <c r="CN66" s="20" t="str">
        <f t="shared" ca="1" si="223"/>
        <v/>
      </c>
      <c r="CO66" s="20" t="str">
        <f t="shared" ca="1" si="223"/>
        <v/>
      </c>
      <c r="CP66" s="20" t="str">
        <f t="shared" ca="1" si="223"/>
        <v/>
      </c>
      <c r="CQ66" s="20" t="str">
        <f t="shared" ca="1" si="223"/>
        <v/>
      </c>
      <c r="CR66" s="20" t="str">
        <f t="shared" ca="1" si="223"/>
        <v/>
      </c>
      <c r="CS66" s="20" t="str">
        <f t="shared" ca="1" si="223"/>
        <v/>
      </c>
      <c r="CT66" s="20" t="str">
        <f t="shared" ca="1" si="223"/>
        <v/>
      </c>
      <c r="CU66" s="20" t="str">
        <f t="shared" ca="1" si="223"/>
        <v/>
      </c>
      <c r="CV66" s="20" t="str">
        <f t="shared" ca="1" si="223"/>
        <v/>
      </c>
      <c r="CW66" s="20" t="str">
        <f t="shared" ca="1" si="223"/>
        <v/>
      </c>
      <c r="CX66" s="20" t="str">
        <f t="shared" ca="1" si="224"/>
        <v/>
      </c>
      <c r="CY66" s="20" t="str">
        <f t="shared" ca="1" si="224"/>
        <v/>
      </c>
      <c r="CZ66" s="20" t="str">
        <f t="shared" ca="1" si="224"/>
        <v/>
      </c>
      <c r="DA66" s="20" t="str">
        <f t="shared" ca="1" si="224"/>
        <v/>
      </c>
      <c r="DB66" s="20" t="str">
        <f t="shared" ca="1" si="224"/>
        <v/>
      </c>
      <c r="DC66" s="20" t="str">
        <f t="shared" ca="1" si="224"/>
        <v/>
      </c>
      <c r="DD66" s="20" t="str">
        <f t="shared" ca="1" si="224"/>
        <v/>
      </c>
      <c r="DE66" s="20" t="str">
        <f t="shared" ca="1" si="224"/>
        <v/>
      </c>
      <c r="DF66" s="20" t="str">
        <f t="shared" ca="1" si="224"/>
        <v/>
      </c>
      <c r="DG66" s="34"/>
      <c r="DH66" s="20" t="str">
        <f t="shared" ca="1" si="268"/>
        <v/>
      </c>
      <c r="DI66" s="20" t="str">
        <f t="shared" ca="1" si="268"/>
        <v/>
      </c>
      <c r="DJ66" s="20" t="str">
        <f t="shared" ca="1" si="268"/>
        <v/>
      </c>
      <c r="DK66" s="20" t="str">
        <f t="shared" ca="1" si="268"/>
        <v/>
      </c>
      <c r="DL66" s="20" t="str">
        <f t="shared" ca="1" si="268"/>
        <v/>
      </c>
      <c r="DM66" s="20" t="str">
        <f t="shared" ca="1" si="268"/>
        <v/>
      </c>
      <c r="DN66" s="20" t="str">
        <f t="shared" ca="1" si="268"/>
        <v/>
      </c>
      <c r="DO66" s="20" t="str">
        <f t="shared" ca="1" si="268"/>
        <v/>
      </c>
      <c r="DP66" s="20" t="str">
        <f t="shared" ca="1" si="268"/>
        <v/>
      </c>
      <c r="DQ66" s="20" t="str">
        <f t="shared" ca="1" si="268"/>
        <v/>
      </c>
      <c r="DR66" s="20" t="str">
        <f t="shared" ca="1" si="268"/>
        <v/>
      </c>
      <c r="DS66" s="20" t="str">
        <f t="shared" ca="1" si="268"/>
        <v/>
      </c>
      <c r="DT66" s="20" t="str">
        <f t="shared" ca="1" si="268"/>
        <v/>
      </c>
      <c r="DU66" s="20" t="str">
        <f t="shared" ca="1" si="268"/>
        <v/>
      </c>
      <c r="DV66" s="20" t="str">
        <f t="shared" ca="1" si="268"/>
        <v/>
      </c>
      <c r="DW66" s="20" t="str">
        <f t="shared" ca="1" si="268"/>
        <v/>
      </c>
      <c r="DX66" s="20" t="str">
        <f t="shared" ca="1" si="269"/>
        <v/>
      </c>
      <c r="DY66" s="20" t="str">
        <f t="shared" ca="1" si="269"/>
        <v/>
      </c>
      <c r="DZ66" s="20" t="str">
        <f t="shared" ca="1" si="269"/>
        <v/>
      </c>
      <c r="EA66" s="34"/>
      <c r="EB66" s="20" t="str">
        <f t="shared" ca="1" si="270"/>
        <v/>
      </c>
      <c r="EC66" s="20" t="str">
        <f t="shared" ca="1" si="270"/>
        <v/>
      </c>
      <c r="ED66" s="20" t="str">
        <f t="shared" ca="1" si="270"/>
        <v/>
      </c>
      <c r="EE66" s="20" t="str">
        <f t="shared" ca="1" si="270"/>
        <v/>
      </c>
      <c r="EF66" s="20" t="str">
        <f t="shared" ca="1" si="270"/>
        <v/>
      </c>
      <c r="EG66" s="20" t="str">
        <f t="shared" ca="1" si="270"/>
        <v/>
      </c>
      <c r="EH66" s="20" t="str">
        <f t="shared" ca="1" si="270"/>
        <v/>
      </c>
      <c r="EI66" s="20" t="str">
        <f t="shared" ca="1" si="270"/>
        <v/>
      </c>
      <c r="EJ66" s="20" t="str">
        <f t="shared" ca="1" si="270"/>
        <v/>
      </c>
      <c r="EK66" s="20" t="str">
        <f t="shared" ca="1" si="270"/>
        <v/>
      </c>
      <c r="EL66" s="20" t="str">
        <f t="shared" ca="1" si="270"/>
        <v/>
      </c>
      <c r="EM66" s="20" t="str">
        <f t="shared" ca="1" si="270"/>
        <v/>
      </c>
      <c r="EN66" s="20" t="str">
        <f t="shared" ca="1" si="270"/>
        <v/>
      </c>
      <c r="EO66" s="20" t="str">
        <f t="shared" ca="1" si="270"/>
        <v/>
      </c>
      <c r="EP66" s="20" t="str">
        <f t="shared" ca="1" si="270"/>
        <v/>
      </c>
      <c r="EQ66" s="20" t="str">
        <f t="shared" ca="1" si="270"/>
        <v/>
      </c>
      <c r="ER66" s="20" t="str">
        <f t="shared" ca="1" si="271"/>
        <v/>
      </c>
      <c r="ES66" s="20" t="str">
        <f t="shared" ca="1" si="271"/>
        <v/>
      </c>
      <c r="ET66" s="20" t="str">
        <f t="shared" ca="1" si="271"/>
        <v/>
      </c>
      <c r="EU66" s="34"/>
      <c r="EV66" s="20" t="str">
        <f t="shared" ca="1" si="227"/>
        <v/>
      </c>
      <c r="EW66" s="20" t="str">
        <f t="shared" ca="1" si="227"/>
        <v/>
      </c>
      <c r="EX66" s="20" t="str">
        <f t="shared" ca="1" si="227"/>
        <v/>
      </c>
      <c r="EY66" s="20" t="str">
        <f t="shared" ca="1" si="227"/>
        <v/>
      </c>
      <c r="EZ66" s="20" t="str">
        <f t="shared" ca="1" si="227"/>
        <v/>
      </c>
      <c r="FA66" s="20" t="str">
        <f t="shared" ca="1" si="227"/>
        <v/>
      </c>
      <c r="FB66" s="20" t="str">
        <f t="shared" ca="1" si="227"/>
        <v/>
      </c>
      <c r="FC66" s="20" t="str">
        <f t="shared" ca="1" si="227"/>
        <v/>
      </c>
      <c r="FD66" s="20" t="str">
        <f t="shared" ca="1" si="227"/>
        <v/>
      </c>
      <c r="FE66" s="20" t="str">
        <f t="shared" ca="1" si="227"/>
        <v/>
      </c>
      <c r="FF66" s="20" t="str">
        <f t="shared" ca="1" si="228"/>
        <v/>
      </c>
      <c r="FG66" s="20" t="str">
        <f t="shared" ca="1" si="228"/>
        <v/>
      </c>
      <c r="FH66" s="20" t="str">
        <f t="shared" ca="1" si="228"/>
        <v/>
      </c>
      <c r="FI66" s="20" t="str">
        <f t="shared" ca="1" si="228"/>
        <v/>
      </c>
      <c r="FJ66" s="20" t="str">
        <f t="shared" ca="1" si="228"/>
        <v/>
      </c>
      <c r="FK66" s="20" t="str">
        <f t="shared" ca="1" si="228"/>
        <v/>
      </c>
      <c r="FL66" s="20" t="str">
        <f t="shared" ca="1" si="228"/>
        <v/>
      </c>
      <c r="FM66" s="20" t="str">
        <f t="shared" ca="1" si="228"/>
        <v/>
      </c>
      <c r="FN66" s="20" t="str">
        <f t="shared" ca="1" si="228"/>
        <v/>
      </c>
      <c r="FO66" s="34"/>
      <c r="FP66" s="20" t="str">
        <f t="shared" ca="1" si="229"/>
        <v/>
      </c>
      <c r="FQ66" s="20" t="str">
        <f t="shared" ca="1" si="229"/>
        <v/>
      </c>
      <c r="FR66" s="20" t="str">
        <f t="shared" ca="1" si="229"/>
        <v/>
      </c>
      <c r="FS66" s="20" t="str">
        <f t="shared" ca="1" si="229"/>
        <v/>
      </c>
      <c r="FT66" s="20" t="str">
        <f t="shared" ca="1" si="229"/>
        <v/>
      </c>
      <c r="FU66" s="20" t="str">
        <f t="shared" ca="1" si="229"/>
        <v/>
      </c>
      <c r="FV66" s="20" t="str">
        <f t="shared" ca="1" si="229"/>
        <v/>
      </c>
      <c r="FW66" s="20" t="str">
        <f t="shared" ca="1" si="229"/>
        <v/>
      </c>
      <c r="FX66" s="20" t="str">
        <f t="shared" ca="1" si="229"/>
        <v/>
      </c>
      <c r="FY66" s="20" t="str">
        <f t="shared" ca="1" si="229"/>
        <v/>
      </c>
      <c r="FZ66" s="20" t="str">
        <f t="shared" ca="1" si="230"/>
        <v/>
      </c>
      <c r="GA66" s="20" t="str">
        <f t="shared" ca="1" si="230"/>
        <v/>
      </c>
      <c r="GB66" s="20" t="str">
        <f t="shared" ca="1" si="230"/>
        <v/>
      </c>
      <c r="GC66" s="20" t="str">
        <f t="shared" ca="1" si="230"/>
        <v/>
      </c>
      <c r="GD66" s="20" t="str">
        <f t="shared" ca="1" si="230"/>
        <v/>
      </c>
      <c r="GE66" s="20" t="str">
        <f t="shared" ca="1" si="230"/>
        <v/>
      </c>
      <c r="GF66" s="20" t="str">
        <f t="shared" ca="1" si="230"/>
        <v/>
      </c>
      <c r="GG66" s="20" t="str">
        <f t="shared" ca="1" si="230"/>
        <v/>
      </c>
      <c r="GH66" s="20" t="str">
        <f t="shared" ca="1" si="230"/>
        <v/>
      </c>
      <c r="GI66" s="34"/>
      <c r="HE66" s="34"/>
      <c r="HZ66" s="34"/>
      <c r="IA66" s="19" t="str">
        <f t="shared" ca="1" si="231"/>
        <v>No Hdcp</v>
      </c>
      <c r="IB66" s="19" t="str">
        <f t="shared" ca="1" si="232"/>
        <v>Low of score &amp; 0</v>
      </c>
      <c r="IC66" s="19" t="str">
        <f t="shared" ca="1" si="233"/>
        <v>Low of score &amp; 0</v>
      </c>
      <c r="ID66" s="18" t="str">
        <f t="shared" ca="1" si="234"/>
        <v>Low of score &amp; 0</v>
      </c>
      <c r="IE66" s="18" t="str">
        <f t="shared" ca="1" si="235"/>
        <v>Low of score &amp; 0</v>
      </c>
      <c r="IF66" s="18">
        <f t="shared" ca="1" si="236"/>
        <v>-34.56</v>
      </c>
      <c r="IG66" s="353" t="e">
        <f t="shared" ca="1" si="237"/>
        <v>#NUM!</v>
      </c>
      <c r="IH66" s="18" t="e">
        <f t="shared" ca="1" si="238"/>
        <v>#NUM!</v>
      </c>
      <c r="II66" s="18" t="e">
        <f t="shared" ca="1" si="239"/>
        <v>#NUM!</v>
      </c>
      <c r="IJ66" s="18" t="e">
        <f t="shared" ca="1" si="240"/>
        <v>#NUM!</v>
      </c>
      <c r="IK66" s="18" t="e">
        <f t="shared" ca="1" si="241"/>
        <v>#NUM!</v>
      </c>
      <c r="IL66" s="34"/>
      <c r="IN66" s="18">
        <f t="shared" si="242"/>
        <v>0</v>
      </c>
      <c r="IO66" s="18">
        <f t="shared" si="243"/>
        <v>0</v>
      </c>
      <c r="IP66" s="18">
        <f t="shared" ca="1" si="244"/>
        <v>0</v>
      </c>
      <c r="IQ66" s="18">
        <f t="shared" ca="1" si="245"/>
        <v>0</v>
      </c>
      <c r="IR66" s="18">
        <f t="shared" ca="1" si="246"/>
        <v>0</v>
      </c>
      <c r="IS66" s="18">
        <f t="shared" ca="1" si="247"/>
        <v>0</v>
      </c>
      <c r="IT66" s="18">
        <f t="shared" ca="1" si="248"/>
        <v>0</v>
      </c>
      <c r="IU66" s="18">
        <f t="shared" ca="1" si="249"/>
        <v>0</v>
      </c>
      <c r="IV66" s="18">
        <f t="shared" ca="1" si="250"/>
        <v>0</v>
      </c>
      <c r="IW66" s="18">
        <f t="shared" ca="1" si="251"/>
        <v>0</v>
      </c>
      <c r="IX66" s="19">
        <f t="shared" ca="1" si="252"/>
        <v>10</v>
      </c>
      <c r="IY66" s="21">
        <f t="shared" ca="1" si="253"/>
        <v>-34.56</v>
      </c>
      <c r="JA66" s="18" t="str">
        <f t="shared" ca="1" si="254"/>
        <v>No Hdcp</v>
      </c>
      <c r="JB66" s="18" t="str">
        <f t="shared" ca="1" si="255"/>
        <v>Low of score &amp; 0</v>
      </c>
      <c r="JC66" s="18" t="str">
        <f t="shared" ca="1" si="256"/>
        <v>Low of score &amp; 0</v>
      </c>
      <c r="JD66" s="18" t="str">
        <f t="shared" ca="1" si="257"/>
        <v>Low of score &amp; 0</v>
      </c>
      <c r="JE66" s="18" t="str">
        <f t="shared" ca="1" si="258"/>
        <v>Low of score &amp; 0</v>
      </c>
      <c r="JF66" s="18">
        <f t="shared" ca="1" si="259"/>
        <v>-34.56</v>
      </c>
      <c r="JG66" s="18">
        <f t="shared" ca="1" si="260"/>
        <v>-34.56</v>
      </c>
      <c r="JH66" s="18">
        <f t="shared" ca="1" si="261"/>
        <v>-34.56</v>
      </c>
      <c r="JI66" s="18">
        <f t="shared" ca="1" si="262"/>
        <v>-34.56</v>
      </c>
      <c r="JJ66" s="18">
        <f t="shared" ca="1" si="263"/>
        <v>-34.56</v>
      </c>
      <c r="JK66" s="18">
        <f t="shared" ca="1" si="264"/>
        <v>-34.56</v>
      </c>
    </row>
    <row r="67" spans="1:271" x14ac:dyDescent="0.2">
      <c r="A67" s="18" t="s">
        <v>76</v>
      </c>
      <c r="B67" s="19">
        <f t="shared" si="272"/>
        <v>29</v>
      </c>
      <c r="C67" s="22">
        <f t="shared" ca="1" si="206"/>
        <v>2.8E-3</v>
      </c>
      <c r="D67" s="18" t="str">
        <f t="shared" ca="1" si="265"/>
        <v>Cline, Chad</v>
      </c>
      <c r="E67" s="19">
        <f t="shared" ca="1" si="207"/>
        <v>6</v>
      </c>
      <c r="F67" s="19">
        <f t="shared" ca="1" si="208"/>
        <v>6</v>
      </c>
      <c r="G67" s="21">
        <f t="shared" ca="1" si="209"/>
        <v>4.8</v>
      </c>
      <c r="H67" s="337" cm="1">
        <f t="array" aca="1" ref="H67" ca="1">IFERROR(_xlfn.SINGLE(INDEX($AF67:$BH67, , SUMPRODUCT(LARGE((($AF67:$BH67&lt;&gt;0)*($BJ67:$CL67&lt;&gt;1)*($AF$5:$BH$5)), H$6)))), "")</f>
        <v>47</v>
      </c>
      <c r="I67" s="338" cm="1">
        <f t="array" aca="1" ref="I67" ca="1">IFERROR(_xlfn.SINGLE(INDEX($AF67:$BH67, , SUMPRODUCT(LARGE((($AF67:$BH67&lt;&gt;0)*($BJ67:$CL67&lt;&gt;1)*($AF$5:$BH$5)), I$6)))), "")</f>
        <v>47</v>
      </c>
      <c r="J67" s="338" cm="1">
        <f t="array" aca="1" ref="J67" ca="1">IFERROR(_xlfn.SINGLE(INDEX($AF67:$BH67, , SUMPRODUCT(LARGE((($AF67:$BH67&lt;&gt;0)*($BJ67:$CL67&lt;&gt;1)*($AF$5:$BH$5)), J$6)))), "")</f>
        <v>39</v>
      </c>
      <c r="K67" s="338" cm="1">
        <f t="array" aca="1" ref="K67" ca="1">IFERROR(_xlfn.SINGLE(INDEX($AF67:$BH67, , SUMPRODUCT(LARGE((($AF67:$BH67&lt;&gt;0)*($BJ67:$CL67&lt;&gt;1)*($AF$5:$BH$5)), K$6)))), "")</f>
        <v>43</v>
      </c>
      <c r="L67" s="338" cm="1">
        <f t="array" aca="1" ref="L67" ca="1">IFERROR(_xlfn.SINGLE(INDEX($AF67:$BH67, , SUMPRODUCT(LARGE((($AF67:$BH67&lt;&gt;0)*($BJ67:$CL67&lt;&gt;1)*($AF$5:$BH$5)), L$6)))), "")</f>
        <v>44</v>
      </c>
      <c r="M67" s="338" cm="1">
        <f t="array" aca="1" ref="M67" ca="1">IFERROR(_xlfn.SINGLE(INDEX($AF67:$BH67, , SUMPRODUCT(LARGE((($AF67:$BH67&lt;&gt;0)*($BJ67:$CL67&lt;&gt;1)*($AF$5:$BH$5)), M$6)))), "")</f>
        <v>45</v>
      </c>
      <c r="N67" s="338" t="str" cm="1">
        <f t="array" aca="1" ref="N67" ca="1">IFERROR(_xlfn.SINGLE(INDEX($AF67:$BH67, , SUMPRODUCT(LARGE((($AF67:$BH67&lt;&gt;0)*($BJ67:$CL67&lt;&gt;1)*($AF$5:$BH$5)), N$6)))), "")</f>
        <v/>
      </c>
      <c r="O67" s="338" t="str" cm="1">
        <f t="array" aca="1" ref="O67" ca="1">IFERROR(_xlfn.SINGLE(INDEX($AF67:$BH67, , SUMPRODUCT(LARGE((($AF67:$BH67&lt;&gt;0)*($BJ67:$CL67&lt;&gt;1)*($AF$5:$BH$5)), O$6)))), "")</f>
        <v/>
      </c>
      <c r="P67" s="338" t="str" cm="1">
        <f t="array" aca="1" ref="P67" ca="1">IFERROR(_xlfn.SINGLE(INDEX($AF67:$BH67, , SUMPRODUCT(LARGE((($AF67:$BH67&lt;&gt;0)*($BJ67:$CL67&lt;&gt;1)*($AF$5:$BH$5)), P$6)))), "")</f>
        <v/>
      </c>
      <c r="Q67" s="339" t="str" cm="1">
        <f t="array" aca="1" ref="Q67" ca="1">IFERROR(_xlfn.SINGLE(INDEX($AF67:$BH67, , SUMPRODUCT(LARGE((($AF67:$BH67&lt;&gt;0)*($BJ67:$CL67&lt;&gt;1)*($AF$5:$BH$5)), Q$6)))), "")</f>
        <v/>
      </c>
      <c r="R67" s="116" t="s">
        <v>454</v>
      </c>
      <c r="S67" s="47">
        <f t="shared" ca="1" si="210"/>
        <v>43.6</v>
      </c>
      <c r="T67" s="21">
        <f t="shared" ca="1" si="211"/>
        <v>44.166666666666664</v>
      </c>
      <c r="U67" s="21">
        <f t="shared" ca="1" si="212"/>
        <v>38.5</v>
      </c>
      <c r="V67" s="46">
        <f t="shared" ca="1" si="213"/>
        <v>39</v>
      </c>
      <c r="W67" s="19">
        <f t="shared" ca="1" si="214"/>
        <v>36</v>
      </c>
      <c r="X67" s="46">
        <f t="shared" ca="1" si="215"/>
        <v>73</v>
      </c>
      <c r="Y67" s="21">
        <f t="shared" ca="1" si="216"/>
        <v>10.428571428571429</v>
      </c>
      <c r="Z67" s="19">
        <f t="shared" ca="1" si="217"/>
        <v>3</v>
      </c>
      <c r="AA67" s="19">
        <f t="shared" ca="1" si="218"/>
        <v>1</v>
      </c>
      <c r="AB67" s="46" t="str">
        <f t="shared" ca="1" si="219"/>
        <v>0-0-0</v>
      </c>
      <c r="AC67" s="218">
        <f t="shared" ca="1" si="273"/>
        <v>0</v>
      </c>
      <c r="AD67" s="57">
        <f t="shared" ca="1" si="274"/>
        <v>0</v>
      </c>
      <c r="AE67" s="34"/>
      <c r="AF67" s="341">
        <f ca="1">INDEX(PriorScores[],MATCH($D67,PriorScores[Team / Player],0),2)</f>
        <v>0</v>
      </c>
      <c r="AG67" s="341">
        <f ca="1">INDEX(PriorScores[],MATCH($D67,PriorScores[Team / Player],0),3)</f>
        <v>0</v>
      </c>
      <c r="AH67" s="341">
        <f ca="1">INDEX(PriorScores[],MATCH($D67,PriorScores[Team / Player],0),4)</f>
        <v>0</v>
      </c>
      <c r="AI67" s="341">
        <f ca="1">INDEX(PriorScores[],MATCH($D67,PriorScores[Team / Player],0),5)</f>
        <v>0</v>
      </c>
      <c r="AJ67" s="341">
        <f ca="1">INDEX(PriorScores[],MATCH($D67,PriorScores[Team / Player],0),6)</f>
        <v>0</v>
      </c>
      <c r="AK67" s="341">
        <f ca="1">INDEX(PriorScores[],MATCH($D67,PriorScores[Team / Player],0),7)</f>
        <v>0</v>
      </c>
      <c r="AL67" s="341">
        <f ca="1">INDEX(PriorScores[],MATCH($D67,PriorScores[Team / Player],0),8)</f>
        <v>0</v>
      </c>
      <c r="AM67" s="341">
        <f ca="1">INDEX(PriorScores[],MATCH($D67,PriorScores[Team / Player],0),9)</f>
        <v>0</v>
      </c>
      <c r="AN67" s="341">
        <f ca="1">INDEX(PriorScores[],MATCH($D67,PriorScores[Team / Player],0),10)</f>
        <v>0</v>
      </c>
      <c r="AO67" s="341"/>
      <c r="AP67" s="20">
        <f t="shared" ca="1" si="220"/>
        <v>0</v>
      </c>
      <c r="AQ67" s="20">
        <f t="shared" ca="1" si="220"/>
        <v>0</v>
      </c>
      <c r="AR67" s="20">
        <f t="shared" ca="1" si="220"/>
        <v>45</v>
      </c>
      <c r="AS67" s="20">
        <f t="shared" ca="1" si="220"/>
        <v>0</v>
      </c>
      <c r="AT67" s="20">
        <f t="shared" ca="1" si="220"/>
        <v>44</v>
      </c>
      <c r="AU67" s="20">
        <f t="shared" ca="1" si="220"/>
        <v>0</v>
      </c>
      <c r="AV67" s="20">
        <f t="shared" ca="1" si="220"/>
        <v>0</v>
      </c>
      <c r="AW67" s="20">
        <f t="shared" ca="1" si="220"/>
        <v>0</v>
      </c>
      <c r="AX67" s="20">
        <f t="shared" ca="1" si="220"/>
        <v>0</v>
      </c>
      <c r="AY67" s="20">
        <f t="shared" ca="1" si="220"/>
        <v>43</v>
      </c>
      <c r="AZ67" s="20">
        <f t="shared" ca="1" si="221"/>
        <v>39</v>
      </c>
      <c r="BA67" s="20">
        <f t="shared" ca="1" si="221"/>
        <v>0</v>
      </c>
      <c r="BB67" s="20">
        <f t="shared" ca="1" si="221"/>
        <v>47</v>
      </c>
      <c r="BC67" s="20">
        <f t="shared" ca="1" si="221"/>
        <v>0</v>
      </c>
      <c r="BD67" s="20">
        <f t="shared" ca="1" si="221"/>
        <v>0</v>
      </c>
      <c r="BE67" s="20">
        <f t="shared" ca="1" si="221"/>
        <v>47</v>
      </c>
      <c r="BF67" s="20">
        <f t="shared" ca="1" si="221"/>
        <v>0</v>
      </c>
      <c r="BG67" s="20">
        <f t="shared" ca="1" si="221"/>
        <v>0</v>
      </c>
      <c r="BH67" s="20">
        <f t="shared" ca="1" si="221"/>
        <v>0</v>
      </c>
      <c r="BI67" s="34"/>
      <c r="BJ67" s="341">
        <v>0</v>
      </c>
      <c r="BK67" s="341">
        <v>0</v>
      </c>
      <c r="BL67" s="341">
        <v>0</v>
      </c>
      <c r="BM67" s="341">
        <v>0</v>
      </c>
      <c r="BN67" s="341">
        <v>0</v>
      </c>
      <c r="BO67" s="341">
        <v>0</v>
      </c>
      <c r="BP67" s="341">
        <v>0</v>
      </c>
      <c r="BQ67" s="341">
        <v>0</v>
      </c>
      <c r="BR67" s="341">
        <v>0</v>
      </c>
      <c r="BS67" s="341">
        <v>0</v>
      </c>
      <c r="BT67" s="20">
        <f t="shared" ca="1" si="266"/>
        <v>0</v>
      </c>
      <c r="BU67" s="20">
        <f t="shared" ca="1" si="266"/>
        <v>0</v>
      </c>
      <c r="BV67" s="20">
        <f t="shared" ca="1" si="266"/>
        <v>0</v>
      </c>
      <c r="BW67" s="20">
        <f t="shared" ca="1" si="266"/>
        <v>0</v>
      </c>
      <c r="BX67" s="20">
        <f t="shared" ca="1" si="266"/>
        <v>0</v>
      </c>
      <c r="BY67" s="20">
        <f t="shared" ca="1" si="266"/>
        <v>0</v>
      </c>
      <c r="BZ67" s="20">
        <f t="shared" ca="1" si="266"/>
        <v>0</v>
      </c>
      <c r="CA67" s="20">
        <f t="shared" ca="1" si="266"/>
        <v>0</v>
      </c>
      <c r="CB67" s="20">
        <f t="shared" ca="1" si="266"/>
        <v>0</v>
      </c>
      <c r="CC67" s="20">
        <f t="shared" ca="1" si="266"/>
        <v>0</v>
      </c>
      <c r="CD67" s="20">
        <f t="shared" ca="1" si="266"/>
        <v>0</v>
      </c>
      <c r="CE67" s="20">
        <f t="shared" ca="1" si="266"/>
        <v>0</v>
      </c>
      <c r="CF67" s="20">
        <f t="shared" ca="1" si="266"/>
        <v>0</v>
      </c>
      <c r="CG67" s="20">
        <f t="shared" ca="1" si="266"/>
        <v>0</v>
      </c>
      <c r="CH67" s="20">
        <f t="shared" ca="1" si="266"/>
        <v>0</v>
      </c>
      <c r="CI67" s="20">
        <f t="shared" ca="1" si="266"/>
        <v>0</v>
      </c>
      <c r="CJ67" s="20">
        <f t="shared" ca="1" si="267"/>
        <v>0</v>
      </c>
      <c r="CK67" s="20">
        <f t="shared" ca="1" si="267"/>
        <v>1</v>
      </c>
      <c r="CL67" s="20">
        <f t="shared" ca="1" si="267"/>
        <v>0</v>
      </c>
      <c r="CM67" s="34"/>
      <c r="CN67" s="20" t="str">
        <f t="shared" ca="1" si="223"/>
        <v/>
      </c>
      <c r="CO67" s="20" t="str">
        <f t="shared" ca="1" si="223"/>
        <v/>
      </c>
      <c r="CP67" s="20">
        <f t="shared" ca="1" si="223"/>
        <v>37</v>
      </c>
      <c r="CQ67" s="20" t="str">
        <f t="shared" ca="1" si="223"/>
        <v/>
      </c>
      <c r="CR67" s="20">
        <f t="shared" ca="1" si="223"/>
        <v>36</v>
      </c>
      <c r="CS67" s="20" t="str">
        <f t="shared" ca="1" si="223"/>
        <v/>
      </c>
      <c r="CT67" s="20" t="str">
        <f t="shared" ca="1" si="223"/>
        <v/>
      </c>
      <c r="CU67" s="20" t="str">
        <f t="shared" ca="1" si="223"/>
        <v/>
      </c>
      <c r="CV67" s="20" t="str">
        <f t="shared" ca="1" si="223"/>
        <v/>
      </c>
      <c r="CW67" s="20">
        <f t="shared" ca="1" si="223"/>
        <v>36</v>
      </c>
      <c r="CX67" s="20">
        <f t="shared" ca="1" si="224"/>
        <v>36</v>
      </c>
      <c r="CY67" s="20" t="str">
        <f t="shared" ca="1" si="224"/>
        <v/>
      </c>
      <c r="CZ67" s="20">
        <f t="shared" ca="1" si="224"/>
        <v>44</v>
      </c>
      <c r="DA67" s="20" t="str">
        <f t="shared" ca="1" si="224"/>
        <v/>
      </c>
      <c r="DB67" s="20" t="str">
        <f t="shared" ca="1" si="224"/>
        <v/>
      </c>
      <c r="DC67" s="20">
        <f t="shared" ca="1" si="224"/>
        <v>42</v>
      </c>
      <c r="DD67" s="20" t="str">
        <f t="shared" ca="1" si="224"/>
        <v/>
      </c>
      <c r="DE67" s="20" t="str">
        <f t="shared" ca="1" si="224"/>
        <v/>
      </c>
      <c r="DF67" s="20" t="str">
        <f t="shared" ca="1" si="224"/>
        <v/>
      </c>
      <c r="DG67" s="34"/>
      <c r="DH67" s="20" t="str">
        <f t="shared" ca="1" si="268"/>
        <v/>
      </c>
      <c r="DI67" s="20" t="str">
        <f t="shared" ca="1" si="268"/>
        <v/>
      </c>
      <c r="DJ67" s="20">
        <f t="shared" ca="1" si="268"/>
        <v>12</v>
      </c>
      <c r="DK67" s="20" t="str">
        <f t="shared" ca="1" si="268"/>
        <v/>
      </c>
      <c r="DL67" s="20">
        <f t="shared" ca="1" si="268"/>
        <v>14</v>
      </c>
      <c r="DM67" s="20" t="str">
        <f t="shared" ca="1" si="268"/>
        <v/>
      </c>
      <c r="DN67" s="20" t="str">
        <f t="shared" ca="1" si="268"/>
        <v/>
      </c>
      <c r="DO67" s="20" t="str">
        <f t="shared" ca="1" si="268"/>
        <v/>
      </c>
      <c r="DP67" s="20" t="str">
        <f t="shared" ca="1" si="268"/>
        <v/>
      </c>
      <c r="DQ67" s="20">
        <f t="shared" ca="1" si="268"/>
        <v>13</v>
      </c>
      <c r="DR67" s="20">
        <f t="shared" ca="1" si="268"/>
        <v>13</v>
      </c>
      <c r="DS67" s="20" t="str">
        <f t="shared" ca="1" si="268"/>
        <v/>
      </c>
      <c r="DT67" s="20">
        <f t="shared" ca="1" si="268"/>
        <v>4</v>
      </c>
      <c r="DU67" s="20" t="str">
        <f t="shared" ca="1" si="268"/>
        <v/>
      </c>
      <c r="DV67" s="20" t="str">
        <f t="shared" ca="1" si="268"/>
        <v/>
      </c>
      <c r="DW67" s="20">
        <f t="shared" ca="1" si="268"/>
        <v>8</v>
      </c>
      <c r="DX67" s="20" t="str">
        <f t="shared" ca="1" si="269"/>
        <v/>
      </c>
      <c r="DY67" s="20">
        <f t="shared" ca="1" si="269"/>
        <v>9</v>
      </c>
      <c r="DZ67" s="20" t="str">
        <f t="shared" ca="1" si="269"/>
        <v/>
      </c>
      <c r="EA67" s="34"/>
      <c r="EB67" s="20" t="str">
        <f t="shared" ca="1" si="270"/>
        <v/>
      </c>
      <c r="EC67" s="20" t="str">
        <f t="shared" ca="1" si="270"/>
        <v/>
      </c>
      <c r="ED67" s="20" t="str">
        <f t="shared" ca="1" si="270"/>
        <v/>
      </c>
      <c r="EE67" s="20" t="str">
        <f t="shared" ca="1" si="270"/>
        <v/>
      </c>
      <c r="EF67" s="20">
        <f t="shared" ca="1" si="270"/>
        <v>1</v>
      </c>
      <c r="EG67" s="20" t="str">
        <f t="shared" ca="1" si="270"/>
        <v/>
      </c>
      <c r="EH67" s="20" t="str">
        <f t="shared" ca="1" si="270"/>
        <v/>
      </c>
      <c r="EI67" s="20" t="str">
        <f t="shared" ca="1" si="270"/>
        <v/>
      </c>
      <c r="EJ67" s="20" t="str">
        <f t="shared" ca="1" si="270"/>
        <v/>
      </c>
      <c r="EK67" s="20">
        <f t="shared" ca="1" si="270"/>
        <v>1</v>
      </c>
      <c r="EL67" s="20">
        <f t="shared" ca="1" si="270"/>
        <v>1</v>
      </c>
      <c r="EM67" s="20" t="str">
        <f t="shared" ca="1" si="270"/>
        <v/>
      </c>
      <c r="EN67" s="20" t="str">
        <f t="shared" ca="1" si="270"/>
        <v/>
      </c>
      <c r="EO67" s="20" t="str">
        <f t="shared" ca="1" si="270"/>
        <v/>
      </c>
      <c r="EP67" s="20" t="str">
        <f t="shared" ca="1" si="270"/>
        <v/>
      </c>
      <c r="EQ67" s="20" t="str">
        <f t="shared" ca="1" si="270"/>
        <v/>
      </c>
      <c r="ER67" s="20" t="str">
        <f t="shared" ca="1" si="271"/>
        <v/>
      </c>
      <c r="ES67" s="20" t="str">
        <f t="shared" ca="1" si="271"/>
        <v/>
      </c>
      <c r="ET67" s="20" t="str">
        <f t="shared" ca="1" si="271"/>
        <v/>
      </c>
      <c r="EU67" s="34"/>
      <c r="EV67" s="20" t="str">
        <f t="shared" ca="1" si="227"/>
        <v/>
      </c>
      <c r="EW67" s="20" t="str">
        <f t="shared" ca="1" si="227"/>
        <v/>
      </c>
      <c r="EX67" s="20">
        <f t="shared" ca="1" si="227"/>
        <v>1</v>
      </c>
      <c r="EY67" s="20" t="str">
        <f t="shared" ca="1" si="227"/>
        <v/>
      </c>
      <c r="EZ67" s="20" t="str">
        <f t="shared" ca="1" si="227"/>
        <v/>
      </c>
      <c r="FA67" s="20" t="str">
        <f t="shared" ca="1" si="227"/>
        <v/>
      </c>
      <c r="FB67" s="20" t="str">
        <f t="shared" ca="1" si="227"/>
        <v/>
      </c>
      <c r="FC67" s="20" t="str">
        <f t="shared" ca="1" si="227"/>
        <v/>
      </c>
      <c r="FD67" s="20" t="str">
        <f t="shared" ca="1" si="227"/>
        <v/>
      </c>
      <c r="FE67" s="20" t="str">
        <f t="shared" ca="1" si="227"/>
        <v/>
      </c>
      <c r="FF67" s="20" t="str">
        <f t="shared" ca="1" si="228"/>
        <v/>
      </c>
      <c r="FG67" s="20" t="str">
        <f t="shared" ca="1" si="228"/>
        <v/>
      </c>
      <c r="FH67" s="20" t="str">
        <f t="shared" ca="1" si="228"/>
        <v/>
      </c>
      <c r="FI67" s="20" t="str">
        <f t="shared" ca="1" si="228"/>
        <v/>
      </c>
      <c r="FJ67" s="20" t="str">
        <f t="shared" ca="1" si="228"/>
        <v/>
      </c>
      <c r="FK67" s="20" t="str">
        <f t="shared" ca="1" si="228"/>
        <v/>
      </c>
      <c r="FL67" s="20" t="str">
        <f t="shared" ca="1" si="228"/>
        <v/>
      </c>
      <c r="FM67" s="20" t="str">
        <f t="shared" ca="1" si="228"/>
        <v/>
      </c>
      <c r="FN67" s="20" t="str">
        <f t="shared" ca="1" si="228"/>
        <v/>
      </c>
      <c r="FO67" s="34"/>
      <c r="FP67" s="20" t="str">
        <f t="shared" ca="1" si="229"/>
        <v/>
      </c>
      <c r="FQ67" s="20" t="str">
        <f t="shared" ca="1" si="229"/>
        <v/>
      </c>
      <c r="FR67" s="20" t="str">
        <f t="shared" ca="1" si="229"/>
        <v>The Four Puttz</v>
      </c>
      <c r="FS67" s="20" t="str">
        <f t="shared" ca="1" si="229"/>
        <v/>
      </c>
      <c r="FT67" s="20" t="str">
        <f t="shared" ca="1" si="229"/>
        <v>The Four Puttz</v>
      </c>
      <c r="FU67" s="20" t="str">
        <f t="shared" ca="1" si="229"/>
        <v/>
      </c>
      <c r="FV67" s="20" t="str">
        <f t="shared" ca="1" si="229"/>
        <v/>
      </c>
      <c r="FW67" s="20" t="str">
        <f t="shared" ca="1" si="229"/>
        <v/>
      </c>
      <c r="FX67" s="20" t="str">
        <f t="shared" ca="1" si="229"/>
        <v/>
      </c>
      <c r="FY67" s="20" t="str">
        <f t="shared" ca="1" si="229"/>
        <v>The Four Puttz</v>
      </c>
      <c r="FZ67" s="20" t="str">
        <f t="shared" ca="1" si="230"/>
        <v>The Four Puttz</v>
      </c>
      <c r="GA67" s="20" t="str">
        <f t="shared" ca="1" si="230"/>
        <v/>
      </c>
      <c r="GB67" s="20" t="str">
        <f t="shared" ca="1" si="230"/>
        <v>The Four Puttz</v>
      </c>
      <c r="GC67" s="20" t="str">
        <f t="shared" ca="1" si="230"/>
        <v/>
      </c>
      <c r="GD67" s="20" t="str">
        <f t="shared" ca="1" si="230"/>
        <v/>
      </c>
      <c r="GE67" s="20" t="str">
        <f t="shared" ca="1" si="230"/>
        <v>The Four Puttz</v>
      </c>
      <c r="GF67" s="20" t="str">
        <f t="shared" ca="1" si="230"/>
        <v/>
      </c>
      <c r="GG67" s="20" t="str">
        <f t="shared" ca="1" si="230"/>
        <v>The Four Puttz</v>
      </c>
      <c r="GH67" s="20" t="str">
        <f t="shared" ca="1" si="230"/>
        <v/>
      </c>
      <c r="GI67" s="34"/>
      <c r="HE67" s="34"/>
      <c r="HZ67" s="34"/>
      <c r="IA67" s="19" t="str">
        <f t="shared" ca="1" si="231"/>
        <v>No Hdcp</v>
      </c>
      <c r="IB67" s="19" t="str">
        <f t="shared" ca="1" si="232"/>
        <v>Low of score &amp; 47</v>
      </c>
      <c r="IC67" s="19" t="str">
        <f t="shared" ca="1" si="233"/>
        <v>Low of score &amp; 47</v>
      </c>
      <c r="ID67" s="18" t="str">
        <f t="shared" ca="1" si="234"/>
        <v>Low of score &amp; 39</v>
      </c>
      <c r="IE67" s="18" t="str">
        <f t="shared" ca="1" si="235"/>
        <v>Low of score &amp; 39</v>
      </c>
      <c r="IF67" s="18">
        <f t="shared" ca="1" si="236"/>
        <v>2.88</v>
      </c>
      <c r="IG67" s="353">
        <f t="shared" ca="1" si="237"/>
        <v>4.8</v>
      </c>
      <c r="IH67" s="18">
        <f t="shared" ca="1" si="238"/>
        <v>5.76</v>
      </c>
      <c r="II67" s="18">
        <f t="shared" ca="1" si="239"/>
        <v>6.48</v>
      </c>
      <c r="IJ67" s="18">
        <f t="shared" ca="1" si="240"/>
        <v>6.48</v>
      </c>
      <c r="IK67" s="18">
        <f t="shared" ca="1" si="241"/>
        <v>7.3</v>
      </c>
      <c r="IL67" s="34"/>
      <c r="IN67" s="18">
        <f t="shared" si="242"/>
        <v>0</v>
      </c>
      <c r="IO67" s="18">
        <f t="shared" ca="1" si="243"/>
        <v>0</v>
      </c>
      <c r="IP67" s="18">
        <f t="shared" ca="1" si="244"/>
        <v>0</v>
      </c>
      <c r="IQ67" s="18">
        <f t="shared" ca="1" si="245"/>
        <v>0</v>
      </c>
      <c r="IR67" s="18">
        <f t="shared" ca="1" si="246"/>
        <v>0</v>
      </c>
      <c r="IS67" s="18">
        <f t="shared" ca="1" si="247"/>
        <v>0</v>
      </c>
      <c r="IT67" s="18">
        <f t="shared" ca="1" si="248"/>
        <v>0</v>
      </c>
      <c r="IU67" s="18">
        <f t="shared" ca="1" si="249"/>
        <v>0</v>
      </c>
      <c r="IV67" s="18">
        <f t="shared" ca="1" si="250"/>
        <v>0</v>
      </c>
      <c r="IW67" s="18">
        <f t="shared" ca="1" si="251"/>
        <v>0</v>
      </c>
      <c r="IX67" s="19">
        <f t="shared" ca="1" si="252"/>
        <v>10</v>
      </c>
      <c r="IY67" s="21">
        <f t="shared" ca="1" si="253"/>
        <v>-34.56</v>
      </c>
      <c r="JA67" s="18" t="str">
        <f t="shared" ca="1" si="254"/>
        <v>No Hdcp</v>
      </c>
      <c r="JB67" s="18" t="str">
        <f t="shared" ca="1" si="255"/>
        <v>Low of score &amp; 0</v>
      </c>
      <c r="JC67" s="18" t="str">
        <f t="shared" ca="1" si="256"/>
        <v>Low of score &amp; 0</v>
      </c>
      <c r="JD67" s="18" t="str">
        <f t="shared" ca="1" si="257"/>
        <v>Low of score &amp; 0</v>
      </c>
      <c r="JE67" s="18" t="str">
        <f t="shared" ca="1" si="258"/>
        <v>Low of score &amp; 0</v>
      </c>
      <c r="JF67" s="18">
        <f t="shared" ca="1" si="259"/>
        <v>-34.56</v>
      </c>
      <c r="JG67" s="18">
        <f t="shared" ca="1" si="260"/>
        <v>-34.56</v>
      </c>
      <c r="JH67" s="18">
        <f t="shared" ca="1" si="261"/>
        <v>-34.56</v>
      </c>
      <c r="JI67" s="18">
        <f t="shared" ca="1" si="262"/>
        <v>-34.56</v>
      </c>
      <c r="JJ67" s="18">
        <f t="shared" ca="1" si="263"/>
        <v>-34.56</v>
      </c>
      <c r="JK67" s="18">
        <f t="shared" ca="1" si="264"/>
        <v>-34.56</v>
      </c>
    </row>
    <row r="68" spans="1:271" x14ac:dyDescent="0.2">
      <c r="A68" s="18" t="s">
        <v>76</v>
      </c>
      <c r="B68" s="19">
        <f t="shared" si="272"/>
        <v>37</v>
      </c>
      <c r="C68" s="22">
        <f t="shared" ca="1" si="206"/>
        <v>3.3999999999999998E-3</v>
      </c>
      <c r="D68" s="18" t="str">
        <f t="shared" ca="1" si="265"/>
        <v>Devine, Dean - gold tees</v>
      </c>
      <c r="E68" s="19">
        <f t="shared" ca="1" si="207"/>
        <v>0</v>
      </c>
      <c r="F68" s="19">
        <f t="shared" ca="1" si="208"/>
        <v>0</v>
      </c>
      <c r="G68" s="21" t="str">
        <f t="shared" ca="1" si="209"/>
        <v>No Hdcp</v>
      </c>
      <c r="H68" s="337" t="str" cm="1">
        <f t="array" aca="1" ref="H68" ca="1">IFERROR(_xlfn.SINGLE(INDEX($AF68:$BH68, , SUMPRODUCT(LARGE((($AF68:$BH68&lt;&gt;0)*($BJ68:$CL68&lt;&gt;1)*($AF$5:$BH$5)), H$6)))), "")</f>
        <v/>
      </c>
      <c r="I68" s="338" t="str" cm="1">
        <f t="array" aca="1" ref="I68" ca="1">IFERROR(_xlfn.SINGLE(INDEX($AF68:$BH68, , SUMPRODUCT(LARGE((($AF68:$BH68&lt;&gt;0)*($BJ68:$CL68&lt;&gt;1)*($AF$5:$BH$5)), I$6)))), "")</f>
        <v/>
      </c>
      <c r="J68" s="338" t="str" cm="1">
        <f t="array" aca="1" ref="J68" ca="1">IFERROR(_xlfn.SINGLE(INDEX($AF68:$BH68, , SUMPRODUCT(LARGE((($AF68:$BH68&lt;&gt;0)*($BJ68:$CL68&lt;&gt;1)*($AF$5:$BH$5)), J$6)))), "")</f>
        <v/>
      </c>
      <c r="K68" s="338" t="str" cm="1">
        <f t="array" aca="1" ref="K68" ca="1">IFERROR(_xlfn.SINGLE(INDEX($AF68:$BH68, , SUMPRODUCT(LARGE((($AF68:$BH68&lt;&gt;0)*($BJ68:$CL68&lt;&gt;1)*($AF$5:$BH$5)), K$6)))), "")</f>
        <v/>
      </c>
      <c r="L68" s="338" t="str" cm="1">
        <f t="array" aca="1" ref="L68" ca="1">IFERROR(_xlfn.SINGLE(INDEX($AF68:$BH68, , SUMPRODUCT(LARGE((($AF68:$BH68&lt;&gt;0)*($BJ68:$CL68&lt;&gt;1)*($AF$5:$BH$5)), L$6)))), "")</f>
        <v/>
      </c>
      <c r="M68" s="338" t="str" cm="1">
        <f t="array" aca="1" ref="M68" ca="1">IFERROR(_xlfn.SINGLE(INDEX($AF68:$BH68, , SUMPRODUCT(LARGE((($AF68:$BH68&lt;&gt;0)*($BJ68:$CL68&lt;&gt;1)*($AF$5:$BH$5)), M$6)))), "")</f>
        <v/>
      </c>
      <c r="N68" s="338" t="str" cm="1">
        <f t="array" aca="1" ref="N68" ca="1">IFERROR(_xlfn.SINGLE(INDEX($AF68:$BH68, , SUMPRODUCT(LARGE((($AF68:$BH68&lt;&gt;0)*($BJ68:$CL68&lt;&gt;1)*($AF$5:$BH$5)), N$6)))), "")</f>
        <v/>
      </c>
      <c r="O68" s="338" t="str" cm="1">
        <f t="array" aca="1" ref="O68" ca="1">IFERROR(_xlfn.SINGLE(INDEX($AF68:$BH68, , SUMPRODUCT(LARGE((($AF68:$BH68&lt;&gt;0)*($BJ68:$CL68&lt;&gt;1)*($AF$5:$BH$5)), O$6)))), "")</f>
        <v/>
      </c>
      <c r="P68" s="338" t="str" cm="1">
        <f t="array" aca="1" ref="P68" ca="1">IFERROR(_xlfn.SINGLE(INDEX($AF68:$BH68, , SUMPRODUCT(LARGE((($AF68:$BH68&lt;&gt;0)*($BJ68:$CL68&lt;&gt;1)*($AF$5:$BH$5)), P$6)))), "")</f>
        <v/>
      </c>
      <c r="Q68" s="339" t="str" cm="1">
        <f t="array" aca="1" ref="Q68" ca="1">IFERROR(_xlfn.SINGLE(INDEX($AF68:$BH68, , SUMPRODUCT(LARGE((($AF68:$BH68&lt;&gt;0)*($BJ68:$CL68&lt;&gt;1)*($AF$5:$BH$5)), Q$6)))), "")</f>
        <v/>
      </c>
      <c r="R68" s="116" t="s">
        <v>451</v>
      </c>
      <c r="S68" s="47" t="str">
        <f t="shared" ca="1" si="210"/>
        <v>-</v>
      </c>
      <c r="T68" s="21" t="str">
        <f t="shared" ca="1" si="211"/>
        <v>-</v>
      </c>
      <c r="U68" s="21" t="str">
        <f t="shared" ca="1" si="212"/>
        <v>-</v>
      </c>
      <c r="V68" s="46" t="str">
        <f t="shared" ca="1" si="213"/>
        <v/>
      </c>
      <c r="W68" s="19" t="str">
        <f t="shared" ca="1" si="214"/>
        <v/>
      </c>
      <c r="X68" s="46">
        <f t="shared" ca="1" si="215"/>
        <v>10</v>
      </c>
      <c r="Y68" s="21" t="str">
        <f t="shared" ca="1" si="216"/>
        <v>10.00*</v>
      </c>
      <c r="Z68" s="19">
        <f t="shared" ca="1" si="217"/>
        <v>0</v>
      </c>
      <c r="AA68" s="19">
        <f t="shared" ca="1" si="218"/>
        <v>0</v>
      </c>
      <c r="AB68" s="46" t="str">
        <f t="shared" ca="1" si="219"/>
        <v>0-0-0</v>
      </c>
      <c r="AC68" s="218">
        <f t="shared" ca="1" si="273"/>
        <v>3302847865</v>
      </c>
      <c r="AD68" s="57" t="str">
        <f t="shared" ca="1" si="274"/>
        <v>dean.devine59@gmail.com</v>
      </c>
      <c r="AE68" s="34"/>
      <c r="AF68" s="341">
        <f ca="1">INDEX(PriorScores[],MATCH($D68,PriorScores[Team / Player],0),2)</f>
        <v>0</v>
      </c>
      <c r="AG68" s="341">
        <f ca="1">INDEX(PriorScores[],MATCH($D68,PriorScores[Team / Player],0),3)</f>
        <v>0</v>
      </c>
      <c r="AH68" s="341">
        <f ca="1">INDEX(PriorScores[],MATCH($D68,PriorScores[Team / Player],0),4)</f>
        <v>0</v>
      </c>
      <c r="AI68" s="341">
        <f ca="1">INDEX(PriorScores[],MATCH($D68,PriorScores[Team / Player],0),5)</f>
        <v>0</v>
      </c>
      <c r="AJ68" s="341">
        <f ca="1">INDEX(PriorScores[],MATCH($D68,PriorScores[Team / Player],0),6)</f>
        <v>0</v>
      </c>
      <c r="AK68" s="341">
        <f ca="1">INDEX(PriorScores[],MATCH($D68,PriorScores[Team / Player],0),7)</f>
        <v>0</v>
      </c>
      <c r="AL68" s="341">
        <f ca="1">INDEX(PriorScores[],MATCH($D68,PriorScores[Team / Player],0),8)</f>
        <v>0</v>
      </c>
      <c r="AM68" s="341">
        <f ca="1">INDEX(PriorScores[],MATCH($D68,PriorScores[Team / Player],0),9)</f>
        <v>0</v>
      </c>
      <c r="AN68" s="341">
        <f ca="1">INDEX(PriorScores[],MATCH($D68,PriorScores[Team / Player],0),10)</f>
        <v>0</v>
      </c>
      <c r="AO68" s="341">
        <f ca="1">INDEX(PriorScores[],MATCH($D68,PriorScores[Team / Player],0),11)</f>
        <v>0</v>
      </c>
      <c r="AP68" s="20">
        <f t="shared" ca="1" si="220"/>
        <v>0</v>
      </c>
      <c r="AQ68" s="20">
        <f t="shared" ca="1" si="220"/>
        <v>0</v>
      </c>
      <c r="AR68" s="20">
        <f t="shared" ca="1" si="220"/>
        <v>0</v>
      </c>
      <c r="AS68" s="20">
        <f t="shared" ca="1" si="220"/>
        <v>0</v>
      </c>
      <c r="AT68" s="20">
        <f t="shared" ca="1" si="220"/>
        <v>0</v>
      </c>
      <c r="AU68" s="20">
        <f t="shared" ca="1" si="220"/>
        <v>0</v>
      </c>
      <c r="AV68" s="20">
        <f t="shared" ca="1" si="220"/>
        <v>0</v>
      </c>
      <c r="AW68" s="20">
        <f t="shared" ca="1" si="220"/>
        <v>0</v>
      </c>
      <c r="AX68" s="20">
        <f t="shared" ca="1" si="220"/>
        <v>0</v>
      </c>
      <c r="AY68" s="20">
        <f t="shared" ca="1" si="220"/>
        <v>0</v>
      </c>
      <c r="AZ68" s="20">
        <f t="shared" ca="1" si="221"/>
        <v>0</v>
      </c>
      <c r="BA68" s="20">
        <f t="shared" ca="1" si="221"/>
        <v>0</v>
      </c>
      <c r="BB68" s="20">
        <f t="shared" ca="1" si="221"/>
        <v>0</v>
      </c>
      <c r="BC68" s="20">
        <f t="shared" ca="1" si="221"/>
        <v>0</v>
      </c>
      <c r="BD68" s="20">
        <f t="shared" ca="1" si="221"/>
        <v>0</v>
      </c>
      <c r="BE68" s="20">
        <f t="shared" ca="1" si="221"/>
        <v>0</v>
      </c>
      <c r="BF68" s="20">
        <f t="shared" ca="1" si="221"/>
        <v>0</v>
      </c>
      <c r="BG68" s="20">
        <f t="shared" ca="1" si="221"/>
        <v>0</v>
      </c>
      <c r="BH68" s="20">
        <f t="shared" ca="1" si="221"/>
        <v>0</v>
      </c>
      <c r="BI68" s="34"/>
      <c r="BJ68" s="341">
        <v>0</v>
      </c>
      <c r="BK68" s="341">
        <v>0</v>
      </c>
      <c r="BL68" s="341">
        <v>0</v>
      </c>
      <c r="BM68" s="341">
        <v>0</v>
      </c>
      <c r="BN68" s="341">
        <v>0</v>
      </c>
      <c r="BO68" s="341">
        <v>0</v>
      </c>
      <c r="BP68" s="341">
        <v>0</v>
      </c>
      <c r="BQ68" s="341">
        <v>0</v>
      </c>
      <c r="BR68" s="341">
        <v>0</v>
      </c>
      <c r="BS68" s="341">
        <v>0</v>
      </c>
      <c r="BT68" s="20">
        <f t="shared" ca="1" si="266"/>
        <v>0</v>
      </c>
      <c r="BU68" s="20">
        <f t="shared" ca="1" si="266"/>
        <v>0</v>
      </c>
      <c r="BV68" s="20">
        <f t="shared" ca="1" si="266"/>
        <v>0</v>
      </c>
      <c r="BW68" s="20">
        <f t="shared" ca="1" si="266"/>
        <v>0</v>
      </c>
      <c r="BX68" s="20">
        <f t="shared" ca="1" si="266"/>
        <v>0</v>
      </c>
      <c r="BY68" s="20">
        <f t="shared" ca="1" si="266"/>
        <v>0</v>
      </c>
      <c r="BZ68" s="20">
        <f t="shared" ca="1" si="266"/>
        <v>0</v>
      </c>
      <c r="CA68" s="20">
        <f t="shared" ca="1" si="266"/>
        <v>0</v>
      </c>
      <c r="CB68" s="20">
        <f t="shared" ca="1" si="266"/>
        <v>0</v>
      </c>
      <c r="CC68" s="20">
        <f t="shared" ca="1" si="266"/>
        <v>0</v>
      </c>
      <c r="CD68" s="20">
        <f t="shared" ca="1" si="266"/>
        <v>0</v>
      </c>
      <c r="CE68" s="20">
        <f t="shared" ca="1" si="266"/>
        <v>0</v>
      </c>
      <c r="CF68" s="20">
        <f t="shared" ca="1" si="266"/>
        <v>0</v>
      </c>
      <c r="CG68" s="20">
        <f t="shared" ca="1" si="266"/>
        <v>0</v>
      </c>
      <c r="CH68" s="20">
        <f t="shared" ca="1" si="266"/>
        <v>1</v>
      </c>
      <c r="CI68" s="20">
        <f t="shared" ca="1" si="266"/>
        <v>0</v>
      </c>
      <c r="CJ68" s="20">
        <f t="shared" ca="1" si="267"/>
        <v>0</v>
      </c>
      <c r="CK68" s="20">
        <f t="shared" ca="1" si="267"/>
        <v>0</v>
      </c>
      <c r="CL68" s="20">
        <f t="shared" ca="1" si="267"/>
        <v>0</v>
      </c>
      <c r="CM68" s="34"/>
      <c r="CN68" s="20" t="str">
        <f t="shared" ca="1" si="223"/>
        <v/>
      </c>
      <c r="CO68" s="20" t="str">
        <f t="shared" ca="1" si="223"/>
        <v/>
      </c>
      <c r="CP68" s="20" t="str">
        <f t="shared" ca="1" si="223"/>
        <v/>
      </c>
      <c r="CQ68" s="20" t="str">
        <f t="shared" ca="1" si="223"/>
        <v/>
      </c>
      <c r="CR68" s="20" t="str">
        <f t="shared" ca="1" si="223"/>
        <v/>
      </c>
      <c r="CS68" s="20" t="str">
        <f t="shared" ca="1" si="223"/>
        <v/>
      </c>
      <c r="CT68" s="20" t="str">
        <f t="shared" ca="1" si="223"/>
        <v/>
      </c>
      <c r="CU68" s="20" t="str">
        <f t="shared" ca="1" si="223"/>
        <v/>
      </c>
      <c r="CV68" s="20" t="str">
        <f t="shared" ca="1" si="223"/>
        <v/>
      </c>
      <c r="CW68" s="20" t="str">
        <f t="shared" ca="1" si="223"/>
        <v/>
      </c>
      <c r="CX68" s="20" t="str">
        <f t="shared" ca="1" si="224"/>
        <v/>
      </c>
      <c r="CY68" s="20" t="str">
        <f t="shared" ca="1" si="224"/>
        <v/>
      </c>
      <c r="CZ68" s="20" t="str">
        <f t="shared" ca="1" si="224"/>
        <v/>
      </c>
      <c r="DA68" s="20" t="str">
        <f t="shared" ca="1" si="224"/>
        <v/>
      </c>
      <c r="DB68" s="20" t="str">
        <f t="shared" ca="1" si="224"/>
        <v/>
      </c>
      <c r="DC68" s="20" t="str">
        <f t="shared" ca="1" si="224"/>
        <v/>
      </c>
      <c r="DD68" s="20" t="str">
        <f t="shared" ca="1" si="224"/>
        <v/>
      </c>
      <c r="DE68" s="20" t="str">
        <f t="shared" ca="1" si="224"/>
        <v/>
      </c>
      <c r="DF68" s="20" t="str">
        <f t="shared" ca="1" si="224"/>
        <v/>
      </c>
      <c r="DG68" s="34"/>
      <c r="DH68" s="20" t="str">
        <f t="shared" ref="DH68:DH79" ca="1" si="275">IF(INDEX(INDIRECT($A68), $B68+2, DH$6+2)=0, "", INDEX(INDIRECT($A68), $B68+2, DH$6+2))</f>
        <v/>
      </c>
      <c r="DI68" s="20" t="str">
        <f t="shared" ref="DI68:DI92" ca="1" si="276">IF(INDEX(INDIRECT($A68), $B68+2, DI$6+2)=0, "", INDEX(INDIRECT($A68), $B68+2, DI$6+2))</f>
        <v/>
      </c>
      <c r="DJ68" s="20" t="str">
        <f t="shared" ref="DJ68:DJ92" ca="1" si="277">IF(INDEX(INDIRECT($A68), $B68+2, DJ$6+2)=0, "", INDEX(INDIRECT($A68), $B68+2, DJ$6+2))</f>
        <v/>
      </c>
      <c r="DK68" s="20" t="str">
        <f t="shared" ref="DK68:DK92" ca="1" si="278">IF(INDEX(INDIRECT($A68), $B68+2, DK$6+2)=0, "", INDEX(INDIRECT($A68), $B68+2, DK$6+2))</f>
        <v/>
      </c>
      <c r="DL68" s="20" t="str">
        <f t="shared" ref="DL68:DL92" ca="1" si="279">IF(INDEX(INDIRECT($A68), $B68+2, DL$6+2)=0, "", INDEX(INDIRECT($A68), $B68+2, DL$6+2))</f>
        <v/>
      </c>
      <c r="DM68" s="20" t="str">
        <f t="shared" ref="DM68:DM92" ca="1" si="280">IF(INDEX(INDIRECT($A68), $B68+2, DM$6+2)=0, "", INDEX(INDIRECT($A68), $B68+2, DM$6+2))</f>
        <v/>
      </c>
      <c r="DN68" s="20" t="str">
        <f t="shared" ref="DN68:DN92" ca="1" si="281">IF(INDEX(INDIRECT($A68), $B68+2, DN$6+2)=0, "", INDEX(INDIRECT($A68), $B68+2, DN$6+2))</f>
        <v/>
      </c>
      <c r="DO68" s="20" t="str">
        <f t="shared" ref="DO68:DO92" ca="1" si="282">IF(INDEX(INDIRECT($A68), $B68+2, DO$6+2)=0, "", INDEX(INDIRECT($A68), $B68+2, DO$6+2))</f>
        <v/>
      </c>
      <c r="DP68" s="20" t="str">
        <f t="shared" ref="DP68:DP92" ca="1" si="283">IF(INDEX(INDIRECT($A68), $B68+2, DP$6+2)=0, "", INDEX(INDIRECT($A68), $B68+2, DP$6+2))</f>
        <v/>
      </c>
      <c r="DQ68" s="20" t="str">
        <f t="shared" ref="DQ68:DQ92" ca="1" si="284">IF(INDEX(INDIRECT($A68), $B68+2, DQ$6+2)=0, "", INDEX(INDIRECT($A68), $B68+2, DQ$6+2))</f>
        <v/>
      </c>
      <c r="DR68" s="20" t="str">
        <f t="shared" ref="DR68:DR92" ca="1" si="285">IF(INDEX(INDIRECT($A68), $B68+2, DR$6+2)=0, "", INDEX(INDIRECT($A68), $B68+2, DR$6+2))</f>
        <v/>
      </c>
      <c r="DS68" s="20" t="str">
        <f t="shared" ref="DS68:DS92" ca="1" si="286">IF(INDEX(INDIRECT($A68), $B68+2, DS$6+2)=0, "", INDEX(INDIRECT($A68), $B68+2, DS$6+2))</f>
        <v/>
      </c>
      <c r="DT68" s="20" t="str">
        <f t="shared" ref="DT68:DT92" ca="1" si="287">IF(INDEX(INDIRECT($A68), $B68+2, DT$6+2)=0, "", INDEX(INDIRECT($A68), $B68+2, DT$6+2))</f>
        <v/>
      </c>
      <c r="DU68" s="20" t="str">
        <f t="shared" ref="DU68:DU92" ca="1" si="288">IF(INDEX(INDIRECT($A68), $B68+2, DU$6+2)=0, "", INDEX(INDIRECT($A68), $B68+2, DU$6+2))</f>
        <v/>
      </c>
      <c r="DV68" s="20">
        <f t="shared" ref="DV68:DV92" ca="1" si="289">IF(INDEX(INDIRECT($A68), $B68+2, DV$6+2)=0, "", INDEX(INDIRECT($A68), $B68+2, DV$6+2))</f>
        <v>10</v>
      </c>
      <c r="DW68" s="20" t="str">
        <f t="shared" ref="DW68:DZ92" ca="1" si="290">IF(INDEX(INDIRECT($A68), $B68+2, DW$6+2)=0, "", INDEX(INDIRECT($A68), $B68+2, DW$6+2))</f>
        <v/>
      </c>
      <c r="DX68" s="20" t="str">
        <f t="shared" ca="1" si="290"/>
        <v/>
      </c>
      <c r="DY68" s="20" t="str">
        <f t="shared" ca="1" si="290"/>
        <v/>
      </c>
      <c r="DZ68" s="20" t="str">
        <f t="shared" ca="1" si="290"/>
        <v/>
      </c>
      <c r="EA68" s="34"/>
      <c r="EB68" s="20" t="str">
        <f t="shared" ref="EB68:EB79" ca="1" si="291">IF(INDEX(INDIRECT($A68), $B68+3, EB$6+2)=0, "", INDEX(INDIRECT($A68), $B68+3, EB$6+2))</f>
        <v/>
      </c>
      <c r="EC68" s="20" t="str">
        <f t="shared" ref="EC68:EC92" ca="1" si="292">IF(INDEX(INDIRECT($A68), $B68+3, EC$6+2)=0, "", INDEX(INDIRECT($A68), $B68+3, EC$6+2))</f>
        <v/>
      </c>
      <c r="ED68" s="20" t="str">
        <f t="shared" ref="ED68:ED92" ca="1" si="293">IF(INDEX(INDIRECT($A68), $B68+3, ED$6+2)=0, "", INDEX(INDIRECT($A68), $B68+3, ED$6+2))</f>
        <v/>
      </c>
      <c r="EE68" s="20" t="str">
        <f t="shared" ref="EE68:EE92" ca="1" si="294">IF(INDEX(INDIRECT($A68), $B68+3, EE$6+2)=0, "", INDEX(INDIRECT($A68), $B68+3, EE$6+2))</f>
        <v/>
      </c>
      <c r="EF68" s="20" t="str">
        <f t="shared" ref="EF68:EF92" ca="1" si="295">IF(INDEX(INDIRECT($A68), $B68+3, EF$6+2)=0, "", INDEX(INDIRECT($A68), $B68+3, EF$6+2))</f>
        <v/>
      </c>
      <c r="EG68" s="20" t="str">
        <f t="shared" ref="EG68:EG92" ca="1" si="296">IF(INDEX(INDIRECT($A68), $B68+3, EG$6+2)=0, "", INDEX(INDIRECT($A68), $B68+3, EG$6+2))</f>
        <v/>
      </c>
      <c r="EH68" s="20" t="str">
        <f t="shared" ref="EH68:EH92" ca="1" si="297">IF(INDEX(INDIRECT($A68), $B68+3, EH$6+2)=0, "", INDEX(INDIRECT($A68), $B68+3, EH$6+2))</f>
        <v/>
      </c>
      <c r="EI68" s="20" t="str">
        <f t="shared" ref="EI68:EI92" ca="1" si="298">IF(INDEX(INDIRECT($A68), $B68+3, EI$6+2)=0, "", INDEX(INDIRECT($A68), $B68+3, EI$6+2))</f>
        <v/>
      </c>
      <c r="EJ68" s="20" t="str">
        <f t="shared" ref="EJ68:EJ92" ca="1" si="299">IF(INDEX(INDIRECT($A68), $B68+3, EJ$6+2)=0, "", INDEX(INDIRECT($A68), $B68+3, EJ$6+2))</f>
        <v/>
      </c>
      <c r="EK68" s="20" t="str">
        <f t="shared" ref="EK68:EK92" ca="1" si="300">IF(INDEX(INDIRECT($A68), $B68+3, EK$6+2)=0, "", INDEX(INDIRECT($A68), $B68+3, EK$6+2))</f>
        <v/>
      </c>
      <c r="EL68" s="20" t="str">
        <f t="shared" ref="EL68:EL92" ca="1" si="301">IF(INDEX(INDIRECT($A68), $B68+3, EL$6+2)=0, "", INDEX(INDIRECT($A68), $B68+3, EL$6+2))</f>
        <v/>
      </c>
      <c r="EM68" s="20" t="str">
        <f t="shared" ref="EM68:EM92" ca="1" si="302">IF(INDEX(INDIRECT($A68), $B68+3, EM$6+2)=0, "", INDEX(INDIRECT($A68), $B68+3, EM$6+2))</f>
        <v/>
      </c>
      <c r="EN68" s="20" t="str">
        <f t="shared" ref="EN68:EN92" ca="1" si="303">IF(INDEX(INDIRECT($A68), $B68+3, EN$6+2)=0, "", INDEX(INDIRECT($A68), $B68+3, EN$6+2))</f>
        <v/>
      </c>
      <c r="EO68" s="20" t="str">
        <f t="shared" ref="EO68:EO92" ca="1" si="304">IF(INDEX(INDIRECT($A68), $B68+3, EO$6+2)=0, "", INDEX(INDIRECT($A68), $B68+3, EO$6+2))</f>
        <v/>
      </c>
      <c r="EP68" s="20" t="str">
        <f t="shared" ref="EP68:EP92" ca="1" si="305">IF(INDEX(INDIRECT($A68), $B68+3, EP$6+2)=0, "", INDEX(INDIRECT($A68), $B68+3, EP$6+2))</f>
        <v/>
      </c>
      <c r="EQ68" s="20" t="str">
        <f t="shared" ref="EQ68:ET92" ca="1" si="306">IF(INDEX(INDIRECT($A68), $B68+3, EQ$6+2)=0, "", INDEX(INDIRECT($A68), $B68+3, EQ$6+2))</f>
        <v/>
      </c>
      <c r="ER68" s="20" t="str">
        <f t="shared" ca="1" si="306"/>
        <v/>
      </c>
      <c r="ES68" s="20" t="str">
        <f t="shared" ca="1" si="306"/>
        <v/>
      </c>
      <c r="ET68" s="20" t="str">
        <f t="shared" ca="1" si="306"/>
        <v/>
      </c>
      <c r="EU68" s="34"/>
      <c r="EV68" s="20" t="str">
        <f t="shared" ca="1" si="227"/>
        <v/>
      </c>
      <c r="EW68" s="20" t="str">
        <f t="shared" ca="1" si="227"/>
        <v/>
      </c>
      <c r="EX68" s="20" t="str">
        <f t="shared" ca="1" si="227"/>
        <v/>
      </c>
      <c r="EY68" s="20" t="str">
        <f t="shared" ca="1" si="227"/>
        <v/>
      </c>
      <c r="EZ68" s="20" t="str">
        <f t="shared" ca="1" si="227"/>
        <v/>
      </c>
      <c r="FA68" s="20" t="str">
        <f t="shared" ca="1" si="227"/>
        <v/>
      </c>
      <c r="FB68" s="20" t="str">
        <f t="shared" ca="1" si="227"/>
        <v/>
      </c>
      <c r="FC68" s="20" t="str">
        <f t="shared" ca="1" si="227"/>
        <v/>
      </c>
      <c r="FD68" s="20" t="str">
        <f t="shared" ca="1" si="227"/>
        <v/>
      </c>
      <c r="FE68" s="20" t="str">
        <f t="shared" ca="1" si="227"/>
        <v/>
      </c>
      <c r="FF68" s="20" t="str">
        <f t="shared" ca="1" si="228"/>
        <v/>
      </c>
      <c r="FG68" s="20" t="str">
        <f t="shared" ca="1" si="228"/>
        <v/>
      </c>
      <c r="FH68" s="20" t="str">
        <f t="shared" ca="1" si="228"/>
        <v/>
      </c>
      <c r="FI68" s="20" t="str">
        <f t="shared" ca="1" si="228"/>
        <v/>
      </c>
      <c r="FJ68" s="20" t="str">
        <f t="shared" ca="1" si="228"/>
        <v/>
      </c>
      <c r="FK68" s="20" t="str">
        <f t="shared" ca="1" si="228"/>
        <v/>
      </c>
      <c r="FL68" s="20" t="str">
        <f t="shared" ca="1" si="228"/>
        <v/>
      </c>
      <c r="FM68" s="20" t="str">
        <f t="shared" ca="1" si="228"/>
        <v/>
      </c>
      <c r="FN68" s="20" t="str">
        <f t="shared" ca="1" si="228"/>
        <v/>
      </c>
      <c r="FO68" s="34"/>
      <c r="FP68" s="20" t="str">
        <f t="shared" ca="1" si="229"/>
        <v/>
      </c>
      <c r="FQ68" s="20" t="str">
        <f t="shared" ca="1" si="229"/>
        <v/>
      </c>
      <c r="FR68" s="20" t="str">
        <f t="shared" ca="1" si="229"/>
        <v/>
      </c>
      <c r="FS68" s="20" t="str">
        <f t="shared" ca="1" si="229"/>
        <v/>
      </c>
      <c r="FT68" s="20" t="str">
        <f t="shared" ca="1" si="229"/>
        <v/>
      </c>
      <c r="FU68" s="20" t="str">
        <f t="shared" ca="1" si="229"/>
        <v/>
      </c>
      <c r="FV68" s="20" t="str">
        <f t="shared" ca="1" si="229"/>
        <v/>
      </c>
      <c r="FW68" s="20" t="str">
        <f t="shared" ca="1" si="229"/>
        <v/>
      </c>
      <c r="FX68" s="20" t="str">
        <f t="shared" ca="1" si="229"/>
        <v/>
      </c>
      <c r="FY68" s="20" t="str">
        <f t="shared" ca="1" si="229"/>
        <v/>
      </c>
      <c r="FZ68" s="20" t="str">
        <f t="shared" ca="1" si="230"/>
        <v/>
      </c>
      <c r="GA68" s="20" t="str">
        <f t="shared" ca="1" si="230"/>
        <v/>
      </c>
      <c r="GB68" s="20" t="str">
        <f t="shared" ca="1" si="230"/>
        <v/>
      </c>
      <c r="GC68" s="20" t="str">
        <f t="shared" ca="1" si="230"/>
        <v/>
      </c>
      <c r="GD68" s="20" t="str">
        <f t="shared" ca="1" si="230"/>
        <v>Who's Your Caddy?</v>
      </c>
      <c r="GE68" s="20" t="str">
        <f t="shared" ca="1" si="230"/>
        <v/>
      </c>
      <c r="GF68" s="20" t="str">
        <f t="shared" ca="1" si="230"/>
        <v/>
      </c>
      <c r="GG68" s="20" t="str">
        <f t="shared" ca="1" si="230"/>
        <v/>
      </c>
      <c r="GH68" s="20" t="str">
        <f t="shared" ca="1" si="230"/>
        <v/>
      </c>
      <c r="GI68" s="34"/>
      <c r="HE68" s="34"/>
      <c r="HZ68" s="34"/>
      <c r="IA68" s="19" t="str">
        <f t="shared" ca="1" si="231"/>
        <v>No Hdcp</v>
      </c>
      <c r="IB68" s="19" t="str">
        <f t="shared" ca="1" si="232"/>
        <v>Low of score &amp; 0</v>
      </c>
      <c r="IC68" s="19" t="str">
        <f t="shared" ca="1" si="233"/>
        <v>Low of score &amp; 0</v>
      </c>
      <c r="ID68" s="18" t="str">
        <f t="shared" ca="1" si="234"/>
        <v>Low of score &amp; 0</v>
      </c>
      <c r="IE68" s="18" t="str">
        <f t="shared" ca="1" si="235"/>
        <v>Low of score &amp; 0</v>
      </c>
      <c r="IF68" s="18">
        <f t="shared" ca="1" si="236"/>
        <v>-34.56</v>
      </c>
      <c r="IG68" s="353" t="e">
        <f t="shared" ca="1" si="237"/>
        <v>#NUM!</v>
      </c>
      <c r="IH68" s="18" t="e">
        <f t="shared" ca="1" si="238"/>
        <v>#NUM!</v>
      </c>
      <c r="II68" s="18" t="e">
        <f t="shared" ca="1" si="239"/>
        <v>#NUM!</v>
      </c>
      <c r="IJ68" s="18" t="e">
        <f t="shared" ca="1" si="240"/>
        <v>#NUM!</v>
      </c>
      <c r="IK68" s="18" t="e">
        <f t="shared" ca="1" si="241"/>
        <v>#NUM!</v>
      </c>
      <c r="IL68" s="34"/>
      <c r="IN68" s="18">
        <f t="shared" ca="1" si="242"/>
        <v>0</v>
      </c>
      <c r="IO68" s="18">
        <f t="shared" ca="1" si="243"/>
        <v>0</v>
      </c>
      <c r="IP68" s="18">
        <f t="shared" ca="1" si="244"/>
        <v>0</v>
      </c>
      <c r="IQ68" s="18">
        <f t="shared" ca="1" si="245"/>
        <v>0</v>
      </c>
      <c r="IR68" s="18">
        <f t="shared" ca="1" si="246"/>
        <v>0</v>
      </c>
      <c r="IS68" s="18">
        <f t="shared" ca="1" si="247"/>
        <v>0</v>
      </c>
      <c r="IT68" s="18">
        <f t="shared" ca="1" si="248"/>
        <v>0</v>
      </c>
      <c r="IU68" s="18">
        <f t="shared" ca="1" si="249"/>
        <v>0</v>
      </c>
      <c r="IV68" s="18">
        <f t="shared" ca="1" si="250"/>
        <v>0</v>
      </c>
      <c r="IW68" s="18">
        <f t="shared" ca="1" si="251"/>
        <v>0</v>
      </c>
      <c r="IX68" s="19">
        <f t="shared" ca="1" si="252"/>
        <v>10</v>
      </c>
      <c r="IY68" s="21">
        <f t="shared" ca="1" si="253"/>
        <v>-34.56</v>
      </c>
      <c r="JA68" s="18" t="str">
        <f t="shared" ca="1" si="254"/>
        <v>No Hdcp</v>
      </c>
      <c r="JB68" s="18" t="str">
        <f t="shared" ca="1" si="255"/>
        <v>Low of score &amp; 0</v>
      </c>
      <c r="JC68" s="18" t="str">
        <f t="shared" ca="1" si="256"/>
        <v>Low of score &amp; 0</v>
      </c>
      <c r="JD68" s="18" t="str">
        <f t="shared" ca="1" si="257"/>
        <v>Low of score &amp; 0</v>
      </c>
      <c r="JE68" s="18" t="str">
        <f t="shared" ca="1" si="258"/>
        <v>Low of score &amp; 0</v>
      </c>
      <c r="JF68" s="18">
        <f t="shared" ca="1" si="259"/>
        <v>-34.56</v>
      </c>
      <c r="JG68" s="18">
        <f t="shared" ca="1" si="260"/>
        <v>-34.56</v>
      </c>
      <c r="JH68" s="18">
        <f t="shared" ca="1" si="261"/>
        <v>-34.56</v>
      </c>
      <c r="JI68" s="18">
        <f t="shared" ca="1" si="262"/>
        <v>-34.56</v>
      </c>
      <c r="JJ68" s="18">
        <f t="shared" ca="1" si="263"/>
        <v>-34.56</v>
      </c>
      <c r="JK68" s="18">
        <f t="shared" ca="1" si="264"/>
        <v>-34.56</v>
      </c>
    </row>
    <row r="69" spans="1:271" x14ac:dyDescent="0.2">
      <c r="A69" s="18" t="s">
        <v>76</v>
      </c>
      <c r="B69" s="19">
        <f t="shared" si="272"/>
        <v>45</v>
      </c>
      <c r="C69" s="22">
        <f t="shared" ca="1" si="206"/>
        <v>4.1000000000000003E-3</v>
      </c>
      <c r="D69" s="18" t="str">
        <f t="shared" ca="1" si="265"/>
        <v>Fair, John - gold tees</v>
      </c>
      <c r="E69" s="19">
        <f t="shared" ca="1" si="207"/>
        <v>0</v>
      </c>
      <c r="F69" s="19">
        <f t="shared" ca="1" si="208"/>
        <v>0</v>
      </c>
      <c r="G69" s="21" t="str">
        <f t="shared" ca="1" si="209"/>
        <v>No Hdcp</v>
      </c>
      <c r="H69" s="337" t="str" cm="1">
        <f t="array" aca="1" ref="H69" ca="1">IFERROR(_xlfn.SINGLE(INDEX($AF69:$BH69, , SUMPRODUCT(LARGE((($AF69:$BH69&lt;&gt;0)*($BJ69:$CL69&lt;&gt;1)*($AF$5:$BH$5)), H$6)))), "")</f>
        <v/>
      </c>
      <c r="I69" s="338" t="str" cm="1">
        <f t="array" aca="1" ref="I69" ca="1">IFERROR(_xlfn.SINGLE(INDEX($AF69:$BH69, , SUMPRODUCT(LARGE((($AF69:$BH69&lt;&gt;0)*($BJ69:$CL69&lt;&gt;1)*($AF$5:$BH$5)), I$6)))), "")</f>
        <v/>
      </c>
      <c r="J69" s="338" t="str" cm="1">
        <f t="array" aca="1" ref="J69" ca="1">IFERROR(_xlfn.SINGLE(INDEX($AF69:$BH69, , SUMPRODUCT(LARGE((($AF69:$BH69&lt;&gt;0)*($BJ69:$CL69&lt;&gt;1)*($AF$5:$BH$5)), J$6)))), "")</f>
        <v/>
      </c>
      <c r="K69" s="338" t="str" cm="1">
        <f t="array" aca="1" ref="K69" ca="1">IFERROR(_xlfn.SINGLE(INDEX($AF69:$BH69, , SUMPRODUCT(LARGE((($AF69:$BH69&lt;&gt;0)*($BJ69:$CL69&lt;&gt;1)*($AF$5:$BH$5)), K$6)))), "")</f>
        <v/>
      </c>
      <c r="L69" s="338" t="str" cm="1">
        <f t="array" aca="1" ref="L69" ca="1">IFERROR(_xlfn.SINGLE(INDEX($AF69:$BH69, , SUMPRODUCT(LARGE((($AF69:$BH69&lt;&gt;0)*($BJ69:$CL69&lt;&gt;1)*($AF$5:$BH$5)), L$6)))), "")</f>
        <v/>
      </c>
      <c r="M69" s="338" t="str" cm="1">
        <f t="array" aca="1" ref="M69" ca="1">IFERROR(_xlfn.SINGLE(INDEX($AF69:$BH69, , SUMPRODUCT(LARGE((($AF69:$BH69&lt;&gt;0)*($BJ69:$CL69&lt;&gt;1)*($AF$5:$BH$5)), M$6)))), "")</f>
        <v/>
      </c>
      <c r="N69" s="338" t="str" cm="1">
        <f t="array" aca="1" ref="N69" ca="1">IFERROR(_xlfn.SINGLE(INDEX($AF69:$BH69, , SUMPRODUCT(LARGE((($AF69:$BH69&lt;&gt;0)*($BJ69:$CL69&lt;&gt;1)*($AF$5:$BH$5)), N$6)))), "")</f>
        <v/>
      </c>
      <c r="O69" s="338" t="str" cm="1">
        <f t="array" aca="1" ref="O69" ca="1">IFERROR(_xlfn.SINGLE(INDEX($AF69:$BH69, , SUMPRODUCT(LARGE((($AF69:$BH69&lt;&gt;0)*($BJ69:$CL69&lt;&gt;1)*($AF$5:$BH$5)), O$6)))), "")</f>
        <v/>
      </c>
      <c r="P69" s="338" t="str" cm="1">
        <f t="array" aca="1" ref="P69" ca="1">IFERROR(_xlfn.SINGLE(INDEX($AF69:$BH69, , SUMPRODUCT(LARGE((($AF69:$BH69&lt;&gt;0)*($BJ69:$CL69&lt;&gt;1)*($AF$5:$BH$5)), P$6)))), "")</f>
        <v/>
      </c>
      <c r="Q69" s="339" t="str" cm="1">
        <f t="array" aca="1" ref="Q69" ca="1">IFERROR(_xlfn.SINGLE(INDEX($AF69:$BH69, , SUMPRODUCT(LARGE((($AF69:$BH69&lt;&gt;0)*($BJ69:$CL69&lt;&gt;1)*($AF$5:$BH$5)), Q$6)))), "")</f>
        <v/>
      </c>
      <c r="R69" s="116">
        <v>51.47</v>
      </c>
      <c r="S69" s="47" t="str">
        <f t="shared" ca="1" si="210"/>
        <v>-</v>
      </c>
      <c r="T69" s="21" t="str">
        <f t="shared" ca="1" si="211"/>
        <v>-</v>
      </c>
      <c r="U69" s="21" t="str">
        <f t="shared" ca="1" si="212"/>
        <v>-</v>
      </c>
      <c r="V69" s="46" t="str">
        <f t="shared" ca="1" si="213"/>
        <v/>
      </c>
      <c r="W69" s="19" t="str">
        <f t="shared" ca="1" si="214"/>
        <v/>
      </c>
      <c r="X69" s="46">
        <f t="shared" ca="1" si="215"/>
        <v>0</v>
      </c>
      <c r="Y69" s="21" t="str">
        <f t="shared" ca="1" si="216"/>
        <v>-</v>
      </c>
      <c r="Z69" s="19">
        <f t="shared" ca="1" si="217"/>
        <v>0</v>
      </c>
      <c r="AA69" s="19">
        <f t="shared" ca="1" si="218"/>
        <v>0</v>
      </c>
      <c r="AB69" s="46" t="str">
        <f t="shared" ca="1" si="219"/>
        <v>0-0-0</v>
      </c>
      <c r="AC69" s="218">
        <f t="shared" ca="1" si="273"/>
        <v>0</v>
      </c>
      <c r="AD69" s="57" t="str">
        <f t="shared" ca="1" si="274"/>
        <v>jcfair54@gmail.com</v>
      </c>
      <c r="AE69" s="34"/>
      <c r="AF69" s="341">
        <f ca="1">INDEX(PriorScores[],MATCH($D69,PriorScores[Team / Player],0),2)</f>
        <v>0</v>
      </c>
      <c r="AG69" s="341">
        <f ca="1">INDEX(PriorScores[],MATCH($D69,PriorScores[Team / Player],0),3)</f>
        <v>0</v>
      </c>
      <c r="AH69" s="341">
        <f ca="1">INDEX(PriorScores[],MATCH($D69,PriorScores[Team / Player],0),4)</f>
        <v>0</v>
      </c>
      <c r="AI69" s="341">
        <f ca="1">INDEX(PriorScores[],MATCH($D69,PriorScores[Team / Player],0),5)</f>
        <v>0</v>
      </c>
      <c r="AJ69" s="341">
        <f ca="1">INDEX(PriorScores[],MATCH($D69,PriorScores[Team / Player],0),6)</f>
        <v>0</v>
      </c>
      <c r="AK69" s="341">
        <f ca="1">INDEX(PriorScores[],MATCH($D69,PriorScores[Team / Player],0),7)</f>
        <v>0</v>
      </c>
      <c r="AL69" s="341">
        <f ca="1">INDEX(PriorScores[],MATCH($D69,PriorScores[Team / Player],0),8)</f>
        <v>0</v>
      </c>
      <c r="AM69" s="341">
        <f ca="1">INDEX(PriorScores[],MATCH($D69,PriorScores[Team / Player],0),9)</f>
        <v>0</v>
      </c>
      <c r="AN69" s="341">
        <f ca="1">INDEX(PriorScores[],MATCH($D69,PriorScores[Team / Player],0),10)</f>
        <v>0</v>
      </c>
      <c r="AO69" s="341"/>
      <c r="AP69" s="20">
        <f t="shared" ca="1" si="220"/>
        <v>0</v>
      </c>
      <c r="AQ69" s="20">
        <f t="shared" ca="1" si="220"/>
        <v>0</v>
      </c>
      <c r="AR69" s="20">
        <f t="shared" ca="1" si="220"/>
        <v>0</v>
      </c>
      <c r="AS69" s="20">
        <f t="shared" ca="1" si="220"/>
        <v>0</v>
      </c>
      <c r="AT69" s="20">
        <f t="shared" ca="1" si="220"/>
        <v>0</v>
      </c>
      <c r="AU69" s="20">
        <f t="shared" ca="1" si="220"/>
        <v>0</v>
      </c>
      <c r="AV69" s="20">
        <f t="shared" ca="1" si="220"/>
        <v>0</v>
      </c>
      <c r="AW69" s="20">
        <f t="shared" ca="1" si="220"/>
        <v>0</v>
      </c>
      <c r="AX69" s="20">
        <f t="shared" ca="1" si="220"/>
        <v>0</v>
      </c>
      <c r="AY69" s="20">
        <f t="shared" ca="1" si="220"/>
        <v>0</v>
      </c>
      <c r="AZ69" s="20">
        <f t="shared" ca="1" si="221"/>
        <v>0</v>
      </c>
      <c r="BA69" s="20">
        <f t="shared" ca="1" si="221"/>
        <v>0</v>
      </c>
      <c r="BB69" s="20">
        <f t="shared" ca="1" si="221"/>
        <v>0</v>
      </c>
      <c r="BC69" s="20">
        <f t="shared" ca="1" si="221"/>
        <v>0</v>
      </c>
      <c r="BD69" s="20">
        <f t="shared" ca="1" si="221"/>
        <v>0</v>
      </c>
      <c r="BE69" s="20">
        <f t="shared" ca="1" si="221"/>
        <v>0</v>
      </c>
      <c r="BF69" s="20">
        <f t="shared" ca="1" si="221"/>
        <v>0</v>
      </c>
      <c r="BG69" s="20">
        <f t="shared" ca="1" si="221"/>
        <v>0</v>
      </c>
      <c r="BH69" s="20">
        <f t="shared" ca="1" si="221"/>
        <v>0</v>
      </c>
      <c r="BI69" s="34"/>
      <c r="BJ69" s="341">
        <v>0</v>
      </c>
      <c r="BK69" s="341">
        <v>0</v>
      </c>
      <c r="BL69" s="341">
        <v>0</v>
      </c>
      <c r="BM69" s="341">
        <v>0</v>
      </c>
      <c r="BN69" s="341">
        <v>0</v>
      </c>
      <c r="BO69" s="341">
        <v>0</v>
      </c>
      <c r="BP69" s="341">
        <v>0</v>
      </c>
      <c r="BQ69" s="341">
        <v>0</v>
      </c>
      <c r="BR69" s="341">
        <v>0</v>
      </c>
      <c r="BS69" s="341">
        <v>0</v>
      </c>
      <c r="BT69" s="20">
        <f t="shared" ca="1" si="266"/>
        <v>0</v>
      </c>
      <c r="BU69" s="20">
        <f t="shared" ca="1" si="266"/>
        <v>0</v>
      </c>
      <c r="BV69" s="20">
        <f t="shared" ca="1" si="266"/>
        <v>0</v>
      </c>
      <c r="BW69" s="20">
        <f t="shared" ca="1" si="266"/>
        <v>0</v>
      </c>
      <c r="BX69" s="20">
        <f t="shared" ca="1" si="266"/>
        <v>0</v>
      </c>
      <c r="BY69" s="20">
        <f t="shared" ca="1" si="266"/>
        <v>0</v>
      </c>
      <c r="BZ69" s="20">
        <f t="shared" ca="1" si="266"/>
        <v>0</v>
      </c>
      <c r="CA69" s="20">
        <f t="shared" ca="1" si="266"/>
        <v>0</v>
      </c>
      <c r="CB69" s="20">
        <f t="shared" ca="1" si="266"/>
        <v>0</v>
      </c>
      <c r="CC69" s="20">
        <f t="shared" ca="1" si="266"/>
        <v>0</v>
      </c>
      <c r="CD69" s="20">
        <f t="shared" ca="1" si="266"/>
        <v>0</v>
      </c>
      <c r="CE69" s="20">
        <f t="shared" ca="1" si="266"/>
        <v>0</v>
      </c>
      <c r="CF69" s="20">
        <f t="shared" ca="1" si="266"/>
        <v>0</v>
      </c>
      <c r="CG69" s="20">
        <f t="shared" ca="1" si="266"/>
        <v>0</v>
      </c>
      <c r="CH69" s="20">
        <f t="shared" ca="1" si="266"/>
        <v>0</v>
      </c>
      <c r="CI69" s="20">
        <f t="shared" ca="1" si="266"/>
        <v>0</v>
      </c>
      <c r="CJ69" s="20">
        <f t="shared" ca="1" si="267"/>
        <v>0</v>
      </c>
      <c r="CK69" s="20">
        <f t="shared" ca="1" si="267"/>
        <v>0</v>
      </c>
      <c r="CL69" s="20">
        <f t="shared" ca="1" si="267"/>
        <v>0</v>
      </c>
      <c r="CM69" s="34"/>
      <c r="CN69" s="20" t="str">
        <f t="shared" ca="1" si="223"/>
        <v/>
      </c>
      <c r="CO69" s="20" t="str">
        <f t="shared" ca="1" si="223"/>
        <v/>
      </c>
      <c r="CP69" s="20" t="str">
        <f t="shared" ca="1" si="223"/>
        <v/>
      </c>
      <c r="CQ69" s="20" t="str">
        <f t="shared" ca="1" si="223"/>
        <v/>
      </c>
      <c r="CR69" s="20" t="str">
        <f t="shared" ca="1" si="223"/>
        <v/>
      </c>
      <c r="CS69" s="20" t="str">
        <f t="shared" ca="1" si="223"/>
        <v/>
      </c>
      <c r="CT69" s="20" t="str">
        <f t="shared" ca="1" si="223"/>
        <v/>
      </c>
      <c r="CU69" s="20" t="str">
        <f t="shared" ca="1" si="223"/>
        <v/>
      </c>
      <c r="CV69" s="20" t="str">
        <f t="shared" ca="1" si="223"/>
        <v/>
      </c>
      <c r="CW69" s="20" t="str">
        <f t="shared" ca="1" si="223"/>
        <v/>
      </c>
      <c r="CX69" s="20" t="str">
        <f t="shared" ca="1" si="224"/>
        <v/>
      </c>
      <c r="CY69" s="20" t="str">
        <f t="shared" ca="1" si="224"/>
        <v/>
      </c>
      <c r="CZ69" s="20" t="str">
        <f t="shared" ca="1" si="224"/>
        <v/>
      </c>
      <c r="DA69" s="20" t="str">
        <f t="shared" ca="1" si="224"/>
        <v/>
      </c>
      <c r="DB69" s="20" t="str">
        <f t="shared" ca="1" si="224"/>
        <v/>
      </c>
      <c r="DC69" s="20" t="str">
        <f t="shared" ca="1" si="224"/>
        <v/>
      </c>
      <c r="DD69" s="20" t="str">
        <f t="shared" ca="1" si="224"/>
        <v/>
      </c>
      <c r="DE69" s="20" t="str">
        <f t="shared" ca="1" si="224"/>
        <v/>
      </c>
      <c r="DF69" s="20" t="str">
        <f t="shared" ca="1" si="224"/>
        <v/>
      </c>
      <c r="DG69" s="34"/>
      <c r="DH69" s="20" t="str">
        <f t="shared" ca="1" si="275"/>
        <v/>
      </c>
      <c r="DI69" s="20" t="str">
        <f t="shared" ca="1" si="276"/>
        <v/>
      </c>
      <c r="DJ69" s="20" t="str">
        <f t="shared" ca="1" si="277"/>
        <v/>
      </c>
      <c r="DK69" s="20" t="str">
        <f t="shared" ca="1" si="278"/>
        <v/>
      </c>
      <c r="DL69" s="20" t="str">
        <f t="shared" ca="1" si="279"/>
        <v/>
      </c>
      <c r="DM69" s="20" t="str">
        <f t="shared" ca="1" si="280"/>
        <v/>
      </c>
      <c r="DN69" s="20" t="str">
        <f t="shared" ca="1" si="281"/>
        <v/>
      </c>
      <c r="DO69" s="20" t="str">
        <f t="shared" ca="1" si="282"/>
        <v/>
      </c>
      <c r="DP69" s="20" t="str">
        <f t="shared" ca="1" si="283"/>
        <v/>
      </c>
      <c r="DQ69" s="20" t="str">
        <f t="shared" ca="1" si="284"/>
        <v/>
      </c>
      <c r="DR69" s="20" t="str">
        <f t="shared" ca="1" si="285"/>
        <v/>
      </c>
      <c r="DS69" s="20" t="str">
        <f t="shared" ca="1" si="286"/>
        <v/>
      </c>
      <c r="DT69" s="20" t="str">
        <f t="shared" ca="1" si="287"/>
        <v/>
      </c>
      <c r="DU69" s="20" t="str">
        <f t="shared" ca="1" si="288"/>
        <v/>
      </c>
      <c r="DV69" s="20" t="str">
        <f t="shared" ca="1" si="289"/>
        <v/>
      </c>
      <c r="DW69" s="20" t="str">
        <f t="shared" ca="1" si="290"/>
        <v/>
      </c>
      <c r="DX69" s="20" t="str">
        <f t="shared" ca="1" si="290"/>
        <v/>
      </c>
      <c r="DY69" s="20" t="str">
        <f t="shared" ca="1" si="290"/>
        <v/>
      </c>
      <c r="DZ69" s="20" t="str">
        <f t="shared" ca="1" si="290"/>
        <v/>
      </c>
      <c r="EA69" s="34"/>
      <c r="EB69" s="20" t="str">
        <f t="shared" ca="1" si="291"/>
        <v/>
      </c>
      <c r="EC69" s="20" t="str">
        <f t="shared" ca="1" si="292"/>
        <v/>
      </c>
      <c r="ED69" s="20" t="str">
        <f t="shared" ca="1" si="293"/>
        <v/>
      </c>
      <c r="EE69" s="20" t="str">
        <f t="shared" ca="1" si="294"/>
        <v/>
      </c>
      <c r="EF69" s="20" t="str">
        <f t="shared" ca="1" si="295"/>
        <v/>
      </c>
      <c r="EG69" s="20" t="str">
        <f t="shared" ca="1" si="296"/>
        <v/>
      </c>
      <c r="EH69" s="20" t="str">
        <f t="shared" ca="1" si="297"/>
        <v/>
      </c>
      <c r="EI69" s="20" t="str">
        <f t="shared" ca="1" si="298"/>
        <v/>
      </c>
      <c r="EJ69" s="20" t="str">
        <f t="shared" ca="1" si="299"/>
        <v/>
      </c>
      <c r="EK69" s="20" t="str">
        <f t="shared" ca="1" si="300"/>
        <v/>
      </c>
      <c r="EL69" s="20" t="str">
        <f t="shared" ca="1" si="301"/>
        <v/>
      </c>
      <c r="EM69" s="20" t="str">
        <f t="shared" ca="1" si="302"/>
        <v/>
      </c>
      <c r="EN69" s="20" t="str">
        <f t="shared" ca="1" si="303"/>
        <v/>
      </c>
      <c r="EO69" s="20" t="str">
        <f t="shared" ca="1" si="304"/>
        <v/>
      </c>
      <c r="EP69" s="20" t="str">
        <f t="shared" ca="1" si="305"/>
        <v/>
      </c>
      <c r="EQ69" s="20" t="str">
        <f t="shared" ca="1" si="306"/>
        <v/>
      </c>
      <c r="ER69" s="20" t="str">
        <f t="shared" ca="1" si="306"/>
        <v/>
      </c>
      <c r="ES69" s="20" t="str">
        <f t="shared" ca="1" si="306"/>
        <v/>
      </c>
      <c r="ET69" s="20" t="str">
        <f t="shared" ca="1" si="306"/>
        <v/>
      </c>
      <c r="EU69" s="34"/>
      <c r="EV69" s="20" t="str">
        <f t="shared" ca="1" si="227"/>
        <v/>
      </c>
      <c r="EW69" s="20" t="str">
        <f t="shared" ca="1" si="227"/>
        <v/>
      </c>
      <c r="EX69" s="20" t="str">
        <f t="shared" ca="1" si="227"/>
        <v/>
      </c>
      <c r="EY69" s="20" t="str">
        <f t="shared" ca="1" si="227"/>
        <v/>
      </c>
      <c r="EZ69" s="20" t="str">
        <f t="shared" ca="1" si="227"/>
        <v/>
      </c>
      <c r="FA69" s="20" t="str">
        <f t="shared" ca="1" si="227"/>
        <v/>
      </c>
      <c r="FB69" s="20" t="str">
        <f t="shared" ca="1" si="227"/>
        <v/>
      </c>
      <c r="FC69" s="20" t="str">
        <f t="shared" ca="1" si="227"/>
        <v/>
      </c>
      <c r="FD69" s="20" t="str">
        <f t="shared" ca="1" si="227"/>
        <v/>
      </c>
      <c r="FE69" s="20" t="str">
        <f t="shared" ca="1" si="227"/>
        <v/>
      </c>
      <c r="FF69" s="20" t="str">
        <f t="shared" ca="1" si="228"/>
        <v/>
      </c>
      <c r="FG69" s="20" t="str">
        <f t="shared" ca="1" si="228"/>
        <v/>
      </c>
      <c r="FH69" s="20" t="str">
        <f t="shared" ca="1" si="228"/>
        <v/>
      </c>
      <c r="FI69" s="20" t="str">
        <f t="shared" ca="1" si="228"/>
        <v/>
      </c>
      <c r="FJ69" s="20" t="str">
        <f t="shared" ca="1" si="228"/>
        <v/>
      </c>
      <c r="FK69" s="20" t="str">
        <f t="shared" ca="1" si="228"/>
        <v/>
      </c>
      <c r="FL69" s="20" t="str">
        <f t="shared" ca="1" si="228"/>
        <v/>
      </c>
      <c r="FM69" s="20" t="str">
        <f t="shared" ca="1" si="228"/>
        <v/>
      </c>
      <c r="FN69" s="20" t="str">
        <f t="shared" ca="1" si="228"/>
        <v/>
      </c>
      <c r="FO69" s="34"/>
      <c r="FP69" s="20" t="str">
        <f t="shared" ca="1" si="229"/>
        <v/>
      </c>
      <c r="FQ69" s="20" t="str">
        <f t="shared" ca="1" si="229"/>
        <v/>
      </c>
      <c r="FR69" s="20" t="str">
        <f t="shared" ca="1" si="229"/>
        <v/>
      </c>
      <c r="FS69" s="20" t="str">
        <f t="shared" ca="1" si="229"/>
        <v/>
      </c>
      <c r="FT69" s="20" t="str">
        <f t="shared" ca="1" si="229"/>
        <v/>
      </c>
      <c r="FU69" s="20" t="str">
        <f t="shared" ca="1" si="229"/>
        <v/>
      </c>
      <c r="FV69" s="20" t="str">
        <f t="shared" ca="1" si="229"/>
        <v/>
      </c>
      <c r="FW69" s="20" t="str">
        <f t="shared" ca="1" si="229"/>
        <v/>
      </c>
      <c r="FX69" s="20" t="str">
        <f t="shared" ca="1" si="229"/>
        <v/>
      </c>
      <c r="FY69" s="20" t="str">
        <f t="shared" ca="1" si="229"/>
        <v/>
      </c>
      <c r="FZ69" s="20" t="str">
        <f t="shared" ca="1" si="230"/>
        <v/>
      </c>
      <c r="GA69" s="20" t="str">
        <f t="shared" ca="1" si="230"/>
        <v/>
      </c>
      <c r="GB69" s="20" t="str">
        <f t="shared" ca="1" si="230"/>
        <v/>
      </c>
      <c r="GC69" s="20" t="str">
        <f t="shared" ca="1" si="230"/>
        <v/>
      </c>
      <c r="GD69" s="20" t="str">
        <f t="shared" ca="1" si="230"/>
        <v/>
      </c>
      <c r="GE69" s="20" t="str">
        <f t="shared" ca="1" si="230"/>
        <v/>
      </c>
      <c r="GF69" s="20" t="str">
        <f t="shared" ca="1" si="230"/>
        <v/>
      </c>
      <c r="GG69" s="20" t="str">
        <f t="shared" ca="1" si="230"/>
        <v/>
      </c>
      <c r="GH69" s="20" t="str">
        <f t="shared" ca="1" si="230"/>
        <v/>
      </c>
      <c r="GI69" s="34"/>
      <c r="HE69" s="34"/>
      <c r="HZ69" s="34"/>
      <c r="IA69" s="19" t="str">
        <f t="shared" ca="1" si="231"/>
        <v>No Hdcp</v>
      </c>
      <c r="IB69" s="19" t="str">
        <f t="shared" ca="1" si="232"/>
        <v>Low of score &amp; 0</v>
      </c>
      <c r="IC69" s="19" t="str">
        <f t="shared" ca="1" si="233"/>
        <v>Low of score &amp; 0</v>
      </c>
      <c r="ID69" s="18" t="str">
        <f t="shared" ca="1" si="234"/>
        <v>Low of score &amp; 0</v>
      </c>
      <c r="IE69" s="18" t="str">
        <f t="shared" ca="1" si="235"/>
        <v>Low of score &amp; 0</v>
      </c>
      <c r="IF69" s="18">
        <f t="shared" ca="1" si="236"/>
        <v>-34.56</v>
      </c>
      <c r="IG69" s="353" t="e">
        <f t="shared" ca="1" si="237"/>
        <v>#NUM!</v>
      </c>
      <c r="IH69" s="18" t="e">
        <f t="shared" ca="1" si="238"/>
        <v>#NUM!</v>
      </c>
      <c r="II69" s="18" t="e">
        <f t="shared" ca="1" si="239"/>
        <v>#NUM!</v>
      </c>
      <c r="IJ69" s="18" t="e">
        <f t="shared" ca="1" si="240"/>
        <v>#NUM!</v>
      </c>
      <c r="IK69" s="18" t="e">
        <f t="shared" ca="1" si="241"/>
        <v>#NUM!</v>
      </c>
      <c r="IL69" s="34"/>
      <c r="IN69" s="18">
        <f t="shared" si="242"/>
        <v>0</v>
      </c>
      <c r="IO69" s="18">
        <f t="shared" ca="1" si="243"/>
        <v>0</v>
      </c>
      <c r="IP69" s="18">
        <f t="shared" ca="1" si="244"/>
        <v>0</v>
      </c>
      <c r="IQ69" s="18">
        <f t="shared" ca="1" si="245"/>
        <v>0</v>
      </c>
      <c r="IR69" s="18">
        <f t="shared" ca="1" si="246"/>
        <v>0</v>
      </c>
      <c r="IS69" s="18">
        <f t="shared" ca="1" si="247"/>
        <v>0</v>
      </c>
      <c r="IT69" s="18">
        <f t="shared" ca="1" si="248"/>
        <v>0</v>
      </c>
      <c r="IU69" s="18">
        <f t="shared" ca="1" si="249"/>
        <v>0</v>
      </c>
      <c r="IV69" s="18">
        <f t="shared" ca="1" si="250"/>
        <v>0</v>
      </c>
      <c r="IW69" s="18">
        <f t="shared" ca="1" si="251"/>
        <v>0</v>
      </c>
      <c r="IX69" s="19">
        <f t="shared" ca="1" si="252"/>
        <v>10</v>
      </c>
      <c r="IY69" s="21">
        <f t="shared" ca="1" si="253"/>
        <v>-34.56</v>
      </c>
      <c r="JA69" s="18" t="str">
        <f t="shared" ca="1" si="254"/>
        <v>No Hdcp</v>
      </c>
      <c r="JB69" s="18" t="str">
        <f t="shared" ca="1" si="255"/>
        <v>Low of score &amp; 0</v>
      </c>
      <c r="JC69" s="18" t="str">
        <f t="shared" ca="1" si="256"/>
        <v>Low of score &amp; 0</v>
      </c>
      <c r="JD69" s="18" t="str">
        <f t="shared" ca="1" si="257"/>
        <v>Low of score &amp; 0</v>
      </c>
      <c r="JE69" s="18" t="str">
        <f t="shared" ca="1" si="258"/>
        <v>Low of score &amp; 0</v>
      </c>
      <c r="JF69" s="18">
        <f t="shared" ca="1" si="259"/>
        <v>-34.56</v>
      </c>
      <c r="JG69" s="18">
        <f t="shared" ca="1" si="260"/>
        <v>-34.56</v>
      </c>
      <c r="JH69" s="18">
        <f t="shared" ca="1" si="261"/>
        <v>-34.56</v>
      </c>
      <c r="JI69" s="18">
        <f t="shared" ca="1" si="262"/>
        <v>-34.56</v>
      </c>
      <c r="JJ69" s="18">
        <f t="shared" ca="1" si="263"/>
        <v>-34.56</v>
      </c>
      <c r="JK69" s="18">
        <f t="shared" ca="1" si="264"/>
        <v>-34.56</v>
      </c>
    </row>
    <row r="70" spans="1:271" x14ac:dyDescent="0.2">
      <c r="A70" s="18" t="s">
        <v>76</v>
      </c>
      <c r="B70" s="19">
        <f t="shared" si="272"/>
        <v>53</v>
      </c>
      <c r="C70" s="22">
        <f t="shared" ca="1" si="206"/>
        <v>4.3E-3</v>
      </c>
      <c r="D70" s="18" t="str">
        <f t="shared" ca="1" si="265"/>
        <v>Fowkes, Jerrod</v>
      </c>
      <c r="E70" s="19">
        <f t="shared" ca="1" si="207"/>
        <v>0</v>
      </c>
      <c r="F70" s="19">
        <f t="shared" ca="1" si="208"/>
        <v>0</v>
      </c>
      <c r="G70" s="21" t="str">
        <f t="shared" ca="1" si="209"/>
        <v>No Hdcp</v>
      </c>
      <c r="H70" s="337" t="str">
        <f ca="1">IFERROR(INDEX($AF70:$BH70, , SUMPRODUCT(LARGE((($AF70:$BH70&lt;&gt;0)*($BJ70:$CL70&lt;&gt;1)*($AF$5:$BH$5)), H$6))), "")</f>
        <v/>
      </c>
      <c r="I70" s="338" t="str" cm="1">
        <f t="array" aca="1" ref="I70" ca="1">IFERROR(_xlfn.SINGLE(INDEX($AF70:$BH70, , SUMPRODUCT(LARGE((($AF70:$BH70&lt;&gt;0)*($BJ70:$CL70&lt;&gt;1)*($AF$5:$BH$5)), I$6)))), "")</f>
        <v/>
      </c>
      <c r="J70" s="338" t="str" cm="1">
        <f t="array" aca="1" ref="J70" ca="1">IFERROR(_xlfn.SINGLE(INDEX($AF70:$BH70, , SUMPRODUCT(LARGE((($AF70:$BH70&lt;&gt;0)*($BJ70:$CL70&lt;&gt;1)*($AF$5:$BH$5)), J$6)))), "")</f>
        <v/>
      </c>
      <c r="K70" s="338" t="str" cm="1">
        <f t="array" aca="1" ref="K70" ca="1">IFERROR(_xlfn.SINGLE(INDEX($AF70:$BH70, , SUMPRODUCT(LARGE((($AF70:$BH70&lt;&gt;0)*($BJ70:$CL70&lt;&gt;1)*($AF$5:$BH$5)), K$6)))), "")</f>
        <v/>
      </c>
      <c r="L70" s="338" t="str" cm="1">
        <f t="array" aca="1" ref="L70" ca="1">IFERROR(_xlfn.SINGLE(INDEX($AF70:$BH70, , SUMPRODUCT(LARGE((($AF70:$BH70&lt;&gt;0)*($BJ70:$CL70&lt;&gt;1)*($AF$5:$BH$5)), L$6)))), "")</f>
        <v/>
      </c>
      <c r="M70" s="338" t="str" cm="1">
        <f t="array" aca="1" ref="M70" ca="1">IFERROR(_xlfn.SINGLE(INDEX($AF70:$BH70, , SUMPRODUCT(LARGE((($AF70:$BH70&lt;&gt;0)*($BJ70:$CL70&lt;&gt;1)*($AF$5:$BH$5)), M$6)))), "")</f>
        <v/>
      </c>
      <c r="N70" s="338" t="str" cm="1">
        <f t="array" aca="1" ref="N70" ca="1">IFERROR(_xlfn.SINGLE(INDEX($AF70:$BH70, , SUMPRODUCT(LARGE((($AF70:$BH70&lt;&gt;0)*($BJ70:$CL70&lt;&gt;1)*($AF$5:$BH$5)), N$6)))), "")</f>
        <v/>
      </c>
      <c r="O70" s="338" t="str" cm="1">
        <f t="array" aca="1" ref="O70" ca="1">IFERROR(_xlfn.SINGLE(INDEX($AF70:$BH70, , SUMPRODUCT(LARGE((($AF70:$BH70&lt;&gt;0)*($BJ70:$CL70&lt;&gt;1)*($AF$5:$BH$5)), O$6)))), "")</f>
        <v/>
      </c>
      <c r="P70" s="338" t="str" cm="1">
        <f t="array" aca="1" ref="P70" ca="1">IFERROR(_xlfn.SINGLE(INDEX($AF70:$BH70, , SUMPRODUCT(LARGE((($AF70:$BH70&lt;&gt;0)*($BJ70:$CL70&lt;&gt;1)*($AF$5:$BH$5)), P$6)))), "")</f>
        <v/>
      </c>
      <c r="Q70" s="339" t="str" cm="1">
        <f t="array" aca="1" ref="Q70" ca="1">IFERROR(_xlfn.SINGLE(INDEX($AF70:$BH70, , SUMPRODUCT(LARGE((($AF70:$BH70&lt;&gt;0)*($BJ70:$CL70&lt;&gt;1)*($AF$5:$BH$5)), Q$6)))), "")</f>
        <v/>
      </c>
      <c r="R70" s="116" t="s">
        <v>454</v>
      </c>
      <c r="S70" s="47" t="str">
        <f t="shared" ca="1" si="210"/>
        <v>-</v>
      </c>
      <c r="T70" s="21" t="str">
        <f t="shared" ca="1" si="211"/>
        <v>-</v>
      </c>
      <c r="U70" s="21" t="str">
        <f t="shared" ca="1" si="212"/>
        <v>-</v>
      </c>
      <c r="V70" s="46" t="str">
        <f t="shared" ca="1" si="213"/>
        <v/>
      </c>
      <c r="W70" s="19" t="str">
        <f t="shared" ca="1" si="214"/>
        <v/>
      </c>
      <c r="X70" s="46">
        <f t="shared" ca="1" si="215"/>
        <v>0</v>
      </c>
      <c r="Y70" s="21" t="str">
        <f t="shared" ca="1" si="216"/>
        <v>-</v>
      </c>
      <c r="Z70" s="19">
        <f t="shared" ca="1" si="217"/>
        <v>0</v>
      </c>
      <c r="AA70" s="19">
        <f t="shared" ca="1" si="218"/>
        <v>0</v>
      </c>
      <c r="AB70" s="46" t="str">
        <f t="shared" ca="1" si="219"/>
        <v>0-0-0</v>
      </c>
      <c r="AC70" s="218">
        <f t="shared" ca="1" si="273"/>
        <v>3302050167</v>
      </c>
      <c r="AD70" s="57" t="str">
        <f t="shared" ca="1" si="274"/>
        <v>jerrod.fowkes@metallus.com</v>
      </c>
      <c r="AE70" s="34"/>
      <c r="AF70" s="341">
        <f ca="1">INDEX(PriorScores[],MATCH($D70,PriorScores[Team / Player],0),2)</f>
        <v>0</v>
      </c>
      <c r="AG70" s="341">
        <f ca="1">INDEX(PriorScores[],MATCH($D70,PriorScores[Team / Player],0),3)</f>
        <v>0</v>
      </c>
      <c r="AH70" s="341">
        <f ca="1">INDEX(PriorScores[],MATCH($D70,PriorScores[Team / Player],0),4)</f>
        <v>0</v>
      </c>
      <c r="AI70" s="341">
        <f ca="1">INDEX(PriorScores[],MATCH($D70,PriorScores[Team / Player],0),5)</f>
        <v>0</v>
      </c>
      <c r="AJ70" s="341">
        <f ca="1">INDEX(PriorScores[],MATCH($D70,PriorScores[Team / Player],0),6)</f>
        <v>0</v>
      </c>
      <c r="AK70" s="341">
        <f ca="1">INDEX(PriorScores[],MATCH($D70,PriorScores[Team / Player],0),7)</f>
        <v>0</v>
      </c>
      <c r="AL70" s="341">
        <f ca="1">INDEX(PriorScores[],MATCH($D70,PriorScores[Team / Player],0),8)</f>
        <v>0</v>
      </c>
      <c r="AM70" s="341">
        <f ca="1">INDEX(PriorScores[],MATCH($D70,PriorScores[Team / Player],0),9)</f>
        <v>0</v>
      </c>
      <c r="AN70" s="341">
        <f ca="1">INDEX(PriorScores[],MATCH($D70,PriorScores[Team / Player],0),10)</f>
        <v>0</v>
      </c>
      <c r="AO70" s="341">
        <f ca="1">INDEX(PriorScores[],MATCH($D70,PriorScores[Team / Player],0),11)</f>
        <v>0</v>
      </c>
      <c r="AP70" s="20">
        <f t="shared" ca="1" si="220"/>
        <v>0</v>
      </c>
      <c r="AQ70" s="20">
        <f t="shared" ca="1" si="220"/>
        <v>0</v>
      </c>
      <c r="AR70" s="20">
        <f t="shared" ca="1" si="220"/>
        <v>0</v>
      </c>
      <c r="AS70" s="20">
        <f t="shared" ca="1" si="220"/>
        <v>0</v>
      </c>
      <c r="AT70" s="20">
        <f t="shared" ca="1" si="220"/>
        <v>0</v>
      </c>
      <c r="AU70" s="20">
        <f t="shared" ca="1" si="220"/>
        <v>0</v>
      </c>
      <c r="AV70" s="20">
        <f t="shared" ca="1" si="220"/>
        <v>0</v>
      </c>
      <c r="AW70" s="20">
        <f t="shared" ca="1" si="220"/>
        <v>0</v>
      </c>
      <c r="AX70" s="20">
        <f t="shared" ca="1" si="220"/>
        <v>0</v>
      </c>
      <c r="AY70" s="20">
        <f t="shared" ca="1" si="220"/>
        <v>0</v>
      </c>
      <c r="AZ70" s="20">
        <f t="shared" ca="1" si="221"/>
        <v>0</v>
      </c>
      <c r="BA70" s="20">
        <f t="shared" ca="1" si="221"/>
        <v>0</v>
      </c>
      <c r="BB70" s="20">
        <f t="shared" ca="1" si="221"/>
        <v>0</v>
      </c>
      <c r="BC70" s="20">
        <f t="shared" ca="1" si="221"/>
        <v>0</v>
      </c>
      <c r="BD70" s="20">
        <f t="shared" ca="1" si="221"/>
        <v>0</v>
      </c>
      <c r="BE70" s="20">
        <f t="shared" ca="1" si="221"/>
        <v>0</v>
      </c>
      <c r="BF70" s="20">
        <f t="shared" ca="1" si="221"/>
        <v>0</v>
      </c>
      <c r="BG70" s="20">
        <f t="shared" ca="1" si="221"/>
        <v>0</v>
      </c>
      <c r="BH70" s="20">
        <f t="shared" ca="1" si="221"/>
        <v>0</v>
      </c>
      <c r="BI70" s="34"/>
      <c r="BJ70" s="341">
        <v>0</v>
      </c>
      <c r="BK70" s="341">
        <v>0</v>
      </c>
      <c r="BL70" s="341">
        <v>0</v>
      </c>
      <c r="BM70" s="341">
        <v>0</v>
      </c>
      <c r="BN70" s="341">
        <v>0</v>
      </c>
      <c r="BO70" s="341">
        <v>0</v>
      </c>
      <c r="BP70" s="341">
        <v>0</v>
      </c>
      <c r="BQ70" s="341">
        <v>0</v>
      </c>
      <c r="BR70" s="341">
        <v>0</v>
      </c>
      <c r="BS70" s="341">
        <v>0</v>
      </c>
      <c r="BT70" s="20">
        <f t="shared" ca="1" si="266"/>
        <v>0</v>
      </c>
      <c r="BU70" s="20">
        <f t="shared" ca="1" si="266"/>
        <v>0</v>
      </c>
      <c r="BV70" s="20">
        <f t="shared" ca="1" si="266"/>
        <v>0</v>
      </c>
      <c r="BW70" s="20">
        <f t="shared" ca="1" si="266"/>
        <v>0</v>
      </c>
      <c r="BX70" s="20">
        <f t="shared" ca="1" si="266"/>
        <v>0</v>
      </c>
      <c r="BY70" s="20">
        <f t="shared" ca="1" si="266"/>
        <v>0</v>
      </c>
      <c r="BZ70" s="20">
        <f t="shared" ca="1" si="266"/>
        <v>0</v>
      </c>
      <c r="CA70" s="20">
        <f t="shared" ca="1" si="266"/>
        <v>0</v>
      </c>
      <c r="CB70" s="20">
        <f t="shared" ca="1" si="266"/>
        <v>0</v>
      </c>
      <c r="CC70" s="20">
        <f t="shared" ca="1" si="266"/>
        <v>0</v>
      </c>
      <c r="CD70" s="20">
        <f t="shared" ca="1" si="266"/>
        <v>0</v>
      </c>
      <c r="CE70" s="20">
        <f t="shared" ca="1" si="266"/>
        <v>0</v>
      </c>
      <c r="CF70" s="20">
        <f t="shared" ca="1" si="266"/>
        <v>0</v>
      </c>
      <c r="CG70" s="20">
        <f t="shared" ca="1" si="266"/>
        <v>0</v>
      </c>
      <c r="CH70" s="20">
        <f t="shared" ca="1" si="266"/>
        <v>0</v>
      </c>
      <c r="CI70" s="20">
        <f t="shared" ca="1" si="266"/>
        <v>0</v>
      </c>
      <c r="CJ70" s="20">
        <f t="shared" ca="1" si="267"/>
        <v>0</v>
      </c>
      <c r="CK70" s="20">
        <f t="shared" ca="1" si="267"/>
        <v>0</v>
      </c>
      <c r="CL70" s="20">
        <f t="shared" ca="1" si="267"/>
        <v>0</v>
      </c>
      <c r="CM70" s="34"/>
      <c r="CN70" s="20" t="str">
        <f t="shared" ca="1" si="223"/>
        <v/>
      </c>
      <c r="CO70" s="20" t="str">
        <f t="shared" ca="1" si="223"/>
        <v/>
      </c>
      <c r="CP70" s="20" t="str">
        <f t="shared" ca="1" si="223"/>
        <v/>
      </c>
      <c r="CQ70" s="20" t="str">
        <f t="shared" ca="1" si="223"/>
        <v/>
      </c>
      <c r="CR70" s="20" t="str">
        <f t="shared" ca="1" si="223"/>
        <v/>
      </c>
      <c r="CS70" s="20" t="str">
        <f t="shared" ca="1" si="223"/>
        <v/>
      </c>
      <c r="CT70" s="20" t="str">
        <f t="shared" ca="1" si="223"/>
        <v/>
      </c>
      <c r="CU70" s="20" t="str">
        <f t="shared" ca="1" si="223"/>
        <v/>
      </c>
      <c r="CV70" s="20" t="str">
        <f t="shared" ca="1" si="223"/>
        <v/>
      </c>
      <c r="CW70" s="20" t="str">
        <f t="shared" ca="1" si="223"/>
        <v/>
      </c>
      <c r="CX70" s="20" t="str">
        <f t="shared" ca="1" si="224"/>
        <v/>
      </c>
      <c r="CY70" s="20" t="str">
        <f t="shared" ca="1" si="224"/>
        <v/>
      </c>
      <c r="CZ70" s="20" t="str">
        <f t="shared" ca="1" si="224"/>
        <v/>
      </c>
      <c r="DA70" s="20" t="str">
        <f t="shared" ca="1" si="224"/>
        <v/>
      </c>
      <c r="DB70" s="20" t="str">
        <f t="shared" ca="1" si="224"/>
        <v/>
      </c>
      <c r="DC70" s="20" t="str">
        <f t="shared" ca="1" si="224"/>
        <v/>
      </c>
      <c r="DD70" s="20" t="str">
        <f t="shared" ca="1" si="224"/>
        <v/>
      </c>
      <c r="DE70" s="20" t="str">
        <f t="shared" ca="1" si="224"/>
        <v/>
      </c>
      <c r="DF70" s="20" t="str">
        <f t="shared" ca="1" si="224"/>
        <v/>
      </c>
      <c r="DG70" s="34"/>
      <c r="DH70" s="20" t="str">
        <f t="shared" ca="1" si="275"/>
        <v/>
      </c>
      <c r="DI70" s="20" t="str">
        <f t="shared" ca="1" si="276"/>
        <v/>
      </c>
      <c r="DJ70" s="20" t="str">
        <f t="shared" ca="1" si="277"/>
        <v/>
      </c>
      <c r="DK70" s="20" t="str">
        <f t="shared" ca="1" si="278"/>
        <v/>
      </c>
      <c r="DL70" s="20" t="str">
        <f t="shared" ca="1" si="279"/>
        <v/>
      </c>
      <c r="DM70" s="20" t="str">
        <f t="shared" ca="1" si="280"/>
        <v/>
      </c>
      <c r="DN70" s="20" t="str">
        <f t="shared" ca="1" si="281"/>
        <v/>
      </c>
      <c r="DO70" s="20" t="str">
        <f t="shared" ca="1" si="282"/>
        <v/>
      </c>
      <c r="DP70" s="20" t="str">
        <f t="shared" ca="1" si="283"/>
        <v/>
      </c>
      <c r="DQ70" s="20" t="str">
        <f t="shared" ca="1" si="284"/>
        <v/>
      </c>
      <c r="DR70" s="20" t="str">
        <f t="shared" ca="1" si="285"/>
        <v/>
      </c>
      <c r="DS70" s="20" t="str">
        <f t="shared" ca="1" si="286"/>
        <v/>
      </c>
      <c r="DT70" s="20" t="str">
        <f t="shared" ca="1" si="287"/>
        <v/>
      </c>
      <c r="DU70" s="20" t="str">
        <f t="shared" ca="1" si="288"/>
        <v/>
      </c>
      <c r="DV70" s="20" t="str">
        <f t="shared" ca="1" si="289"/>
        <v/>
      </c>
      <c r="DW70" s="20" t="str">
        <f t="shared" ca="1" si="290"/>
        <v/>
      </c>
      <c r="DX70" s="20" t="str">
        <f t="shared" ca="1" si="290"/>
        <v/>
      </c>
      <c r="DY70" s="20" t="str">
        <f t="shared" ca="1" si="290"/>
        <v/>
      </c>
      <c r="DZ70" s="20" t="str">
        <f t="shared" ca="1" si="290"/>
        <v/>
      </c>
      <c r="EA70" s="34"/>
      <c r="EB70" s="20" t="str">
        <f t="shared" ca="1" si="291"/>
        <v/>
      </c>
      <c r="EC70" s="20" t="str">
        <f t="shared" ca="1" si="292"/>
        <v/>
      </c>
      <c r="ED70" s="20" t="str">
        <f t="shared" ca="1" si="293"/>
        <v/>
      </c>
      <c r="EE70" s="20" t="str">
        <f t="shared" ca="1" si="294"/>
        <v/>
      </c>
      <c r="EF70" s="20" t="str">
        <f t="shared" ca="1" si="295"/>
        <v/>
      </c>
      <c r="EG70" s="20" t="str">
        <f t="shared" ca="1" si="296"/>
        <v/>
      </c>
      <c r="EH70" s="20" t="str">
        <f t="shared" ca="1" si="297"/>
        <v/>
      </c>
      <c r="EI70" s="20" t="str">
        <f t="shared" ca="1" si="298"/>
        <v/>
      </c>
      <c r="EJ70" s="20" t="str">
        <f t="shared" ca="1" si="299"/>
        <v/>
      </c>
      <c r="EK70" s="20" t="str">
        <f t="shared" ca="1" si="300"/>
        <v/>
      </c>
      <c r="EL70" s="20" t="str">
        <f t="shared" ca="1" si="301"/>
        <v/>
      </c>
      <c r="EM70" s="20" t="str">
        <f t="shared" ca="1" si="302"/>
        <v/>
      </c>
      <c r="EN70" s="20" t="str">
        <f t="shared" ca="1" si="303"/>
        <v/>
      </c>
      <c r="EO70" s="20" t="str">
        <f t="shared" ca="1" si="304"/>
        <v/>
      </c>
      <c r="EP70" s="20" t="str">
        <f t="shared" ca="1" si="305"/>
        <v/>
      </c>
      <c r="EQ70" s="20" t="str">
        <f t="shared" ca="1" si="306"/>
        <v/>
      </c>
      <c r="ER70" s="20" t="str">
        <f t="shared" ca="1" si="306"/>
        <v/>
      </c>
      <c r="ES70" s="20" t="str">
        <f t="shared" ca="1" si="306"/>
        <v/>
      </c>
      <c r="ET70" s="20" t="str">
        <f t="shared" ca="1" si="306"/>
        <v/>
      </c>
      <c r="EU70" s="34"/>
      <c r="EV70" s="20" t="str">
        <f t="shared" ca="1" si="227"/>
        <v/>
      </c>
      <c r="EW70" s="20" t="str">
        <f t="shared" ca="1" si="227"/>
        <v/>
      </c>
      <c r="EX70" s="20" t="str">
        <f t="shared" ca="1" si="227"/>
        <v/>
      </c>
      <c r="EY70" s="20" t="str">
        <f t="shared" ca="1" si="227"/>
        <v/>
      </c>
      <c r="EZ70" s="20" t="str">
        <f t="shared" ca="1" si="227"/>
        <v/>
      </c>
      <c r="FA70" s="20" t="str">
        <f t="shared" ca="1" si="227"/>
        <v/>
      </c>
      <c r="FB70" s="20" t="str">
        <f t="shared" ca="1" si="227"/>
        <v/>
      </c>
      <c r="FC70" s="20" t="str">
        <f t="shared" ca="1" si="227"/>
        <v/>
      </c>
      <c r="FD70" s="20" t="str">
        <f t="shared" ca="1" si="227"/>
        <v/>
      </c>
      <c r="FE70" s="20" t="str">
        <f t="shared" ca="1" si="227"/>
        <v/>
      </c>
      <c r="FF70" s="20" t="str">
        <f t="shared" ca="1" si="228"/>
        <v/>
      </c>
      <c r="FG70" s="20" t="str">
        <f t="shared" ca="1" si="228"/>
        <v/>
      </c>
      <c r="FH70" s="20" t="str">
        <f t="shared" ca="1" si="228"/>
        <v/>
      </c>
      <c r="FI70" s="20" t="str">
        <f t="shared" ca="1" si="228"/>
        <v/>
      </c>
      <c r="FJ70" s="20" t="str">
        <f t="shared" ca="1" si="228"/>
        <v/>
      </c>
      <c r="FK70" s="20" t="str">
        <f t="shared" ca="1" si="228"/>
        <v/>
      </c>
      <c r="FL70" s="20" t="str">
        <f t="shared" ca="1" si="228"/>
        <v/>
      </c>
      <c r="FM70" s="20" t="str">
        <f t="shared" ca="1" si="228"/>
        <v/>
      </c>
      <c r="FN70" s="20" t="str">
        <f t="shared" ca="1" si="228"/>
        <v/>
      </c>
      <c r="FO70" s="34"/>
      <c r="FP70" s="20" t="str">
        <f t="shared" ca="1" si="229"/>
        <v/>
      </c>
      <c r="FQ70" s="20" t="str">
        <f t="shared" ca="1" si="229"/>
        <v/>
      </c>
      <c r="FR70" s="20" t="str">
        <f t="shared" ca="1" si="229"/>
        <v/>
      </c>
      <c r="FS70" s="20" t="str">
        <f t="shared" ca="1" si="229"/>
        <v/>
      </c>
      <c r="FT70" s="20" t="str">
        <f t="shared" ca="1" si="229"/>
        <v/>
      </c>
      <c r="FU70" s="20" t="str">
        <f t="shared" ca="1" si="229"/>
        <v/>
      </c>
      <c r="FV70" s="20" t="str">
        <f t="shared" ca="1" si="229"/>
        <v/>
      </c>
      <c r="FW70" s="20" t="str">
        <f t="shared" ca="1" si="229"/>
        <v/>
      </c>
      <c r="FX70" s="20" t="str">
        <f t="shared" ca="1" si="229"/>
        <v/>
      </c>
      <c r="FY70" s="20" t="str">
        <f t="shared" ca="1" si="229"/>
        <v/>
      </c>
      <c r="FZ70" s="20" t="str">
        <f t="shared" ca="1" si="230"/>
        <v/>
      </c>
      <c r="GA70" s="20" t="str">
        <f t="shared" ca="1" si="230"/>
        <v/>
      </c>
      <c r="GB70" s="20" t="str">
        <f t="shared" ca="1" si="230"/>
        <v/>
      </c>
      <c r="GC70" s="20" t="str">
        <f t="shared" ca="1" si="230"/>
        <v/>
      </c>
      <c r="GD70" s="20" t="str">
        <f t="shared" ca="1" si="230"/>
        <v/>
      </c>
      <c r="GE70" s="20" t="str">
        <f t="shared" ca="1" si="230"/>
        <v/>
      </c>
      <c r="GF70" s="20" t="str">
        <f t="shared" ca="1" si="230"/>
        <v/>
      </c>
      <c r="GG70" s="20" t="str">
        <f t="shared" ca="1" si="230"/>
        <v/>
      </c>
      <c r="GH70" s="20" t="str">
        <f t="shared" ca="1" si="230"/>
        <v/>
      </c>
      <c r="GI70" s="34"/>
      <c r="HE70" s="34"/>
      <c r="HZ70" s="34"/>
      <c r="IA70" s="19" t="str">
        <f t="shared" ca="1" si="231"/>
        <v>No Hdcp</v>
      </c>
      <c r="IB70" s="19" t="str">
        <f t="shared" ca="1" si="232"/>
        <v>Low of score &amp; 0</v>
      </c>
      <c r="IC70" s="19" t="str">
        <f t="shared" ca="1" si="233"/>
        <v>Low of score &amp; 0</v>
      </c>
      <c r="ID70" s="18" t="str">
        <f t="shared" ca="1" si="234"/>
        <v>Low of score &amp; 0</v>
      </c>
      <c r="IE70" s="18" t="str">
        <f t="shared" ca="1" si="235"/>
        <v>Low of score &amp; 0</v>
      </c>
      <c r="IF70" s="18">
        <f t="shared" ca="1" si="236"/>
        <v>-34.56</v>
      </c>
      <c r="IG70" s="353" t="e">
        <f t="shared" ca="1" si="237"/>
        <v>#NUM!</v>
      </c>
      <c r="IH70" s="18" t="e">
        <f t="shared" ca="1" si="238"/>
        <v>#NUM!</v>
      </c>
      <c r="II70" s="18" t="e">
        <f t="shared" ca="1" si="239"/>
        <v>#NUM!</v>
      </c>
      <c r="IJ70" s="18" t="e">
        <f t="shared" ca="1" si="240"/>
        <v>#NUM!</v>
      </c>
      <c r="IK70" s="18" t="e">
        <f t="shared" ca="1" si="241"/>
        <v>#NUM!</v>
      </c>
      <c r="IL70" s="34"/>
      <c r="IN70" s="18">
        <f t="shared" ca="1" si="242"/>
        <v>0</v>
      </c>
      <c r="IO70" s="18">
        <f t="shared" ca="1" si="243"/>
        <v>0</v>
      </c>
      <c r="IP70" s="18">
        <f t="shared" ca="1" si="244"/>
        <v>0</v>
      </c>
      <c r="IQ70" s="18">
        <f t="shared" ca="1" si="245"/>
        <v>0</v>
      </c>
      <c r="IR70" s="18">
        <f t="shared" ca="1" si="246"/>
        <v>0</v>
      </c>
      <c r="IS70" s="18">
        <f t="shared" ca="1" si="247"/>
        <v>0</v>
      </c>
      <c r="IT70" s="18">
        <f t="shared" ca="1" si="248"/>
        <v>0</v>
      </c>
      <c r="IU70" s="18">
        <f t="shared" ca="1" si="249"/>
        <v>0</v>
      </c>
      <c r="IV70" s="18">
        <f t="shared" ca="1" si="250"/>
        <v>0</v>
      </c>
      <c r="IW70" s="18">
        <f t="shared" ca="1" si="251"/>
        <v>0</v>
      </c>
      <c r="IX70" s="19">
        <f t="shared" ca="1" si="252"/>
        <v>10</v>
      </c>
      <c r="IY70" s="21">
        <f t="shared" ca="1" si="253"/>
        <v>-34.56</v>
      </c>
      <c r="JA70" s="18" t="str">
        <f t="shared" ca="1" si="254"/>
        <v>No Hdcp</v>
      </c>
      <c r="JB70" s="18" t="str">
        <f t="shared" ca="1" si="255"/>
        <v>Low of score &amp; 0</v>
      </c>
      <c r="JC70" s="18" t="str">
        <f t="shared" ca="1" si="256"/>
        <v>Low of score &amp; 0</v>
      </c>
      <c r="JD70" s="18" t="str">
        <f t="shared" ca="1" si="257"/>
        <v>Low of score &amp; 0</v>
      </c>
      <c r="JE70" s="18" t="str">
        <f t="shared" ca="1" si="258"/>
        <v>Low of score &amp; 0</v>
      </c>
      <c r="JF70" s="18">
        <f t="shared" ca="1" si="259"/>
        <v>-34.56</v>
      </c>
      <c r="JG70" s="18">
        <f t="shared" ca="1" si="260"/>
        <v>-34.56</v>
      </c>
      <c r="JH70" s="18">
        <f t="shared" ca="1" si="261"/>
        <v>-34.56</v>
      </c>
      <c r="JI70" s="18">
        <f t="shared" ca="1" si="262"/>
        <v>-34.56</v>
      </c>
      <c r="JJ70" s="18">
        <f t="shared" ca="1" si="263"/>
        <v>-34.56</v>
      </c>
      <c r="JK70" s="18">
        <f t="shared" ca="1" si="264"/>
        <v>-34.56</v>
      </c>
    </row>
    <row r="71" spans="1:271" x14ac:dyDescent="0.2">
      <c r="A71" s="18" t="s">
        <v>76</v>
      </c>
      <c r="B71" s="19">
        <f t="shared" si="272"/>
        <v>61</v>
      </c>
      <c r="C71" s="22">
        <f t="shared" ca="1" si="206"/>
        <v>4.4999999999999997E-3</v>
      </c>
      <c r="D71" s="18" t="str">
        <f t="shared" ca="1" si="265"/>
        <v>Hajba, Michael</v>
      </c>
      <c r="E71" s="19">
        <f t="shared" ca="1" si="207"/>
        <v>6</v>
      </c>
      <c r="F71" s="19">
        <f t="shared" ca="1" si="208"/>
        <v>6</v>
      </c>
      <c r="G71" s="21">
        <f t="shared" ca="1" si="209"/>
        <v>10.08</v>
      </c>
      <c r="H71" s="337" cm="1">
        <f t="array" aca="1" ref="H71" ca="1">IFERROR(_xlfn.SINGLE(INDEX($AF71:$BH71, , SUMPRODUCT(LARGE((($AF71:$BH71&lt;&gt;0)*($BJ71:$CL71&lt;&gt;1)*($AF$5:$BH$5)), H$6)))), "")</f>
        <v>53</v>
      </c>
      <c r="I71" s="338" cm="1">
        <f t="array" aca="1" ref="I71" ca="1">IFERROR(_xlfn.SINGLE(INDEX($AF71:$BH71, , SUMPRODUCT(LARGE((($AF71:$BH71&lt;&gt;0)*($BJ71:$CL71&lt;&gt;1)*($AF$5:$BH$5)), I$6)))), "")</f>
        <v>44</v>
      </c>
      <c r="J71" s="338" cm="1">
        <f t="array" aca="1" ref="J71" ca="1">IFERROR(_xlfn.SINGLE(INDEX($AF71:$BH71, , SUMPRODUCT(LARGE((($AF71:$BH71&lt;&gt;0)*($BJ71:$CL71&lt;&gt;1)*($AF$5:$BH$5)), J$6)))), "")</f>
        <v>49</v>
      </c>
      <c r="K71" s="338" cm="1">
        <f t="array" aca="1" ref="K71" ca="1">IFERROR(_xlfn.SINGLE(INDEX($AF71:$BH71, , SUMPRODUCT(LARGE((($AF71:$BH71&lt;&gt;0)*($BJ71:$CL71&lt;&gt;1)*($AF$5:$BH$5)), K$6)))), "")</f>
        <v>57</v>
      </c>
      <c r="L71" s="338" cm="1">
        <f t="array" aca="1" ref="L71" ca="1">IFERROR(_xlfn.SINGLE(INDEX($AF71:$BH71, , SUMPRODUCT(LARGE((($AF71:$BH71&lt;&gt;0)*($BJ71:$CL71&lt;&gt;1)*($AF$5:$BH$5)), L$6)))), "")</f>
        <v>49</v>
      </c>
      <c r="M71" s="338" cm="1">
        <f t="array" aca="1" ref="M71" ca="1">IFERROR(_xlfn.SINGLE(INDEX($AF71:$BH71, , SUMPRODUCT(LARGE((($AF71:$BH71&lt;&gt;0)*($BJ71:$CL71&lt;&gt;1)*($AF$5:$BH$5)), M$6)))), "")</f>
        <v>49</v>
      </c>
      <c r="N71" s="338" t="str" cm="1">
        <f t="array" aca="1" ref="N71" ca="1">IFERROR(_xlfn.SINGLE(INDEX($AF71:$BH71, , SUMPRODUCT(LARGE((($AF71:$BH71&lt;&gt;0)*($BJ71:$CL71&lt;&gt;1)*($AF$5:$BH$5)), N$6)))), "")</f>
        <v/>
      </c>
      <c r="O71" s="338" t="str" cm="1">
        <f t="array" aca="1" ref="O71" ca="1">IFERROR(_xlfn.SINGLE(INDEX($AF71:$BH71, , SUMPRODUCT(LARGE((($AF71:$BH71&lt;&gt;0)*($BJ71:$CL71&lt;&gt;1)*($AF$5:$BH$5)), O$6)))), "")</f>
        <v/>
      </c>
      <c r="P71" s="338" t="str" cm="1">
        <f t="array" aca="1" ref="P71" ca="1">IFERROR(_xlfn.SINGLE(INDEX($AF71:$BH71, , SUMPRODUCT(LARGE((($AF71:$BH71&lt;&gt;0)*($BJ71:$CL71&lt;&gt;1)*($AF$5:$BH$5)), P$6)))), "")</f>
        <v/>
      </c>
      <c r="Q71" s="339" t="str" cm="1">
        <f t="array" aca="1" ref="Q71" ca="1">IFERROR(_xlfn.SINGLE(INDEX($AF71:$BH71, , SUMPRODUCT(LARGE((($AF71:$BH71&lt;&gt;0)*($BJ71:$CL71&lt;&gt;1)*($AF$5:$BH$5)), Q$6)))), "")</f>
        <v/>
      </c>
      <c r="R71" s="116" t="s">
        <v>455</v>
      </c>
      <c r="S71" s="47">
        <f t="shared" ca="1" si="210"/>
        <v>48.8</v>
      </c>
      <c r="T71" s="21">
        <f t="shared" ca="1" si="211"/>
        <v>50.166666666666664</v>
      </c>
      <c r="U71" s="21">
        <f t="shared" ca="1" si="212"/>
        <v>38.333333333333336</v>
      </c>
      <c r="V71" s="46">
        <f t="shared" ca="1" si="213"/>
        <v>44</v>
      </c>
      <c r="W71" s="19">
        <f t="shared" ca="1" si="214"/>
        <v>33</v>
      </c>
      <c r="X71" s="46">
        <f t="shared" ca="1" si="215"/>
        <v>57</v>
      </c>
      <c r="Y71" s="21">
        <f t="shared" ca="1" si="216"/>
        <v>11.4</v>
      </c>
      <c r="Z71" s="19">
        <f t="shared" ca="1" si="217"/>
        <v>2</v>
      </c>
      <c r="AA71" s="19">
        <f t="shared" ca="1" si="218"/>
        <v>0</v>
      </c>
      <c r="AB71" s="46" t="str">
        <f t="shared" ca="1" si="219"/>
        <v>0-0-0</v>
      </c>
      <c r="AC71" s="218">
        <f t="shared" ca="1" si="273"/>
        <v>3308069638</v>
      </c>
      <c r="AD71" s="57" t="str">
        <f t="shared" ca="1" si="274"/>
        <v>hajba508@gmail.com</v>
      </c>
      <c r="AE71" s="34"/>
      <c r="AF71" s="341"/>
      <c r="AG71" s="341"/>
      <c r="AH71" s="341"/>
      <c r="AI71" s="341"/>
      <c r="AJ71" s="341"/>
      <c r="AK71" s="341"/>
      <c r="AL71" s="341"/>
      <c r="AM71" s="341"/>
      <c r="AN71" s="341"/>
      <c r="AO71" s="341"/>
      <c r="AP71" s="20">
        <f t="shared" ca="1" si="220"/>
        <v>0</v>
      </c>
      <c r="AQ71" s="20">
        <f t="shared" ca="1" si="220"/>
        <v>49</v>
      </c>
      <c r="AR71" s="20">
        <f t="shared" ca="1" si="220"/>
        <v>0</v>
      </c>
      <c r="AS71" s="20">
        <f t="shared" ca="1" si="220"/>
        <v>49</v>
      </c>
      <c r="AT71" s="20">
        <f t="shared" ca="1" si="220"/>
        <v>57</v>
      </c>
      <c r="AU71" s="20">
        <f t="shared" ca="1" si="220"/>
        <v>49</v>
      </c>
      <c r="AV71" s="20">
        <f t="shared" ca="1" si="220"/>
        <v>0</v>
      </c>
      <c r="AW71" s="20">
        <f t="shared" ca="1" si="220"/>
        <v>0</v>
      </c>
      <c r="AX71" s="20">
        <f t="shared" ca="1" si="220"/>
        <v>0</v>
      </c>
      <c r="AY71" s="20">
        <f t="shared" ca="1" si="220"/>
        <v>0</v>
      </c>
      <c r="AZ71" s="20">
        <f t="shared" ca="1" si="221"/>
        <v>0</v>
      </c>
      <c r="BA71" s="20">
        <f t="shared" ca="1" si="221"/>
        <v>0</v>
      </c>
      <c r="BB71" s="20">
        <f t="shared" ca="1" si="221"/>
        <v>0</v>
      </c>
      <c r="BC71" s="20">
        <f t="shared" ca="1" si="221"/>
        <v>0</v>
      </c>
      <c r="BD71" s="20">
        <f t="shared" ca="1" si="221"/>
        <v>0</v>
      </c>
      <c r="BE71" s="20">
        <f t="shared" ca="1" si="221"/>
        <v>44</v>
      </c>
      <c r="BF71" s="20">
        <f t="shared" ca="1" si="221"/>
        <v>0</v>
      </c>
      <c r="BG71" s="20">
        <f t="shared" ca="1" si="221"/>
        <v>0</v>
      </c>
      <c r="BH71" s="20">
        <f t="shared" ca="1" si="221"/>
        <v>53</v>
      </c>
      <c r="BI71" s="34"/>
      <c r="BJ71" s="341">
        <v>0</v>
      </c>
      <c r="BK71" s="341">
        <v>0</v>
      </c>
      <c r="BL71" s="341">
        <v>0</v>
      </c>
      <c r="BM71" s="341">
        <v>0</v>
      </c>
      <c r="BN71" s="341">
        <v>0</v>
      </c>
      <c r="BO71" s="341">
        <v>0</v>
      </c>
      <c r="BP71" s="341">
        <v>0</v>
      </c>
      <c r="BQ71" s="341">
        <v>0</v>
      </c>
      <c r="BR71" s="341">
        <v>0</v>
      </c>
      <c r="BS71" s="341">
        <v>0</v>
      </c>
      <c r="BT71" s="20">
        <f t="shared" ca="1" si="266"/>
        <v>0</v>
      </c>
      <c r="BU71" s="20">
        <f t="shared" ca="1" si="266"/>
        <v>0</v>
      </c>
      <c r="BV71" s="20">
        <f t="shared" ca="1" si="266"/>
        <v>0</v>
      </c>
      <c r="BW71" s="20">
        <f t="shared" ca="1" si="266"/>
        <v>0</v>
      </c>
      <c r="BX71" s="20">
        <f t="shared" ca="1" si="266"/>
        <v>0</v>
      </c>
      <c r="BY71" s="20">
        <f t="shared" ca="1" si="266"/>
        <v>0</v>
      </c>
      <c r="BZ71" s="20">
        <f t="shared" ca="1" si="266"/>
        <v>0</v>
      </c>
      <c r="CA71" s="20">
        <f t="shared" ca="1" si="266"/>
        <v>0</v>
      </c>
      <c r="CB71" s="20">
        <f t="shared" ca="1" si="266"/>
        <v>0</v>
      </c>
      <c r="CC71" s="20">
        <f t="shared" ca="1" si="266"/>
        <v>0</v>
      </c>
      <c r="CD71" s="20">
        <f t="shared" ca="1" si="266"/>
        <v>0</v>
      </c>
      <c r="CE71" s="20">
        <f t="shared" ca="1" si="266"/>
        <v>0</v>
      </c>
      <c r="CF71" s="20">
        <f t="shared" ca="1" si="266"/>
        <v>0</v>
      </c>
      <c r="CG71" s="20">
        <f t="shared" ca="1" si="266"/>
        <v>0</v>
      </c>
      <c r="CH71" s="20">
        <f t="shared" ca="1" si="266"/>
        <v>0</v>
      </c>
      <c r="CI71" s="20">
        <f t="shared" ca="1" si="266"/>
        <v>0</v>
      </c>
      <c r="CJ71" s="20">
        <f t="shared" ca="1" si="267"/>
        <v>0</v>
      </c>
      <c r="CK71" s="20">
        <f t="shared" ca="1" si="267"/>
        <v>0</v>
      </c>
      <c r="CL71" s="20">
        <f t="shared" ca="1" si="267"/>
        <v>0</v>
      </c>
      <c r="CM71" s="34"/>
      <c r="CN71" s="20" t="str">
        <f t="shared" ca="1" si="223"/>
        <v/>
      </c>
      <c r="CO71" s="20">
        <f t="shared" ca="1" si="223"/>
        <v>36</v>
      </c>
      <c r="CP71" s="20" t="str">
        <f t="shared" ca="1" si="223"/>
        <v/>
      </c>
      <c r="CQ71" s="20">
        <f t="shared" ca="1" si="223"/>
        <v>37</v>
      </c>
      <c r="CR71" s="20">
        <f t="shared" ca="1" si="223"/>
        <v>45</v>
      </c>
      <c r="CS71" s="20">
        <f t="shared" ca="1" si="223"/>
        <v>37</v>
      </c>
      <c r="CT71" s="20" t="str">
        <f t="shared" ca="1" si="223"/>
        <v/>
      </c>
      <c r="CU71" s="20" t="str">
        <f t="shared" ca="1" si="223"/>
        <v/>
      </c>
      <c r="CV71" s="20" t="str">
        <f t="shared" ca="1" si="223"/>
        <v/>
      </c>
      <c r="CW71" s="20" t="str">
        <f t="shared" ca="1" si="223"/>
        <v/>
      </c>
      <c r="CX71" s="20" t="str">
        <f t="shared" ca="1" si="224"/>
        <v/>
      </c>
      <c r="CY71" s="20" t="str">
        <f t="shared" ca="1" si="224"/>
        <v/>
      </c>
      <c r="CZ71" s="20" t="str">
        <f t="shared" ca="1" si="224"/>
        <v/>
      </c>
      <c r="DA71" s="20" t="str">
        <f t="shared" ca="1" si="224"/>
        <v/>
      </c>
      <c r="DB71" s="20" t="str">
        <f t="shared" ca="1" si="224"/>
        <v/>
      </c>
      <c r="DC71" s="20">
        <f t="shared" ca="1" si="224"/>
        <v>33</v>
      </c>
      <c r="DD71" s="20" t="str">
        <f t="shared" ca="1" si="224"/>
        <v/>
      </c>
      <c r="DE71" s="20" t="str">
        <f t="shared" ca="1" si="224"/>
        <v/>
      </c>
      <c r="DF71" s="20">
        <f t="shared" ca="1" si="224"/>
        <v>42</v>
      </c>
      <c r="DG71" s="34"/>
      <c r="DH71" s="20" t="str">
        <f t="shared" ca="1" si="275"/>
        <v/>
      </c>
      <c r="DI71" s="20">
        <f t="shared" ca="1" si="276"/>
        <v>16</v>
      </c>
      <c r="DJ71" s="20" t="str">
        <f t="shared" ca="1" si="277"/>
        <v/>
      </c>
      <c r="DK71" s="20">
        <f t="shared" ca="1" si="278"/>
        <v>11</v>
      </c>
      <c r="DL71" s="20">
        <f t="shared" ca="1" si="279"/>
        <v>6</v>
      </c>
      <c r="DM71" s="20">
        <f t="shared" ca="1" si="280"/>
        <v>12</v>
      </c>
      <c r="DN71" s="20" t="str">
        <f t="shared" ca="1" si="281"/>
        <v/>
      </c>
      <c r="DO71" s="20" t="str">
        <f t="shared" ca="1" si="282"/>
        <v/>
      </c>
      <c r="DP71" s="20" t="str">
        <f t="shared" ca="1" si="283"/>
        <v/>
      </c>
      <c r="DQ71" s="20" t="str">
        <f t="shared" ca="1" si="284"/>
        <v/>
      </c>
      <c r="DR71" s="20" t="str">
        <f t="shared" ca="1" si="285"/>
        <v/>
      </c>
      <c r="DS71" s="20" t="str">
        <f t="shared" ca="1" si="286"/>
        <v/>
      </c>
      <c r="DT71" s="20" t="str">
        <f t="shared" ca="1" si="287"/>
        <v/>
      </c>
      <c r="DU71" s="20" t="str">
        <f t="shared" ca="1" si="288"/>
        <v/>
      </c>
      <c r="DV71" s="20" t="str">
        <f t="shared" ca="1" si="289"/>
        <v/>
      </c>
      <c r="DW71" s="20">
        <f t="shared" ca="1" si="290"/>
        <v>12</v>
      </c>
      <c r="DX71" s="20" t="str">
        <f t="shared" ca="1" si="290"/>
        <v/>
      </c>
      <c r="DY71" s="20" t="str">
        <f t="shared" ca="1" si="290"/>
        <v/>
      </c>
      <c r="DZ71" s="20" t="str">
        <f t="shared" ca="1" si="290"/>
        <v/>
      </c>
      <c r="EA71" s="34"/>
      <c r="EB71" s="20" t="str">
        <f t="shared" ca="1" si="291"/>
        <v/>
      </c>
      <c r="EC71" s="20">
        <f t="shared" ca="1" si="292"/>
        <v>1</v>
      </c>
      <c r="ED71" s="20" t="str">
        <f t="shared" ca="1" si="293"/>
        <v/>
      </c>
      <c r="EE71" s="20" t="str">
        <f t="shared" ca="1" si="294"/>
        <v/>
      </c>
      <c r="EF71" s="20" t="str">
        <f t="shared" ca="1" si="295"/>
        <v/>
      </c>
      <c r="EG71" s="20">
        <f t="shared" ca="1" si="296"/>
        <v>1</v>
      </c>
      <c r="EH71" s="20" t="str">
        <f t="shared" ca="1" si="297"/>
        <v/>
      </c>
      <c r="EI71" s="20" t="str">
        <f t="shared" ca="1" si="298"/>
        <v/>
      </c>
      <c r="EJ71" s="20" t="str">
        <f t="shared" ca="1" si="299"/>
        <v/>
      </c>
      <c r="EK71" s="20" t="str">
        <f t="shared" ca="1" si="300"/>
        <v/>
      </c>
      <c r="EL71" s="20" t="str">
        <f t="shared" ca="1" si="301"/>
        <v/>
      </c>
      <c r="EM71" s="20" t="str">
        <f t="shared" ca="1" si="302"/>
        <v/>
      </c>
      <c r="EN71" s="20" t="str">
        <f t="shared" ca="1" si="303"/>
        <v/>
      </c>
      <c r="EO71" s="20" t="str">
        <f t="shared" ca="1" si="304"/>
        <v/>
      </c>
      <c r="EP71" s="20" t="str">
        <f t="shared" ca="1" si="305"/>
        <v/>
      </c>
      <c r="EQ71" s="20" t="str">
        <f t="shared" ca="1" si="306"/>
        <v/>
      </c>
      <c r="ER71" s="20" t="str">
        <f t="shared" ca="1" si="306"/>
        <v/>
      </c>
      <c r="ES71" s="20" t="str">
        <f t="shared" ca="1" si="306"/>
        <v/>
      </c>
      <c r="ET71" s="20" t="str">
        <f t="shared" ca="1" si="306"/>
        <v/>
      </c>
      <c r="EU71" s="34"/>
      <c r="EV71" s="20" t="str">
        <f t="shared" ca="1" si="227"/>
        <v/>
      </c>
      <c r="EW71" s="20" t="str">
        <f t="shared" ca="1" si="227"/>
        <v/>
      </c>
      <c r="EX71" s="20" t="str">
        <f t="shared" ca="1" si="227"/>
        <v/>
      </c>
      <c r="EY71" s="20" t="str">
        <f t="shared" ca="1" si="227"/>
        <v/>
      </c>
      <c r="EZ71" s="20" t="str">
        <f t="shared" ca="1" si="227"/>
        <v/>
      </c>
      <c r="FA71" s="20" t="str">
        <f t="shared" ca="1" si="227"/>
        <v/>
      </c>
      <c r="FB71" s="20" t="str">
        <f t="shared" ca="1" si="227"/>
        <v/>
      </c>
      <c r="FC71" s="20" t="str">
        <f t="shared" ca="1" si="227"/>
        <v/>
      </c>
      <c r="FD71" s="20" t="str">
        <f t="shared" ca="1" si="227"/>
        <v/>
      </c>
      <c r="FE71" s="20" t="str">
        <f t="shared" ca="1" si="227"/>
        <v/>
      </c>
      <c r="FF71" s="20" t="str">
        <f t="shared" ca="1" si="228"/>
        <v/>
      </c>
      <c r="FG71" s="20" t="str">
        <f t="shared" ca="1" si="228"/>
        <v/>
      </c>
      <c r="FH71" s="20" t="str">
        <f t="shared" ca="1" si="228"/>
        <v/>
      </c>
      <c r="FI71" s="20" t="str">
        <f t="shared" ca="1" si="228"/>
        <v/>
      </c>
      <c r="FJ71" s="20" t="str">
        <f t="shared" ca="1" si="228"/>
        <v/>
      </c>
      <c r="FK71" s="20" t="str">
        <f t="shared" ca="1" si="228"/>
        <v/>
      </c>
      <c r="FL71" s="20" t="str">
        <f t="shared" ca="1" si="228"/>
        <v/>
      </c>
      <c r="FM71" s="20" t="str">
        <f t="shared" ca="1" si="228"/>
        <v/>
      </c>
      <c r="FN71" s="20" t="str">
        <f t="shared" ca="1" si="228"/>
        <v/>
      </c>
      <c r="FO71" s="34"/>
      <c r="FP71" s="20" t="str">
        <f t="shared" ca="1" si="229"/>
        <v/>
      </c>
      <c r="FQ71" s="20" t="str">
        <f t="shared" ca="1" si="229"/>
        <v>Mickey Mouse Club</v>
      </c>
      <c r="FR71" s="20" t="str">
        <f t="shared" ca="1" si="229"/>
        <v/>
      </c>
      <c r="FS71" s="20" t="str">
        <f t="shared" ca="1" si="229"/>
        <v>Hack Squad</v>
      </c>
      <c r="FT71" s="20" t="str">
        <f t="shared" ca="1" si="229"/>
        <v>Mickey Mouse Club</v>
      </c>
      <c r="FU71" s="20" t="str">
        <f t="shared" ca="1" si="229"/>
        <v>Mickey Mouse Club</v>
      </c>
      <c r="FV71" s="20" t="str">
        <f t="shared" ca="1" si="229"/>
        <v/>
      </c>
      <c r="FW71" s="20" t="str">
        <f t="shared" ca="1" si="229"/>
        <v/>
      </c>
      <c r="FX71" s="20" t="str">
        <f t="shared" ca="1" si="229"/>
        <v/>
      </c>
      <c r="FY71" s="20" t="str">
        <f t="shared" ca="1" si="229"/>
        <v/>
      </c>
      <c r="FZ71" s="20" t="str">
        <f t="shared" ca="1" si="230"/>
        <v/>
      </c>
      <c r="GA71" s="20" t="str">
        <f t="shared" ca="1" si="230"/>
        <v/>
      </c>
      <c r="GB71" s="20" t="str">
        <f t="shared" ca="1" si="230"/>
        <v/>
      </c>
      <c r="GC71" s="20" t="str">
        <f t="shared" ca="1" si="230"/>
        <v/>
      </c>
      <c r="GD71" s="20" t="str">
        <f t="shared" ca="1" si="230"/>
        <v/>
      </c>
      <c r="GE71" s="20" t="str">
        <f t="shared" ca="1" si="230"/>
        <v>Mickey Mouse Club</v>
      </c>
      <c r="GF71" s="20" t="str">
        <f t="shared" ca="1" si="230"/>
        <v/>
      </c>
      <c r="GG71" s="20" t="str">
        <f t="shared" ca="1" si="230"/>
        <v/>
      </c>
      <c r="GH71" s="20" t="str">
        <f t="shared" ca="1" si="230"/>
        <v>Mickey Mouse Club</v>
      </c>
      <c r="GI71" s="34"/>
      <c r="HE71" s="34"/>
      <c r="HZ71" s="34"/>
      <c r="IA71" s="19" t="str">
        <f t="shared" ca="1" si="231"/>
        <v>No Hdcp</v>
      </c>
      <c r="IB71" s="19" t="str">
        <f t="shared" ca="1" si="232"/>
        <v>Low of score &amp; 53</v>
      </c>
      <c r="IC71" s="19" t="str">
        <f t="shared" ca="1" si="233"/>
        <v>Low of score &amp; 44</v>
      </c>
      <c r="ID71" s="18" t="str">
        <f t="shared" ca="1" si="234"/>
        <v>Low of score &amp; 44</v>
      </c>
      <c r="IE71" s="18" t="str">
        <f t="shared" ca="1" si="235"/>
        <v>Low of score &amp; 44</v>
      </c>
      <c r="IF71" s="18">
        <f t="shared" ca="1" si="236"/>
        <v>7.68</v>
      </c>
      <c r="IG71" s="353">
        <f t="shared" ca="1" si="237"/>
        <v>10.08</v>
      </c>
      <c r="IH71" s="18">
        <f t="shared" ca="1" si="238"/>
        <v>10.88</v>
      </c>
      <c r="II71" s="18">
        <f t="shared" ca="1" si="239"/>
        <v>11.28</v>
      </c>
      <c r="IJ71" s="18">
        <f t="shared" ca="1" si="240"/>
        <v>11.28</v>
      </c>
      <c r="IK71" s="18">
        <f t="shared" ca="1" si="241"/>
        <v>12.29</v>
      </c>
      <c r="IL71" s="34"/>
      <c r="IN71" s="18">
        <f t="shared" si="242"/>
        <v>0</v>
      </c>
      <c r="IO71" s="18">
        <f t="shared" si="243"/>
        <v>0</v>
      </c>
      <c r="IP71" s="18">
        <f t="shared" si="244"/>
        <v>0</v>
      </c>
      <c r="IQ71" s="18">
        <f t="shared" si="245"/>
        <v>0</v>
      </c>
      <c r="IR71" s="18">
        <f t="shared" si="246"/>
        <v>0</v>
      </c>
      <c r="IS71" s="18">
        <f t="shared" si="247"/>
        <v>0</v>
      </c>
      <c r="IT71" s="18">
        <f t="shared" si="248"/>
        <v>0</v>
      </c>
      <c r="IU71" s="18">
        <f t="shared" si="249"/>
        <v>0</v>
      </c>
      <c r="IV71" s="18">
        <f t="shared" si="250"/>
        <v>0</v>
      </c>
      <c r="IW71" s="18">
        <f t="shared" si="251"/>
        <v>0</v>
      </c>
      <c r="IX71" s="19">
        <f t="shared" ca="1" si="252"/>
        <v>10</v>
      </c>
      <c r="IY71" s="21">
        <f t="shared" ca="1" si="253"/>
        <v>-34.56</v>
      </c>
      <c r="JA71" s="18" t="str">
        <f t="shared" ca="1" si="254"/>
        <v>No Hdcp</v>
      </c>
      <c r="JB71" s="18" t="str">
        <f t="shared" ca="1" si="255"/>
        <v>Low of score &amp; 0</v>
      </c>
      <c r="JC71" s="18" t="str">
        <f t="shared" ca="1" si="256"/>
        <v>Low of score &amp; 0</v>
      </c>
      <c r="JD71" s="18" t="str">
        <f t="shared" ca="1" si="257"/>
        <v>Low of score &amp; 0</v>
      </c>
      <c r="JE71" s="18" t="str">
        <f t="shared" ca="1" si="258"/>
        <v>Low of score &amp; 0</v>
      </c>
      <c r="JF71" s="18">
        <f t="shared" ca="1" si="259"/>
        <v>-34.56</v>
      </c>
      <c r="JG71" s="18">
        <f t="shared" ca="1" si="260"/>
        <v>-34.56</v>
      </c>
      <c r="JH71" s="18">
        <f t="shared" ca="1" si="261"/>
        <v>-34.56</v>
      </c>
      <c r="JI71" s="18">
        <f t="shared" ca="1" si="262"/>
        <v>-34.56</v>
      </c>
      <c r="JJ71" s="18">
        <f t="shared" ca="1" si="263"/>
        <v>-34.56</v>
      </c>
      <c r="JK71" s="18">
        <f t="shared" ca="1" si="264"/>
        <v>-34.56</v>
      </c>
    </row>
    <row r="72" spans="1:271" x14ac:dyDescent="0.2">
      <c r="A72" s="18" t="s">
        <v>76</v>
      </c>
      <c r="B72" s="19">
        <f t="shared" si="272"/>
        <v>69</v>
      </c>
      <c r="C72" s="22">
        <f t="shared" ca="1" si="206"/>
        <v>4.5999999999999999E-3</v>
      </c>
      <c r="D72" s="18" t="str">
        <f t="shared" ca="1" si="265"/>
        <v>Hardwick, Mike - gold tees</v>
      </c>
      <c r="E72" s="19">
        <f t="shared" ca="1" si="207"/>
        <v>0</v>
      </c>
      <c r="F72" s="19">
        <f t="shared" ca="1" si="208"/>
        <v>0</v>
      </c>
      <c r="G72" s="21" t="str">
        <f t="shared" ca="1" si="209"/>
        <v>No Hdcp</v>
      </c>
      <c r="H72" s="337" t="str" cm="1">
        <f t="array" aca="1" ref="H72" ca="1">IFERROR(_xlfn.SINGLE(INDEX($AF72:$BH72, , SUMPRODUCT(LARGE((($AF72:$BH72&lt;&gt;0)*($BJ72:$CL72&lt;&gt;1)*($AF$5:$BH$5)), H$6)))), "")</f>
        <v/>
      </c>
      <c r="I72" s="338" t="str" cm="1">
        <f t="array" aca="1" ref="I72" ca="1">IFERROR(_xlfn.SINGLE(INDEX($AF72:$BH72, , SUMPRODUCT(LARGE((($AF72:$BH72&lt;&gt;0)*($BJ72:$CL72&lt;&gt;1)*($AF$5:$BH$5)), I$6)))), "")</f>
        <v/>
      </c>
      <c r="J72" s="338" t="str" cm="1">
        <f t="array" aca="1" ref="J72" ca="1">IFERROR(_xlfn.SINGLE(INDEX($AF72:$BH72, , SUMPRODUCT(LARGE((($AF72:$BH72&lt;&gt;0)*($BJ72:$CL72&lt;&gt;1)*($AF$5:$BH$5)), J$6)))), "")</f>
        <v/>
      </c>
      <c r="K72" s="338" t="str" cm="1">
        <f t="array" aca="1" ref="K72" ca="1">IFERROR(_xlfn.SINGLE(INDEX($AF72:$BH72, , SUMPRODUCT(LARGE((($AF72:$BH72&lt;&gt;0)*($BJ72:$CL72&lt;&gt;1)*($AF$5:$BH$5)), K$6)))), "")</f>
        <v/>
      </c>
      <c r="L72" s="338" t="str" cm="1">
        <f t="array" aca="1" ref="L72" ca="1">IFERROR(_xlfn.SINGLE(INDEX($AF72:$BH72, , SUMPRODUCT(LARGE((($AF72:$BH72&lt;&gt;0)*($BJ72:$CL72&lt;&gt;1)*($AF$5:$BH$5)), L$6)))), "")</f>
        <v/>
      </c>
      <c r="M72" s="338" t="str" cm="1">
        <f t="array" aca="1" ref="M72" ca="1">IFERROR(_xlfn.SINGLE(INDEX($AF72:$BH72, , SUMPRODUCT(LARGE((($AF72:$BH72&lt;&gt;0)*($BJ72:$CL72&lt;&gt;1)*($AF$5:$BH$5)), M$6)))), "")</f>
        <v/>
      </c>
      <c r="N72" s="338" t="str" cm="1">
        <f t="array" aca="1" ref="N72" ca="1">IFERROR(_xlfn.SINGLE(INDEX($AF72:$BH72, , SUMPRODUCT(LARGE((($AF72:$BH72&lt;&gt;0)*($BJ72:$CL72&lt;&gt;1)*($AF$5:$BH$5)), N$6)))), "")</f>
        <v/>
      </c>
      <c r="O72" s="338" t="str" cm="1">
        <f t="array" aca="1" ref="O72" ca="1">IFERROR(_xlfn.SINGLE(INDEX($AF72:$BH72, , SUMPRODUCT(LARGE((($AF72:$BH72&lt;&gt;0)*($BJ72:$CL72&lt;&gt;1)*($AF$5:$BH$5)), O$6)))), "")</f>
        <v/>
      </c>
      <c r="P72" s="338" t="str" cm="1">
        <f t="array" aca="1" ref="P72" ca="1">IFERROR(_xlfn.SINGLE(INDEX($AF72:$BH72, , SUMPRODUCT(LARGE((($AF72:$BH72&lt;&gt;0)*($BJ72:$CL72&lt;&gt;1)*($AF$5:$BH$5)), P$6)))), "")</f>
        <v/>
      </c>
      <c r="Q72" s="339" t="str" cm="1">
        <f t="array" aca="1" ref="Q72" ca="1">IFERROR(_xlfn.SINGLE(INDEX($AF72:$BH72, , SUMPRODUCT(LARGE((($AF72:$BH72&lt;&gt;0)*($BJ72:$CL72&lt;&gt;1)*($AF$5:$BH$5)), Q$6)))), "")</f>
        <v/>
      </c>
      <c r="R72" s="116" t="s">
        <v>451</v>
      </c>
      <c r="S72" s="47" t="str">
        <f t="shared" ca="1" si="210"/>
        <v>-</v>
      </c>
      <c r="T72" s="21" t="str">
        <f t="shared" ca="1" si="211"/>
        <v>-</v>
      </c>
      <c r="U72" s="21" t="str">
        <f t="shared" ca="1" si="212"/>
        <v>-</v>
      </c>
      <c r="V72" s="46" t="str">
        <f t="shared" ca="1" si="213"/>
        <v/>
      </c>
      <c r="W72" s="19" t="str">
        <f t="shared" ca="1" si="214"/>
        <v/>
      </c>
      <c r="X72" s="46">
        <f t="shared" ca="1" si="215"/>
        <v>0</v>
      </c>
      <c r="Y72" s="21" t="str">
        <f t="shared" ca="1" si="216"/>
        <v>-</v>
      </c>
      <c r="Z72" s="19">
        <f t="shared" ca="1" si="217"/>
        <v>0</v>
      </c>
      <c r="AA72" s="19">
        <f t="shared" ca="1" si="218"/>
        <v>0</v>
      </c>
      <c r="AB72" s="46" t="str">
        <f t="shared" ca="1" si="219"/>
        <v>0-0-0</v>
      </c>
      <c r="AC72" s="218" t="str">
        <f t="shared" ca="1" si="273"/>
        <v>(330) 904-2119</v>
      </c>
      <c r="AD72" s="57">
        <f t="shared" ca="1" si="274"/>
        <v>0</v>
      </c>
      <c r="AE72" s="34"/>
      <c r="AF72" s="341">
        <f ca="1">INDEX(PriorScores[],MATCH($D72,PriorScores[Team / Player],0),2)</f>
        <v>0</v>
      </c>
      <c r="AG72" s="341">
        <f ca="1">INDEX(PriorScores[],MATCH($D72,PriorScores[Team / Player],0),3)</f>
        <v>0</v>
      </c>
      <c r="AH72" s="341">
        <f ca="1">INDEX(PriorScores[],MATCH($D72,PriorScores[Team / Player],0),4)</f>
        <v>0</v>
      </c>
      <c r="AI72" s="341">
        <f ca="1">INDEX(PriorScores[],MATCH($D72,PriorScores[Team / Player],0),5)</f>
        <v>0</v>
      </c>
      <c r="AJ72" s="341">
        <f ca="1">INDEX(PriorScores[],MATCH($D72,PriorScores[Team / Player],0),6)</f>
        <v>0</v>
      </c>
      <c r="AK72" s="341">
        <f ca="1">INDEX(PriorScores[],MATCH($D72,PriorScores[Team / Player],0),7)</f>
        <v>0</v>
      </c>
      <c r="AL72" s="341">
        <f ca="1">INDEX(PriorScores[],MATCH($D72,PriorScores[Team / Player],0),8)</f>
        <v>0</v>
      </c>
      <c r="AM72" s="341">
        <f ca="1">INDEX(PriorScores[],MATCH($D72,PriorScores[Team / Player],0),9)</f>
        <v>0</v>
      </c>
      <c r="AN72" s="341">
        <f ca="1">INDEX(PriorScores[],MATCH($D72,PriorScores[Team / Player],0),10)</f>
        <v>0</v>
      </c>
      <c r="AO72" s="341"/>
      <c r="AP72" s="20">
        <f t="shared" ca="1" si="220"/>
        <v>0</v>
      </c>
      <c r="AQ72" s="20">
        <f t="shared" ca="1" si="220"/>
        <v>0</v>
      </c>
      <c r="AR72" s="20">
        <f t="shared" ca="1" si="220"/>
        <v>0</v>
      </c>
      <c r="AS72" s="20">
        <f t="shared" ca="1" si="220"/>
        <v>0</v>
      </c>
      <c r="AT72" s="20">
        <f t="shared" ca="1" si="220"/>
        <v>0</v>
      </c>
      <c r="AU72" s="20">
        <f t="shared" ca="1" si="220"/>
        <v>0</v>
      </c>
      <c r="AV72" s="20">
        <f t="shared" ca="1" si="220"/>
        <v>0</v>
      </c>
      <c r="AW72" s="20">
        <f t="shared" ca="1" si="220"/>
        <v>0</v>
      </c>
      <c r="AX72" s="20">
        <f t="shared" ca="1" si="220"/>
        <v>0</v>
      </c>
      <c r="AY72" s="20">
        <f t="shared" ca="1" si="220"/>
        <v>0</v>
      </c>
      <c r="AZ72" s="20">
        <f t="shared" ca="1" si="221"/>
        <v>0</v>
      </c>
      <c r="BA72" s="20">
        <f t="shared" ca="1" si="221"/>
        <v>0</v>
      </c>
      <c r="BB72" s="20">
        <f t="shared" ca="1" si="221"/>
        <v>0</v>
      </c>
      <c r="BC72" s="20">
        <f t="shared" ca="1" si="221"/>
        <v>0</v>
      </c>
      <c r="BD72" s="20">
        <f t="shared" ca="1" si="221"/>
        <v>0</v>
      </c>
      <c r="BE72" s="20">
        <f t="shared" ca="1" si="221"/>
        <v>0</v>
      </c>
      <c r="BF72" s="20">
        <f t="shared" ca="1" si="221"/>
        <v>0</v>
      </c>
      <c r="BG72" s="20">
        <f t="shared" ca="1" si="221"/>
        <v>0</v>
      </c>
      <c r="BH72" s="20">
        <f t="shared" ca="1" si="221"/>
        <v>0</v>
      </c>
      <c r="BI72" s="34"/>
      <c r="BJ72" s="341">
        <v>0</v>
      </c>
      <c r="BK72" s="341">
        <v>0</v>
      </c>
      <c r="BL72" s="341">
        <v>0</v>
      </c>
      <c r="BM72" s="341">
        <v>0</v>
      </c>
      <c r="BN72" s="341">
        <v>0</v>
      </c>
      <c r="BO72" s="341">
        <v>0</v>
      </c>
      <c r="BP72" s="341">
        <v>0</v>
      </c>
      <c r="BQ72" s="341">
        <v>0</v>
      </c>
      <c r="BR72" s="341">
        <v>0</v>
      </c>
      <c r="BS72" s="341">
        <v>0</v>
      </c>
      <c r="BT72" s="20">
        <f t="shared" ca="1" si="266"/>
        <v>0</v>
      </c>
      <c r="BU72" s="20">
        <f t="shared" ca="1" si="266"/>
        <v>0</v>
      </c>
      <c r="BV72" s="20">
        <f t="shared" ca="1" si="266"/>
        <v>0</v>
      </c>
      <c r="BW72" s="20">
        <f t="shared" ca="1" si="266"/>
        <v>0</v>
      </c>
      <c r="BX72" s="20">
        <f t="shared" ca="1" si="266"/>
        <v>0</v>
      </c>
      <c r="BY72" s="20">
        <f t="shared" ca="1" si="266"/>
        <v>0</v>
      </c>
      <c r="BZ72" s="20">
        <f t="shared" ca="1" si="266"/>
        <v>0</v>
      </c>
      <c r="CA72" s="20">
        <f t="shared" ca="1" si="266"/>
        <v>0</v>
      </c>
      <c r="CB72" s="20">
        <f t="shared" ca="1" si="266"/>
        <v>0</v>
      </c>
      <c r="CC72" s="20">
        <f t="shared" ca="1" si="266"/>
        <v>0</v>
      </c>
      <c r="CD72" s="20">
        <f t="shared" ca="1" si="266"/>
        <v>0</v>
      </c>
      <c r="CE72" s="20">
        <f t="shared" ca="1" si="266"/>
        <v>0</v>
      </c>
      <c r="CF72" s="20">
        <f t="shared" ca="1" si="266"/>
        <v>0</v>
      </c>
      <c r="CG72" s="20">
        <f t="shared" ca="1" si="266"/>
        <v>0</v>
      </c>
      <c r="CH72" s="20">
        <f t="shared" ca="1" si="266"/>
        <v>0</v>
      </c>
      <c r="CI72" s="20">
        <f t="shared" ca="1" si="266"/>
        <v>0</v>
      </c>
      <c r="CJ72" s="20">
        <f t="shared" ca="1" si="267"/>
        <v>0</v>
      </c>
      <c r="CK72" s="20">
        <f t="shared" ca="1" si="267"/>
        <v>0</v>
      </c>
      <c r="CL72" s="20">
        <f t="shared" ca="1" si="267"/>
        <v>0</v>
      </c>
      <c r="CM72" s="34"/>
      <c r="CN72" s="20" t="str">
        <f t="shared" ca="1" si="223"/>
        <v/>
      </c>
      <c r="CO72" s="20" t="str">
        <f t="shared" ca="1" si="223"/>
        <v/>
      </c>
      <c r="CP72" s="20" t="str">
        <f t="shared" ca="1" si="223"/>
        <v/>
      </c>
      <c r="CQ72" s="20" t="str">
        <f t="shared" ca="1" si="223"/>
        <v/>
      </c>
      <c r="CR72" s="20" t="str">
        <f t="shared" ca="1" si="223"/>
        <v/>
      </c>
      <c r="CS72" s="20" t="str">
        <f t="shared" ca="1" si="223"/>
        <v/>
      </c>
      <c r="CT72" s="20" t="str">
        <f t="shared" ca="1" si="223"/>
        <v/>
      </c>
      <c r="CU72" s="20" t="str">
        <f t="shared" ca="1" si="223"/>
        <v/>
      </c>
      <c r="CV72" s="20" t="str">
        <f t="shared" ca="1" si="223"/>
        <v/>
      </c>
      <c r="CW72" s="20" t="str">
        <f t="shared" ca="1" si="223"/>
        <v/>
      </c>
      <c r="CX72" s="20" t="str">
        <f t="shared" ca="1" si="224"/>
        <v/>
      </c>
      <c r="CY72" s="20" t="str">
        <f t="shared" ca="1" si="224"/>
        <v/>
      </c>
      <c r="CZ72" s="20" t="str">
        <f t="shared" ca="1" si="224"/>
        <v/>
      </c>
      <c r="DA72" s="20" t="str">
        <f t="shared" ca="1" si="224"/>
        <v/>
      </c>
      <c r="DB72" s="20" t="str">
        <f t="shared" ca="1" si="224"/>
        <v/>
      </c>
      <c r="DC72" s="20" t="str">
        <f t="shared" ca="1" si="224"/>
        <v/>
      </c>
      <c r="DD72" s="20" t="str">
        <f t="shared" ca="1" si="224"/>
        <v/>
      </c>
      <c r="DE72" s="20" t="str">
        <f t="shared" ca="1" si="224"/>
        <v/>
      </c>
      <c r="DF72" s="20" t="str">
        <f t="shared" ca="1" si="224"/>
        <v/>
      </c>
      <c r="DG72" s="34"/>
      <c r="DH72" s="20" t="str">
        <f t="shared" ca="1" si="275"/>
        <v/>
      </c>
      <c r="DI72" s="20" t="str">
        <f t="shared" ca="1" si="276"/>
        <v/>
      </c>
      <c r="DJ72" s="20" t="str">
        <f t="shared" ca="1" si="277"/>
        <v/>
      </c>
      <c r="DK72" s="20" t="str">
        <f t="shared" ca="1" si="278"/>
        <v/>
      </c>
      <c r="DL72" s="20" t="str">
        <f t="shared" ca="1" si="279"/>
        <v/>
      </c>
      <c r="DM72" s="20" t="str">
        <f t="shared" ca="1" si="280"/>
        <v/>
      </c>
      <c r="DN72" s="20" t="str">
        <f t="shared" ca="1" si="281"/>
        <v/>
      </c>
      <c r="DO72" s="20" t="str">
        <f t="shared" ca="1" si="282"/>
        <v/>
      </c>
      <c r="DP72" s="20" t="str">
        <f t="shared" ca="1" si="283"/>
        <v/>
      </c>
      <c r="DQ72" s="20" t="str">
        <f t="shared" ca="1" si="284"/>
        <v/>
      </c>
      <c r="DR72" s="20" t="str">
        <f t="shared" ca="1" si="285"/>
        <v/>
      </c>
      <c r="DS72" s="20" t="str">
        <f t="shared" ca="1" si="286"/>
        <v/>
      </c>
      <c r="DT72" s="20" t="str">
        <f t="shared" ca="1" si="287"/>
        <v/>
      </c>
      <c r="DU72" s="20" t="str">
        <f t="shared" ca="1" si="288"/>
        <v/>
      </c>
      <c r="DV72" s="20" t="str">
        <f t="shared" ca="1" si="289"/>
        <v/>
      </c>
      <c r="DW72" s="20" t="str">
        <f t="shared" ca="1" si="290"/>
        <v/>
      </c>
      <c r="DX72" s="20" t="str">
        <f t="shared" ca="1" si="290"/>
        <v/>
      </c>
      <c r="DY72" s="20" t="str">
        <f t="shared" ca="1" si="290"/>
        <v/>
      </c>
      <c r="DZ72" s="20" t="str">
        <f t="shared" ca="1" si="290"/>
        <v/>
      </c>
      <c r="EA72" s="34"/>
      <c r="EB72" s="20" t="str">
        <f t="shared" ca="1" si="291"/>
        <v/>
      </c>
      <c r="EC72" s="20" t="str">
        <f t="shared" ca="1" si="292"/>
        <v/>
      </c>
      <c r="ED72" s="20" t="str">
        <f t="shared" ca="1" si="293"/>
        <v/>
      </c>
      <c r="EE72" s="20" t="str">
        <f t="shared" ca="1" si="294"/>
        <v/>
      </c>
      <c r="EF72" s="20" t="str">
        <f t="shared" ca="1" si="295"/>
        <v/>
      </c>
      <c r="EG72" s="20" t="str">
        <f t="shared" ca="1" si="296"/>
        <v/>
      </c>
      <c r="EH72" s="20" t="str">
        <f t="shared" ca="1" si="297"/>
        <v/>
      </c>
      <c r="EI72" s="20" t="str">
        <f t="shared" ca="1" si="298"/>
        <v/>
      </c>
      <c r="EJ72" s="20" t="str">
        <f t="shared" ca="1" si="299"/>
        <v/>
      </c>
      <c r="EK72" s="20" t="str">
        <f t="shared" ca="1" si="300"/>
        <v/>
      </c>
      <c r="EL72" s="20" t="str">
        <f t="shared" ca="1" si="301"/>
        <v/>
      </c>
      <c r="EM72" s="20" t="str">
        <f t="shared" ca="1" si="302"/>
        <v/>
      </c>
      <c r="EN72" s="20" t="str">
        <f t="shared" ca="1" si="303"/>
        <v/>
      </c>
      <c r="EO72" s="20" t="str">
        <f t="shared" ca="1" si="304"/>
        <v/>
      </c>
      <c r="EP72" s="20" t="str">
        <f t="shared" ca="1" si="305"/>
        <v/>
      </c>
      <c r="EQ72" s="20" t="str">
        <f t="shared" ca="1" si="306"/>
        <v/>
      </c>
      <c r="ER72" s="20" t="str">
        <f t="shared" ca="1" si="306"/>
        <v/>
      </c>
      <c r="ES72" s="20" t="str">
        <f t="shared" ca="1" si="306"/>
        <v/>
      </c>
      <c r="ET72" s="20" t="str">
        <f t="shared" ca="1" si="306"/>
        <v/>
      </c>
      <c r="EU72" s="34"/>
      <c r="EV72" s="20" t="str">
        <f t="shared" ca="1" si="227"/>
        <v/>
      </c>
      <c r="EW72" s="20" t="str">
        <f t="shared" ca="1" si="227"/>
        <v/>
      </c>
      <c r="EX72" s="20" t="str">
        <f t="shared" ca="1" si="227"/>
        <v/>
      </c>
      <c r="EY72" s="20" t="str">
        <f t="shared" ca="1" si="227"/>
        <v/>
      </c>
      <c r="EZ72" s="20" t="str">
        <f t="shared" ca="1" si="227"/>
        <v/>
      </c>
      <c r="FA72" s="20" t="str">
        <f t="shared" ca="1" si="227"/>
        <v/>
      </c>
      <c r="FB72" s="20" t="str">
        <f t="shared" ca="1" si="227"/>
        <v/>
      </c>
      <c r="FC72" s="20" t="str">
        <f t="shared" ca="1" si="227"/>
        <v/>
      </c>
      <c r="FD72" s="20" t="str">
        <f t="shared" ca="1" si="227"/>
        <v/>
      </c>
      <c r="FE72" s="20" t="str">
        <f t="shared" ca="1" si="227"/>
        <v/>
      </c>
      <c r="FF72" s="20" t="str">
        <f t="shared" ca="1" si="228"/>
        <v/>
      </c>
      <c r="FG72" s="20" t="str">
        <f t="shared" ca="1" si="228"/>
        <v/>
      </c>
      <c r="FH72" s="20" t="str">
        <f t="shared" ca="1" si="228"/>
        <v/>
      </c>
      <c r="FI72" s="20" t="str">
        <f t="shared" ca="1" si="228"/>
        <v/>
      </c>
      <c r="FJ72" s="20" t="str">
        <f t="shared" ca="1" si="228"/>
        <v/>
      </c>
      <c r="FK72" s="20" t="str">
        <f t="shared" ca="1" si="228"/>
        <v/>
      </c>
      <c r="FL72" s="20" t="str">
        <f t="shared" ca="1" si="228"/>
        <v/>
      </c>
      <c r="FM72" s="20" t="str">
        <f t="shared" ca="1" si="228"/>
        <v/>
      </c>
      <c r="FN72" s="20" t="str">
        <f t="shared" ca="1" si="228"/>
        <v/>
      </c>
      <c r="FO72" s="34"/>
      <c r="FP72" s="20" t="str">
        <f t="shared" ca="1" si="229"/>
        <v/>
      </c>
      <c r="FQ72" s="20" t="str">
        <f t="shared" ca="1" si="229"/>
        <v/>
      </c>
      <c r="FR72" s="20" t="str">
        <f t="shared" ca="1" si="229"/>
        <v/>
      </c>
      <c r="FS72" s="20" t="str">
        <f t="shared" ca="1" si="229"/>
        <v/>
      </c>
      <c r="FT72" s="20" t="str">
        <f t="shared" ca="1" si="229"/>
        <v/>
      </c>
      <c r="FU72" s="20" t="str">
        <f t="shared" ca="1" si="229"/>
        <v/>
      </c>
      <c r="FV72" s="20" t="str">
        <f t="shared" ca="1" si="229"/>
        <v/>
      </c>
      <c r="FW72" s="20" t="str">
        <f t="shared" ca="1" si="229"/>
        <v/>
      </c>
      <c r="FX72" s="20" t="str">
        <f t="shared" ca="1" si="229"/>
        <v/>
      </c>
      <c r="FY72" s="20" t="str">
        <f t="shared" ca="1" si="229"/>
        <v/>
      </c>
      <c r="FZ72" s="20" t="str">
        <f t="shared" ca="1" si="230"/>
        <v/>
      </c>
      <c r="GA72" s="20" t="str">
        <f t="shared" ca="1" si="230"/>
        <v/>
      </c>
      <c r="GB72" s="20" t="str">
        <f t="shared" ca="1" si="230"/>
        <v/>
      </c>
      <c r="GC72" s="20" t="str">
        <f t="shared" ca="1" si="230"/>
        <v/>
      </c>
      <c r="GD72" s="20" t="str">
        <f t="shared" ca="1" si="230"/>
        <v/>
      </c>
      <c r="GE72" s="20" t="str">
        <f t="shared" ca="1" si="230"/>
        <v/>
      </c>
      <c r="GF72" s="20" t="str">
        <f t="shared" ca="1" si="230"/>
        <v/>
      </c>
      <c r="GG72" s="20" t="str">
        <f t="shared" ca="1" si="230"/>
        <v/>
      </c>
      <c r="GH72" s="20" t="str">
        <f t="shared" ca="1" si="230"/>
        <v/>
      </c>
      <c r="GI72" s="34"/>
      <c r="HE72" s="34"/>
      <c r="HZ72" s="34"/>
      <c r="IA72" s="19" t="str">
        <f t="shared" ca="1" si="231"/>
        <v>No Hdcp</v>
      </c>
      <c r="IB72" s="19" t="str">
        <f t="shared" ca="1" si="232"/>
        <v>Low of score &amp; 0</v>
      </c>
      <c r="IC72" s="19" t="str">
        <f t="shared" ca="1" si="233"/>
        <v>Low of score &amp; 0</v>
      </c>
      <c r="ID72" s="18" t="str">
        <f t="shared" ca="1" si="234"/>
        <v>Low of score &amp; 0</v>
      </c>
      <c r="IE72" s="18" t="str">
        <f t="shared" ca="1" si="235"/>
        <v>Low of score &amp; 0</v>
      </c>
      <c r="IF72" s="18">
        <f t="shared" ca="1" si="236"/>
        <v>-34.56</v>
      </c>
      <c r="IG72" s="353" t="e">
        <f t="shared" ca="1" si="237"/>
        <v>#NUM!</v>
      </c>
      <c r="IH72" s="18" t="e">
        <f t="shared" ca="1" si="238"/>
        <v>#NUM!</v>
      </c>
      <c r="II72" s="18" t="e">
        <f t="shared" ca="1" si="239"/>
        <v>#NUM!</v>
      </c>
      <c r="IJ72" s="18" t="e">
        <f t="shared" ca="1" si="240"/>
        <v>#NUM!</v>
      </c>
      <c r="IK72" s="18" t="e">
        <f t="shared" ca="1" si="241"/>
        <v>#NUM!</v>
      </c>
      <c r="IL72" s="34"/>
      <c r="IN72" s="18">
        <f t="shared" si="242"/>
        <v>0</v>
      </c>
      <c r="IO72" s="18">
        <f t="shared" ca="1" si="243"/>
        <v>0</v>
      </c>
      <c r="IP72" s="18">
        <f t="shared" ca="1" si="244"/>
        <v>0</v>
      </c>
      <c r="IQ72" s="18">
        <f t="shared" ca="1" si="245"/>
        <v>0</v>
      </c>
      <c r="IR72" s="18">
        <f t="shared" ca="1" si="246"/>
        <v>0</v>
      </c>
      <c r="IS72" s="18">
        <f t="shared" ca="1" si="247"/>
        <v>0</v>
      </c>
      <c r="IT72" s="18">
        <f t="shared" ca="1" si="248"/>
        <v>0</v>
      </c>
      <c r="IU72" s="18">
        <f t="shared" ca="1" si="249"/>
        <v>0</v>
      </c>
      <c r="IV72" s="18">
        <f t="shared" ca="1" si="250"/>
        <v>0</v>
      </c>
      <c r="IW72" s="18">
        <f t="shared" ca="1" si="251"/>
        <v>0</v>
      </c>
      <c r="IX72" s="19">
        <f t="shared" ca="1" si="252"/>
        <v>10</v>
      </c>
      <c r="IY72" s="21">
        <f t="shared" ca="1" si="253"/>
        <v>-34.56</v>
      </c>
      <c r="JA72" s="18" t="str">
        <f t="shared" ca="1" si="254"/>
        <v>No Hdcp</v>
      </c>
      <c r="JB72" s="18" t="str">
        <f t="shared" ca="1" si="255"/>
        <v>Low of score &amp; 0</v>
      </c>
      <c r="JC72" s="18" t="str">
        <f t="shared" ca="1" si="256"/>
        <v>Low of score &amp; 0</v>
      </c>
      <c r="JD72" s="18" t="str">
        <f t="shared" ca="1" si="257"/>
        <v>Low of score &amp; 0</v>
      </c>
      <c r="JE72" s="18" t="str">
        <f t="shared" ca="1" si="258"/>
        <v>Low of score &amp; 0</v>
      </c>
      <c r="JF72" s="18">
        <f t="shared" ca="1" si="259"/>
        <v>-34.56</v>
      </c>
      <c r="JG72" s="18">
        <f t="shared" ca="1" si="260"/>
        <v>-34.56</v>
      </c>
      <c r="JH72" s="18">
        <f t="shared" ca="1" si="261"/>
        <v>-34.56</v>
      </c>
      <c r="JI72" s="18">
        <f t="shared" ca="1" si="262"/>
        <v>-34.56</v>
      </c>
      <c r="JJ72" s="18">
        <f t="shared" ca="1" si="263"/>
        <v>-34.56</v>
      </c>
      <c r="JK72" s="18">
        <f t="shared" ca="1" si="264"/>
        <v>-34.56</v>
      </c>
    </row>
    <row r="73" spans="1:271" x14ac:dyDescent="0.2">
      <c r="A73" s="18" t="s">
        <v>76</v>
      </c>
      <c r="B73" s="19">
        <f t="shared" si="272"/>
        <v>77</v>
      </c>
      <c r="C73" s="22">
        <f t="shared" ca="1" si="206"/>
        <v>4.7000000000000002E-3</v>
      </c>
      <c r="D73" s="18" t="str">
        <f t="shared" ca="1" si="265"/>
        <v>Haslar, Dave - gold tees</v>
      </c>
      <c r="E73" s="19">
        <f t="shared" ca="1" si="207"/>
        <v>1</v>
      </c>
      <c r="F73" s="19">
        <f t="shared" ca="1" si="208"/>
        <v>1</v>
      </c>
      <c r="G73" s="21" t="str">
        <f t="shared" ca="1" si="209"/>
        <v>Low of score &amp; 50</v>
      </c>
      <c r="H73" s="337" cm="1">
        <f t="array" aca="1" ref="H73" ca="1">IFERROR(_xlfn.SINGLE(INDEX($AF73:$BH73, , SUMPRODUCT(LARGE((($AF73:$BH73&lt;&gt;0)*($BJ73:$CL73&lt;&gt;1)*($AF$5:$BH$5)), H$6)))), "")</f>
        <v>50</v>
      </c>
      <c r="I73" s="338" t="str" cm="1">
        <f t="array" aca="1" ref="I73" ca="1">IFERROR(_xlfn.SINGLE(INDEX($AF73:$BH73, , SUMPRODUCT(LARGE((($AF73:$BH73&lt;&gt;0)*($BJ73:$CL73&lt;&gt;1)*($AF$5:$BH$5)), I$6)))), "")</f>
        <v/>
      </c>
      <c r="J73" s="338" t="str" cm="1">
        <f t="array" aca="1" ref="J73" ca="1">IFERROR(_xlfn.SINGLE(INDEX($AF73:$BH73, , SUMPRODUCT(LARGE((($AF73:$BH73&lt;&gt;0)*($BJ73:$CL73&lt;&gt;1)*($AF$5:$BH$5)), J$6)))), "")</f>
        <v/>
      </c>
      <c r="K73" s="338" t="str" cm="1">
        <f t="array" aca="1" ref="K73" ca="1">IFERROR(_xlfn.SINGLE(INDEX($AF73:$BH73, , SUMPRODUCT(LARGE((($AF73:$BH73&lt;&gt;0)*($BJ73:$CL73&lt;&gt;1)*($AF$5:$BH$5)), K$6)))), "")</f>
        <v/>
      </c>
      <c r="L73" s="338" t="str" cm="1">
        <f t="array" aca="1" ref="L73" ca="1">IFERROR(_xlfn.SINGLE(INDEX($AF73:$BH73, , SUMPRODUCT(LARGE((($AF73:$BH73&lt;&gt;0)*($BJ73:$CL73&lt;&gt;1)*($AF$5:$BH$5)), L$6)))), "")</f>
        <v/>
      </c>
      <c r="M73" s="338" t="str" cm="1">
        <f t="array" aca="1" ref="M73" ca="1">IFERROR(_xlfn.SINGLE(INDEX($AF73:$BH73, , SUMPRODUCT(LARGE((($AF73:$BH73&lt;&gt;0)*($BJ73:$CL73&lt;&gt;1)*($AF$5:$BH$5)), M$6)))), "")</f>
        <v/>
      </c>
      <c r="N73" s="338" t="str" cm="1">
        <f t="array" aca="1" ref="N73" ca="1">IFERROR(_xlfn.SINGLE(INDEX($AF73:$BH73, , SUMPRODUCT(LARGE((($AF73:$BH73&lt;&gt;0)*($BJ73:$CL73&lt;&gt;1)*($AF$5:$BH$5)), N$6)))), "")</f>
        <v/>
      </c>
      <c r="O73" s="338" t="str" cm="1">
        <f t="array" aca="1" ref="O73" ca="1">IFERROR(_xlfn.SINGLE(INDEX($AF73:$BH73, , SUMPRODUCT(LARGE((($AF73:$BH73&lt;&gt;0)*($BJ73:$CL73&lt;&gt;1)*($AF$5:$BH$5)), O$6)))), "")</f>
        <v/>
      </c>
      <c r="P73" s="338" t="str" cm="1">
        <f t="array" aca="1" ref="P73" ca="1">IFERROR(_xlfn.SINGLE(INDEX($AF73:$BH73, , SUMPRODUCT(LARGE((($AF73:$BH73&lt;&gt;0)*($BJ73:$CL73&lt;&gt;1)*($AF$5:$BH$5)), P$6)))), "")</f>
        <v/>
      </c>
      <c r="Q73" s="339" t="str" cm="1">
        <f t="array" aca="1" ref="Q73" ca="1">IFERROR(_xlfn.SINGLE(INDEX($AF73:$BH73, , SUMPRODUCT(LARGE((($AF73:$BH73&lt;&gt;0)*($BJ73:$CL73&lt;&gt;1)*($AF$5:$BH$5)), Q$6)))), "")</f>
        <v/>
      </c>
      <c r="R73" s="116" t="s">
        <v>451</v>
      </c>
      <c r="S73" s="47" t="str">
        <f t="shared" ca="1" si="210"/>
        <v>-</v>
      </c>
      <c r="T73" s="21" t="str">
        <f t="shared" ca="1" si="211"/>
        <v>50.00*</v>
      </c>
      <c r="U73" s="21" t="str">
        <f t="shared" ca="1" si="212"/>
        <v>39.00*</v>
      </c>
      <c r="V73" s="46">
        <f t="shared" ca="1" si="213"/>
        <v>50</v>
      </c>
      <c r="W73" s="19">
        <f t="shared" ca="1" si="214"/>
        <v>39</v>
      </c>
      <c r="X73" s="46">
        <f t="shared" ca="1" si="215"/>
        <v>8</v>
      </c>
      <c r="Y73" s="21" t="str">
        <f t="shared" ca="1" si="216"/>
        <v>8.00*</v>
      </c>
      <c r="Z73" s="19">
        <f t="shared" ca="1" si="217"/>
        <v>0</v>
      </c>
      <c r="AA73" s="19">
        <f t="shared" ca="1" si="218"/>
        <v>0</v>
      </c>
      <c r="AB73" s="46" t="str">
        <f t="shared" ca="1" si="219"/>
        <v>0-0-0</v>
      </c>
      <c r="AC73" s="218">
        <f t="shared" ca="1" si="273"/>
        <v>3309362692</v>
      </c>
      <c r="AD73" s="57" t="str">
        <f t="shared" ca="1" si="274"/>
        <v>davehaslar@gmail.com</v>
      </c>
      <c r="AE73" s="34"/>
      <c r="AF73" s="341">
        <f ca="1">INDEX(PriorScores[],MATCH($D73,PriorScores[Team / Player],0),2)</f>
        <v>0</v>
      </c>
      <c r="AG73" s="341">
        <f ca="1">INDEX(PriorScores[],MATCH($D73,PriorScores[Team / Player],0),3)</f>
        <v>0</v>
      </c>
      <c r="AH73" s="341">
        <f ca="1">INDEX(PriorScores[],MATCH($D73,PriorScores[Team / Player],0),4)</f>
        <v>0</v>
      </c>
      <c r="AI73" s="341">
        <f ca="1">INDEX(PriorScores[],MATCH($D73,PriorScores[Team / Player],0),5)</f>
        <v>0</v>
      </c>
      <c r="AJ73" s="341">
        <f ca="1">INDEX(PriorScores[],MATCH($D73,PriorScores[Team / Player],0),6)</f>
        <v>0</v>
      </c>
      <c r="AK73" s="341">
        <f ca="1">INDEX(PriorScores[],MATCH($D73,PriorScores[Team / Player],0),7)</f>
        <v>0</v>
      </c>
      <c r="AL73" s="341">
        <f ca="1">INDEX(PriorScores[],MATCH($D73,PriorScores[Team / Player],0),8)</f>
        <v>0</v>
      </c>
      <c r="AM73" s="341">
        <f ca="1">INDEX(PriorScores[],MATCH($D73,PriorScores[Team / Player],0),9)</f>
        <v>0</v>
      </c>
      <c r="AN73" s="341"/>
      <c r="AO73" s="341"/>
      <c r="AP73" s="20">
        <f t="shared" ca="1" si="220"/>
        <v>0</v>
      </c>
      <c r="AQ73" s="20">
        <f t="shared" ca="1" si="220"/>
        <v>0</v>
      </c>
      <c r="AR73" s="20">
        <f t="shared" ca="1" si="220"/>
        <v>0</v>
      </c>
      <c r="AS73" s="20">
        <f t="shared" ca="1" si="220"/>
        <v>0</v>
      </c>
      <c r="AT73" s="20">
        <f t="shared" ca="1" si="220"/>
        <v>0</v>
      </c>
      <c r="AU73" s="20">
        <f t="shared" ca="1" si="220"/>
        <v>50</v>
      </c>
      <c r="AV73" s="20">
        <f t="shared" ca="1" si="220"/>
        <v>0</v>
      </c>
      <c r="AW73" s="20">
        <f t="shared" ca="1" si="220"/>
        <v>0</v>
      </c>
      <c r="AX73" s="20">
        <f t="shared" ca="1" si="220"/>
        <v>0</v>
      </c>
      <c r="AY73" s="20">
        <f t="shared" ca="1" si="220"/>
        <v>0</v>
      </c>
      <c r="AZ73" s="20">
        <f t="shared" ca="1" si="221"/>
        <v>0</v>
      </c>
      <c r="BA73" s="20">
        <f t="shared" ca="1" si="221"/>
        <v>0</v>
      </c>
      <c r="BB73" s="20">
        <f t="shared" ca="1" si="221"/>
        <v>0</v>
      </c>
      <c r="BC73" s="20">
        <f t="shared" ca="1" si="221"/>
        <v>0</v>
      </c>
      <c r="BD73" s="20">
        <f t="shared" ca="1" si="221"/>
        <v>0</v>
      </c>
      <c r="BE73" s="20">
        <f t="shared" ca="1" si="221"/>
        <v>0</v>
      </c>
      <c r="BF73" s="20">
        <f t="shared" ca="1" si="221"/>
        <v>0</v>
      </c>
      <c r="BG73" s="20">
        <f t="shared" ca="1" si="221"/>
        <v>0</v>
      </c>
      <c r="BH73" s="20">
        <f t="shared" ca="1" si="221"/>
        <v>0</v>
      </c>
      <c r="BI73" s="34"/>
      <c r="BJ73" s="341">
        <v>0</v>
      </c>
      <c r="BK73" s="341">
        <v>0</v>
      </c>
      <c r="BL73" s="341">
        <v>0</v>
      </c>
      <c r="BM73" s="341">
        <v>0</v>
      </c>
      <c r="BN73" s="341">
        <v>0</v>
      </c>
      <c r="BO73" s="341">
        <v>0</v>
      </c>
      <c r="BP73" s="341">
        <v>0</v>
      </c>
      <c r="BQ73" s="341">
        <v>0</v>
      </c>
      <c r="BR73" s="341">
        <v>0</v>
      </c>
      <c r="BS73" s="341">
        <v>0</v>
      </c>
      <c r="BT73" s="20">
        <f t="shared" ca="1" si="266"/>
        <v>0</v>
      </c>
      <c r="BU73" s="20">
        <f t="shared" ca="1" si="266"/>
        <v>0</v>
      </c>
      <c r="BV73" s="20">
        <f t="shared" ca="1" si="266"/>
        <v>0</v>
      </c>
      <c r="BW73" s="20">
        <f t="shared" ca="1" si="266"/>
        <v>0</v>
      </c>
      <c r="BX73" s="20">
        <f t="shared" ca="1" si="266"/>
        <v>0</v>
      </c>
      <c r="BY73" s="20">
        <f t="shared" ca="1" si="266"/>
        <v>0</v>
      </c>
      <c r="BZ73" s="20">
        <f t="shared" ca="1" si="266"/>
        <v>0</v>
      </c>
      <c r="CA73" s="20">
        <f t="shared" ca="1" si="266"/>
        <v>0</v>
      </c>
      <c r="CB73" s="20">
        <f t="shared" ca="1" si="266"/>
        <v>0</v>
      </c>
      <c r="CC73" s="20">
        <f t="shared" ca="1" si="266"/>
        <v>0</v>
      </c>
      <c r="CD73" s="20">
        <f t="shared" ca="1" si="266"/>
        <v>0</v>
      </c>
      <c r="CE73" s="20">
        <f t="shared" ca="1" si="266"/>
        <v>0</v>
      </c>
      <c r="CF73" s="20">
        <f t="shared" ca="1" si="266"/>
        <v>0</v>
      </c>
      <c r="CG73" s="20">
        <f t="shared" ca="1" si="266"/>
        <v>0</v>
      </c>
      <c r="CH73" s="20">
        <f t="shared" ca="1" si="266"/>
        <v>0</v>
      </c>
      <c r="CI73" s="20">
        <f t="shared" ca="1" si="266"/>
        <v>0</v>
      </c>
      <c r="CJ73" s="20">
        <f t="shared" ca="1" si="267"/>
        <v>0</v>
      </c>
      <c r="CK73" s="20">
        <f t="shared" ca="1" si="267"/>
        <v>0</v>
      </c>
      <c r="CL73" s="20">
        <f t="shared" ca="1" si="267"/>
        <v>0</v>
      </c>
      <c r="CM73" s="34"/>
      <c r="CN73" s="20" t="str">
        <f t="shared" ca="1" si="223"/>
        <v/>
      </c>
      <c r="CO73" s="20" t="str">
        <f t="shared" ca="1" si="223"/>
        <v/>
      </c>
      <c r="CP73" s="20" t="str">
        <f t="shared" ca="1" si="223"/>
        <v/>
      </c>
      <c r="CQ73" s="20" t="str">
        <f t="shared" ca="1" si="223"/>
        <v/>
      </c>
      <c r="CR73" s="20" t="str">
        <f t="shared" ca="1" si="223"/>
        <v/>
      </c>
      <c r="CS73" s="20">
        <f t="shared" ca="1" si="223"/>
        <v>39</v>
      </c>
      <c r="CT73" s="20" t="str">
        <f t="shared" ca="1" si="223"/>
        <v/>
      </c>
      <c r="CU73" s="20" t="str">
        <f t="shared" ca="1" si="223"/>
        <v/>
      </c>
      <c r="CV73" s="20" t="str">
        <f t="shared" ca="1" si="223"/>
        <v/>
      </c>
      <c r="CW73" s="20" t="str">
        <f t="shared" ca="1" si="223"/>
        <v/>
      </c>
      <c r="CX73" s="20" t="str">
        <f t="shared" ca="1" si="224"/>
        <v/>
      </c>
      <c r="CY73" s="20" t="str">
        <f t="shared" ca="1" si="224"/>
        <v/>
      </c>
      <c r="CZ73" s="20" t="str">
        <f t="shared" ca="1" si="224"/>
        <v/>
      </c>
      <c r="DA73" s="20" t="str">
        <f t="shared" ca="1" si="224"/>
        <v/>
      </c>
      <c r="DB73" s="20" t="str">
        <f t="shared" ca="1" si="224"/>
        <v/>
      </c>
      <c r="DC73" s="20" t="str">
        <f t="shared" ca="1" si="224"/>
        <v/>
      </c>
      <c r="DD73" s="20" t="str">
        <f t="shared" ca="1" si="224"/>
        <v/>
      </c>
      <c r="DE73" s="20" t="str">
        <f t="shared" ca="1" si="224"/>
        <v/>
      </c>
      <c r="DF73" s="20" t="str">
        <f t="shared" ca="1" si="224"/>
        <v/>
      </c>
      <c r="DG73" s="34"/>
      <c r="DH73" s="20" t="str">
        <f t="shared" ca="1" si="275"/>
        <v/>
      </c>
      <c r="DI73" s="20" t="str">
        <f t="shared" ca="1" si="276"/>
        <v/>
      </c>
      <c r="DJ73" s="20" t="str">
        <f t="shared" ca="1" si="277"/>
        <v/>
      </c>
      <c r="DK73" s="20" t="str">
        <f t="shared" ca="1" si="278"/>
        <v/>
      </c>
      <c r="DL73" s="20" t="str">
        <f t="shared" ca="1" si="279"/>
        <v/>
      </c>
      <c r="DM73" s="20">
        <f t="shared" ca="1" si="280"/>
        <v>8</v>
      </c>
      <c r="DN73" s="20" t="str">
        <f t="shared" ca="1" si="281"/>
        <v/>
      </c>
      <c r="DO73" s="20" t="str">
        <f t="shared" ca="1" si="282"/>
        <v/>
      </c>
      <c r="DP73" s="20" t="str">
        <f t="shared" ca="1" si="283"/>
        <v/>
      </c>
      <c r="DQ73" s="20" t="str">
        <f t="shared" ca="1" si="284"/>
        <v/>
      </c>
      <c r="DR73" s="20" t="str">
        <f t="shared" ca="1" si="285"/>
        <v/>
      </c>
      <c r="DS73" s="20" t="str">
        <f t="shared" ca="1" si="286"/>
        <v/>
      </c>
      <c r="DT73" s="20" t="str">
        <f t="shared" ca="1" si="287"/>
        <v/>
      </c>
      <c r="DU73" s="20" t="str">
        <f t="shared" ca="1" si="288"/>
        <v/>
      </c>
      <c r="DV73" s="20" t="str">
        <f t="shared" ca="1" si="289"/>
        <v/>
      </c>
      <c r="DW73" s="20" t="str">
        <f t="shared" ca="1" si="290"/>
        <v/>
      </c>
      <c r="DX73" s="20" t="str">
        <f t="shared" ca="1" si="290"/>
        <v/>
      </c>
      <c r="DY73" s="20" t="str">
        <f t="shared" ca="1" si="290"/>
        <v/>
      </c>
      <c r="DZ73" s="20" t="str">
        <f t="shared" ca="1" si="290"/>
        <v/>
      </c>
      <c r="EA73" s="34"/>
      <c r="EB73" s="20" t="str">
        <f t="shared" ca="1" si="291"/>
        <v/>
      </c>
      <c r="EC73" s="20" t="str">
        <f t="shared" ca="1" si="292"/>
        <v/>
      </c>
      <c r="ED73" s="20" t="str">
        <f t="shared" ca="1" si="293"/>
        <v/>
      </c>
      <c r="EE73" s="20" t="str">
        <f t="shared" ca="1" si="294"/>
        <v/>
      </c>
      <c r="EF73" s="20" t="str">
        <f t="shared" ca="1" si="295"/>
        <v/>
      </c>
      <c r="EG73" s="20" t="str">
        <f t="shared" ca="1" si="296"/>
        <v/>
      </c>
      <c r="EH73" s="20" t="str">
        <f t="shared" ca="1" si="297"/>
        <v/>
      </c>
      <c r="EI73" s="20" t="str">
        <f t="shared" ca="1" si="298"/>
        <v/>
      </c>
      <c r="EJ73" s="20" t="str">
        <f t="shared" ca="1" si="299"/>
        <v/>
      </c>
      <c r="EK73" s="20" t="str">
        <f t="shared" ca="1" si="300"/>
        <v/>
      </c>
      <c r="EL73" s="20" t="str">
        <f t="shared" ca="1" si="301"/>
        <v/>
      </c>
      <c r="EM73" s="20" t="str">
        <f t="shared" ca="1" si="302"/>
        <v/>
      </c>
      <c r="EN73" s="20" t="str">
        <f t="shared" ca="1" si="303"/>
        <v/>
      </c>
      <c r="EO73" s="20" t="str">
        <f t="shared" ca="1" si="304"/>
        <v/>
      </c>
      <c r="EP73" s="20" t="str">
        <f t="shared" ca="1" si="305"/>
        <v/>
      </c>
      <c r="EQ73" s="20" t="str">
        <f t="shared" ca="1" si="306"/>
        <v/>
      </c>
      <c r="ER73" s="20" t="str">
        <f t="shared" ca="1" si="306"/>
        <v/>
      </c>
      <c r="ES73" s="20" t="str">
        <f t="shared" ca="1" si="306"/>
        <v/>
      </c>
      <c r="ET73" s="20" t="str">
        <f t="shared" ca="1" si="306"/>
        <v/>
      </c>
      <c r="EU73" s="34"/>
      <c r="EV73" s="20" t="str">
        <f t="shared" ca="1" si="227"/>
        <v/>
      </c>
      <c r="EW73" s="20" t="str">
        <f t="shared" ca="1" si="227"/>
        <v/>
      </c>
      <c r="EX73" s="20" t="str">
        <f t="shared" ca="1" si="227"/>
        <v/>
      </c>
      <c r="EY73" s="20" t="str">
        <f t="shared" ca="1" si="227"/>
        <v/>
      </c>
      <c r="EZ73" s="20" t="str">
        <f t="shared" ca="1" si="227"/>
        <v/>
      </c>
      <c r="FA73" s="20" t="str">
        <f t="shared" ca="1" si="227"/>
        <v/>
      </c>
      <c r="FB73" s="20" t="str">
        <f t="shared" ca="1" si="227"/>
        <v/>
      </c>
      <c r="FC73" s="20" t="str">
        <f t="shared" ca="1" si="227"/>
        <v/>
      </c>
      <c r="FD73" s="20" t="str">
        <f t="shared" ca="1" si="227"/>
        <v/>
      </c>
      <c r="FE73" s="20" t="str">
        <f t="shared" ca="1" si="227"/>
        <v/>
      </c>
      <c r="FF73" s="20" t="str">
        <f t="shared" ca="1" si="228"/>
        <v/>
      </c>
      <c r="FG73" s="20" t="str">
        <f t="shared" ca="1" si="228"/>
        <v/>
      </c>
      <c r="FH73" s="20" t="str">
        <f t="shared" ca="1" si="228"/>
        <v/>
      </c>
      <c r="FI73" s="20" t="str">
        <f t="shared" ca="1" si="228"/>
        <v/>
      </c>
      <c r="FJ73" s="20" t="str">
        <f t="shared" ca="1" si="228"/>
        <v/>
      </c>
      <c r="FK73" s="20" t="str">
        <f t="shared" ca="1" si="228"/>
        <v/>
      </c>
      <c r="FL73" s="20" t="str">
        <f t="shared" ca="1" si="228"/>
        <v/>
      </c>
      <c r="FM73" s="20" t="str">
        <f t="shared" ca="1" si="228"/>
        <v/>
      </c>
      <c r="FN73" s="20" t="str">
        <f t="shared" ca="1" si="228"/>
        <v/>
      </c>
      <c r="FO73" s="34"/>
      <c r="FP73" s="20" t="str">
        <f t="shared" ca="1" si="229"/>
        <v/>
      </c>
      <c r="FQ73" s="20" t="str">
        <f t="shared" ca="1" si="229"/>
        <v/>
      </c>
      <c r="FR73" s="20" t="str">
        <f t="shared" ca="1" si="229"/>
        <v/>
      </c>
      <c r="FS73" s="20" t="str">
        <f t="shared" ca="1" si="229"/>
        <v/>
      </c>
      <c r="FT73" s="20" t="str">
        <f t="shared" ca="1" si="229"/>
        <v/>
      </c>
      <c r="FU73" s="20" t="str">
        <f t="shared" ca="1" si="229"/>
        <v>Who's Your Caddy?</v>
      </c>
      <c r="FV73" s="20" t="str">
        <f t="shared" ca="1" si="229"/>
        <v/>
      </c>
      <c r="FW73" s="20" t="str">
        <f t="shared" ca="1" si="229"/>
        <v/>
      </c>
      <c r="FX73" s="20" t="str">
        <f t="shared" ca="1" si="229"/>
        <v/>
      </c>
      <c r="FY73" s="20" t="str">
        <f t="shared" ca="1" si="229"/>
        <v/>
      </c>
      <c r="FZ73" s="20" t="str">
        <f t="shared" ca="1" si="230"/>
        <v/>
      </c>
      <c r="GA73" s="20" t="str">
        <f t="shared" ca="1" si="230"/>
        <v/>
      </c>
      <c r="GB73" s="20" t="str">
        <f t="shared" ca="1" si="230"/>
        <v/>
      </c>
      <c r="GC73" s="20" t="str">
        <f t="shared" ca="1" si="230"/>
        <v/>
      </c>
      <c r="GD73" s="20" t="str">
        <f t="shared" ca="1" si="230"/>
        <v/>
      </c>
      <c r="GE73" s="20" t="str">
        <f t="shared" ca="1" si="230"/>
        <v/>
      </c>
      <c r="GF73" s="20" t="str">
        <f t="shared" ca="1" si="230"/>
        <v/>
      </c>
      <c r="GG73" s="20" t="str">
        <f t="shared" ca="1" si="230"/>
        <v/>
      </c>
      <c r="GH73" s="20" t="str">
        <f t="shared" ca="1" si="230"/>
        <v/>
      </c>
      <c r="GI73" s="34"/>
      <c r="HE73" s="34"/>
      <c r="HZ73" s="34"/>
      <c r="IA73" s="19" t="str">
        <f t="shared" ca="1" si="231"/>
        <v>No Hdcp</v>
      </c>
      <c r="IB73" s="19" t="str">
        <f t="shared" ca="1" si="232"/>
        <v>Low of score &amp; 50</v>
      </c>
      <c r="IC73" s="19" t="str">
        <f t="shared" ca="1" si="233"/>
        <v>Low of score &amp; 50</v>
      </c>
      <c r="ID73" s="18" t="str">
        <f t="shared" ca="1" si="234"/>
        <v>Low of score &amp; 50</v>
      </c>
      <c r="IE73" s="18" t="str">
        <f t="shared" ca="1" si="235"/>
        <v>Low of score &amp; 50</v>
      </c>
      <c r="IF73" s="18">
        <f t="shared" ca="1" si="236"/>
        <v>13.44</v>
      </c>
      <c r="IG73" s="353" t="e">
        <f t="shared" ca="1" si="237"/>
        <v>#NUM!</v>
      </c>
      <c r="IH73" s="18" t="e">
        <f t="shared" ca="1" si="238"/>
        <v>#NUM!</v>
      </c>
      <c r="II73" s="18" t="e">
        <f t="shared" ca="1" si="239"/>
        <v>#NUM!</v>
      </c>
      <c r="IJ73" s="18" t="e">
        <f t="shared" ca="1" si="240"/>
        <v>#NUM!</v>
      </c>
      <c r="IK73" s="18" t="e">
        <f t="shared" ca="1" si="241"/>
        <v>#NUM!</v>
      </c>
      <c r="IL73" s="34"/>
      <c r="IN73" s="18">
        <f t="shared" si="242"/>
        <v>0</v>
      </c>
      <c r="IO73" s="18">
        <f t="shared" si="243"/>
        <v>0</v>
      </c>
      <c r="IP73" s="18">
        <f t="shared" ca="1" si="244"/>
        <v>0</v>
      </c>
      <c r="IQ73" s="18">
        <f t="shared" ca="1" si="245"/>
        <v>0</v>
      </c>
      <c r="IR73" s="18">
        <f t="shared" ca="1" si="246"/>
        <v>0</v>
      </c>
      <c r="IS73" s="18">
        <f t="shared" ca="1" si="247"/>
        <v>0</v>
      </c>
      <c r="IT73" s="18">
        <f t="shared" ca="1" si="248"/>
        <v>0</v>
      </c>
      <c r="IU73" s="18">
        <f t="shared" ca="1" si="249"/>
        <v>0</v>
      </c>
      <c r="IV73" s="18">
        <f t="shared" ca="1" si="250"/>
        <v>0</v>
      </c>
      <c r="IW73" s="18">
        <f t="shared" ca="1" si="251"/>
        <v>0</v>
      </c>
      <c r="IX73" s="19">
        <f t="shared" ca="1" si="252"/>
        <v>10</v>
      </c>
      <c r="IY73" s="21">
        <f t="shared" ca="1" si="253"/>
        <v>-34.56</v>
      </c>
      <c r="JA73" s="18" t="str">
        <f t="shared" ca="1" si="254"/>
        <v>No Hdcp</v>
      </c>
      <c r="JB73" s="18" t="str">
        <f t="shared" ca="1" si="255"/>
        <v>Low of score &amp; 0</v>
      </c>
      <c r="JC73" s="18" t="str">
        <f t="shared" ca="1" si="256"/>
        <v>Low of score &amp; 0</v>
      </c>
      <c r="JD73" s="18" t="str">
        <f t="shared" ca="1" si="257"/>
        <v>Low of score &amp; 0</v>
      </c>
      <c r="JE73" s="18" t="str">
        <f t="shared" ca="1" si="258"/>
        <v>Low of score &amp; 0</v>
      </c>
      <c r="JF73" s="18">
        <f t="shared" ca="1" si="259"/>
        <v>-34.56</v>
      </c>
      <c r="JG73" s="18">
        <f t="shared" ca="1" si="260"/>
        <v>-34.56</v>
      </c>
      <c r="JH73" s="18">
        <f t="shared" ca="1" si="261"/>
        <v>-34.56</v>
      </c>
      <c r="JI73" s="18">
        <f t="shared" ca="1" si="262"/>
        <v>-34.56</v>
      </c>
      <c r="JJ73" s="18">
        <f t="shared" ca="1" si="263"/>
        <v>-34.56</v>
      </c>
      <c r="JK73" s="18">
        <f t="shared" ca="1" si="264"/>
        <v>-34.56</v>
      </c>
    </row>
    <row r="74" spans="1:271" x14ac:dyDescent="0.2">
      <c r="A74" s="18" t="s">
        <v>76</v>
      </c>
      <c r="B74" s="19">
        <f t="shared" si="272"/>
        <v>85</v>
      </c>
      <c r="C74" s="22">
        <f t="shared" ca="1" si="206"/>
        <v>5.0000000000000001E-3</v>
      </c>
      <c r="D74" s="18" t="str">
        <f t="shared" ca="1" si="265"/>
        <v>Heron, Roger</v>
      </c>
      <c r="E74" s="19">
        <f t="shared" ca="1" si="207"/>
        <v>0</v>
      </c>
      <c r="F74" s="19">
        <f t="shared" ca="1" si="208"/>
        <v>0</v>
      </c>
      <c r="G74" s="21" t="str">
        <f t="shared" ca="1" si="209"/>
        <v>No Hdcp</v>
      </c>
      <c r="H74" s="337" t="str" cm="1">
        <f t="array" aca="1" ref="H74" ca="1">IFERROR(_xlfn.SINGLE(INDEX($AF74:$BH74, , SUMPRODUCT(LARGE((($AF74:$BH74&lt;&gt;0)*($BJ74:$CL74&lt;&gt;1)*($AF$5:$BH$5)), H$6)))), "")</f>
        <v/>
      </c>
      <c r="I74" s="338" t="str" cm="1">
        <f t="array" aca="1" ref="I74" ca="1">IFERROR(_xlfn.SINGLE(INDEX($AF74:$BH74, , SUMPRODUCT(LARGE((($AF74:$BH74&lt;&gt;0)*($BJ74:$CL74&lt;&gt;1)*($AF$5:$BH$5)), I$6)))), "")</f>
        <v/>
      </c>
      <c r="J74" s="338" t="str" cm="1">
        <f t="array" aca="1" ref="J74" ca="1">IFERROR(_xlfn.SINGLE(INDEX($AF74:$BH74, , SUMPRODUCT(LARGE((($AF74:$BH74&lt;&gt;0)*($BJ74:$CL74&lt;&gt;1)*($AF$5:$BH$5)), J$6)))), "")</f>
        <v/>
      </c>
      <c r="K74" s="338" t="str" cm="1">
        <f t="array" aca="1" ref="K74" ca="1">IFERROR(_xlfn.SINGLE(INDEX($AF74:$BH74, , SUMPRODUCT(LARGE((($AF74:$BH74&lt;&gt;0)*($BJ74:$CL74&lt;&gt;1)*($AF$5:$BH$5)), K$6)))), "")</f>
        <v/>
      </c>
      <c r="L74" s="338" t="str" cm="1">
        <f t="array" aca="1" ref="L74" ca="1">IFERROR(_xlfn.SINGLE(INDEX($AF74:$BH74, , SUMPRODUCT(LARGE((($AF74:$BH74&lt;&gt;0)*($BJ74:$CL74&lt;&gt;1)*($AF$5:$BH$5)), L$6)))), "")</f>
        <v/>
      </c>
      <c r="M74" s="338" t="str" cm="1">
        <f t="array" aca="1" ref="M74" ca="1">IFERROR(_xlfn.SINGLE(INDEX($AF74:$BH74, , SUMPRODUCT(LARGE((($AF74:$BH74&lt;&gt;0)*($BJ74:$CL74&lt;&gt;1)*($AF$5:$BH$5)), M$6)))), "")</f>
        <v/>
      </c>
      <c r="N74" s="338" t="str" cm="1">
        <f t="array" aca="1" ref="N74" ca="1">IFERROR(_xlfn.SINGLE(INDEX($AF74:$BH74, , SUMPRODUCT(LARGE((($AF74:$BH74&lt;&gt;0)*($BJ74:$CL74&lt;&gt;1)*($AF$5:$BH$5)), N$6)))), "")</f>
        <v/>
      </c>
      <c r="O74" s="338" t="str" cm="1">
        <f t="array" aca="1" ref="O74" ca="1">IFERROR(_xlfn.SINGLE(INDEX($AF74:$BH74, , SUMPRODUCT(LARGE((($AF74:$BH74&lt;&gt;0)*($BJ74:$CL74&lt;&gt;1)*($AF$5:$BH$5)), O$6)))), "")</f>
        <v/>
      </c>
      <c r="P74" s="338" t="str" cm="1">
        <f t="array" aca="1" ref="P74" ca="1">IFERROR(_xlfn.SINGLE(INDEX($AF74:$BH74, , SUMPRODUCT(LARGE((($AF74:$BH74&lt;&gt;0)*($BJ74:$CL74&lt;&gt;1)*($AF$5:$BH$5)), P$6)))), "")</f>
        <v/>
      </c>
      <c r="Q74" s="339" t="str" cm="1">
        <f t="array" aca="1" ref="Q74" ca="1">IFERROR(_xlfn.SINGLE(INDEX($AF74:$BH74, , SUMPRODUCT(LARGE((($AF74:$BH74&lt;&gt;0)*($BJ74:$CL74&lt;&gt;1)*($AF$5:$BH$5)), Q$6)))), "")</f>
        <v/>
      </c>
      <c r="R74" s="116" t="s">
        <v>451</v>
      </c>
      <c r="S74" s="47" t="str">
        <f t="shared" ca="1" si="210"/>
        <v>-</v>
      </c>
      <c r="T74" s="21" t="str">
        <f t="shared" ca="1" si="211"/>
        <v>-</v>
      </c>
      <c r="U74" s="21" t="str">
        <f t="shared" ca="1" si="212"/>
        <v>-</v>
      </c>
      <c r="V74" s="46" t="str">
        <f t="shared" ca="1" si="213"/>
        <v/>
      </c>
      <c r="W74" s="19" t="str">
        <f t="shared" ca="1" si="214"/>
        <v/>
      </c>
      <c r="X74" s="46">
        <f t="shared" ca="1" si="215"/>
        <v>0</v>
      </c>
      <c r="Y74" s="21" t="str">
        <f t="shared" ca="1" si="216"/>
        <v>-</v>
      </c>
      <c r="Z74" s="19">
        <f t="shared" ca="1" si="217"/>
        <v>0</v>
      </c>
      <c r="AA74" s="19">
        <f t="shared" ca="1" si="218"/>
        <v>0</v>
      </c>
      <c r="AB74" s="46" t="str">
        <f t="shared" ca="1" si="219"/>
        <v>0-0-0</v>
      </c>
      <c r="AC74" s="218">
        <f t="shared" ca="1" si="273"/>
        <v>0</v>
      </c>
      <c r="AD74" s="57">
        <f t="shared" ca="1" si="274"/>
        <v>0</v>
      </c>
      <c r="AE74" s="34"/>
      <c r="AF74" s="341">
        <f ca="1">INDEX(PriorScores[],MATCH($D74,PriorScores[Team / Player],0),2)</f>
        <v>0</v>
      </c>
      <c r="AG74" s="341">
        <f ca="1">INDEX(PriorScores[],MATCH($D74,PriorScores[Team / Player],0),3)</f>
        <v>0</v>
      </c>
      <c r="AH74" s="341">
        <f ca="1">INDEX(PriorScores[],MATCH($D74,PriorScores[Team / Player],0),4)</f>
        <v>0</v>
      </c>
      <c r="AI74" s="341">
        <f ca="1">INDEX(PriorScores[],MATCH($D74,PriorScores[Team / Player],0),5)</f>
        <v>0</v>
      </c>
      <c r="AJ74" s="341">
        <f ca="1">INDEX(PriorScores[],MATCH($D74,PriorScores[Team / Player],0),6)</f>
        <v>0</v>
      </c>
      <c r="AK74" s="341">
        <f ca="1">INDEX(PriorScores[],MATCH($D74,PriorScores[Team / Player],0),7)</f>
        <v>0</v>
      </c>
      <c r="AL74" s="341">
        <f ca="1">INDEX(PriorScores[],MATCH($D74,PriorScores[Team / Player],0),8)</f>
        <v>0</v>
      </c>
      <c r="AM74" s="341">
        <f ca="1">INDEX(PriorScores[],MATCH($D74,PriorScores[Team / Player],0),9)</f>
        <v>0</v>
      </c>
      <c r="AN74" s="341">
        <f ca="1">INDEX(PriorScores[],MATCH($D74,PriorScores[Team / Player],0),10)</f>
        <v>0</v>
      </c>
      <c r="AO74" s="341">
        <f ca="1">INDEX(PriorScores[],MATCH($D74,PriorScores[Team / Player],0),11)</f>
        <v>0</v>
      </c>
      <c r="AP74" s="20">
        <f t="shared" ref="AP74:AY79" ca="1" si="307">IF(OR(INDEX(INDIRECT($A74), $B74, AP$6+2)="",INDEX(INDIRECT($A74),$B74+5,AP$6+2)=1), 0, INDEX(INDIRECT($A74), $B74, AP$6+2))</f>
        <v>0</v>
      </c>
      <c r="AQ74" s="20">
        <f t="shared" ca="1" si="307"/>
        <v>0</v>
      </c>
      <c r="AR74" s="20">
        <f t="shared" ca="1" si="307"/>
        <v>0</v>
      </c>
      <c r="AS74" s="20">
        <f t="shared" ca="1" si="307"/>
        <v>0</v>
      </c>
      <c r="AT74" s="20">
        <f t="shared" ca="1" si="307"/>
        <v>0</v>
      </c>
      <c r="AU74" s="20">
        <f t="shared" ca="1" si="307"/>
        <v>0</v>
      </c>
      <c r="AV74" s="20">
        <f t="shared" ca="1" si="307"/>
        <v>0</v>
      </c>
      <c r="AW74" s="20">
        <f t="shared" ca="1" si="307"/>
        <v>0</v>
      </c>
      <c r="AX74" s="20">
        <f t="shared" ca="1" si="307"/>
        <v>0</v>
      </c>
      <c r="AY74" s="20">
        <f t="shared" ca="1" si="307"/>
        <v>0</v>
      </c>
      <c r="AZ74" s="20">
        <f t="shared" ref="AZ74:BH79" ca="1" si="308">IF(OR(INDEX(INDIRECT($A74), $B74, AZ$6+2)="",INDEX(INDIRECT($A74),$B74+5,AZ$6+2)=1), 0, INDEX(INDIRECT($A74), $B74, AZ$6+2))</f>
        <v>0</v>
      </c>
      <c r="BA74" s="20">
        <f t="shared" ca="1" si="308"/>
        <v>0</v>
      </c>
      <c r="BB74" s="20">
        <f t="shared" ca="1" si="308"/>
        <v>0</v>
      </c>
      <c r="BC74" s="20">
        <f t="shared" ca="1" si="308"/>
        <v>0</v>
      </c>
      <c r="BD74" s="20">
        <f t="shared" ca="1" si="308"/>
        <v>0</v>
      </c>
      <c r="BE74" s="20">
        <f t="shared" ca="1" si="308"/>
        <v>0</v>
      </c>
      <c r="BF74" s="20">
        <f t="shared" ca="1" si="308"/>
        <v>0</v>
      </c>
      <c r="BG74" s="20">
        <f t="shared" ca="1" si="308"/>
        <v>0</v>
      </c>
      <c r="BH74" s="20">
        <f t="shared" ca="1" si="308"/>
        <v>0</v>
      </c>
      <c r="BI74" s="34"/>
      <c r="BJ74" s="341">
        <v>0</v>
      </c>
      <c r="BK74" s="341">
        <v>0</v>
      </c>
      <c r="BL74" s="341">
        <v>0</v>
      </c>
      <c r="BM74" s="341">
        <v>0</v>
      </c>
      <c r="BN74" s="341">
        <v>0</v>
      </c>
      <c r="BO74" s="341">
        <v>0</v>
      </c>
      <c r="BP74" s="341">
        <v>0</v>
      </c>
      <c r="BQ74" s="341">
        <v>0</v>
      </c>
      <c r="BR74" s="341">
        <v>0</v>
      </c>
      <c r="BS74" s="341">
        <v>0</v>
      </c>
      <c r="BT74" s="20">
        <f t="shared" ca="1" si="266"/>
        <v>0</v>
      </c>
      <c r="BU74" s="20">
        <f t="shared" ca="1" si="266"/>
        <v>0</v>
      </c>
      <c r="BV74" s="20">
        <f t="shared" ca="1" si="266"/>
        <v>0</v>
      </c>
      <c r="BW74" s="20">
        <f t="shared" ca="1" si="266"/>
        <v>0</v>
      </c>
      <c r="BX74" s="20">
        <f t="shared" ca="1" si="266"/>
        <v>0</v>
      </c>
      <c r="BY74" s="20">
        <f t="shared" ca="1" si="266"/>
        <v>0</v>
      </c>
      <c r="BZ74" s="20">
        <f t="shared" ca="1" si="266"/>
        <v>0</v>
      </c>
      <c r="CA74" s="20">
        <f t="shared" ca="1" si="266"/>
        <v>0</v>
      </c>
      <c r="CB74" s="20">
        <f t="shared" ca="1" si="266"/>
        <v>0</v>
      </c>
      <c r="CC74" s="20">
        <f t="shared" ca="1" si="266"/>
        <v>0</v>
      </c>
      <c r="CD74" s="20">
        <f t="shared" ca="1" si="266"/>
        <v>0</v>
      </c>
      <c r="CE74" s="20">
        <f t="shared" ca="1" si="266"/>
        <v>0</v>
      </c>
      <c r="CF74" s="20">
        <f t="shared" ca="1" si="266"/>
        <v>0</v>
      </c>
      <c r="CG74" s="20">
        <f t="shared" ca="1" si="266"/>
        <v>0</v>
      </c>
      <c r="CH74" s="20">
        <f t="shared" ca="1" si="266"/>
        <v>0</v>
      </c>
      <c r="CI74" s="20">
        <f t="shared" ca="1" si="266"/>
        <v>0</v>
      </c>
      <c r="CJ74" s="20">
        <f t="shared" ca="1" si="267"/>
        <v>0</v>
      </c>
      <c r="CK74" s="20">
        <f t="shared" ca="1" si="267"/>
        <v>0</v>
      </c>
      <c r="CL74" s="20">
        <f t="shared" ca="1" si="267"/>
        <v>0</v>
      </c>
      <c r="CM74" s="34"/>
      <c r="CN74" s="20" t="str">
        <f t="shared" ref="CN74:CW79" ca="1" si="309">IF(OR(INDEX(INDIRECT($A74), $B74+1, CN$6+2)=0,INDEX(INDIRECT($A74),$B74+5,CN$6+2)=1), "", INDEX(INDIRECT($A74), $B74+1, CN$6+2))</f>
        <v/>
      </c>
      <c r="CO74" s="20" t="str">
        <f t="shared" ca="1" si="309"/>
        <v/>
      </c>
      <c r="CP74" s="20" t="str">
        <f t="shared" ca="1" si="309"/>
        <v/>
      </c>
      <c r="CQ74" s="20" t="str">
        <f t="shared" ca="1" si="309"/>
        <v/>
      </c>
      <c r="CR74" s="20" t="str">
        <f t="shared" ca="1" si="309"/>
        <v/>
      </c>
      <c r="CS74" s="20" t="str">
        <f t="shared" ca="1" si="309"/>
        <v/>
      </c>
      <c r="CT74" s="20" t="str">
        <f t="shared" ca="1" si="309"/>
        <v/>
      </c>
      <c r="CU74" s="20" t="str">
        <f t="shared" ca="1" si="309"/>
        <v/>
      </c>
      <c r="CV74" s="20" t="str">
        <f t="shared" ca="1" si="309"/>
        <v/>
      </c>
      <c r="CW74" s="20" t="str">
        <f t="shared" ca="1" si="309"/>
        <v/>
      </c>
      <c r="CX74" s="20" t="str">
        <f t="shared" ref="CX74:DF79" ca="1" si="310">IF(OR(INDEX(INDIRECT($A74), $B74+1, CX$6+2)=0,INDEX(INDIRECT($A74),$B74+5,CX$6+2)=1), "", INDEX(INDIRECT($A74), $B74+1, CX$6+2))</f>
        <v/>
      </c>
      <c r="CY74" s="20" t="str">
        <f t="shared" ca="1" si="310"/>
        <v/>
      </c>
      <c r="CZ74" s="20" t="str">
        <f t="shared" ca="1" si="310"/>
        <v/>
      </c>
      <c r="DA74" s="20" t="str">
        <f t="shared" ca="1" si="310"/>
        <v/>
      </c>
      <c r="DB74" s="20" t="str">
        <f t="shared" ca="1" si="310"/>
        <v/>
      </c>
      <c r="DC74" s="20" t="str">
        <f t="shared" ca="1" si="310"/>
        <v/>
      </c>
      <c r="DD74" s="20" t="str">
        <f t="shared" ca="1" si="310"/>
        <v/>
      </c>
      <c r="DE74" s="20" t="str">
        <f t="shared" ca="1" si="310"/>
        <v/>
      </c>
      <c r="DF74" s="20" t="str">
        <f t="shared" ca="1" si="310"/>
        <v/>
      </c>
      <c r="DG74" s="34"/>
      <c r="DH74" s="20" t="str">
        <f t="shared" ca="1" si="275"/>
        <v/>
      </c>
      <c r="DI74" s="20" t="str">
        <f t="shared" ca="1" si="276"/>
        <v/>
      </c>
      <c r="DJ74" s="20" t="str">
        <f t="shared" ca="1" si="277"/>
        <v/>
      </c>
      <c r="DK74" s="20" t="str">
        <f t="shared" ca="1" si="278"/>
        <v/>
      </c>
      <c r="DL74" s="20" t="str">
        <f t="shared" ca="1" si="279"/>
        <v/>
      </c>
      <c r="DM74" s="20" t="str">
        <f t="shared" ca="1" si="280"/>
        <v/>
      </c>
      <c r="DN74" s="20" t="str">
        <f t="shared" ca="1" si="281"/>
        <v/>
      </c>
      <c r="DO74" s="20" t="str">
        <f t="shared" ca="1" si="282"/>
        <v/>
      </c>
      <c r="DP74" s="20" t="str">
        <f t="shared" ca="1" si="283"/>
        <v/>
      </c>
      <c r="DQ74" s="20" t="str">
        <f t="shared" ca="1" si="284"/>
        <v/>
      </c>
      <c r="DR74" s="20" t="str">
        <f t="shared" ca="1" si="285"/>
        <v/>
      </c>
      <c r="DS74" s="20" t="str">
        <f t="shared" ca="1" si="286"/>
        <v/>
      </c>
      <c r="DT74" s="20" t="str">
        <f t="shared" ca="1" si="287"/>
        <v/>
      </c>
      <c r="DU74" s="20" t="str">
        <f t="shared" ca="1" si="288"/>
        <v/>
      </c>
      <c r="DV74" s="20" t="str">
        <f t="shared" ca="1" si="289"/>
        <v/>
      </c>
      <c r="DW74" s="20" t="str">
        <f t="shared" ca="1" si="290"/>
        <v/>
      </c>
      <c r="DX74" s="20" t="str">
        <f t="shared" ca="1" si="290"/>
        <v/>
      </c>
      <c r="DY74" s="20" t="str">
        <f t="shared" ca="1" si="290"/>
        <v/>
      </c>
      <c r="DZ74" s="20" t="str">
        <f t="shared" ca="1" si="290"/>
        <v/>
      </c>
      <c r="EA74" s="34"/>
      <c r="EB74" s="20" t="str">
        <f t="shared" ca="1" si="291"/>
        <v/>
      </c>
      <c r="EC74" s="20" t="str">
        <f t="shared" ca="1" si="292"/>
        <v/>
      </c>
      <c r="ED74" s="20" t="str">
        <f t="shared" ca="1" si="293"/>
        <v/>
      </c>
      <c r="EE74" s="20" t="str">
        <f t="shared" ca="1" si="294"/>
        <v/>
      </c>
      <c r="EF74" s="20" t="str">
        <f t="shared" ca="1" si="295"/>
        <v/>
      </c>
      <c r="EG74" s="20" t="str">
        <f t="shared" ca="1" si="296"/>
        <v/>
      </c>
      <c r="EH74" s="20" t="str">
        <f t="shared" ca="1" si="297"/>
        <v/>
      </c>
      <c r="EI74" s="20" t="str">
        <f t="shared" ca="1" si="298"/>
        <v/>
      </c>
      <c r="EJ74" s="20" t="str">
        <f t="shared" ca="1" si="299"/>
        <v/>
      </c>
      <c r="EK74" s="20" t="str">
        <f t="shared" ca="1" si="300"/>
        <v/>
      </c>
      <c r="EL74" s="20" t="str">
        <f t="shared" ca="1" si="301"/>
        <v/>
      </c>
      <c r="EM74" s="20" t="str">
        <f t="shared" ca="1" si="302"/>
        <v/>
      </c>
      <c r="EN74" s="20" t="str">
        <f t="shared" ca="1" si="303"/>
        <v/>
      </c>
      <c r="EO74" s="20" t="str">
        <f t="shared" ca="1" si="304"/>
        <v/>
      </c>
      <c r="EP74" s="20" t="str">
        <f t="shared" ca="1" si="305"/>
        <v/>
      </c>
      <c r="EQ74" s="20" t="str">
        <f t="shared" ca="1" si="306"/>
        <v/>
      </c>
      <c r="ER74" s="20" t="str">
        <f t="shared" ca="1" si="306"/>
        <v/>
      </c>
      <c r="ES74" s="20" t="str">
        <f t="shared" ca="1" si="306"/>
        <v/>
      </c>
      <c r="ET74" s="20" t="str">
        <f t="shared" ca="1" si="306"/>
        <v/>
      </c>
      <c r="EU74" s="34"/>
      <c r="EV74" s="20" t="str">
        <f t="shared" ca="1" si="227"/>
        <v/>
      </c>
      <c r="EW74" s="20" t="str">
        <f t="shared" ca="1" si="227"/>
        <v/>
      </c>
      <c r="EX74" s="20" t="str">
        <f t="shared" ca="1" si="227"/>
        <v/>
      </c>
      <c r="EY74" s="20" t="str">
        <f t="shared" ca="1" si="227"/>
        <v/>
      </c>
      <c r="EZ74" s="20" t="str">
        <f t="shared" ca="1" si="227"/>
        <v/>
      </c>
      <c r="FA74" s="20" t="str">
        <f t="shared" ca="1" si="227"/>
        <v/>
      </c>
      <c r="FB74" s="20" t="str">
        <f t="shared" ca="1" si="227"/>
        <v/>
      </c>
      <c r="FC74" s="20" t="str">
        <f t="shared" ca="1" si="227"/>
        <v/>
      </c>
      <c r="FD74" s="20" t="str">
        <f t="shared" ca="1" si="227"/>
        <v/>
      </c>
      <c r="FE74" s="20" t="str">
        <f t="shared" ca="1" si="227"/>
        <v/>
      </c>
      <c r="FF74" s="20" t="str">
        <f t="shared" ca="1" si="228"/>
        <v/>
      </c>
      <c r="FG74" s="20" t="str">
        <f t="shared" ca="1" si="228"/>
        <v/>
      </c>
      <c r="FH74" s="20" t="str">
        <f t="shared" ca="1" si="228"/>
        <v/>
      </c>
      <c r="FI74" s="20" t="str">
        <f t="shared" ca="1" si="228"/>
        <v/>
      </c>
      <c r="FJ74" s="20" t="str">
        <f t="shared" ca="1" si="228"/>
        <v/>
      </c>
      <c r="FK74" s="20" t="str">
        <f t="shared" ca="1" si="228"/>
        <v/>
      </c>
      <c r="FL74" s="20" t="str">
        <f t="shared" ca="1" si="228"/>
        <v/>
      </c>
      <c r="FM74" s="20" t="str">
        <f t="shared" ca="1" si="228"/>
        <v/>
      </c>
      <c r="FN74" s="20" t="str">
        <f t="shared" ca="1" si="228"/>
        <v/>
      </c>
      <c r="FO74" s="34"/>
      <c r="FP74" s="20" t="str">
        <f t="shared" ca="1" si="229"/>
        <v/>
      </c>
      <c r="FQ74" s="20" t="str">
        <f t="shared" ca="1" si="229"/>
        <v/>
      </c>
      <c r="FR74" s="20" t="str">
        <f t="shared" ca="1" si="229"/>
        <v/>
      </c>
      <c r="FS74" s="20" t="str">
        <f t="shared" ca="1" si="229"/>
        <v/>
      </c>
      <c r="FT74" s="20" t="str">
        <f t="shared" ca="1" si="229"/>
        <v/>
      </c>
      <c r="FU74" s="20" t="str">
        <f t="shared" ca="1" si="229"/>
        <v/>
      </c>
      <c r="FV74" s="20" t="str">
        <f t="shared" ca="1" si="229"/>
        <v/>
      </c>
      <c r="FW74" s="20" t="str">
        <f t="shared" ca="1" si="229"/>
        <v/>
      </c>
      <c r="FX74" s="20" t="str">
        <f t="shared" ca="1" si="229"/>
        <v/>
      </c>
      <c r="FY74" s="20" t="str">
        <f t="shared" ca="1" si="229"/>
        <v/>
      </c>
      <c r="FZ74" s="20" t="str">
        <f t="shared" ca="1" si="230"/>
        <v/>
      </c>
      <c r="GA74" s="20" t="str">
        <f t="shared" ca="1" si="230"/>
        <v/>
      </c>
      <c r="GB74" s="20" t="str">
        <f t="shared" ca="1" si="230"/>
        <v/>
      </c>
      <c r="GC74" s="20" t="str">
        <f t="shared" ca="1" si="230"/>
        <v/>
      </c>
      <c r="GD74" s="20" t="str">
        <f t="shared" ca="1" si="230"/>
        <v/>
      </c>
      <c r="GE74" s="20" t="str">
        <f t="shared" ca="1" si="230"/>
        <v/>
      </c>
      <c r="GF74" s="20" t="str">
        <f t="shared" ca="1" si="230"/>
        <v/>
      </c>
      <c r="GG74" s="20" t="str">
        <f t="shared" ca="1" si="230"/>
        <v/>
      </c>
      <c r="GH74" s="20" t="str">
        <f t="shared" ca="1" si="230"/>
        <v/>
      </c>
      <c r="GI74" s="34"/>
      <c r="HE74" s="34"/>
      <c r="HZ74" s="34"/>
      <c r="IA74" s="19" t="str">
        <f t="shared" ca="1" si="231"/>
        <v>No Hdcp</v>
      </c>
      <c r="IB74" s="19" t="str">
        <f t="shared" ca="1" si="232"/>
        <v>Low of score &amp; 0</v>
      </c>
      <c r="IC74" s="19" t="str">
        <f t="shared" ca="1" si="233"/>
        <v>Low of score &amp; 0</v>
      </c>
      <c r="ID74" s="18" t="str">
        <f t="shared" ca="1" si="234"/>
        <v>Low of score &amp; 0</v>
      </c>
      <c r="IE74" s="18" t="str">
        <f t="shared" ca="1" si="235"/>
        <v>Low of score &amp; 0</v>
      </c>
      <c r="IF74" s="18">
        <f t="shared" ca="1" si="236"/>
        <v>-34.56</v>
      </c>
      <c r="IG74" s="353" t="e">
        <f t="shared" ca="1" si="237"/>
        <v>#NUM!</v>
      </c>
      <c r="IH74" s="18" t="e">
        <f t="shared" ca="1" si="238"/>
        <v>#NUM!</v>
      </c>
      <c r="II74" s="18" t="e">
        <f t="shared" ca="1" si="239"/>
        <v>#NUM!</v>
      </c>
      <c r="IJ74" s="18" t="e">
        <f t="shared" ca="1" si="240"/>
        <v>#NUM!</v>
      </c>
      <c r="IK74" s="18" t="e">
        <f t="shared" ca="1" si="241"/>
        <v>#NUM!</v>
      </c>
      <c r="IL74" s="34"/>
      <c r="IN74" s="18">
        <f t="shared" ca="1" si="242"/>
        <v>0</v>
      </c>
      <c r="IO74" s="18">
        <f t="shared" ca="1" si="243"/>
        <v>0</v>
      </c>
      <c r="IP74" s="18">
        <f t="shared" ca="1" si="244"/>
        <v>0</v>
      </c>
      <c r="IQ74" s="18">
        <f t="shared" ca="1" si="245"/>
        <v>0</v>
      </c>
      <c r="IR74" s="18">
        <f t="shared" ca="1" si="246"/>
        <v>0</v>
      </c>
      <c r="IS74" s="18">
        <f t="shared" ca="1" si="247"/>
        <v>0</v>
      </c>
      <c r="IT74" s="18">
        <f t="shared" ca="1" si="248"/>
        <v>0</v>
      </c>
      <c r="IU74" s="18">
        <f t="shared" ca="1" si="249"/>
        <v>0</v>
      </c>
      <c r="IV74" s="18">
        <f t="shared" ca="1" si="250"/>
        <v>0</v>
      </c>
      <c r="IW74" s="18">
        <f t="shared" ca="1" si="251"/>
        <v>0</v>
      </c>
      <c r="IX74" s="19">
        <f t="shared" ca="1" si="252"/>
        <v>10</v>
      </c>
      <c r="IY74" s="21">
        <f t="shared" ca="1" si="253"/>
        <v>-34.56</v>
      </c>
      <c r="JA74" s="18" t="str">
        <f t="shared" ca="1" si="254"/>
        <v>No Hdcp</v>
      </c>
      <c r="JB74" s="18" t="str">
        <f t="shared" ca="1" si="255"/>
        <v>Low of score &amp; 0</v>
      </c>
      <c r="JC74" s="18" t="str">
        <f t="shared" ca="1" si="256"/>
        <v>Low of score &amp; 0</v>
      </c>
      <c r="JD74" s="18" t="str">
        <f t="shared" ca="1" si="257"/>
        <v>Low of score &amp; 0</v>
      </c>
      <c r="JE74" s="18" t="str">
        <f t="shared" ca="1" si="258"/>
        <v>Low of score &amp; 0</v>
      </c>
      <c r="JF74" s="18">
        <f t="shared" ca="1" si="259"/>
        <v>-34.56</v>
      </c>
      <c r="JG74" s="18">
        <f t="shared" ca="1" si="260"/>
        <v>-34.56</v>
      </c>
      <c r="JH74" s="18">
        <f t="shared" ca="1" si="261"/>
        <v>-34.56</v>
      </c>
      <c r="JI74" s="18">
        <f t="shared" ca="1" si="262"/>
        <v>-34.56</v>
      </c>
      <c r="JJ74" s="18">
        <f t="shared" ca="1" si="263"/>
        <v>-34.56</v>
      </c>
      <c r="JK74" s="18">
        <f t="shared" ca="1" si="264"/>
        <v>-34.56</v>
      </c>
    </row>
    <row r="75" spans="1:271" x14ac:dyDescent="0.2">
      <c r="A75" s="18" t="s">
        <v>76</v>
      </c>
      <c r="B75" s="19">
        <f t="shared" si="272"/>
        <v>93</v>
      </c>
      <c r="C75" s="22">
        <f t="shared" ca="1" si="206"/>
        <v>5.1000000000000004E-3</v>
      </c>
      <c r="D75" s="18" t="str">
        <f t="shared" ca="1" si="265"/>
        <v>Hill, Jerry - C - green tees</v>
      </c>
      <c r="E75" s="19">
        <f t="shared" ca="1" si="207"/>
        <v>0</v>
      </c>
      <c r="F75" s="19">
        <f t="shared" ca="1" si="208"/>
        <v>0</v>
      </c>
      <c r="G75" s="21" t="str">
        <f t="shared" ca="1" si="209"/>
        <v>No Hdcp</v>
      </c>
      <c r="H75" s="337" t="str">
        <f ca="1">IFERROR(INDEX($AF75:$BH75, , SUMPRODUCT(LARGE((($AF75:$BH75&lt;&gt;0)*($BJ75:$CL75&lt;&gt;1)*($AF$5:$BH$5)), H$6))), "")</f>
        <v/>
      </c>
      <c r="I75" s="338" t="str" cm="1">
        <f t="array" aca="1" ref="I75" ca="1">IFERROR(_xlfn.SINGLE(INDEX($AF75:$BH75, , SUMPRODUCT(LARGE((($AF75:$BH75&lt;&gt;0)*($BJ75:$CL75&lt;&gt;1)*($AF$5:$BH$5)), I$6)))), "")</f>
        <v/>
      </c>
      <c r="J75" s="338" t="str" cm="1">
        <f t="array" aca="1" ref="J75" ca="1">IFERROR(_xlfn.SINGLE(INDEX($AF75:$BH75, , SUMPRODUCT(LARGE((($AF75:$BH75&lt;&gt;0)*($BJ75:$CL75&lt;&gt;1)*($AF$5:$BH$5)), J$6)))), "")</f>
        <v/>
      </c>
      <c r="K75" s="338" t="str" cm="1">
        <f t="array" aca="1" ref="K75" ca="1">IFERROR(_xlfn.SINGLE(INDEX($AF75:$BH75, , SUMPRODUCT(LARGE((($AF75:$BH75&lt;&gt;0)*($BJ75:$CL75&lt;&gt;1)*($AF$5:$BH$5)), K$6)))), "")</f>
        <v/>
      </c>
      <c r="L75" s="338" t="str" cm="1">
        <f t="array" aca="1" ref="L75" ca="1">IFERROR(_xlfn.SINGLE(INDEX($AF75:$BH75, , SUMPRODUCT(LARGE((($AF75:$BH75&lt;&gt;0)*($BJ75:$CL75&lt;&gt;1)*($AF$5:$BH$5)), L$6)))), "")</f>
        <v/>
      </c>
      <c r="M75" s="338" t="str" cm="1">
        <f t="array" aca="1" ref="M75" ca="1">IFERROR(_xlfn.SINGLE(INDEX($AF75:$BH75, , SUMPRODUCT(LARGE((($AF75:$BH75&lt;&gt;0)*($BJ75:$CL75&lt;&gt;1)*($AF$5:$BH$5)), M$6)))), "")</f>
        <v/>
      </c>
      <c r="N75" s="338" t="str" cm="1">
        <f t="array" aca="1" ref="N75" ca="1">IFERROR(_xlfn.SINGLE(INDEX($AF75:$BH75, , SUMPRODUCT(LARGE((($AF75:$BH75&lt;&gt;0)*($BJ75:$CL75&lt;&gt;1)*($AF$5:$BH$5)), N$6)))), "")</f>
        <v/>
      </c>
      <c r="O75" s="338" t="str" cm="1">
        <f t="array" aca="1" ref="O75" ca="1">IFERROR(_xlfn.SINGLE(INDEX($AF75:$BH75, , SUMPRODUCT(LARGE((($AF75:$BH75&lt;&gt;0)*($BJ75:$CL75&lt;&gt;1)*($AF$5:$BH$5)), O$6)))), "")</f>
        <v/>
      </c>
      <c r="P75" s="338" t="str" cm="1">
        <f t="array" aca="1" ref="P75" ca="1">IFERROR(_xlfn.SINGLE(INDEX($AF75:$BH75, , SUMPRODUCT(LARGE((($AF75:$BH75&lt;&gt;0)*($BJ75:$CL75&lt;&gt;1)*($AF$5:$BH$5)), P$6)))), "")</f>
        <v/>
      </c>
      <c r="Q75" s="339" t="str" cm="1">
        <f t="array" aca="1" ref="Q75" ca="1">IFERROR(_xlfn.SINGLE(INDEX($AF75:$BH75, , SUMPRODUCT(LARGE((($AF75:$BH75&lt;&gt;0)*($BJ75:$CL75&lt;&gt;1)*($AF$5:$BH$5)), Q$6)))), "")</f>
        <v/>
      </c>
      <c r="R75" s="116" t="s">
        <v>456</v>
      </c>
      <c r="S75" s="47" t="str">
        <f t="shared" ca="1" si="210"/>
        <v>-</v>
      </c>
      <c r="T75" s="21" t="str">
        <f t="shared" ca="1" si="211"/>
        <v>-</v>
      </c>
      <c r="U75" s="21" t="str">
        <f t="shared" ca="1" si="212"/>
        <v>-</v>
      </c>
      <c r="V75" s="46" t="str">
        <f t="shared" ca="1" si="213"/>
        <v/>
      </c>
      <c r="W75" s="19" t="str">
        <f t="shared" ca="1" si="214"/>
        <v/>
      </c>
      <c r="X75" s="46">
        <f t="shared" ca="1" si="215"/>
        <v>0</v>
      </c>
      <c r="Y75" s="21" t="str">
        <f t="shared" ca="1" si="216"/>
        <v>-</v>
      </c>
      <c r="Z75" s="19">
        <f t="shared" ca="1" si="217"/>
        <v>0</v>
      </c>
      <c r="AA75" s="19">
        <f t="shared" ca="1" si="218"/>
        <v>0</v>
      </c>
      <c r="AB75" s="46" t="str">
        <f t="shared" ca="1" si="219"/>
        <v>0-0-0</v>
      </c>
      <c r="AC75" s="218">
        <f t="shared" ca="1" si="273"/>
        <v>3304183613</v>
      </c>
      <c r="AD75" s="57" t="str">
        <f t="shared" ca="1" si="274"/>
        <v>gleesue@earthlink.net</v>
      </c>
      <c r="AE75" s="34"/>
      <c r="AF75" s="341">
        <f ca="1">INDEX(PriorScores[],MATCH($D75,PriorScores[Team / Player],0),2)</f>
        <v>0</v>
      </c>
      <c r="AG75" s="341">
        <f ca="1">INDEX(PriorScores[],MATCH($D75,PriorScores[Team / Player],0),3)</f>
        <v>0</v>
      </c>
      <c r="AH75" s="341">
        <f ca="1">INDEX(PriorScores[],MATCH($D75,PriorScores[Team / Player],0),4)</f>
        <v>0</v>
      </c>
      <c r="AI75" s="341">
        <f ca="1">INDEX(PriorScores[],MATCH($D75,PriorScores[Team / Player],0),5)</f>
        <v>0</v>
      </c>
      <c r="AJ75" s="341">
        <f ca="1">INDEX(PriorScores[],MATCH($D75,PriorScores[Team / Player],0),6)</f>
        <v>0</v>
      </c>
      <c r="AK75" s="341">
        <f ca="1">INDEX(PriorScores[],MATCH($D75,PriorScores[Team / Player],0),7)</f>
        <v>0</v>
      </c>
      <c r="AL75" s="341">
        <f ca="1">INDEX(PriorScores[],MATCH($D75,PriorScores[Team / Player],0),8)</f>
        <v>0</v>
      </c>
      <c r="AM75" s="341">
        <f ca="1">INDEX(PriorScores[],MATCH($D75,PriorScores[Team / Player],0),9)</f>
        <v>0</v>
      </c>
      <c r="AN75" s="341">
        <f ca="1">INDEX(PriorScores[],MATCH($D75,PriorScores[Team / Player],0),10)</f>
        <v>0</v>
      </c>
      <c r="AO75" s="341">
        <f ca="1">INDEX(PriorScores[],MATCH($D75,PriorScores[Team / Player],0),11)</f>
        <v>0</v>
      </c>
      <c r="AP75" s="20">
        <f t="shared" ca="1" si="307"/>
        <v>0</v>
      </c>
      <c r="AQ75" s="20">
        <f t="shared" ca="1" si="307"/>
        <v>0</v>
      </c>
      <c r="AR75" s="20">
        <f t="shared" ca="1" si="307"/>
        <v>0</v>
      </c>
      <c r="AS75" s="20">
        <f t="shared" ca="1" si="307"/>
        <v>0</v>
      </c>
      <c r="AT75" s="20">
        <f t="shared" ca="1" si="307"/>
        <v>0</v>
      </c>
      <c r="AU75" s="20">
        <f t="shared" ca="1" si="307"/>
        <v>0</v>
      </c>
      <c r="AV75" s="20">
        <f t="shared" ca="1" si="307"/>
        <v>0</v>
      </c>
      <c r="AW75" s="20">
        <f t="shared" ca="1" si="307"/>
        <v>0</v>
      </c>
      <c r="AX75" s="20">
        <f t="shared" ca="1" si="307"/>
        <v>0</v>
      </c>
      <c r="AY75" s="20">
        <f t="shared" ca="1" si="307"/>
        <v>0</v>
      </c>
      <c r="AZ75" s="20">
        <f t="shared" ca="1" si="308"/>
        <v>0</v>
      </c>
      <c r="BA75" s="20">
        <f t="shared" ca="1" si="308"/>
        <v>0</v>
      </c>
      <c r="BB75" s="20">
        <f t="shared" ca="1" si="308"/>
        <v>0</v>
      </c>
      <c r="BC75" s="20">
        <f t="shared" ca="1" si="308"/>
        <v>0</v>
      </c>
      <c r="BD75" s="20">
        <f t="shared" ca="1" si="308"/>
        <v>0</v>
      </c>
      <c r="BE75" s="20">
        <f t="shared" ca="1" si="308"/>
        <v>0</v>
      </c>
      <c r="BF75" s="20">
        <f t="shared" ca="1" si="308"/>
        <v>0</v>
      </c>
      <c r="BG75" s="20">
        <f t="shared" ca="1" si="308"/>
        <v>0</v>
      </c>
      <c r="BH75" s="20">
        <f t="shared" ca="1" si="308"/>
        <v>0</v>
      </c>
      <c r="BI75" s="34"/>
      <c r="BJ75" s="341">
        <v>0</v>
      </c>
      <c r="BK75" s="341">
        <v>0</v>
      </c>
      <c r="BL75" s="341">
        <v>0</v>
      </c>
      <c r="BM75" s="341">
        <v>0</v>
      </c>
      <c r="BN75" s="341">
        <v>0</v>
      </c>
      <c r="BO75" s="341">
        <v>0</v>
      </c>
      <c r="BP75" s="341">
        <v>0</v>
      </c>
      <c r="BQ75" s="341">
        <v>0</v>
      </c>
      <c r="BR75" s="341">
        <v>0</v>
      </c>
      <c r="BS75" s="341">
        <v>0</v>
      </c>
      <c r="BT75" s="20">
        <f t="shared" ca="1" si="266"/>
        <v>0</v>
      </c>
      <c r="BU75" s="20">
        <f t="shared" ca="1" si="266"/>
        <v>0</v>
      </c>
      <c r="BV75" s="20">
        <f t="shared" ca="1" si="266"/>
        <v>0</v>
      </c>
      <c r="BW75" s="20">
        <f t="shared" ca="1" si="266"/>
        <v>0</v>
      </c>
      <c r="BX75" s="20">
        <f t="shared" ca="1" si="266"/>
        <v>0</v>
      </c>
      <c r="BY75" s="20">
        <f t="shared" ca="1" si="266"/>
        <v>0</v>
      </c>
      <c r="BZ75" s="20">
        <f t="shared" ca="1" si="266"/>
        <v>0</v>
      </c>
      <c r="CA75" s="20">
        <f t="shared" ca="1" si="266"/>
        <v>0</v>
      </c>
      <c r="CB75" s="20">
        <f t="shared" ca="1" si="266"/>
        <v>0</v>
      </c>
      <c r="CC75" s="20">
        <f t="shared" ca="1" si="266"/>
        <v>0</v>
      </c>
      <c r="CD75" s="20">
        <f t="shared" ca="1" si="266"/>
        <v>0</v>
      </c>
      <c r="CE75" s="20">
        <f t="shared" ca="1" si="266"/>
        <v>0</v>
      </c>
      <c r="CF75" s="20">
        <f t="shared" ca="1" si="266"/>
        <v>0</v>
      </c>
      <c r="CG75" s="20">
        <f t="shared" ca="1" si="266"/>
        <v>0</v>
      </c>
      <c r="CH75" s="20">
        <f t="shared" ca="1" si="266"/>
        <v>0</v>
      </c>
      <c r="CI75" s="20">
        <f t="shared" ca="1" si="266"/>
        <v>0</v>
      </c>
      <c r="CJ75" s="20">
        <f t="shared" ca="1" si="267"/>
        <v>0</v>
      </c>
      <c r="CK75" s="20">
        <f t="shared" ca="1" si="267"/>
        <v>0</v>
      </c>
      <c r="CL75" s="20">
        <f t="shared" ca="1" si="267"/>
        <v>0</v>
      </c>
      <c r="CM75" s="34"/>
      <c r="CN75" s="20" t="str">
        <f t="shared" ca="1" si="309"/>
        <v/>
      </c>
      <c r="CO75" s="20" t="str">
        <f t="shared" ca="1" si="309"/>
        <v/>
      </c>
      <c r="CP75" s="20" t="str">
        <f t="shared" ca="1" si="309"/>
        <v/>
      </c>
      <c r="CQ75" s="20" t="str">
        <f t="shared" ca="1" si="309"/>
        <v/>
      </c>
      <c r="CR75" s="20" t="str">
        <f t="shared" ca="1" si="309"/>
        <v/>
      </c>
      <c r="CS75" s="20" t="str">
        <f t="shared" ca="1" si="309"/>
        <v/>
      </c>
      <c r="CT75" s="20" t="str">
        <f t="shared" ca="1" si="309"/>
        <v/>
      </c>
      <c r="CU75" s="20" t="str">
        <f t="shared" ca="1" si="309"/>
        <v/>
      </c>
      <c r="CV75" s="20" t="str">
        <f t="shared" ca="1" si="309"/>
        <v/>
      </c>
      <c r="CW75" s="20" t="str">
        <f t="shared" ca="1" si="309"/>
        <v/>
      </c>
      <c r="CX75" s="20" t="str">
        <f t="shared" ca="1" si="310"/>
        <v/>
      </c>
      <c r="CY75" s="20" t="str">
        <f t="shared" ca="1" si="310"/>
        <v/>
      </c>
      <c r="CZ75" s="20" t="str">
        <f t="shared" ca="1" si="310"/>
        <v/>
      </c>
      <c r="DA75" s="20" t="str">
        <f t="shared" ca="1" si="310"/>
        <v/>
      </c>
      <c r="DB75" s="20" t="str">
        <f t="shared" ca="1" si="310"/>
        <v/>
      </c>
      <c r="DC75" s="20" t="str">
        <f t="shared" ca="1" si="310"/>
        <v/>
      </c>
      <c r="DD75" s="20" t="str">
        <f t="shared" ca="1" si="310"/>
        <v/>
      </c>
      <c r="DE75" s="20" t="str">
        <f t="shared" ca="1" si="310"/>
        <v/>
      </c>
      <c r="DF75" s="20" t="str">
        <f t="shared" ca="1" si="310"/>
        <v/>
      </c>
      <c r="DG75" s="34"/>
      <c r="DH75" s="20" t="str">
        <f t="shared" ca="1" si="275"/>
        <v/>
      </c>
      <c r="DI75" s="20" t="str">
        <f t="shared" ca="1" si="276"/>
        <v/>
      </c>
      <c r="DJ75" s="20" t="str">
        <f t="shared" ca="1" si="277"/>
        <v/>
      </c>
      <c r="DK75" s="20" t="str">
        <f t="shared" ca="1" si="278"/>
        <v/>
      </c>
      <c r="DL75" s="20" t="str">
        <f t="shared" ca="1" si="279"/>
        <v/>
      </c>
      <c r="DM75" s="20" t="str">
        <f t="shared" ca="1" si="280"/>
        <v/>
      </c>
      <c r="DN75" s="20" t="str">
        <f t="shared" ca="1" si="281"/>
        <v/>
      </c>
      <c r="DO75" s="20" t="str">
        <f t="shared" ca="1" si="282"/>
        <v/>
      </c>
      <c r="DP75" s="20" t="str">
        <f t="shared" ca="1" si="283"/>
        <v/>
      </c>
      <c r="DQ75" s="20" t="str">
        <f t="shared" ca="1" si="284"/>
        <v/>
      </c>
      <c r="DR75" s="20" t="str">
        <f t="shared" ca="1" si="285"/>
        <v/>
      </c>
      <c r="DS75" s="20" t="str">
        <f t="shared" ca="1" si="286"/>
        <v/>
      </c>
      <c r="DT75" s="20" t="str">
        <f t="shared" ca="1" si="287"/>
        <v/>
      </c>
      <c r="DU75" s="20" t="str">
        <f t="shared" ca="1" si="288"/>
        <v/>
      </c>
      <c r="DV75" s="20" t="str">
        <f t="shared" ca="1" si="289"/>
        <v/>
      </c>
      <c r="DW75" s="20" t="str">
        <f t="shared" ca="1" si="290"/>
        <v/>
      </c>
      <c r="DX75" s="20" t="str">
        <f t="shared" ca="1" si="290"/>
        <v/>
      </c>
      <c r="DY75" s="20" t="str">
        <f t="shared" ca="1" si="290"/>
        <v/>
      </c>
      <c r="DZ75" s="20" t="str">
        <f t="shared" ca="1" si="290"/>
        <v/>
      </c>
      <c r="EA75" s="34"/>
      <c r="EB75" s="20" t="str">
        <f t="shared" ca="1" si="291"/>
        <v/>
      </c>
      <c r="EC75" s="20" t="str">
        <f t="shared" ca="1" si="292"/>
        <v/>
      </c>
      <c r="ED75" s="20" t="str">
        <f t="shared" ca="1" si="293"/>
        <v/>
      </c>
      <c r="EE75" s="20" t="str">
        <f t="shared" ca="1" si="294"/>
        <v/>
      </c>
      <c r="EF75" s="20" t="str">
        <f t="shared" ca="1" si="295"/>
        <v/>
      </c>
      <c r="EG75" s="20" t="str">
        <f t="shared" ca="1" si="296"/>
        <v/>
      </c>
      <c r="EH75" s="20" t="str">
        <f t="shared" ca="1" si="297"/>
        <v/>
      </c>
      <c r="EI75" s="20" t="str">
        <f t="shared" ca="1" si="298"/>
        <v/>
      </c>
      <c r="EJ75" s="20" t="str">
        <f t="shared" ca="1" si="299"/>
        <v/>
      </c>
      <c r="EK75" s="20" t="str">
        <f t="shared" ca="1" si="300"/>
        <v/>
      </c>
      <c r="EL75" s="20" t="str">
        <f t="shared" ca="1" si="301"/>
        <v/>
      </c>
      <c r="EM75" s="20" t="str">
        <f t="shared" ca="1" si="302"/>
        <v/>
      </c>
      <c r="EN75" s="20" t="str">
        <f t="shared" ca="1" si="303"/>
        <v/>
      </c>
      <c r="EO75" s="20" t="str">
        <f t="shared" ca="1" si="304"/>
        <v/>
      </c>
      <c r="EP75" s="20" t="str">
        <f t="shared" ca="1" si="305"/>
        <v/>
      </c>
      <c r="EQ75" s="20" t="str">
        <f t="shared" ca="1" si="306"/>
        <v/>
      </c>
      <c r="ER75" s="20" t="str">
        <f t="shared" ca="1" si="306"/>
        <v/>
      </c>
      <c r="ES75" s="20" t="str">
        <f t="shared" ca="1" si="306"/>
        <v/>
      </c>
      <c r="ET75" s="20" t="str">
        <f t="shared" ca="1" si="306"/>
        <v/>
      </c>
      <c r="EU75" s="34"/>
      <c r="EV75" s="20" t="str">
        <f t="shared" ca="1" si="227"/>
        <v/>
      </c>
      <c r="EW75" s="20" t="str">
        <f t="shared" ca="1" si="227"/>
        <v/>
      </c>
      <c r="EX75" s="20" t="str">
        <f t="shared" ca="1" si="227"/>
        <v/>
      </c>
      <c r="EY75" s="20" t="str">
        <f t="shared" ca="1" si="227"/>
        <v/>
      </c>
      <c r="EZ75" s="20" t="str">
        <f t="shared" ca="1" si="227"/>
        <v/>
      </c>
      <c r="FA75" s="20" t="str">
        <f t="shared" ca="1" si="227"/>
        <v/>
      </c>
      <c r="FB75" s="20" t="str">
        <f t="shared" ca="1" si="227"/>
        <v/>
      </c>
      <c r="FC75" s="20" t="str">
        <f t="shared" ca="1" si="227"/>
        <v/>
      </c>
      <c r="FD75" s="20" t="str">
        <f t="shared" ca="1" si="227"/>
        <v/>
      </c>
      <c r="FE75" s="20" t="str">
        <f t="shared" ca="1" si="227"/>
        <v/>
      </c>
      <c r="FF75" s="20" t="str">
        <f t="shared" ca="1" si="228"/>
        <v/>
      </c>
      <c r="FG75" s="20" t="str">
        <f t="shared" ca="1" si="228"/>
        <v/>
      </c>
      <c r="FH75" s="20" t="str">
        <f t="shared" ca="1" si="228"/>
        <v/>
      </c>
      <c r="FI75" s="20" t="str">
        <f t="shared" ca="1" si="228"/>
        <v/>
      </c>
      <c r="FJ75" s="20" t="str">
        <f t="shared" ca="1" si="228"/>
        <v/>
      </c>
      <c r="FK75" s="20" t="str">
        <f t="shared" ca="1" si="228"/>
        <v/>
      </c>
      <c r="FL75" s="20" t="str">
        <f t="shared" ca="1" si="228"/>
        <v/>
      </c>
      <c r="FM75" s="20" t="str">
        <f t="shared" ca="1" si="228"/>
        <v/>
      </c>
      <c r="FN75" s="20" t="str">
        <f t="shared" ca="1" si="228"/>
        <v/>
      </c>
      <c r="FO75" s="34"/>
      <c r="FP75" s="20" t="str">
        <f t="shared" ca="1" si="229"/>
        <v/>
      </c>
      <c r="FQ75" s="20" t="str">
        <f t="shared" ca="1" si="229"/>
        <v/>
      </c>
      <c r="FR75" s="20" t="str">
        <f t="shared" ca="1" si="229"/>
        <v/>
      </c>
      <c r="FS75" s="20" t="str">
        <f t="shared" ca="1" si="229"/>
        <v/>
      </c>
      <c r="FT75" s="20" t="str">
        <f t="shared" ca="1" si="229"/>
        <v/>
      </c>
      <c r="FU75" s="20" t="str">
        <f t="shared" ca="1" si="229"/>
        <v/>
      </c>
      <c r="FV75" s="20" t="str">
        <f t="shared" ca="1" si="229"/>
        <v/>
      </c>
      <c r="FW75" s="20" t="str">
        <f t="shared" ca="1" si="229"/>
        <v/>
      </c>
      <c r="FX75" s="20" t="str">
        <f t="shared" ca="1" si="229"/>
        <v/>
      </c>
      <c r="FY75" s="20" t="str">
        <f t="shared" ca="1" si="229"/>
        <v/>
      </c>
      <c r="FZ75" s="20" t="str">
        <f t="shared" ca="1" si="230"/>
        <v/>
      </c>
      <c r="GA75" s="20" t="str">
        <f t="shared" ca="1" si="230"/>
        <v/>
      </c>
      <c r="GB75" s="20" t="str">
        <f t="shared" ca="1" si="230"/>
        <v/>
      </c>
      <c r="GC75" s="20" t="str">
        <f t="shared" ca="1" si="230"/>
        <v/>
      </c>
      <c r="GD75" s="20" t="str">
        <f t="shared" ca="1" si="230"/>
        <v/>
      </c>
      <c r="GE75" s="20" t="str">
        <f t="shared" ca="1" si="230"/>
        <v/>
      </c>
      <c r="GF75" s="20" t="str">
        <f t="shared" ca="1" si="230"/>
        <v/>
      </c>
      <c r="GG75" s="20" t="str">
        <f t="shared" ca="1" si="230"/>
        <v/>
      </c>
      <c r="GH75" s="20" t="str">
        <f t="shared" ca="1" si="230"/>
        <v/>
      </c>
      <c r="GI75" s="34"/>
      <c r="HE75" s="34"/>
      <c r="HZ75" s="34"/>
      <c r="IA75" s="19" t="str">
        <f t="shared" ca="1" si="231"/>
        <v>No Hdcp</v>
      </c>
      <c r="IB75" s="19" t="str">
        <f t="shared" ca="1" si="232"/>
        <v>Low of score &amp; 0</v>
      </c>
      <c r="IC75" s="19" t="str">
        <f t="shared" ca="1" si="233"/>
        <v>Low of score &amp; 0</v>
      </c>
      <c r="ID75" s="18" t="str">
        <f t="shared" ca="1" si="234"/>
        <v>Low of score &amp; 0</v>
      </c>
      <c r="IE75" s="18" t="str">
        <f t="shared" ca="1" si="235"/>
        <v>Low of score &amp; 0</v>
      </c>
      <c r="IF75" s="18">
        <f t="shared" ca="1" si="236"/>
        <v>-34.56</v>
      </c>
      <c r="IG75" s="353" t="e">
        <f t="shared" ca="1" si="237"/>
        <v>#NUM!</v>
      </c>
      <c r="IH75" s="18" t="e">
        <f t="shared" ca="1" si="238"/>
        <v>#NUM!</v>
      </c>
      <c r="II75" s="18" t="e">
        <f t="shared" ca="1" si="239"/>
        <v>#NUM!</v>
      </c>
      <c r="IJ75" s="18" t="e">
        <f t="shared" ca="1" si="240"/>
        <v>#NUM!</v>
      </c>
      <c r="IK75" s="18" t="e">
        <f t="shared" ca="1" si="241"/>
        <v>#NUM!</v>
      </c>
      <c r="IL75" s="34"/>
      <c r="IN75" s="18">
        <f t="shared" ca="1" si="242"/>
        <v>0</v>
      </c>
      <c r="IO75" s="18">
        <f t="shared" ca="1" si="243"/>
        <v>0</v>
      </c>
      <c r="IP75" s="18">
        <f t="shared" ca="1" si="244"/>
        <v>0</v>
      </c>
      <c r="IQ75" s="18">
        <f t="shared" ca="1" si="245"/>
        <v>0</v>
      </c>
      <c r="IR75" s="18">
        <f t="shared" ca="1" si="246"/>
        <v>0</v>
      </c>
      <c r="IS75" s="18">
        <f t="shared" ca="1" si="247"/>
        <v>0</v>
      </c>
      <c r="IT75" s="18">
        <f t="shared" ca="1" si="248"/>
        <v>0</v>
      </c>
      <c r="IU75" s="18">
        <f t="shared" ca="1" si="249"/>
        <v>0</v>
      </c>
      <c r="IV75" s="18">
        <f t="shared" ca="1" si="250"/>
        <v>0</v>
      </c>
      <c r="IW75" s="18">
        <f t="shared" ca="1" si="251"/>
        <v>0</v>
      </c>
      <c r="IX75" s="19">
        <f t="shared" ca="1" si="252"/>
        <v>10</v>
      </c>
      <c r="IY75" s="21">
        <f t="shared" ca="1" si="253"/>
        <v>-34.56</v>
      </c>
      <c r="JA75" s="18" t="str">
        <f t="shared" ca="1" si="254"/>
        <v>No Hdcp</v>
      </c>
      <c r="JB75" s="18" t="str">
        <f t="shared" ca="1" si="255"/>
        <v>Low of score &amp; 0</v>
      </c>
      <c r="JC75" s="18" t="str">
        <f t="shared" ca="1" si="256"/>
        <v>Low of score &amp; 0</v>
      </c>
      <c r="JD75" s="18" t="str">
        <f t="shared" ca="1" si="257"/>
        <v>Low of score &amp; 0</v>
      </c>
      <c r="JE75" s="18" t="str">
        <f t="shared" ca="1" si="258"/>
        <v>Low of score &amp; 0</v>
      </c>
      <c r="JF75" s="18">
        <f t="shared" ca="1" si="259"/>
        <v>-34.56</v>
      </c>
      <c r="JG75" s="18">
        <f t="shared" ca="1" si="260"/>
        <v>-34.56</v>
      </c>
      <c r="JH75" s="18">
        <f t="shared" ca="1" si="261"/>
        <v>-34.56</v>
      </c>
      <c r="JI75" s="18">
        <f t="shared" ca="1" si="262"/>
        <v>-34.56</v>
      </c>
      <c r="JJ75" s="18">
        <f t="shared" ca="1" si="263"/>
        <v>-34.56</v>
      </c>
      <c r="JK75" s="18">
        <f t="shared" ca="1" si="264"/>
        <v>-34.56</v>
      </c>
    </row>
    <row r="76" spans="1:271" x14ac:dyDescent="0.2">
      <c r="A76" s="18" t="s">
        <v>76</v>
      </c>
      <c r="B76" s="19">
        <f>B75+8</f>
        <v>101</v>
      </c>
      <c r="C76" s="22">
        <f t="shared" ca="1" si="206"/>
        <v>5.7000000000000002E-3</v>
      </c>
      <c r="D76" s="18" t="str">
        <f t="shared" ca="1" si="265"/>
        <v>Jones, Ron</v>
      </c>
      <c r="E76" s="19">
        <f t="shared" ca="1" si="207"/>
        <v>1</v>
      </c>
      <c r="F76" s="19">
        <f t="shared" ca="1" si="208"/>
        <v>1</v>
      </c>
      <c r="G76" s="21" t="str">
        <f t="shared" ca="1" si="209"/>
        <v>Low of score &amp; 54</v>
      </c>
      <c r="H76" s="337" cm="1">
        <f t="array" aca="1" ref="H76" ca="1">IFERROR(_xlfn.SINGLE(INDEX($AF76:$BH76, , SUMPRODUCT(LARGE((($AF76:$BH76&lt;&gt;0)*($BJ76:$CL76&lt;&gt;1)*($AF$5:$BH$5)), H$6)))), "")</f>
        <v>54</v>
      </c>
      <c r="I76" s="338" t="str" cm="1">
        <f t="array" aca="1" ref="I76" ca="1">IFERROR(_xlfn.SINGLE(INDEX($AF76:$BH76, , SUMPRODUCT(LARGE((($AF76:$BH76&lt;&gt;0)*($BJ76:$CL76&lt;&gt;1)*($AF$5:$BH$5)), I$6)))), "")</f>
        <v/>
      </c>
      <c r="J76" s="338" t="str" cm="1">
        <f t="array" aca="1" ref="J76" ca="1">IFERROR(_xlfn.SINGLE(INDEX($AF76:$BH76, , SUMPRODUCT(LARGE((($AF76:$BH76&lt;&gt;0)*($BJ76:$CL76&lt;&gt;1)*($AF$5:$BH$5)), J$6)))), "")</f>
        <v/>
      </c>
      <c r="K76" s="338" t="str" cm="1">
        <f t="array" aca="1" ref="K76" ca="1">IFERROR(_xlfn.SINGLE(INDEX($AF76:$BH76, , SUMPRODUCT(LARGE((($AF76:$BH76&lt;&gt;0)*($BJ76:$CL76&lt;&gt;1)*($AF$5:$BH$5)), K$6)))), "")</f>
        <v/>
      </c>
      <c r="L76" s="338" t="str" cm="1">
        <f t="array" aca="1" ref="L76" ca="1">IFERROR(_xlfn.SINGLE(INDEX($AF76:$BH76, , SUMPRODUCT(LARGE((($AF76:$BH76&lt;&gt;0)*($BJ76:$CL76&lt;&gt;1)*($AF$5:$BH$5)), L$6)))), "")</f>
        <v/>
      </c>
      <c r="M76" s="338" t="str" cm="1">
        <f t="array" aca="1" ref="M76" ca="1">IFERROR(_xlfn.SINGLE(INDEX($AF76:$BH76, , SUMPRODUCT(LARGE((($AF76:$BH76&lt;&gt;0)*($BJ76:$CL76&lt;&gt;1)*($AF$5:$BH$5)), M$6)))), "")</f>
        <v/>
      </c>
      <c r="N76" s="338" t="str" cm="1">
        <f t="array" aca="1" ref="N76" ca="1">IFERROR(_xlfn.SINGLE(INDEX($AF76:$BH76, , SUMPRODUCT(LARGE((($AF76:$BH76&lt;&gt;0)*($BJ76:$CL76&lt;&gt;1)*($AF$5:$BH$5)), N$6)))), "")</f>
        <v/>
      </c>
      <c r="O76" s="338" t="str" cm="1">
        <f t="array" aca="1" ref="O76" ca="1">IFERROR(_xlfn.SINGLE(INDEX($AF76:$BH76, , SUMPRODUCT(LARGE((($AF76:$BH76&lt;&gt;0)*($BJ76:$CL76&lt;&gt;1)*($AF$5:$BH$5)), O$6)))), "")</f>
        <v/>
      </c>
      <c r="P76" s="338" t="str" cm="1">
        <f t="array" aca="1" ref="P76" ca="1">IFERROR(_xlfn.SINGLE(INDEX($AF76:$BH76, , SUMPRODUCT(LARGE((($AF76:$BH76&lt;&gt;0)*($BJ76:$CL76&lt;&gt;1)*($AF$5:$BH$5)), P$6)))), "")</f>
        <v/>
      </c>
      <c r="Q76" s="339" t="str" cm="1">
        <f t="array" aca="1" ref="Q76" ca="1">IFERROR(_xlfn.SINGLE(INDEX($AF76:$BH76, , SUMPRODUCT(LARGE((($AF76:$BH76&lt;&gt;0)*($BJ76:$CL76&lt;&gt;1)*($AF$5:$BH$5)), Q$6)))), "")</f>
        <v/>
      </c>
      <c r="R76" s="116" t="s">
        <v>457</v>
      </c>
      <c r="S76" s="47" t="str">
        <f t="shared" ca="1" si="210"/>
        <v>-</v>
      </c>
      <c r="T76" s="21" t="str">
        <f t="shared" ca="1" si="211"/>
        <v>54.00*</v>
      </c>
      <c r="U76" s="21" t="str">
        <f t="shared" ca="1" si="212"/>
        <v>39.00*</v>
      </c>
      <c r="V76" s="46">
        <f t="shared" ca="1" si="213"/>
        <v>54</v>
      </c>
      <c r="W76" s="19">
        <f t="shared" ca="1" si="214"/>
        <v>39</v>
      </c>
      <c r="X76" s="46">
        <f t="shared" ca="1" si="215"/>
        <v>13</v>
      </c>
      <c r="Y76" s="21" t="str">
        <f t="shared" ca="1" si="216"/>
        <v>13.00*</v>
      </c>
      <c r="Z76" s="19">
        <f t="shared" ca="1" si="217"/>
        <v>0</v>
      </c>
      <c r="AA76" s="19">
        <f t="shared" ca="1" si="218"/>
        <v>0</v>
      </c>
      <c r="AB76" s="46" t="str">
        <f t="shared" ca="1" si="219"/>
        <v>0-0-0</v>
      </c>
      <c r="AC76" s="218">
        <f t="shared" ca="1" si="273"/>
        <v>3307545960</v>
      </c>
      <c r="AD76" s="57" t="str">
        <f t="shared" ca="1" si="274"/>
        <v>Rojo4him@gmail.com</v>
      </c>
      <c r="AE76" s="34"/>
      <c r="AF76" s="341">
        <f ca="1">INDEX(PriorScores[],MATCH($D76,PriorScores[Team / Player],0),2)</f>
        <v>0</v>
      </c>
      <c r="AG76" s="341">
        <f ca="1">INDEX(PriorScores[],MATCH($D76,PriorScores[Team / Player],0),3)</f>
        <v>0</v>
      </c>
      <c r="AH76" s="341">
        <f ca="1">INDEX(PriorScores[],MATCH($D76,PriorScores[Team / Player],0),4)</f>
        <v>0</v>
      </c>
      <c r="AI76" s="341">
        <f ca="1">INDEX(PriorScores[],MATCH($D76,PriorScores[Team / Player],0),5)</f>
        <v>0</v>
      </c>
      <c r="AJ76" s="341">
        <f ca="1">INDEX(PriorScores[],MATCH($D76,PriorScores[Team / Player],0),6)</f>
        <v>0</v>
      </c>
      <c r="AK76" s="341">
        <f ca="1">INDEX(PriorScores[],MATCH($D76,PriorScores[Team / Player],0),7)</f>
        <v>0</v>
      </c>
      <c r="AL76" s="341">
        <f ca="1">INDEX(PriorScores[],MATCH($D76,PriorScores[Team / Player],0),8)</f>
        <v>0</v>
      </c>
      <c r="AM76" s="341">
        <f ca="1">INDEX(PriorScores[],MATCH($D76,PriorScores[Team / Player],0),9)</f>
        <v>0</v>
      </c>
      <c r="AN76" s="341">
        <f ca="1">INDEX(PriorScores[],MATCH($D76,PriorScores[Team / Player],0),10)</f>
        <v>0</v>
      </c>
      <c r="AO76" s="341">
        <f ca="1">INDEX(PriorScores[],MATCH($D76,PriorScores[Team / Player],0),11)</f>
        <v>0</v>
      </c>
      <c r="AP76" s="20">
        <f t="shared" ca="1" si="307"/>
        <v>0</v>
      </c>
      <c r="AQ76" s="20">
        <f t="shared" ca="1" si="307"/>
        <v>0</v>
      </c>
      <c r="AR76" s="20">
        <f t="shared" ca="1" si="307"/>
        <v>0</v>
      </c>
      <c r="AS76" s="20">
        <f t="shared" ca="1" si="307"/>
        <v>0</v>
      </c>
      <c r="AT76" s="20">
        <f t="shared" ca="1" si="307"/>
        <v>0</v>
      </c>
      <c r="AU76" s="20">
        <f t="shared" ca="1" si="307"/>
        <v>54</v>
      </c>
      <c r="AV76" s="20">
        <f t="shared" ca="1" si="307"/>
        <v>0</v>
      </c>
      <c r="AW76" s="20">
        <f t="shared" ca="1" si="307"/>
        <v>0</v>
      </c>
      <c r="AX76" s="20">
        <f t="shared" ca="1" si="307"/>
        <v>0</v>
      </c>
      <c r="AY76" s="20">
        <f t="shared" ca="1" si="307"/>
        <v>0</v>
      </c>
      <c r="AZ76" s="20">
        <f t="shared" ca="1" si="308"/>
        <v>0</v>
      </c>
      <c r="BA76" s="20">
        <f t="shared" ca="1" si="308"/>
        <v>0</v>
      </c>
      <c r="BB76" s="20">
        <f t="shared" ca="1" si="308"/>
        <v>0</v>
      </c>
      <c r="BC76" s="20">
        <f t="shared" ca="1" si="308"/>
        <v>0</v>
      </c>
      <c r="BD76" s="20">
        <f t="shared" ca="1" si="308"/>
        <v>0</v>
      </c>
      <c r="BE76" s="20">
        <f t="shared" ca="1" si="308"/>
        <v>0</v>
      </c>
      <c r="BF76" s="20">
        <f t="shared" ca="1" si="308"/>
        <v>0</v>
      </c>
      <c r="BG76" s="20">
        <f t="shared" ca="1" si="308"/>
        <v>0</v>
      </c>
      <c r="BH76" s="20">
        <f t="shared" ca="1" si="308"/>
        <v>0</v>
      </c>
      <c r="BI76" s="34"/>
      <c r="BJ76" s="341">
        <v>0</v>
      </c>
      <c r="BK76" s="341">
        <v>0</v>
      </c>
      <c r="BL76" s="341">
        <v>0</v>
      </c>
      <c r="BM76" s="341">
        <v>0</v>
      </c>
      <c r="BN76" s="341">
        <v>0</v>
      </c>
      <c r="BO76" s="341">
        <v>0</v>
      </c>
      <c r="BP76" s="341">
        <v>0</v>
      </c>
      <c r="BQ76" s="341">
        <v>0</v>
      </c>
      <c r="BR76" s="341">
        <v>0</v>
      </c>
      <c r="BS76" s="341">
        <v>0</v>
      </c>
      <c r="BT76" s="20">
        <f t="shared" ca="1" si="266"/>
        <v>0</v>
      </c>
      <c r="BU76" s="20">
        <f t="shared" ca="1" si="266"/>
        <v>0</v>
      </c>
      <c r="BV76" s="20">
        <f t="shared" ca="1" si="266"/>
        <v>0</v>
      </c>
      <c r="BW76" s="20">
        <f t="shared" ca="1" si="266"/>
        <v>0</v>
      </c>
      <c r="BX76" s="20">
        <f t="shared" ca="1" si="266"/>
        <v>0</v>
      </c>
      <c r="BY76" s="20">
        <f t="shared" ca="1" si="266"/>
        <v>0</v>
      </c>
      <c r="BZ76" s="20">
        <f t="shared" ca="1" si="266"/>
        <v>0</v>
      </c>
      <c r="CA76" s="20">
        <f t="shared" ca="1" si="266"/>
        <v>0</v>
      </c>
      <c r="CB76" s="20">
        <f t="shared" ca="1" si="266"/>
        <v>0</v>
      </c>
      <c r="CC76" s="20">
        <f t="shared" ca="1" si="266"/>
        <v>0</v>
      </c>
      <c r="CD76" s="20">
        <f t="shared" ca="1" si="266"/>
        <v>0</v>
      </c>
      <c r="CE76" s="20">
        <f t="shared" ca="1" si="266"/>
        <v>0</v>
      </c>
      <c r="CF76" s="20">
        <f t="shared" ca="1" si="266"/>
        <v>0</v>
      </c>
      <c r="CG76" s="20">
        <f t="shared" ca="1" si="266"/>
        <v>0</v>
      </c>
      <c r="CH76" s="20">
        <f t="shared" ca="1" si="266"/>
        <v>0</v>
      </c>
      <c r="CI76" s="20">
        <f t="shared" ca="1" si="266"/>
        <v>0</v>
      </c>
      <c r="CJ76" s="20">
        <f t="shared" ca="1" si="267"/>
        <v>0</v>
      </c>
      <c r="CK76" s="20">
        <f t="shared" ca="1" si="267"/>
        <v>0</v>
      </c>
      <c r="CL76" s="20">
        <f t="shared" ca="1" si="267"/>
        <v>0</v>
      </c>
      <c r="CM76" s="34"/>
      <c r="CN76" s="20" t="str">
        <f t="shared" ca="1" si="309"/>
        <v/>
      </c>
      <c r="CO76" s="20" t="str">
        <f t="shared" ca="1" si="309"/>
        <v/>
      </c>
      <c r="CP76" s="20" t="str">
        <f t="shared" ca="1" si="309"/>
        <v/>
      </c>
      <c r="CQ76" s="20" t="str">
        <f t="shared" ca="1" si="309"/>
        <v/>
      </c>
      <c r="CR76" s="20" t="str">
        <f t="shared" ca="1" si="309"/>
        <v/>
      </c>
      <c r="CS76" s="20">
        <f t="shared" ca="1" si="309"/>
        <v>39</v>
      </c>
      <c r="CT76" s="20" t="str">
        <f t="shared" ca="1" si="309"/>
        <v/>
      </c>
      <c r="CU76" s="20" t="str">
        <f t="shared" ca="1" si="309"/>
        <v/>
      </c>
      <c r="CV76" s="20" t="str">
        <f t="shared" ca="1" si="309"/>
        <v/>
      </c>
      <c r="CW76" s="20" t="str">
        <f t="shared" ca="1" si="309"/>
        <v/>
      </c>
      <c r="CX76" s="20" t="str">
        <f t="shared" ca="1" si="310"/>
        <v/>
      </c>
      <c r="CY76" s="20" t="str">
        <f t="shared" ca="1" si="310"/>
        <v/>
      </c>
      <c r="CZ76" s="20" t="str">
        <f t="shared" ca="1" si="310"/>
        <v/>
      </c>
      <c r="DA76" s="20" t="str">
        <f t="shared" ca="1" si="310"/>
        <v/>
      </c>
      <c r="DB76" s="20" t="str">
        <f t="shared" ca="1" si="310"/>
        <v/>
      </c>
      <c r="DC76" s="20" t="str">
        <f t="shared" ca="1" si="310"/>
        <v/>
      </c>
      <c r="DD76" s="20" t="str">
        <f t="shared" ca="1" si="310"/>
        <v/>
      </c>
      <c r="DE76" s="20" t="str">
        <f t="shared" ca="1" si="310"/>
        <v/>
      </c>
      <c r="DF76" s="20" t="str">
        <f t="shared" ca="1" si="310"/>
        <v/>
      </c>
      <c r="DG76" s="34"/>
      <c r="DH76" s="20" t="str">
        <f t="shared" ca="1" si="275"/>
        <v/>
      </c>
      <c r="DI76" s="20" t="str">
        <f t="shared" ca="1" si="276"/>
        <v/>
      </c>
      <c r="DJ76" s="20" t="str">
        <f t="shared" ca="1" si="277"/>
        <v/>
      </c>
      <c r="DK76" s="20" t="str">
        <f t="shared" ca="1" si="278"/>
        <v/>
      </c>
      <c r="DL76" s="20" t="str">
        <f t="shared" ca="1" si="279"/>
        <v/>
      </c>
      <c r="DM76" s="20">
        <f t="shared" ca="1" si="280"/>
        <v>13</v>
      </c>
      <c r="DN76" s="20" t="str">
        <f t="shared" ca="1" si="281"/>
        <v/>
      </c>
      <c r="DO76" s="20" t="str">
        <f t="shared" ca="1" si="282"/>
        <v/>
      </c>
      <c r="DP76" s="20" t="str">
        <f t="shared" ca="1" si="283"/>
        <v/>
      </c>
      <c r="DQ76" s="20" t="str">
        <f t="shared" ca="1" si="284"/>
        <v/>
      </c>
      <c r="DR76" s="20" t="str">
        <f t="shared" ca="1" si="285"/>
        <v/>
      </c>
      <c r="DS76" s="20" t="str">
        <f t="shared" ca="1" si="286"/>
        <v/>
      </c>
      <c r="DT76" s="20" t="str">
        <f t="shared" ca="1" si="287"/>
        <v/>
      </c>
      <c r="DU76" s="20" t="str">
        <f t="shared" ca="1" si="288"/>
        <v/>
      </c>
      <c r="DV76" s="20" t="str">
        <f t="shared" ca="1" si="289"/>
        <v/>
      </c>
      <c r="DW76" s="20" t="str">
        <f t="shared" ca="1" si="290"/>
        <v/>
      </c>
      <c r="DX76" s="20" t="str">
        <f t="shared" ca="1" si="290"/>
        <v/>
      </c>
      <c r="DY76" s="20" t="str">
        <f t="shared" ca="1" si="290"/>
        <v/>
      </c>
      <c r="DZ76" s="20" t="str">
        <f t="shared" ca="1" si="290"/>
        <v/>
      </c>
      <c r="EA76" s="34"/>
      <c r="EB76" s="20" t="str">
        <f t="shared" ca="1" si="291"/>
        <v/>
      </c>
      <c r="EC76" s="20" t="str">
        <f t="shared" ca="1" si="292"/>
        <v/>
      </c>
      <c r="ED76" s="20" t="str">
        <f t="shared" ca="1" si="293"/>
        <v/>
      </c>
      <c r="EE76" s="20" t="str">
        <f t="shared" ca="1" si="294"/>
        <v/>
      </c>
      <c r="EF76" s="20" t="str">
        <f t="shared" ca="1" si="295"/>
        <v/>
      </c>
      <c r="EG76" s="20" t="str">
        <f t="shared" ca="1" si="296"/>
        <v/>
      </c>
      <c r="EH76" s="20" t="str">
        <f t="shared" ca="1" si="297"/>
        <v/>
      </c>
      <c r="EI76" s="20" t="str">
        <f t="shared" ca="1" si="298"/>
        <v/>
      </c>
      <c r="EJ76" s="20" t="str">
        <f t="shared" ca="1" si="299"/>
        <v/>
      </c>
      <c r="EK76" s="20" t="str">
        <f t="shared" ca="1" si="300"/>
        <v/>
      </c>
      <c r="EL76" s="20" t="str">
        <f t="shared" ca="1" si="301"/>
        <v/>
      </c>
      <c r="EM76" s="20" t="str">
        <f t="shared" ca="1" si="302"/>
        <v/>
      </c>
      <c r="EN76" s="20" t="str">
        <f t="shared" ca="1" si="303"/>
        <v/>
      </c>
      <c r="EO76" s="20" t="str">
        <f t="shared" ca="1" si="304"/>
        <v/>
      </c>
      <c r="EP76" s="20" t="str">
        <f t="shared" ca="1" si="305"/>
        <v/>
      </c>
      <c r="EQ76" s="20" t="str">
        <f t="shared" ca="1" si="306"/>
        <v/>
      </c>
      <c r="ER76" s="20" t="str">
        <f t="shared" ca="1" si="306"/>
        <v/>
      </c>
      <c r="ES76" s="20" t="str">
        <f t="shared" ca="1" si="306"/>
        <v/>
      </c>
      <c r="ET76" s="20" t="str">
        <f t="shared" ca="1" si="306"/>
        <v/>
      </c>
      <c r="EU76" s="34"/>
      <c r="EV76" s="20" t="str">
        <f t="shared" ca="1" si="227"/>
        <v/>
      </c>
      <c r="EW76" s="20" t="str">
        <f t="shared" ca="1" si="227"/>
        <v/>
      </c>
      <c r="EX76" s="20" t="str">
        <f t="shared" ca="1" si="227"/>
        <v/>
      </c>
      <c r="EY76" s="20" t="str">
        <f t="shared" ca="1" si="227"/>
        <v/>
      </c>
      <c r="EZ76" s="20" t="str">
        <f t="shared" ca="1" si="227"/>
        <v/>
      </c>
      <c r="FA76" s="20" t="str">
        <f t="shared" ca="1" si="227"/>
        <v/>
      </c>
      <c r="FB76" s="20" t="str">
        <f t="shared" ca="1" si="227"/>
        <v/>
      </c>
      <c r="FC76" s="20" t="str">
        <f t="shared" ca="1" si="227"/>
        <v/>
      </c>
      <c r="FD76" s="20" t="str">
        <f t="shared" ca="1" si="227"/>
        <v/>
      </c>
      <c r="FE76" s="20" t="str">
        <f t="shared" ca="1" si="227"/>
        <v/>
      </c>
      <c r="FF76" s="20" t="str">
        <f t="shared" ca="1" si="228"/>
        <v/>
      </c>
      <c r="FG76" s="20" t="str">
        <f t="shared" ca="1" si="228"/>
        <v/>
      </c>
      <c r="FH76" s="20" t="str">
        <f t="shared" ca="1" si="228"/>
        <v/>
      </c>
      <c r="FI76" s="20" t="str">
        <f t="shared" ca="1" si="228"/>
        <v/>
      </c>
      <c r="FJ76" s="20" t="str">
        <f t="shared" ca="1" si="228"/>
        <v/>
      </c>
      <c r="FK76" s="20" t="str">
        <f t="shared" ca="1" si="228"/>
        <v/>
      </c>
      <c r="FL76" s="20" t="str">
        <f t="shared" ca="1" si="228"/>
        <v/>
      </c>
      <c r="FM76" s="20" t="str">
        <f t="shared" ca="1" si="228"/>
        <v/>
      </c>
      <c r="FN76" s="20" t="str">
        <f t="shared" ca="1" si="228"/>
        <v/>
      </c>
      <c r="FO76" s="34"/>
      <c r="FP76" s="20" t="str">
        <f t="shared" ca="1" si="229"/>
        <v/>
      </c>
      <c r="FQ76" s="20" t="str">
        <f t="shared" ca="1" si="229"/>
        <v/>
      </c>
      <c r="FR76" s="20" t="str">
        <f t="shared" ca="1" si="229"/>
        <v/>
      </c>
      <c r="FS76" s="20" t="str">
        <f t="shared" ca="1" si="229"/>
        <v/>
      </c>
      <c r="FT76" s="20" t="str">
        <f t="shared" ca="1" si="229"/>
        <v/>
      </c>
      <c r="FU76" s="20" t="str">
        <f t="shared" ca="1" si="229"/>
        <v>Stymies</v>
      </c>
      <c r="FV76" s="20" t="str">
        <f t="shared" ca="1" si="229"/>
        <v/>
      </c>
      <c r="FW76" s="20" t="str">
        <f t="shared" ca="1" si="229"/>
        <v/>
      </c>
      <c r="FX76" s="20" t="str">
        <f t="shared" ca="1" si="229"/>
        <v/>
      </c>
      <c r="FY76" s="20" t="str">
        <f t="shared" ca="1" si="229"/>
        <v/>
      </c>
      <c r="FZ76" s="20" t="str">
        <f t="shared" ca="1" si="230"/>
        <v/>
      </c>
      <c r="GA76" s="20" t="str">
        <f t="shared" ca="1" si="230"/>
        <v/>
      </c>
      <c r="GB76" s="20" t="str">
        <f t="shared" ca="1" si="230"/>
        <v/>
      </c>
      <c r="GC76" s="20" t="str">
        <f t="shared" ca="1" si="230"/>
        <v/>
      </c>
      <c r="GD76" s="20" t="str">
        <f t="shared" ca="1" si="230"/>
        <v/>
      </c>
      <c r="GE76" s="20" t="str">
        <f t="shared" ca="1" si="230"/>
        <v/>
      </c>
      <c r="GF76" s="20" t="str">
        <f t="shared" ca="1" si="230"/>
        <v/>
      </c>
      <c r="GG76" s="20" t="str">
        <f t="shared" ca="1" si="230"/>
        <v/>
      </c>
      <c r="GH76" s="20" t="str">
        <f t="shared" ca="1" si="230"/>
        <v/>
      </c>
      <c r="GI76" s="34"/>
      <c r="HE76" s="34"/>
      <c r="HZ76" s="34"/>
      <c r="IA76" s="19" t="str">
        <f t="shared" ca="1" si="231"/>
        <v>No Hdcp</v>
      </c>
      <c r="IB76" s="19" t="str">
        <f t="shared" ca="1" si="232"/>
        <v>Low of score &amp; 54</v>
      </c>
      <c r="IC76" s="19" t="str">
        <f t="shared" ca="1" si="233"/>
        <v>Low of score &amp; 54</v>
      </c>
      <c r="ID76" s="18" t="str">
        <f t="shared" ca="1" si="234"/>
        <v>Low of score &amp; 54</v>
      </c>
      <c r="IE76" s="18" t="str">
        <f t="shared" ca="1" si="235"/>
        <v>Low of score &amp; 54</v>
      </c>
      <c r="IF76" s="18">
        <f t="shared" ca="1" si="236"/>
        <v>17.28</v>
      </c>
      <c r="IG76" s="353" t="e">
        <f t="shared" ca="1" si="237"/>
        <v>#NUM!</v>
      </c>
      <c r="IH76" s="18" t="e">
        <f t="shared" ca="1" si="238"/>
        <v>#NUM!</v>
      </c>
      <c r="II76" s="18" t="e">
        <f t="shared" ca="1" si="239"/>
        <v>#NUM!</v>
      </c>
      <c r="IJ76" s="18" t="e">
        <f t="shared" ca="1" si="240"/>
        <v>#NUM!</v>
      </c>
      <c r="IK76" s="18" t="e">
        <f t="shared" ca="1" si="241"/>
        <v>#NUM!</v>
      </c>
      <c r="IL76" s="34"/>
      <c r="IN76" s="18">
        <f t="shared" ca="1" si="242"/>
        <v>0</v>
      </c>
      <c r="IO76" s="18">
        <f t="shared" ca="1" si="243"/>
        <v>0</v>
      </c>
      <c r="IP76" s="18">
        <f t="shared" ca="1" si="244"/>
        <v>0</v>
      </c>
      <c r="IQ76" s="18">
        <f t="shared" ca="1" si="245"/>
        <v>0</v>
      </c>
      <c r="IR76" s="18">
        <f t="shared" ca="1" si="246"/>
        <v>0</v>
      </c>
      <c r="IS76" s="18">
        <f t="shared" ca="1" si="247"/>
        <v>0</v>
      </c>
      <c r="IT76" s="18">
        <f t="shared" ca="1" si="248"/>
        <v>0</v>
      </c>
      <c r="IU76" s="18">
        <f t="shared" ca="1" si="249"/>
        <v>0</v>
      </c>
      <c r="IV76" s="18">
        <f t="shared" ca="1" si="250"/>
        <v>0</v>
      </c>
      <c r="IW76" s="18">
        <f t="shared" ca="1" si="251"/>
        <v>0</v>
      </c>
      <c r="IX76" s="19">
        <f t="shared" ca="1" si="252"/>
        <v>10</v>
      </c>
      <c r="IY76" s="21">
        <f t="shared" ca="1" si="253"/>
        <v>-34.56</v>
      </c>
      <c r="JA76" s="18" t="str">
        <f t="shared" ca="1" si="254"/>
        <v>No Hdcp</v>
      </c>
      <c r="JB76" s="18" t="str">
        <f t="shared" ca="1" si="255"/>
        <v>Low of score &amp; 0</v>
      </c>
      <c r="JC76" s="18" t="str">
        <f t="shared" ca="1" si="256"/>
        <v>Low of score &amp; 0</v>
      </c>
      <c r="JD76" s="18" t="str">
        <f t="shared" ca="1" si="257"/>
        <v>Low of score &amp; 0</v>
      </c>
      <c r="JE76" s="18" t="str">
        <f t="shared" ca="1" si="258"/>
        <v>Low of score &amp; 0</v>
      </c>
      <c r="JF76" s="18">
        <f t="shared" ca="1" si="259"/>
        <v>-34.56</v>
      </c>
      <c r="JG76" s="18">
        <f t="shared" ca="1" si="260"/>
        <v>-34.56</v>
      </c>
      <c r="JH76" s="18">
        <f t="shared" ca="1" si="261"/>
        <v>-34.56</v>
      </c>
      <c r="JI76" s="18">
        <f t="shared" ca="1" si="262"/>
        <v>-34.56</v>
      </c>
      <c r="JJ76" s="18">
        <f t="shared" ca="1" si="263"/>
        <v>-34.56</v>
      </c>
      <c r="JK76" s="18">
        <f t="shared" ca="1" si="264"/>
        <v>-34.56</v>
      </c>
    </row>
    <row r="77" spans="1:271" x14ac:dyDescent="0.2">
      <c r="A77" s="18" t="s">
        <v>76</v>
      </c>
      <c r="B77" s="19">
        <f t="shared" ref="B77:B92" si="311">B76+8</f>
        <v>109</v>
      </c>
      <c r="C77" s="22">
        <f t="shared" ca="1" si="206"/>
        <v>5.7999999999999996E-3</v>
      </c>
      <c r="D77" s="18" t="str">
        <f t="shared" ca="1" si="265"/>
        <v>Kean, Pat</v>
      </c>
      <c r="E77" s="19">
        <f t="shared" ca="1" si="207"/>
        <v>0</v>
      </c>
      <c r="F77" s="19">
        <f t="shared" ca="1" si="208"/>
        <v>0</v>
      </c>
      <c r="G77" s="21" t="str">
        <f t="shared" ca="1" si="209"/>
        <v>No Hdcp</v>
      </c>
      <c r="H77" s="337" t="str" cm="1">
        <f t="array" aca="1" ref="H77" ca="1">IFERROR(_xlfn.SINGLE(INDEX($AF77:$BH77, , SUMPRODUCT(LARGE((($AF77:$BH77&lt;&gt;0)*($BJ77:$CL77&lt;&gt;1)*($AF$5:$BH$5)), H$6)))), "")</f>
        <v/>
      </c>
      <c r="I77" s="338" t="str" cm="1">
        <f t="array" aca="1" ref="I77" ca="1">IFERROR(_xlfn.SINGLE(INDEX($AF77:$BH77, , SUMPRODUCT(LARGE((($AF77:$BH77&lt;&gt;0)*($BJ77:$CL77&lt;&gt;1)*($AF$5:$BH$5)), I$6)))), "")</f>
        <v/>
      </c>
      <c r="J77" s="338" t="str" cm="1">
        <f t="array" aca="1" ref="J77" ca="1">IFERROR(_xlfn.SINGLE(INDEX($AF77:$BH77, , SUMPRODUCT(LARGE((($AF77:$BH77&lt;&gt;0)*($BJ77:$CL77&lt;&gt;1)*($AF$5:$BH$5)), J$6)))), "")</f>
        <v/>
      </c>
      <c r="K77" s="338" t="str" cm="1">
        <f t="array" aca="1" ref="K77" ca="1">IFERROR(_xlfn.SINGLE(INDEX($AF77:$BH77, , SUMPRODUCT(LARGE((($AF77:$BH77&lt;&gt;0)*($BJ77:$CL77&lt;&gt;1)*($AF$5:$BH$5)), K$6)))), "")</f>
        <v/>
      </c>
      <c r="L77" s="338" t="str" cm="1">
        <f t="array" aca="1" ref="L77" ca="1">IFERROR(_xlfn.SINGLE(INDEX($AF77:$BH77, , SUMPRODUCT(LARGE((($AF77:$BH77&lt;&gt;0)*($BJ77:$CL77&lt;&gt;1)*($AF$5:$BH$5)), L$6)))), "")</f>
        <v/>
      </c>
      <c r="M77" s="338" t="str" cm="1">
        <f t="array" aca="1" ref="M77" ca="1">IFERROR(_xlfn.SINGLE(INDEX($AF77:$BH77, , SUMPRODUCT(LARGE((($AF77:$BH77&lt;&gt;0)*($BJ77:$CL77&lt;&gt;1)*($AF$5:$BH$5)), M$6)))), "")</f>
        <v/>
      </c>
      <c r="N77" s="338" t="str" cm="1">
        <f t="array" aca="1" ref="N77" ca="1">IFERROR(_xlfn.SINGLE(INDEX($AF77:$BH77, , SUMPRODUCT(LARGE((($AF77:$BH77&lt;&gt;0)*($BJ77:$CL77&lt;&gt;1)*($AF$5:$BH$5)), N$6)))), "")</f>
        <v/>
      </c>
      <c r="O77" s="338" t="str" cm="1">
        <f t="array" aca="1" ref="O77" ca="1">IFERROR(_xlfn.SINGLE(INDEX($AF77:$BH77, , SUMPRODUCT(LARGE((($AF77:$BH77&lt;&gt;0)*($BJ77:$CL77&lt;&gt;1)*($AF$5:$BH$5)), O$6)))), "")</f>
        <v/>
      </c>
      <c r="P77" s="338" t="str" cm="1">
        <f t="array" aca="1" ref="P77" ca="1">IFERROR(_xlfn.SINGLE(INDEX($AF77:$BH77, , SUMPRODUCT(LARGE((($AF77:$BH77&lt;&gt;0)*($BJ77:$CL77&lt;&gt;1)*($AF$5:$BH$5)), P$6)))), "")</f>
        <v/>
      </c>
      <c r="Q77" s="339" t="str" cm="1">
        <f t="array" aca="1" ref="Q77" ca="1">IFERROR(_xlfn.SINGLE(INDEX($AF77:$BH77, , SUMPRODUCT(LARGE((($AF77:$BH77&lt;&gt;0)*($BJ77:$CL77&lt;&gt;1)*($AF$5:$BH$5)), Q$6)))), "")</f>
        <v/>
      </c>
      <c r="R77" s="116" t="s">
        <v>458</v>
      </c>
      <c r="S77" s="47" t="str">
        <f t="shared" ca="1" si="210"/>
        <v>-</v>
      </c>
      <c r="T77" s="21" t="str">
        <f t="shared" ca="1" si="211"/>
        <v>-</v>
      </c>
      <c r="U77" s="21" t="str">
        <f t="shared" ca="1" si="212"/>
        <v>-</v>
      </c>
      <c r="V77" s="46" t="str">
        <f t="shared" ca="1" si="213"/>
        <v/>
      </c>
      <c r="W77" s="19" t="str">
        <f t="shared" ca="1" si="214"/>
        <v/>
      </c>
      <c r="X77" s="46">
        <f t="shared" ca="1" si="215"/>
        <v>0</v>
      </c>
      <c r="Y77" s="21" t="str">
        <f t="shared" ca="1" si="216"/>
        <v>-</v>
      </c>
      <c r="Z77" s="19">
        <f t="shared" ca="1" si="217"/>
        <v>0</v>
      </c>
      <c r="AA77" s="19">
        <f t="shared" ca="1" si="218"/>
        <v>0</v>
      </c>
      <c r="AB77" s="46" t="str">
        <f t="shared" ca="1" si="219"/>
        <v>0-0-0</v>
      </c>
      <c r="AC77" s="218">
        <f t="shared" ca="1" si="273"/>
        <v>3303233311</v>
      </c>
      <c r="AD77" s="57" t="str">
        <f t="shared" ca="1" si="274"/>
        <v>40ronin@gmail.com</v>
      </c>
      <c r="AE77" s="34"/>
      <c r="AF77" s="341">
        <f ca="1">INDEX(PriorScores[],MATCH($D77,PriorScores[Team / Player],0),2)</f>
        <v>0</v>
      </c>
      <c r="AG77" s="341">
        <f ca="1">INDEX(PriorScores[],MATCH($D77,PriorScores[Team / Player],0),3)</f>
        <v>0</v>
      </c>
      <c r="AH77" s="341">
        <f ca="1">INDEX(PriorScores[],MATCH($D77,PriorScores[Team / Player],0),4)</f>
        <v>0</v>
      </c>
      <c r="AI77" s="341">
        <f ca="1">INDEX(PriorScores[],MATCH($D77,PriorScores[Team / Player],0),5)</f>
        <v>0</v>
      </c>
      <c r="AJ77" s="341">
        <f ca="1">INDEX(PriorScores[],MATCH($D77,PriorScores[Team / Player],0),6)</f>
        <v>0</v>
      </c>
      <c r="AK77" s="341">
        <f ca="1">INDEX(PriorScores[],MATCH($D77,PriorScores[Team / Player],0),7)</f>
        <v>0</v>
      </c>
      <c r="AL77" s="341">
        <f ca="1">INDEX(PriorScores[],MATCH($D77,PriorScores[Team / Player],0),8)</f>
        <v>0</v>
      </c>
      <c r="AM77" s="341">
        <f ca="1">INDEX(PriorScores[],MATCH($D77,PriorScores[Team / Player],0),9)</f>
        <v>0</v>
      </c>
      <c r="AN77" s="341">
        <f ca="1">INDEX(PriorScores[],MATCH($D77,PriorScores[Team / Player],0),10)</f>
        <v>0</v>
      </c>
      <c r="AO77" s="341">
        <f ca="1">INDEX(PriorScores[],MATCH($D77,PriorScores[Team / Player],0),11)</f>
        <v>0</v>
      </c>
      <c r="AP77" s="20">
        <f t="shared" ca="1" si="307"/>
        <v>0</v>
      </c>
      <c r="AQ77" s="20">
        <f t="shared" ca="1" si="307"/>
        <v>0</v>
      </c>
      <c r="AR77" s="20">
        <f t="shared" ca="1" si="307"/>
        <v>0</v>
      </c>
      <c r="AS77" s="20">
        <f t="shared" ca="1" si="307"/>
        <v>0</v>
      </c>
      <c r="AT77" s="20">
        <f t="shared" ca="1" si="307"/>
        <v>0</v>
      </c>
      <c r="AU77" s="20">
        <f t="shared" ca="1" si="307"/>
        <v>0</v>
      </c>
      <c r="AV77" s="20">
        <f t="shared" ca="1" si="307"/>
        <v>0</v>
      </c>
      <c r="AW77" s="20">
        <f t="shared" ca="1" si="307"/>
        <v>0</v>
      </c>
      <c r="AX77" s="20">
        <f t="shared" ca="1" si="307"/>
        <v>0</v>
      </c>
      <c r="AY77" s="20">
        <f t="shared" ca="1" si="307"/>
        <v>0</v>
      </c>
      <c r="AZ77" s="20">
        <f t="shared" ca="1" si="308"/>
        <v>0</v>
      </c>
      <c r="BA77" s="20">
        <f t="shared" ca="1" si="308"/>
        <v>0</v>
      </c>
      <c r="BB77" s="20">
        <f t="shared" ca="1" si="308"/>
        <v>0</v>
      </c>
      <c r="BC77" s="20">
        <f t="shared" ca="1" si="308"/>
        <v>0</v>
      </c>
      <c r="BD77" s="20">
        <f t="shared" ca="1" si="308"/>
        <v>0</v>
      </c>
      <c r="BE77" s="20">
        <f t="shared" ca="1" si="308"/>
        <v>0</v>
      </c>
      <c r="BF77" s="20">
        <f t="shared" ca="1" si="308"/>
        <v>0</v>
      </c>
      <c r="BG77" s="20">
        <f t="shared" ca="1" si="308"/>
        <v>0</v>
      </c>
      <c r="BH77" s="20">
        <f t="shared" ca="1" si="308"/>
        <v>0</v>
      </c>
      <c r="BI77" s="34"/>
      <c r="BJ77" s="341">
        <v>0</v>
      </c>
      <c r="BK77" s="341">
        <v>0</v>
      </c>
      <c r="BL77" s="341">
        <v>0</v>
      </c>
      <c r="BM77" s="341">
        <v>0</v>
      </c>
      <c r="BN77" s="341">
        <v>0</v>
      </c>
      <c r="BO77" s="341">
        <v>0</v>
      </c>
      <c r="BP77" s="341">
        <v>0</v>
      </c>
      <c r="BQ77" s="341">
        <v>0</v>
      </c>
      <c r="BR77" s="341">
        <v>0</v>
      </c>
      <c r="BS77" s="341">
        <v>0</v>
      </c>
      <c r="BT77" s="20">
        <f t="shared" ca="1" si="266"/>
        <v>0</v>
      </c>
      <c r="BU77" s="20">
        <f t="shared" ca="1" si="266"/>
        <v>0</v>
      </c>
      <c r="BV77" s="20">
        <f t="shared" ca="1" si="266"/>
        <v>0</v>
      </c>
      <c r="BW77" s="20">
        <f t="shared" ca="1" si="266"/>
        <v>0</v>
      </c>
      <c r="BX77" s="20">
        <f t="shared" ca="1" si="266"/>
        <v>0</v>
      </c>
      <c r="BY77" s="20">
        <f t="shared" ca="1" si="266"/>
        <v>0</v>
      </c>
      <c r="BZ77" s="20">
        <f t="shared" ca="1" si="266"/>
        <v>0</v>
      </c>
      <c r="CA77" s="20">
        <f t="shared" ca="1" si="266"/>
        <v>0</v>
      </c>
      <c r="CB77" s="20">
        <f t="shared" ca="1" si="266"/>
        <v>0</v>
      </c>
      <c r="CC77" s="20">
        <f t="shared" ca="1" si="266"/>
        <v>0</v>
      </c>
      <c r="CD77" s="20">
        <f t="shared" ca="1" si="266"/>
        <v>0</v>
      </c>
      <c r="CE77" s="20">
        <f t="shared" ca="1" si="266"/>
        <v>0</v>
      </c>
      <c r="CF77" s="20">
        <f t="shared" ca="1" si="266"/>
        <v>0</v>
      </c>
      <c r="CG77" s="20">
        <f t="shared" ca="1" si="266"/>
        <v>0</v>
      </c>
      <c r="CH77" s="20">
        <f t="shared" ca="1" si="266"/>
        <v>0</v>
      </c>
      <c r="CI77" s="20">
        <f t="shared" ca="1" si="266"/>
        <v>0</v>
      </c>
      <c r="CJ77" s="20">
        <f t="shared" ca="1" si="267"/>
        <v>0</v>
      </c>
      <c r="CK77" s="20">
        <f t="shared" ca="1" si="267"/>
        <v>0</v>
      </c>
      <c r="CL77" s="20">
        <f t="shared" ca="1" si="267"/>
        <v>0</v>
      </c>
      <c r="CM77" s="34"/>
      <c r="CN77" s="20" t="str">
        <f t="shared" ca="1" si="309"/>
        <v/>
      </c>
      <c r="CO77" s="20" t="str">
        <f t="shared" ca="1" si="309"/>
        <v/>
      </c>
      <c r="CP77" s="20" t="str">
        <f t="shared" ca="1" si="309"/>
        <v/>
      </c>
      <c r="CQ77" s="20" t="str">
        <f t="shared" ca="1" si="309"/>
        <v/>
      </c>
      <c r="CR77" s="20" t="str">
        <f t="shared" ca="1" si="309"/>
        <v/>
      </c>
      <c r="CS77" s="20" t="str">
        <f t="shared" ca="1" si="309"/>
        <v/>
      </c>
      <c r="CT77" s="20" t="str">
        <f t="shared" ca="1" si="309"/>
        <v/>
      </c>
      <c r="CU77" s="20" t="str">
        <f t="shared" ca="1" si="309"/>
        <v/>
      </c>
      <c r="CV77" s="20" t="str">
        <f t="shared" ca="1" si="309"/>
        <v/>
      </c>
      <c r="CW77" s="20" t="str">
        <f t="shared" ca="1" si="309"/>
        <v/>
      </c>
      <c r="CX77" s="20" t="str">
        <f t="shared" ca="1" si="310"/>
        <v/>
      </c>
      <c r="CY77" s="20" t="str">
        <f t="shared" ca="1" si="310"/>
        <v/>
      </c>
      <c r="CZ77" s="20" t="str">
        <f t="shared" ca="1" si="310"/>
        <v/>
      </c>
      <c r="DA77" s="20" t="str">
        <f t="shared" ca="1" si="310"/>
        <v/>
      </c>
      <c r="DB77" s="20" t="str">
        <f t="shared" ca="1" si="310"/>
        <v/>
      </c>
      <c r="DC77" s="20" t="str">
        <f t="shared" ca="1" si="310"/>
        <v/>
      </c>
      <c r="DD77" s="20" t="str">
        <f t="shared" ca="1" si="310"/>
        <v/>
      </c>
      <c r="DE77" s="20" t="str">
        <f t="shared" ca="1" si="310"/>
        <v/>
      </c>
      <c r="DF77" s="20" t="str">
        <f t="shared" ca="1" si="310"/>
        <v/>
      </c>
      <c r="DG77" s="34"/>
      <c r="DH77" s="20" t="str">
        <f t="shared" ca="1" si="275"/>
        <v/>
      </c>
      <c r="DI77" s="20" t="str">
        <f t="shared" ca="1" si="276"/>
        <v/>
      </c>
      <c r="DJ77" s="20" t="str">
        <f t="shared" ca="1" si="277"/>
        <v/>
      </c>
      <c r="DK77" s="20" t="str">
        <f t="shared" ca="1" si="278"/>
        <v/>
      </c>
      <c r="DL77" s="20" t="str">
        <f t="shared" ca="1" si="279"/>
        <v/>
      </c>
      <c r="DM77" s="20" t="str">
        <f t="shared" ca="1" si="280"/>
        <v/>
      </c>
      <c r="DN77" s="20" t="str">
        <f t="shared" ca="1" si="281"/>
        <v/>
      </c>
      <c r="DO77" s="20" t="str">
        <f t="shared" ca="1" si="282"/>
        <v/>
      </c>
      <c r="DP77" s="20" t="str">
        <f t="shared" ca="1" si="283"/>
        <v/>
      </c>
      <c r="DQ77" s="20" t="str">
        <f t="shared" ca="1" si="284"/>
        <v/>
      </c>
      <c r="DR77" s="20" t="str">
        <f t="shared" ca="1" si="285"/>
        <v/>
      </c>
      <c r="DS77" s="20" t="str">
        <f t="shared" ca="1" si="286"/>
        <v/>
      </c>
      <c r="DT77" s="20" t="str">
        <f t="shared" ca="1" si="287"/>
        <v/>
      </c>
      <c r="DU77" s="20" t="str">
        <f t="shared" ca="1" si="288"/>
        <v/>
      </c>
      <c r="DV77" s="20" t="str">
        <f t="shared" ca="1" si="289"/>
        <v/>
      </c>
      <c r="DW77" s="20" t="str">
        <f t="shared" ca="1" si="290"/>
        <v/>
      </c>
      <c r="DX77" s="20" t="str">
        <f t="shared" ca="1" si="290"/>
        <v/>
      </c>
      <c r="DY77" s="20" t="str">
        <f t="shared" ca="1" si="290"/>
        <v/>
      </c>
      <c r="DZ77" s="20" t="str">
        <f t="shared" ca="1" si="290"/>
        <v/>
      </c>
      <c r="EA77" s="34"/>
      <c r="EB77" s="20" t="str">
        <f t="shared" ca="1" si="291"/>
        <v/>
      </c>
      <c r="EC77" s="20" t="str">
        <f t="shared" ca="1" si="292"/>
        <v/>
      </c>
      <c r="ED77" s="20" t="str">
        <f t="shared" ca="1" si="293"/>
        <v/>
      </c>
      <c r="EE77" s="20" t="str">
        <f t="shared" ca="1" si="294"/>
        <v/>
      </c>
      <c r="EF77" s="20" t="str">
        <f t="shared" ca="1" si="295"/>
        <v/>
      </c>
      <c r="EG77" s="20" t="str">
        <f t="shared" ca="1" si="296"/>
        <v/>
      </c>
      <c r="EH77" s="20" t="str">
        <f t="shared" ca="1" si="297"/>
        <v/>
      </c>
      <c r="EI77" s="20" t="str">
        <f t="shared" ca="1" si="298"/>
        <v/>
      </c>
      <c r="EJ77" s="20" t="str">
        <f t="shared" ca="1" si="299"/>
        <v/>
      </c>
      <c r="EK77" s="20" t="str">
        <f t="shared" ca="1" si="300"/>
        <v/>
      </c>
      <c r="EL77" s="20" t="str">
        <f t="shared" ca="1" si="301"/>
        <v/>
      </c>
      <c r="EM77" s="20" t="str">
        <f t="shared" ca="1" si="302"/>
        <v/>
      </c>
      <c r="EN77" s="20" t="str">
        <f t="shared" ca="1" si="303"/>
        <v/>
      </c>
      <c r="EO77" s="20" t="str">
        <f t="shared" ca="1" si="304"/>
        <v/>
      </c>
      <c r="EP77" s="20" t="str">
        <f t="shared" ca="1" si="305"/>
        <v/>
      </c>
      <c r="EQ77" s="20" t="str">
        <f t="shared" ca="1" si="306"/>
        <v/>
      </c>
      <c r="ER77" s="20" t="str">
        <f t="shared" ca="1" si="306"/>
        <v/>
      </c>
      <c r="ES77" s="20" t="str">
        <f t="shared" ca="1" si="306"/>
        <v/>
      </c>
      <c r="ET77" s="20" t="str">
        <f t="shared" ca="1" si="306"/>
        <v/>
      </c>
      <c r="EU77" s="34"/>
      <c r="EV77" s="20" t="str">
        <f t="shared" ca="1" si="227"/>
        <v/>
      </c>
      <c r="EW77" s="20" t="str">
        <f t="shared" ca="1" si="227"/>
        <v/>
      </c>
      <c r="EX77" s="20" t="str">
        <f t="shared" ca="1" si="227"/>
        <v/>
      </c>
      <c r="EY77" s="20" t="str">
        <f t="shared" ca="1" si="227"/>
        <v/>
      </c>
      <c r="EZ77" s="20" t="str">
        <f t="shared" ca="1" si="227"/>
        <v/>
      </c>
      <c r="FA77" s="20" t="str">
        <f t="shared" ca="1" si="227"/>
        <v/>
      </c>
      <c r="FB77" s="20" t="str">
        <f t="shared" ca="1" si="227"/>
        <v/>
      </c>
      <c r="FC77" s="20" t="str">
        <f t="shared" ca="1" si="227"/>
        <v/>
      </c>
      <c r="FD77" s="20" t="str">
        <f t="shared" ca="1" si="227"/>
        <v/>
      </c>
      <c r="FE77" s="20" t="str">
        <f t="shared" ca="1" si="227"/>
        <v/>
      </c>
      <c r="FF77" s="20" t="str">
        <f t="shared" ca="1" si="228"/>
        <v/>
      </c>
      <c r="FG77" s="20" t="str">
        <f t="shared" ca="1" si="228"/>
        <v/>
      </c>
      <c r="FH77" s="20" t="str">
        <f t="shared" ca="1" si="228"/>
        <v/>
      </c>
      <c r="FI77" s="20" t="str">
        <f t="shared" ca="1" si="228"/>
        <v/>
      </c>
      <c r="FJ77" s="20" t="str">
        <f t="shared" ca="1" si="228"/>
        <v/>
      </c>
      <c r="FK77" s="20" t="str">
        <f t="shared" ca="1" si="228"/>
        <v/>
      </c>
      <c r="FL77" s="20" t="str">
        <f t="shared" ca="1" si="228"/>
        <v/>
      </c>
      <c r="FM77" s="20" t="str">
        <f t="shared" ca="1" si="228"/>
        <v/>
      </c>
      <c r="FN77" s="20" t="str">
        <f t="shared" ca="1" si="228"/>
        <v/>
      </c>
      <c r="FO77" s="34"/>
      <c r="FP77" s="20" t="str">
        <f t="shared" ca="1" si="229"/>
        <v/>
      </c>
      <c r="FQ77" s="20" t="str">
        <f t="shared" ca="1" si="229"/>
        <v/>
      </c>
      <c r="FR77" s="20" t="str">
        <f t="shared" ca="1" si="229"/>
        <v/>
      </c>
      <c r="FS77" s="20" t="str">
        <f t="shared" ca="1" si="229"/>
        <v/>
      </c>
      <c r="FT77" s="20" t="str">
        <f t="shared" ca="1" si="229"/>
        <v/>
      </c>
      <c r="FU77" s="20" t="str">
        <f t="shared" ca="1" si="229"/>
        <v/>
      </c>
      <c r="FV77" s="20" t="str">
        <f t="shared" ca="1" si="229"/>
        <v/>
      </c>
      <c r="FW77" s="20" t="str">
        <f t="shared" ca="1" si="229"/>
        <v/>
      </c>
      <c r="FX77" s="20" t="str">
        <f t="shared" ca="1" si="229"/>
        <v/>
      </c>
      <c r="FY77" s="20" t="str">
        <f t="shared" ca="1" si="229"/>
        <v/>
      </c>
      <c r="FZ77" s="20" t="str">
        <f t="shared" ca="1" si="230"/>
        <v/>
      </c>
      <c r="GA77" s="20" t="str">
        <f t="shared" ca="1" si="230"/>
        <v/>
      </c>
      <c r="GB77" s="20" t="str">
        <f t="shared" ca="1" si="230"/>
        <v/>
      </c>
      <c r="GC77" s="20" t="str">
        <f t="shared" ca="1" si="230"/>
        <v/>
      </c>
      <c r="GD77" s="20" t="str">
        <f t="shared" ca="1" si="230"/>
        <v/>
      </c>
      <c r="GE77" s="20" t="str">
        <f t="shared" ca="1" si="230"/>
        <v/>
      </c>
      <c r="GF77" s="20" t="str">
        <f t="shared" ca="1" si="230"/>
        <v/>
      </c>
      <c r="GG77" s="20" t="str">
        <f t="shared" ca="1" si="230"/>
        <v/>
      </c>
      <c r="GH77" s="20" t="str">
        <f t="shared" ca="1" si="230"/>
        <v/>
      </c>
      <c r="GI77" s="34"/>
      <c r="HE77" s="34"/>
      <c r="HZ77" s="34"/>
      <c r="IA77" s="19" t="str">
        <f t="shared" ca="1" si="231"/>
        <v>No Hdcp</v>
      </c>
      <c r="IB77" s="19" t="str">
        <f t="shared" ca="1" si="232"/>
        <v>Low of score &amp; 0</v>
      </c>
      <c r="IC77" s="19" t="str">
        <f t="shared" ca="1" si="233"/>
        <v>Low of score &amp; 0</v>
      </c>
      <c r="ID77" s="18" t="str">
        <f t="shared" ca="1" si="234"/>
        <v>Low of score &amp; 0</v>
      </c>
      <c r="IE77" s="18" t="str">
        <f t="shared" ca="1" si="235"/>
        <v>Low of score &amp; 0</v>
      </c>
      <c r="IF77" s="18">
        <f t="shared" ca="1" si="236"/>
        <v>-34.56</v>
      </c>
      <c r="IG77" s="353" t="e">
        <f t="shared" ca="1" si="237"/>
        <v>#NUM!</v>
      </c>
      <c r="IH77" s="18" t="e">
        <f t="shared" ca="1" si="238"/>
        <v>#NUM!</v>
      </c>
      <c r="II77" s="18" t="e">
        <f t="shared" ca="1" si="239"/>
        <v>#NUM!</v>
      </c>
      <c r="IJ77" s="18" t="e">
        <f t="shared" ca="1" si="240"/>
        <v>#NUM!</v>
      </c>
      <c r="IK77" s="18" t="e">
        <f t="shared" ca="1" si="241"/>
        <v>#NUM!</v>
      </c>
      <c r="IL77" s="34"/>
      <c r="IN77" s="18">
        <f t="shared" ca="1" si="242"/>
        <v>0</v>
      </c>
      <c r="IO77" s="18">
        <f t="shared" ca="1" si="243"/>
        <v>0</v>
      </c>
      <c r="IP77" s="18">
        <f t="shared" ca="1" si="244"/>
        <v>0</v>
      </c>
      <c r="IQ77" s="18">
        <f t="shared" ca="1" si="245"/>
        <v>0</v>
      </c>
      <c r="IR77" s="18">
        <f t="shared" ca="1" si="246"/>
        <v>0</v>
      </c>
      <c r="IS77" s="18">
        <f t="shared" ca="1" si="247"/>
        <v>0</v>
      </c>
      <c r="IT77" s="18">
        <f t="shared" ca="1" si="248"/>
        <v>0</v>
      </c>
      <c r="IU77" s="18">
        <f t="shared" ca="1" si="249"/>
        <v>0</v>
      </c>
      <c r="IV77" s="18">
        <f t="shared" ca="1" si="250"/>
        <v>0</v>
      </c>
      <c r="IW77" s="18">
        <f t="shared" ca="1" si="251"/>
        <v>0</v>
      </c>
      <c r="IX77" s="19">
        <f t="shared" ca="1" si="252"/>
        <v>10</v>
      </c>
      <c r="IY77" s="21">
        <f t="shared" ca="1" si="253"/>
        <v>-34.56</v>
      </c>
      <c r="JA77" s="18" t="str">
        <f t="shared" ca="1" si="254"/>
        <v>No Hdcp</v>
      </c>
      <c r="JB77" s="18" t="str">
        <f t="shared" ca="1" si="255"/>
        <v>Low of score &amp; 0</v>
      </c>
      <c r="JC77" s="18" t="str">
        <f t="shared" ca="1" si="256"/>
        <v>Low of score &amp; 0</v>
      </c>
      <c r="JD77" s="18" t="str">
        <f t="shared" ca="1" si="257"/>
        <v>Low of score &amp; 0</v>
      </c>
      <c r="JE77" s="18" t="str">
        <f t="shared" ca="1" si="258"/>
        <v>Low of score &amp; 0</v>
      </c>
      <c r="JF77" s="18">
        <f t="shared" ca="1" si="259"/>
        <v>-34.56</v>
      </c>
      <c r="JG77" s="18">
        <f t="shared" ca="1" si="260"/>
        <v>-34.56</v>
      </c>
      <c r="JH77" s="18">
        <f t="shared" ca="1" si="261"/>
        <v>-34.56</v>
      </c>
      <c r="JI77" s="18">
        <f t="shared" ca="1" si="262"/>
        <v>-34.56</v>
      </c>
      <c r="JJ77" s="18">
        <f t="shared" ca="1" si="263"/>
        <v>-34.56</v>
      </c>
      <c r="JK77" s="18">
        <f t="shared" ca="1" si="264"/>
        <v>-34.56</v>
      </c>
    </row>
    <row r="78" spans="1:271" x14ac:dyDescent="0.2">
      <c r="A78" s="18" t="s">
        <v>76</v>
      </c>
      <c r="B78" s="19">
        <f t="shared" si="311"/>
        <v>117</v>
      </c>
      <c r="C78" s="22">
        <f t="shared" ca="1" si="206"/>
        <v>6.4999999999999997E-3</v>
      </c>
      <c r="D78" s="18" t="str">
        <f t="shared" ca="1" si="265"/>
        <v>Lemus, Alex</v>
      </c>
      <c r="E78" s="19">
        <f t="shared" ca="1" si="207"/>
        <v>5</v>
      </c>
      <c r="F78" s="19">
        <f t="shared" ca="1" si="208"/>
        <v>5</v>
      </c>
      <c r="G78" s="21">
        <f t="shared" ca="1" si="209"/>
        <v>7.68</v>
      </c>
      <c r="H78" s="337" cm="1">
        <f t="array" aca="1" ref="H78" ca="1">IFERROR(_xlfn.SINGLE(INDEX($AF78:$BH78, , SUMPRODUCT(LARGE((($AF78:$BH78&lt;&gt;0)*($BJ78:$CL78&lt;&gt;1)*($AF$5:$BH$5)), H$6)))), "")</f>
        <v>44</v>
      </c>
      <c r="I78" s="338" cm="1">
        <f t="array" aca="1" ref="I78" ca="1">IFERROR(_xlfn.SINGLE(INDEX($AF78:$BH78, , SUMPRODUCT(LARGE((($AF78:$BH78&lt;&gt;0)*($BJ78:$CL78&lt;&gt;1)*($AF$5:$BH$5)), I$6)))), "")</f>
        <v>55</v>
      </c>
      <c r="J78" s="338" cm="1">
        <f t="array" aca="1" ref="J78" ca="1">IFERROR(_xlfn.SINGLE(INDEX($AF78:$BH78, , SUMPRODUCT(LARGE((($AF78:$BH78&lt;&gt;0)*($BJ78:$CL78&lt;&gt;1)*($AF$5:$BH$5)), J$6)))), "")</f>
        <v>49</v>
      </c>
      <c r="K78" s="338" cm="1">
        <f t="array" aca="1" ref="K78" ca="1">IFERROR(_xlfn.SINGLE(INDEX($AF78:$BH78, , SUMPRODUCT(LARGE((($AF78:$BH78&lt;&gt;0)*($BJ78:$CL78&lt;&gt;1)*($AF$5:$BH$5)), K$6)))), "")</f>
        <v>56</v>
      </c>
      <c r="L78" s="338" cm="1">
        <f t="array" aca="1" ref="L78" ca="1">IFERROR(_xlfn.SINGLE(INDEX($AF78:$BH78, , SUMPRODUCT(LARGE((($AF78:$BH78&lt;&gt;0)*($BJ78:$CL78&lt;&gt;1)*($AF$5:$BH$5)), L$6)))), "")</f>
        <v>52</v>
      </c>
      <c r="M78" s="338" t="str" cm="1">
        <f t="array" aca="1" ref="M78" ca="1">IFERROR(_xlfn.SINGLE(INDEX($AF78:$BH78, , SUMPRODUCT(LARGE((($AF78:$BH78&lt;&gt;0)*($BJ78:$CL78&lt;&gt;1)*($AF$5:$BH$5)), M$6)))), "")</f>
        <v/>
      </c>
      <c r="N78" s="338" t="str" cm="1">
        <f t="array" aca="1" ref="N78" ca="1">IFERROR(_xlfn.SINGLE(INDEX($AF78:$BH78, , SUMPRODUCT(LARGE((($AF78:$BH78&lt;&gt;0)*($BJ78:$CL78&lt;&gt;1)*($AF$5:$BH$5)), N$6)))), "")</f>
        <v/>
      </c>
      <c r="O78" s="338" t="str" cm="1">
        <f t="array" aca="1" ref="O78" ca="1">IFERROR(_xlfn.SINGLE(INDEX($AF78:$BH78, , SUMPRODUCT(LARGE((($AF78:$BH78&lt;&gt;0)*($BJ78:$CL78&lt;&gt;1)*($AF$5:$BH$5)), O$6)))), "")</f>
        <v/>
      </c>
      <c r="P78" s="338" t="str" cm="1">
        <f t="array" aca="1" ref="P78" ca="1">IFERROR(_xlfn.SINGLE(INDEX($AF78:$BH78, , SUMPRODUCT(LARGE((($AF78:$BH78&lt;&gt;0)*($BJ78:$CL78&lt;&gt;1)*($AF$5:$BH$5)), P$6)))), "")</f>
        <v/>
      </c>
      <c r="Q78" s="339" t="str" cm="1">
        <f t="array" aca="1" ref="Q78" ca="1">IFERROR(_xlfn.SINGLE(INDEX($AF78:$BH78, , SUMPRODUCT(LARGE((($AF78:$BH78&lt;&gt;0)*($BJ78:$CL78&lt;&gt;1)*($AF$5:$BH$5)), Q$6)))), "")</f>
        <v/>
      </c>
      <c r="R78" s="116">
        <v>50</v>
      </c>
      <c r="S78" s="47">
        <f t="shared" ca="1" si="210"/>
        <v>51.2</v>
      </c>
      <c r="T78" s="21">
        <f t="shared" ca="1" si="211"/>
        <v>51.2</v>
      </c>
      <c r="U78" s="21">
        <f t="shared" ca="1" si="212"/>
        <v>38.200000000000003</v>
      </c>
      <c r="V78" s="46">
        <f t="shared" ca="1" si="213"/>
        <v>44</v>
      </c>
      <c r="W78" s="19">
        <f t="shared" ca="1" si="214"/>
        <v>31</v>
      </c>
      <c r="X78" s="46">
        <f t="shared" ca="1" si="215"/>
        <v>59</v>
      </c>
      <c r="Y78" s="21">
        <f t="shared" ca="1" si="216"/>
        <v>11.8</v>
      </c>
      <c r="Z78" s="19">
        <f t="shared" ca="1" si="217"/>
        <v>0</v>
      </c>
      <c r="AA78" s="19">
        <f t="shared" ca="1" si="218"/>
        <v>0</v>
      </c>
      <c r="AB78" s="46" t="str">
        <f t="shared" ca="1" si="219"/>
        <v>0-0-0</v>
      </c>
      <c r="AC78" s="218">
        <f t="shared" ca="1" si="273"/>
        <v>0</v>
      </c>
      <c r="AD78" s="57">
        <f t="shared" ca="1" si="274"/>
        <v>0</v>
      </c>
      <c r="AE78" s="34"/>
      <c r="AF78" s="341">
        <f ca="1">INDEX(PriorScores[],MATCH($D78,PriorScores[Team / Player],0),2)</f>
        <v>0</v>
      </c>
      <c r="AG78" s="341">
        <f ca="1">INDEX(PriorScores[],MATCH($D78,PriorScores[Team / Player],0),3)</f>
        <v>0</v>
      </c>
      <c r="AH78" s="341">
        <f ca="1">INDEX(PriorScores[],MATCH($D78,PriorScores[Team / Player],0),4)</f>
        <v>0</v>
      </c>
      <c r="AI78" s="341">
        <f ca="1">INDEX(PriorScores[],MATCH($D78,PriorScores[Team / Player],0),5)</f>
        <v>0</v>
      </c>
      <c r="AJ78" s="341">
        <f ca="1">INDEX(PriorScores[],MATCH($D78,PriorScores[Team / Player],0),6)</f>
        <v>0</v>
      </c>
      <c r="AK78" s="341">
        <f ca="1">INDEX(PriorScores[],MATCH($D78,PriorScores[Team / Player],0),7)</f>
        <v>0</v>
      </c>
      <c r="AL78" s="341">
        <f ca="1">INDEX(PriorScores[],MATCH($D78,PriorScores[Team / Player],0),8)</f>
        <v>0</v>
      </c>
      <c r="AM78" s="341"/>
      <c r="AN78" s="341"/>
      <c r="AO78" s="341"/>
      <c r="AP78" s="20">
        <f t="shared" ca="1" si="307"/>
        <v>0</v>
      </c>
      <c r="AQ78" s="20">
        <f t="shared" ca="1" si="307"/>
        <v>52</v>
      </c>
      <c r="AR78" s="20">
        <f t="shared" ca="1" si="307"/>
        <v>56</v>
      </c>
      <c r="AS78" s="20">
        <f t="shared" ca="1" si="307"/>
        <v>49</v>
      </c>
      <c r="AT78" s="20">
        <f t="shared" ca="1" si="307"/>
        <v>55</v>
      </c>
      <c r="AU78" s="20">
        <f t="shared" ca="1" si="307"/>
        <v>0</v>
      </c>
      <c r="AV78" s="20">
        <f t="shared" ca="1" si="307"/>
        <v>0</v>
      </c>
      <c r="AW78" s="20">
        <f t="shared" ca="1" si="307"/>
        <v>0</v>
      </c>
      <c r="AX78" s="20">
        <f t="shared" ca="1" si="307"/>
        <v>0</v>
      </c>
      <c r="AY78" s="20">
        <f t="shared" ca="1" si="307"/>
        <v>0</v>
      </c>
      <c r="AZ78" s="20">
        <f t="shared" ca="1" si="308"/>
        <v>44</v>
      </c>
      <c r="BA78" s="20">
        <f t="shared" ca="1" si="308"/>
        <v>0</v>
      </c>
      <c r="BB78" s="20">
        <f t="shared" ca="1" si="308"/>
        <v>0</v>
      </c>
      <c r="BC78" s="20">
        <f t="shared" ca="1" si="308"/>
        <v>0</v>
      </c>
      <c r="BD78" s="20">
        <f t="shared" ca="1" si="308"/>
        <v>0</v>
      </c>
      <c r="BE78" s="20">
        <f t="shared" ca="1" si="308"/>
        <v>0</v>
      </c>
      <c r="BF78" s="20">
        <f t="shared" ca="1" si="308"/>
        <v>0</v>
      </c>
      <c r="BG78" s="20">
        <f t="shared" ca="1" si="308"/>
        <v>0</v>
      </c>
      <c r="BH78" s="20">
        <f t="shared" ca="1" si="308"/>
        <v>0</v>
      </c>
      <c r="BI78" s="34"/>
      <c r="BJ78" s="341">
        <v>0</v>
      </c>
      <c r="BK78" s="341">
        <v>0</v>
      </c>
      <c r="BL78" s="341">
        <v>0</v>
      </c>
      <c r="BM78" s="341">
        <v>0</v>
      </c>
      <c r="BN78" s="341">
        <v>0</v>
      </c>
      <c r="BO78" s="341">
        <v>0</v>
      </c>
      <c r="BP78" s="341">
        <v>0</v>
      </c>
      <c r="BQ78" s="341">
        <v>0</v>
      </c>
      <c r="BR78" s="341">
        <v>0</v>
      </c>
      <c r="BS78" s="341">
        <v>0</v>
      </c>
      <c r="BT78" s="20">
        <f t="shared" ca="1" si="266"/>
        <v>0</v>
      </c>
      <c r="BU78" s="20">
        <f t="shared" ca="1" si="266"/>
        <v>0</v>
      </c>
      <c r="BV78" s="20">
        <f t="shared" ca="1" si="266"/>
        <v>0</v>
      </c>
      <c r="BW78" s="20">
        <f t="shared" ca="1" si="266"/>
        <v>0</v>
      </c>
      <c r="BX78" s="20">
        <f t="shared" ca="1" si="266"/>
        <v>0</v>
      </c>
      <c r="BY78" s="20">
        <f t="shared" ca="1" si="266"/>
        <v>0</v>
      </c>
      <c r="BZ78" s="20">
        <f t="shared" ca="1" si="266"/>
        <v>0</v>
      </c>
      <c r="CA78" s="20">
        <f t="shared" ca="1" si="266"/>
        <v>0</v>
      </c>
      <c r="CB78" s="20">
        <f t="shared" ca="1" si="266"/>
        <v>0</v>
      </c>
      <c r="CC78" s="20">
        <f t="shared" ca="1" si="266"/>
        <v>0</v>
      </c>
      <c r="CD78" s="20">
        <f t="shared" ca="1" si="266"/>
        <v>0</v>
      </c>
      <c r="CE78" s="20">
        <f t="shared" ca="1" si="266"/>
        <v>0</v>
      </c>
      <c r="CF78" s="20">
        <f t="shared" ca="1" si="266"/>
        <v>0</v>
      </c>
      <c r="CG78" s="20">
        <f t="shared" ca="1" si="266"/>
        <v>0</v>
      </c>
      <c r="CH78" s="20">
        <f t="shared" ca="1" si="266"/>
        <v>0</v>
      </c>
      <c r="CI78" s="20">
        <f t="shared" ca="1" si="266"/>
        <v>0</v>
      </c>
      <c r="CJ78" s="20">
        <f t="shared" ca="1" si="267"/>
        <v>0</v>
      </c>
      <c r="CK78" s="20">
        <f t="shared" ca="1" si="267"/>
        <v>0</v>
      </c>
      <c r="CL78" s="20">
        <f t="shared" ca="1" si="267"/>
        <v>0</v>
      </c>
      <c r="CM78" s="34"/>
      <c r="CN78" s="20" t="str">
        <f t="shared" ca="1" si="309"/>
        <v/>
      </c>
      <c r="CO78" s="20">
        <f t="shared" ca="1" si="309"/>
        <v>39</v>
      </c>
      <c r="CP78" s="20">
        <f t="shared" ca="1" si="309"/>
        <v>43</v>
      </c>
      <c r="CQ78" s="20">
        <f t="shared" ca="1" si="309"/>
        <v>36</v>
      </c>
      <c r="CR78" s="20">
        <f t="shared" ca="1" si="309"/>
        <v>42</v>
      </c>
      <c r="CS78" s="20" t="str">
        <f t="shared" ca="1" si="309"/>
        <v/>
      </c>
      <c r="CT78" s="20" t="str">
        <f t="shared" ca="1" si="309"/>
        <v/>
      </c>
      <c r="CU78" s="20" t="str">
        <f t="shared" ca="1" si="309"/>
        <v/>
      </c>
      <c r="CV78" s="20" t="str">
        <f t="shared" ca="1" si="309"/>
        <v/>
      </c>
      <c r="CW78" s="20" t="str">
        <f t="shared" ca="1" si="309"/>
        <v/>
      </c>
      <c r="CX78" s="20">
        <f t="shared" ca="1" si="310"/>
        <v>31</v>
      </c>
      <c r="CY78" s="20" t="str">
        <f t="shared" ca="1" si="310"/>
        <v/>
      </c>
      <c r="CZ78" s="20" t="str">
        <f t="shared" ca="1" si="310"/>
        <v/>
      </c>
      <c r="DA78" s="20" t="str">
        <f t="shared" ca="1" si="310"/>
        <v/>
      </c>
      <c r="DB78" s="20" t="str">
        <f t="shared" ca="1" si="310"/>
        <v/>
      </c>
      <c r="DC78" s="20" t="str">
        <f t="shared" ca="1" si="310"/>
        <v/>
      </c>
      <c r="DD78" s="20" t="str">
        <f t="shared" ca="1" si="310"/>
        <v/>
      </c>
      <c r="DE78" s="20" t="str">
        <f t="shared" ca="1" si="310"/>
        <v/>
      </c>
      <c r="DF78" s="20" t="str">
        <f t="shared" ca="1" si="310"/>
        <v/>
      </c>
      <c r="DG78" s="34"/>
      <c r="DH78" s="20" t="str">
        <f t="shared" ca="1" si="275"/>
        <v/>
      </c>
      <c r="DI78" s="20">
        <f t="shared" ca="1" si="276"/>
        <v>14</v>
      </c>
      <c r="DJ78" s="20">
        <f t="shared" ca="1" si="277"/>
        <v>8</v>
      </c>
      <c r="DK78" s="20">
        <f t="shared" ca="1" si="278"/>
        <v>15</v>
      </c>
      <c r="DL78" s="20">
        <f t="shared" ca="1" si="279"/>
        <v>9</v>
      </c>
      <c r="DM78" s="20" t="str">
        <f t="shared" ca="1" si="280"/>
        <v/>
      </c>
      <c r="DN78" s="20" t="str">
        <f t="shared" ca="1" si="281"/>
        <v/>
      </c>
      <c r="DO78" s="20" t="str">
        <f t="shared" ca="1" si="282"/>
        <v/>
      </c>
      <c r="DP78" s="20" t="str">
        <f t="shared" ca="1" si="283"/>
        <v/>
      </c>
      <c r="DQ78" s="20" t="str">
        <f t="shared" ca="1" si="284"/>
        <v/>
      </c>
      <c r="DR78" s="20">
        <f t="shared" ca="1" si="285"/>
        <v>13</v>
      </c>
      <c r="DS78" s="20" t="str">
        <f t="shared" ca="1" si="286"/>
        <v/>
      </c>
      <c r="DT78" s="20" t="str">
        <f t="shared" ca="1" si="287"/>
        <v/>
      </c>
      <c r="DU78" s="20" t="str">
        <f t="shared" ca="1" si="288"/>
        <v/>
      </c>
      <c r="DV78" s="20" t="str">
        <f t="shared" ca="1" si="289"/>
        <v/>
      </c>
      <c r="DW78" s="20" t="str">
        <f t="shared" ca="1" si="290"/>
        <v/>
      </c>
      <c r="DX78" s="20" t="str">
        <f t="shared" ca="1" si="290"/>
        <v/>
      </c>
      <c r="DY78" s="20" t="str">
        <f t="shared" ca="1" si="290"/>
        <v/>
      </c>
      <c r="DZ78" s="20" t="str">
        <f t="shared" ca="1" si="290"/>
        <v/>
      </c>
      <c r="EA78" s="34"/>
      <c r="EB78" s="20" t="str">
        <f t="shared" ca="1" si="291"/>
        <v/>
      </c>
      <c r="EC78" s="20" t="str">
        <f t="shared" ca="1" si="292"/>
        <v/>
      </c>
      <c r="ED78" s="20" t="str">
        <f t="shared" ca="1" si="293"/>
        <v/>
      </c>
      <c r="EE78" s="20" t="str">
        <f t="shared" ca="1" si="294"/>
        <v/>
      </c>
      <c r="EF78" s="20" t="str">
        <f t="shared" ca="1" si="295"/>
        <v/>
      </c>
      <c r="EG78" s="20" t="str">
        <f t="shared" ca="1" si="296"/>
        <v/>
      </c>
      <c r="EH78" s="20" t="str">
        <f t="shared" ca="1" si="297"/>
        <v/>
      </c>
      <c r="EI78" s="20" t="str">
        <f t="shared" ca="1" si="298"/>
        <v/>
      </c>
      <c r="EJ78" s="20" t="str">
        <f t="shared" ca="1" si="299"/>
        <v/>
      </c>
      <c r="EK78" s="20" t="str">
        <f t="shared" ca="1" si="300"/>
        <v/>
      </c>
      <c r="EL78" s="20" t="str">
        <f t="shared" ca="1" si="301"/>
        <v/>
      </c>
      <c r="EM78" s="20" t="str">
        <f t="shared" ca="1" si="302"/>
        <v/>
      </c>
      <c r="EN78" s="20" t="str">
        <f t="shared" ca="1" si="303"/>
        <v/>
      </c>
      <c r="EO78" s="20" t="str">
        <f t="shared" ca="1" si="304"/>
        <v/>
      </c>
      <c r="EP78" s="20" t="str">
        <f t="shared" ca="1" si="305"/>
        <v/>
      </c>
      <c r="EQ78" s="20" t="str">
        <f t="shared" ca="1" si="306"/>
        <v/>
      </c>
      <c r="ER78" s="20" t="str">
        <f t="shared" ca="1" si="306"/>
        <v/>
      </c>
      <c r="ES78" s="20" t="str">
        <f t="shared" ca="1" si="306"/>
        <v/>
      </c>
      <c r="ET78" s="20" t="str">
        <f t="shared" ca="1" si="306"/>
        <v/>
      </c>
      <c r="EU78" s="34"/>
      <c r="EV78" s="20" t="str">
        <f ca="1">IF(INDEX(INDIRECT($A78), $B78+4, EV$6+2)=0, "", INDEX(INDIRECT($A78), $B78+4, EV$6+2))</f>
        <v/>
      </c>
      <c r="EW78" s="20" t="str">
        <f ca="1">IF(INDEX(INDIRECT($A78), $B78+4, EW$6+2)=0, "", INDEX(INDIRECT($A78), $B78+4, EW$6+2))</f>
        <v/>
      </c>
      <c r="EX78" s="20" t="str">
        <f ca="1">IF(INDEX(INDIRECT($A78), $B78+4, EX$6+2)=0, "", INDEX(INDIRECT($A78), $B78+4, EX$6+2))</f>
        <v/>
      </c>
      <c r="EY78" s="20" t="str">
        <f ca="1">IF(INDEX(INDIRECT($A78), $B78+4, EY$6+2)=0, "", INDEX(INDIRECT($A78), $B78+4, EY$6+2))</f>
        <v/>
      </c>
      <c r="EZ78" s="20" t="str">
        <f t="shared" ref="EZ78:FN80" ca="1" si="312">IF(INDEX(INDIRECT($A78), $B78+4, EZ$6+2)=0, "", INDEX(INDIRECT($A78), $B78+4, EZ$6+2))</f>
        <v/>
      </c>
      <c r="FA78" s="20" t="str">
        <f t="shared" ca="1" si="312"/>
        <v/>
      </c>
      <c r="FB78" s="20" t="str">
        <f t="shared" ca="1" si="312"/>
        <v/>
      </c>
      <c r="FC78" s="20" t="str">
        <f t="shared" ca="1" si="312"/>
        <v/>
      </c>
      <c r="FD78" s="20" t="str">
        <f t="shared" ca="1" si="312"/>
        <v/>
      </c>
      <c r="FE78" s="20" t="str">
        <f t="shared" ca="1" si="312"/>
        <v/>
      </c>
      <c r="FF78" s="20" t="str">
        <f t="shared" ca="1" si="312"/>
        <v/>
      </c>
      <c r="FG78" s="20" t="str">
        <f t="shared" ca="1" si="312"/>
        <v/>
      </c>
      <c r="FH78" s="20" t="str">
        <f t="shared" ca="1" si="312"/>
        <v/>
      </c>
      <c r="FI78" s="20" t="str">
        <f t="shared" ca="1" si="312"/>
        <v/>
      </c>
      <c r="FJ78" s="20" t="str">
        <f t="shared" ca="1" si="312"/>
        <v/>
      </c>
      <c r="FK78" s="20" t="str">
        <f t="shared" ca="1" si="312"/>
        <v/>
      </c>
      <c r="FL78" s="20" t="str">
        <f t="shared" ca="1" si="312"/>
        <v/>
      </c>
      <c r="FM78" s="20" t="str">
        <f t="shared" ca="1" si="312"/>
        <v/>
      </c>
      <c r="FN78" s="20" t="str">
        <f t="shared" ca="1" si="312"/>
        <v/>
      </c>
      <c r="FO78" s="34"/>
      <c r="FP78" s="20" t="str">
        <f ca="1">IF(INDEX(INDIRECT($A78), $B78+6, FP$6+2)=0, "", INDEX(INDIRECT($A78), $B78+6, FP$6+2))</f>
        <v/>
      </c>
      <c r="FQ78" s="20" t="str">
        <f ca="1">IF(INDEX(INDIRECT($A78), $B78+6, FQ$6+2)=0, "", INDEX(INDIRECT($A78), $B78+6, FQ$6+2))</f>
        <v>Metheads</v>
      </c>
      <c r="FR78" s="20" t="str">
        <f ca="1">IF(INDEX(INDIRECT($A78), $B78+6, FR$6+2)=0, "", INDEX(INDIRECT($A78), $B78+6, FR$6+2))</f>
        <v>Metheads</v>
      </c>
      <c r="FS78" s="20" t="str">
        <f ca="1">IF(INDEX(INDIRECT($A78), $B78+6, FS$6+2)=0, "", INDEX(INDIRECT($A78), $B78+6, FS$6+2))</f>
        <v>Metheads</v>
      </c>
      <c r="FT78" s="20" t="str">
        <f t="shared" ref="FT78:GH80" ca="1" si="313">IF(INDEX(INDIRECT($A78), $B78+6, FT$6+2)=0, "", INDEX(INDIRECT($A78), $B78+6, FT$6+2))</f>
        <v>Metheads</v>
      </c>
      <c r="FU78" s="20" t="str">
        <f t="shared" ca="1" si="313"/>
        <v/>
      </c>
      <c r="FV78" s="20" t="str">
        <f t="shared" ca="1" si="313"/>
        <v/>
      </c>
      <c r="FW78" s="20" t="str">
        <f t="shared" ca="1" si="313"/>
        <v/>
      </c>
      <c r="FX78" s="20" t="str">
        <f t="shared" ca="1" si="313"/>
        <v/>
      </c>
      <c r="FY78" s="20" t="str">
        <f t="shared" ca="1" si="313"/>
        <v/>
      </c>
      <c r="FZ78" s="20" t="str">
        <f t="shared" ca="1" si="313"/>
        <v>Metheads</v>
      </c>
      <c r="GA78" s="20" t="str">
        <f t="shared" ca="1" si="313"/>
        <v/>
      </c>
      <c r="GB78" s="20" t="str">
        <f t="shared" ca="1" si="313"/>
        <v/>
      </c>
      <c r="GC78" s="20" t="str">
        <f t="shared" ca="1" si="313"/>
        <v/>
      </c>
      <c r="GD78" s="20" t="str">
        <f t="shared" ca="1" si="313"/>
        <v/>
      </c>
      <c r="GE78" s="20" t="str">
        <f t="shared" ca="1" si="313"/>
        <v/>
      </c>
      <c r="GF78" s="20" t="str">
        <f t="shared" ca="1" si="313"/>
        <v/>
      </c>
      <c r="GG78" s="20" t="str">
        <f t="shared" ca="1" si="313"/>
        <v/>
      </c>
      <c r="GH78" s="20" t="str">
        <f t="shared" ca="1" si="313"/>
        <v/>
      </c>
      <c r="GI78" s="34"/>
      <c r="HE78" s="34"/>
      <c r="HZ78" s="34"/>
      <c r="IA78" s="19" t="str">
        <f t="shared" ca="1" si="231"/>
        <v>No Hdcp</v>
      </c>
      <c r="IB78" s="19" t="str">
        <f t="shared" ca="1" si="232"/>
        <v>Low of score &amp; 44</v>
      </c>
      <c r="IC78" s="19" t="str">
        <f t="shared" ca="1" si="233"/>
        <v>Low of score &amp; 44</v>
      </c>
      <c r="ID78" s="18" t="str">
        <f t="shared" ca="1" si="234"/>
        <v>Low of score &amp; 44</v>
      </c>
      <c r="IE78" s="18" t="str">
        <f t="shared" ca="1" si="235"/>
        <v>Low of score &amp; 44</v>
      </c>
      <c r="IF78" s="18">
        <f t="shared" ca="1" si="236"/>
        <v>7.68</v>
      </c>
      <c r="IG78" s="353">
        <f t="shared" ca="1" si="237"/>
        <v>10.08</v>
      </c>
      <c r="IH78" s="18">
        <f t="shared" ca="1" si="238"/>
        <v>11.84</v>
      </c>
      <c r="II78" s="18">
        <f t="shared" ca="1" si="239"/>
        <v>13.44</v>
      </c>
      <c r="IJ78" s="18">
        <f t="shared" ca="1" si="240"/>
        <v>13.44</v>
      </c>
      <c r="IK78" s="18">
        <f t="shared" ca="1" si="241"/>
        <v>14.59</v>
      </c>
      <c r="IL78" s="34"/>
      <c r="IN78" s="18">
        <f t="shared" si="242"/>
        <v>0</v>
      </c>
      <c r="IO78" s="18">
        <f t="shared" si="243"/>
        <v>0</v>
      </c>
      <c r="IP78" s="18">
        <f t="shared" si="244"/>
        <v>0</v>
      </c>
      <c r="IQ78" s="18">
        <f t="shared" ca="1" si="245"/>
        <v>0</v>
      </c>
      <c r="IR78" s="18">
        <f t="shared" ca="1" si="246"/>
        <v>0</v>
      </c>
      <c r="IS78" s="18">
        <f t="shared" ca="1" si="247"/>
        <v>0</v>
      </c>
      <c r="IT78" s="18">
        <f t="shared" ca="1" si="248"/>
        <v>0</v>
      </c>
      <c r="IU78" s="18">
        <f t="shared" ca="1" si="249"/>
        <v>0</v>
      </c>
      <c r="IV78" s="18">
        <f t="shared" ca="1" si="250"/>
        <v>0</v>
      </c>
      <c r="IW78" s="18">
        <f t="shared" ca="1" si="251"/>
        <v>0</v>
      </c>
      <c r="IX78" s="19">
        <f t="shared" ca="1" si="252"/>
        <v>10</v>
      </c>
      <c r="IY78" s="21">
        <f t="shared" ca="1" si="253"/>
        <v>-34.56</v>
      </c>
      <c r="JA78" s="18" t="str">
        <f t="shared" ca="1" si="254"/>
        <v>No Hdcp</v>
      </c>
      <c r="JB78" s="18" t="str">
        <f t="shared" ca="1" si="255"/>
        <v>Low of score &amp; 0</v>
      </c>
      <c r="JC78" s="18" t="str">
        <f t="shared" ca="1" si="256"/>
        <v>Low of score &amp; 0</v>
      </c>
      <c r="JD78" s="18" t="str">
        <f t="shared" ca="1" si="257"/>
        <v>Low of score &amp; 0</v>
      </c>
      <c r="JE78" s="18" t="str">
        <f t="shared" ca="1" si="258"/>
        <v>Low of score &amp; 0</v>
      </c>
      <c r="JF78" s="18">
        <f t="shared" ca="1" si="259"/>
        <v>-34.56</v>
      </c>
      <c r="JG78" s="18">
        <f t="shared" ca="1" si="260"/>
        <v>-34.56</v>
      </c>
      <c r="JH78" s="18">
        <f t="shared" ca="1" si="261"/>
        <v>-34.56</v>
      </c>
      <c r="JI78" s="18">
        <f t="shared" ca="1" si="262"/>
        <v>-34.56</v>
      </c>
      <c r="JJ78" s="18">
        <f t="shared" ca="1" si="263"/>
        <v>-34.56</v>
      </c>
      <c r="JK78" s="18">
        <f t="shared" ca="1" si="264"/>
        <v>-34.56</v>
      </c>
    </row>
    <row r="79" spans="1:271" x14ac:dyDescent="0.2">
      <c r="A79" s="18" t="s">
        <v>76</v>
      </c>
      <c r="B79" s="19">
        <f t="shared" si="311"/>
        <v>125</v>
      </c>
      <c r="C79" s="22">
        <f t="shared" ca="1" si="206"/>
        <v>6.7999999999999996E-3</v>
      </c>
      <c r="D79" s="18" t="str">
        <f t="shared" ca="1" si="265"/>
        <v>Matheson, Jamie</v>
      </c>
      <c r="E79" s="19">
        <f t="shared" ca="1" si="207"/>
        <v>0</v>
      </c>
      <c r="F79" s="19">
        <f t="shared" ca="1" si="208"/>
        <v>0</v>
      </c>
      <c r="G79" s="21" t="str">
        <f t="shared" ca="1" si="209"/>
        <v>No Hdcp</v>
      </c>
      <c r="H79" s="337" t="str" cm="1">
        <f t="array" aca="1" ref="H79" ca="1">IFERROR(_xlfn.SINGLE(INDEX($AF79:$BH79, , SUMPRODUCT(LARGE((($AF79:$BH79&lt;&gt;0)*($BJ79:$CL79&lt;&gt;1)*($AF$5:$BH$5)), H$6)))), "")</f>
        <v/>
      </c>
      <c r="I79" s="338" t="str" cm="1">
        <f t="array" aca="1" ref="I79" ca="1">IFERROR(_xlfn.SINGLE(INDEX($AF79:$BH79, , SUMPRODUCT(LARGE((($AF79:$BH79&lt;&gt;0)*($BJ79:$CL79&lt;&gt;1)*($AF$5:$BH$5)), I$6)))), "")</f>
        <v/>
      </c>
      <c r="J79" s="338" t="str" cm="1">
        <f t="array" aca="1" ref="J79" ca="1">IFERROR(_xlfn.SINGLE(INDEX($AF79:$BH79, , SUMPRODUCT(LARGE((($AF79:$BH79&lt;&gt;0)*($BJ79:$CL79&lt;&gt;1)*($AF$5:$BH$5)), J$6)))), "")</f>
        <v/>
      </c>
      <c r="K79" s="338" t="str" cm="1">
        <f t="array" aca="1" ref="K79" ca="1">IFERROR(_xlfn.SINGLE(INDEX($AF79:$BH79, , SUMPRODUCT(LARGE((($AF79:$BH79&lt;&gt;0)*($BJ79:$CL79&lt;&gt;1)*($AF$5:$BH$5)), K$6)))), "")</f>
        <v/>
      </c>
      <c r="L79" s="338" t="str" cm="1">
        <f t="array" aca="1" ref="L79" ca="1">IFERROR(_xlfn.SINGLE(INDEX($AF79:$BH79, , SUMPRODUCT(LARGE((($AF79:$BH79&lt;&gt;0)*($BJ79:$CL79&lt;&gt;1)*($AF$5:$BH$5)), L$6)))), "")</f>
        <v/>
      </c>
      <c r="M79" s="338" t="str" cm="1">
        <f t="array" aca="1" ref="M79" ca="1">IFERROR(_xlfn.SINGLE(INDEX($AF79:$BH79, , SUMPRODUCT(LARGE((($AF79:$BH79&lt;&gt;0)*($BJ79:$CL79&lt;&gt;1)*($AF$5:$BH$5)), M$6)))), "")</f>
        <v/>
      </c>
      <c r="N79" s="338" t="str" cm="1">
        <f t="array" aca="1" ref="N79" ca="1">IFERROR(_xlfn.SINGLE(INDEX($AF79:$BH79, , SUMPRODUCT(LARGE((($AF79:$BH79&lt;&gt;0)*($BJ79:$CL79&lt;&gt;1)*($AF$5:$BH$5)), N$6)))), "")</f>
        <v/>
      </c>
      <c r="O79" s="338" t="str" cm="1">
        <f t="array" aca="1" ref="O79" ca="1">IFERROR(_xlfn.SINGLE(INDEX($AF79:$BH79, , SUMPRODUCT(LARGE((($AF79:$BH79&lt;&gt;0)*($BJ79:$CL79&lt;&gt;1)*($AF$5:$BH$5)), O$6)))), "")</f>
        <v/>
      </c>
      <c r="P79" s="338" t="str" cm="1">
        <f t="array" aca="1" ref="P79" ca="1">IFERROR(_xlfn.SINGLE(INDEX($AF79:$BH79, , SUMPRODUCT(LARGE((($AF79:$BH79&lt;&gt;0)*($BJ79:$CL79&lt;&gt;1)*($AF$5:$BH$5)), P$6)))), "")</f>
        <v/>
      </c>
      <c r="Q79" s="339" t="str" cm="1">
        <f t="array" aca="1" ref="Q79" ca="1">IFERROR(_xlfn.SINGLE(INDEX($AF79:$BH79, , SUMPRODUCT(LARGE((($AF79:$BH79&lt;&gt;0)*($BJ79:$CL79&lt;&gt;1)*($AF$5:$BH$5)), Q$6)))), "")</f>
        <v/>
      </c>
      <c r="R79" s="116" t="s">
        <v>451</v>
      </c>
      <c r="S79" s="47" t="str">
        <f t="shared" ca="1" si="210"/>
        <v>-</v>
      </c>
      <c r="T79" s="21" t="str">
        <f t="shared" ca="1" si="211"/>
        <v>-</v>
      </c>
      <c r="U79" s="21" t="str">
        <f t="shared" ca="1" si="212"/>
        <v>-</v>
      </c>
      <c r="V79" s="46" t="str">
        <f t="shared" ca="1" si="213"/>
        <v/>
      </c>
      <c r="W79" s="19" t="str">
        <f t="shared" ca="1" si="214"/>
        <v/>
      </c>
      <c r="X79" s="46">
        <f t="shared" ca="1" si="215"/>
        <v>0</v>
      </c>
      <c r="Y79" s="21" t="str">
        <f t="shared" ca="1" si="216"/>
        <v>-</v>
      </c>
      <c r="Z79" s="19">
        <f t="shared" ca="1" si="217"/>
        <v>0</v>
      </c>
      <c r="AA79" s="19">
        <f t="shared" ca="1" si="218"/>
        <v>0</v>
      </c>
      <c r="AB79" s="46" t="str">
        <f t="shared" ca="1" si="219"/>
        <v>0-0-0</v>
      </c>
      <c r="AC79" s="218">
        <f t="shared" ca="1" si="273"/>
        <v>0</v>
      </c>
      <c r="AD79" s="57">
        <f t="shared" ca="1" si="274"/>
        <v>0</v>
      </c>
      <c r="AE79" s="34"/>
      <c r="AF79" s="341">
        <f ca="1">INDEX(PriorScores[],MATCH($D79,PriorScores[Team / Player],0),2)</f>
        <v>0</v>
      </c>
      <c r="AG79" s="341">
        <f ca="1">INDEX(PriorScores[],MATCH($D79,PriorScores[Team / Player],0),3)</f>
        <v>0</v>
      </c>
      <c r="AH79" s="341">
        <f ca="1">INDEX(PriorScores[],MATCH($D79,PriorScores[Team / Player],0),4)</f>
        <v>0</v>
      </c>
      <c r="AI79" s="341">
        <f ca="1">INDEX(PriorScores[],MATCH($D79,PriorScores[Team / Player],0),5)</f>
        <v>0</v>
      </c>
      <c r="AJ79" s="341">
        <f ca="1">INDEX(PriorScores[],MATCH($D79,PriorScores[Team / Player],0),6)</f>
        <v>0</v>
      </c>
      <c r="AK79" s="341">
        <f ca="1">INDEX(PriorScores[],MATCH($D79,PriorScores[Team / Player],0),7)</f>
        <v>0</v>
      </c>
      <c r="AL79" s="341">
        <f ca="1">INDEX(PriorScores[],MATCH($D79,PriorScores[Team / Player],0),8)</f>
        <v>0</v>
      </c>
      <c r="AM79" s="341">
        <f ca="1">INDEX(PriorScores[],MATCH($D79,PriorScores[Team / Player],0),9)</f>
        <v>0</v>
      </c>
      <c r="AN79" s="341"/>
      <c r="AO79" s="341"/>
      <c r="AP79" s="20">
        <f t="shared" ca="1" si="307"/>
        <v>0</v>
      </c>
      <c r="AQ79" s="20">
        <f t="shared" ca="1" si="307"/>
        <v>0</v>
      </c>
      <c r="AR79" s="20">
        <f t="shared" ca="1" si="307"/>
        <v>0</v>
      </c>
      <c r="AS79" s="20">
        <f t="shared" ca="1" si="307"/>
        <v>0</v>
      </c>
      <c r="AT79" s="20">
        <f t="shared" ca="1" si="307"/>
        <v>0</v>
      </c>
      <c r="AU79" s="20">
        <f t="shared" ca="1" si="307"/>
        <v>0</v>
      </c>
      <c r="AV79" s="20">
        <f t="shared" ca="1" si="307"/>
        <v>0</v>
      </c>
      <c r="AW79" s="20">
        <f t="shared" ca="1" si="307"/>
        <v>0</v>
      </c>
      <c r="AX79" s="20">
        <f t="shared" ca="1" si="307"/>
        <v>0</v>
      </c>
      <c r="AY79" s="20">
        <f t="shared" ca="1" si="307"/>
        <v>0</v>
      </c>
      <c r="AZ79" s="20">
        <f t="shared" ca="1" si="308"/>
        <v>0</v>
      </c>
      <c r="BA79" s="20">
        <f t="shared" ca="1" si="308"/>
        <v>0</v>
      </c>
      <c r="BB79" s="20">
        <f t="shared" ca="1" si="308"/>
        <v>0</v>
      </c>
      <c r="BC79" s="20">
        <f t="shared" ca="1" si="308"/>
        <v>0</v>
      </c>
      <c r="BD79" s="20">
        <f t="shared" ca="1" si="308"/>
        <v>0</v>
      </c>
      <c r="BE79" s="20">
        <f t="shared" ca="1" si="308"/>
        <v>0</v>
      </c>
      <c r="BF79" s="20">
        <f t="shared" ca="1" si="308"/>
        <v>0</v>
      </c>
      <c r="BG79" s="20">
        <f t="shared" ca="1" si="308"/>
        <v>0</v>
      </c>
      <c r="BH79" s="20">
        <f t="shared" ca="1" si="308"/>
        <v>0</v>
      </c>
      <c r="BI79" s="34"/>
      <c r="BJ79" s="341">
        <v>0</v>
      </c>
      <c r="BK79" s="341">
        <v>0</v>
      </c>
      <c r="BL79" s="341">
        <v>0</v>
      </c>
      <c r="BM79" s="341">
        <v>0</v>
      </c>
      <c r="BN79" s="341">
        <v>0</v>
      </c>
      <c r="BO79" s="341">
        <v>0</v>
      </c>
      <c r="BP79" s="341">
        <v>0</v>
      </c>
      <c r="BQ79" s="341">
        <v>0</v>
      </c>
      <c r="BR79" s="341">
        <v>0</v>
      </c>
      <c r="BS79" s="341">
        <v>0</v>
      </c>
      <c r="BT79" s="20">
        <f t="shared" ca="1" si="266"/>
        <v>0</v>
      </c>
      <c r="BU79" s="20">
        <f t="shared" ca="1" si="266"/>
        <v>0</v>
      </c>
      <c r="BV79" s="20">
        <f t="shared" ca="1" si="266"/>
        <v>0</v>
      </c>
      <c r="BW79" s="20">
        <f t="shared" ca="1" si="266"/>
        <v>0</v>
      </c>
      <c r="BX79" s="20">
        <f t="shared" ca="1" si="266"/>
        <v>0</v>
      </c>
      <c r="BY79" s="20">
        <f t="shared" ca="1" si="266"/>
        <v>0</v>
      </c>
      <c r="BZ79" s="20">
        <f t="shared" ca="1" si="266"/>
        <v>0</v>
      </c>
      <c r="CA79" s="20">
        <f t="shared" ca="1" si="266"/>
        <v>0</v>
      </c>
      <c r="CB79" s="20">
        <f t="shared" ca="1" si="266"/>
        <v>0</v>
      </c>
      <c r="CC79" s="20">
        <f t="shared" ca="1" si="266"/>
        <v>0</v>
      </c>
      <c r="CD79" s="20">
        <f t="shared" ca="1" si="266"/>
        <v>0</v>
      </c>
      <c r="CE79" s="20">
        <f t="shared" ca="1" si="266"/>
        <v>0</v>
      </c>
      <c r="CF79" s="20">
        <f t="shared" ca="1" si="266"/>
        <v>0</v>
      </c>
      <c r="CG79" s="20">
        <f t="shared" ca="1" si="266"/>
        <v>0</v>
      </c>
      <c r="CH79" s="20">
        <f t="shared" ca="1" si="266"/>
        <v>0</v>
      </c>
      <c r="CI79" s="20">
        <f t="shared" ca="1" si="266"/>
        <v>0</v>
      </c>
      <c r="CJ79" s="20">
        <f t="shared" ca="1" si="267"/>
        <v>0</v>
      </c>
      <c r="CK79" s="20">
        <f t="shared" ca="1" si="267"/>
        <v>0</v>
      </c>
      <c r="CL79" s="20">
        <f t="shared" ca="1" si="267"/>
        <v>0</v>
      </c>
      <c r="CM79" s="34"/>
      <c r="CN79" s="20" t="str">
        <f t="shared" ca="1" si="309"/>
        <v/>
      </c>
      <c r="CO79" s="20" t="str">
        <f t="shared" ca="1" si="309"/>
        <v/>
      </c>
      <c r="CP79" s="20" t="str">
        <f t="shared" ca="1" si="309"/>
        <v/>
      </c>
      <c r="CQ79" s="20" t="str">
        <f t="shared" ca="1" si="309"/>
        <v/>
      </c>
      <c r="CR79" s="20" t="str">
        <f t="shared" ca="1" si="309"/>
        <v/>
      </c>
      <c r="CS79" s="20" t="str">
        <f t="shared" ca="1" si="309"/>
        <v/>
      </c>
      <c r="CT79" s="20" t="str">
        <f t="shared" ca="1" si="309"/>
        <v/>
      </c>
      <c r="CU79" s="20" t="str">
        <f t="shared" ca="1" si="309"/>
        <v/>
      </c>
      <c r="CV79" s="20" t="str">
        <f t="shared" ca="1" si="309"/>
        <v/>
      </c>
      <c r="CW79" s="20" t="str">
        <f t="shared" ca="1" si="309"/>
        <v/>
      </c>
      <c r="CX79" s="20" t="str">
        <f t="shared" ca="1" si="310"/>
        <v/>
      </c>
      <c r="CY79" s="20" t="str">
        <f t="shared" ca="1" si="310"/>
        <v/>
      </c>
      <c r="CZ79" s="20" t="str">
        <f t="shared" ca="1" si="310"/>
        <v/>
      </c>
      <c r="DA79" s="20" t="str">
        <f t="shared" ca="1" si="310"/>
        <v/>
      </c>
      <c r="DB79" s="20" t="str">
        <f t="shared" ca="1" si="310"/>
        <v/>
      </c>
      <c r="DC79" s="20" t="str">
        <f t="shared" ca="1" si="310"/>
        <v/>
      </c>
      <c r="DD79" s="20" t="str">
        <f t="shared" ca="1" si="310"/>
        <v/>
      </c>
      <c r="DE79" s="20" t="str">
        <f t="shared" ca="1" si="310"/>
        <v/>
      </c>
      <c r="DF79" s="20" t="str">
        <f t="shared" ca="1" si="310"/>
        <v/>
      </c>
      <c r="DG79" s="34"/>
      <c r="DH79" s="20" t="str">
        <f t="shared" ca="1" si="275"/>
        <v/>
      </c>
      <c r="DI79" s="20" t="str">
        <f t="shared" ca="1" si="276"/>
        <v/>
      </c>
      <c r="DJ79" s="20" t="str">
        <f t="shared" ca="1" si="277"/>
        <v/>
      </c>
      <c r="DK79" s="20" t="str">
        <f t="shared" ca="1" si="278"/>
        <v/>
      </c>
      <c r="DL79" s="20" t="str">
        <f t="shared" ca="1" si="279"/>
        <v/>
      </c>
      <c r="DM79" s="20" t="str">
        <f t="shared" ca="1" si="280"/>
        <v/>
      </c>
      <c r="DN79" s="20" t="str">
        <f t="shared" ca="1" si="281"/>
        <v/>
      </c>
      <c r="DO79" s="20" t="str">
        <f t="shared" ca="1" si="282"/>
        <v/>
      </c>
      <c r="DP79" s="20" t="str">
        <f t="shared" ca="1" si="283"/>
        <v/>
      </c>
      <c r="DQ79" s="20" t="str">
        <f t="shared" ca="1" si="284"/>
        <v/>
      </c>
      <c r="DR79" s="20" t="str">
        <f t="shared" ca="1" si="285"/>
        <v/>
      </c>
      <c r="DS79" s="20" t="str">
        <f t="shared" ca="1" si="286"/>
        <v/>
      </c>
      <c r="DT79" s="20" t="str">
        <f t="shared" ca="1" si="287"/>
        <v/>
      </c>
      <c r="DU79" s="20" t="str">
        <f t="shared" ca="1" si="288"/>
        <v/>
      </c>
      <c r="DV79" s="20" t="str">
        <f t="shared" ca="1" si="289"/>
        <v/>
      </c>
      <c r="DW79" s="20" t="str">
        <f t="shared" ca="1" si="290"/>
        <v/>
      </c>
      <c r="DX79" s="20" t="str">
        <f t="shared" ca="1" si="290"/>
        <v/>
      </c>
      <c r="DY79" s="20" t="str">
        <f t="shared" ca="1" si="290"/>
        <v/>
      </c>
      <c r="DZ79" s="20" t="str">
        <f t="shared" ca="1" si="290"/>
        <v/>
      </c>
      <c r="EA79" s="34"/>
      <c r="EB79" s="20" t="str">
        <f t="shared" ca="1" si="291"/>
        <v/>
      </c>
      <c r="EC79" s="20" t="str">
        <f t="shared" ca="1" si="292"/>
        <v/>
      </c>
      <c r="ED79" s="20" t="str">
        <f t="shared" ca="1" si="293"/>
        <v/>
      </c>
      <c r="EE79" s="20" t="str">
        <f t="shared" ca="1" si="294"/>
        <v/>
      </c>
      <c r="EF79" s="20" t="str">
        <f t="shared" ca="1" si="295"/>
        <v/>
      </c>
      <c r="EG79" s="20" t="str">
        <f t="shared" ca="1" si="296"/>
        <v/>
      </c>
      <c r="EH79" s="20" t="str">
        <f t="shared" ca="1" si="297"/>
        <v/>
      </c>
      <c r="EI79" s="20" t="str">
        <f t="shared" ca="1" si="298"/>
        <v/>
      </c>
      <c r="EJ79" s="20" t="str">
        <f t="shared" ca="1" si="299"/>
        <v/>
      </c>
      <c r="EK79" s="20" t="str">
        <f t="shared" ca="1" si="300"/>
        <v/>
      </c>
      <c r="EL79" s="20" t="str">
        <f t="shared" ca="1" si="301"/>
        <v/>
      </c>
      <c r="EM79" s="20" t="str">
        <f t="shared" ca="1" si="302"/>
        <v/>
      </c>
      <c r="EN79" s="20" t="str">
        <f t="shared" ca="1" si="303"/>
        <v/>
      </c>
      <c r="EO79" s="20" t="str">
        <f t="shared" ca="1" si="304"/>
        <v/>
      </c>
      <c r="EP79" s="20" t="str">
        <f t="shared" ca="1" si="305"/>
        <v/>
      </c>
      <c r="EQ79" s="20" t="str">
        <f t="shared" ca="1" si="306"/>
        <v/>
      </c>
      <c r="ER79" s="20" t="str">
        <f t="shared" ca="1" si="306"/>
        <v/>
      </c>
      <c r="ES79" s="20" t="str">
        <f t="shared" ca="1" si="306"/>
        <v/>
      </c>
      <c r="ET79" s="20" t="str">
        <f t="shared" ca="1" si="306"/>
        <v/>
      </c>
      <c r="EU79" s="34"/>
      <c r="EV79" s="20" t="str">
        <f ca="1">IF(INDEX(INDIRECT($A79), $B79+4, EV$6+2)=0, "", INDEX(INDIRECT($A79), $B79+4, EV$6+2))</f>
        <v/>
      </c>
      <c r="EW79" s="20" t="str">
        <f t="shared" ref="EW79:EY80" ca="1" si="314">IF(INDEX(INDIRECT($A79), $B79+4, EW$6+2)=0, "", INDEX(INDIRECT($A79), $B79+4, EW$6+2))</f>
        <v/>
      </c>
      <c r="EX79" s="20" t="str">
        <f t="shared" ca="1" si="314"/>
        <v/>
      </c>
      <c r="EY79" s="20" t="str">
        <f t="shared" ca="1" si="314"/>
        <v/>
      </c>
      <c r="EZ79" s="20" t="str">
        <f t="shared" ca="1" si="312"/>
        <v/>
      </c>
      <c r="FA79" s="20" t="str">
        <f t="shared" ca="1" si="312"/>
        <v/>
      </c>
      <c r="FB79" s="20" t="str">
        <f t="shared" ca="1" si="312"/>
        <v/>
      </c>
      <c r="FC79" s="20" t="str">
        <f t="shared" ca="1" si="312"/>
        <v/>
      </c>
      <c r="FD79" s="20" t="str">
        <f t="shared" ca="1" si="312"/>
        <v/>
      </c>
      <c r="FE79" s="20" t="str">
        <f t="shared" ca="1" si="312"/>
        <v/>
      </c>
      <c r="FF79" s="20" t="str">
        <f t="shared" ca="1" si="312"/>
        <v/>
      </c>
      <c r="FG79" s="20" t="str">
        <f t="shared" ca="1" si="312"/>
        <v/>
      </c>
      <c r="FH79" s="20" t="str">
        <f t="shared" ca="1" si="312"/>
        <v/>
      </c>
      <c r="FI79" s="20" t="str">
        <f t="shared" ca="1" si="312"/>
        <v/>
      </c>
      <c r="FJ79" s="20" t="str">
        <f t="shared" ca="1" si="312"/>
        <v/>
      </c>
      <c r="FK79" s="20" t="str">
        <f t="shared" ca="1" si="312"/>
        <v/>
      </c>
      <c r="FL79" s="20" t="str">
        <f t="shared" ca="1" si="312"/>
        <v/>
      </c>
      <c r="FM79" s="20" t="str">
        <f t="shared" ca="1" si="312"/>
        <v/>
      </c>
      <c r="FN79" s="20" t="str">
        <f t="shared" ca="1" si="312"/>
        <v/>
      </c>
      <c r="FO79" s="34"/>
      <c r="FP79" s="20" t="str">
        <f ca="1">IF(INDEX(INDIRECT($A79), $B79+6, FP$6+2)=0, "", INDEX(INDIRECT($A79), $B79+6, FP$6+2))</f>
        <v/>
      </c>
      <c r="FQ79" s="20" t="str">
        <f t="shared" ref="FQ79:FS80" ca="1" si="315">IF(INDEX(INDIRECT($A79), $B79+6, FQ$6+2)=0, "", INDEX(INDIRECT($A79), $B79+6, FQ$6+2))</f>
        <v/>
      </c>
      <c r="FR79" s="20" t="str">
        <f t="shared" ca="1" si="315"/>
        <v/>
      </c>
      <c r="FS79" s="20" t="str">
        <f t="shared" ca="1" si="315"/>
        <v/>
      </c>
      <c r="FT79" s="20" t="str">
        <f t="shared" ca="1" si="313"/>
        <v/>
      </c>
      <c r="FU79" s="20" t="str">
        <f t="shared" ca="1" si="313"/>
        <v/>
      </c>
      <c r="FV79" s="20" t="str">
        <f t="shared" ca="1" si="313"/>
        <v/>
      </c>
      <c r="FW79" s="20" t="str">
        <f t="shared" ca="1" si="313"/>
        <v/>
      </c>
      <c r="FX79" s="20" t="str">
        <f t="shared" ca="1" si="313"/>
        <v/>
      </c>
      <c r="FY79" s="20" t="str">
        <f t="shared" ca="1" si="313"/>
        <v/>
      </c>
      <c r="FZ79" s="20" t="str">
        <f t="shared" ca="1" si="313"/>
        <v/>
      </c>
      <c r="GA79" s="20" t="str">
        <f t="shared" ca="1" si="313"/>
        <v/>
      </c>
      <c r="GB79" s="20" t="str">
        <f t="shared" ca="1" si="313"/>
        <v/>
      </c>
      <c r="GC79" s="20" t="str">
        <f t="shared" ca="1" si="313"/>
        <v/>
      </c>
      <c r="GD79" s="20" t="str">
        <f t="shared" ca="1" si="313"/>
        <v/>
      </c>
      <c r="GE79" s="20" t="str">
        <f t="shared" ca="1" si="313"/>
        <v/>
      </c>
      <c r="GF79" s="20" t="str">
        <f t="shared" ca="1" si="313"/>
        <v/>
      </c>
      <c r="GG79" s="20" t="str">
        <f t="shared" ca="1" si="313"/>
        <v/>
      </c>
      <c r="GH79" s="20" t="str">
        <f t="shared" ca="1" si="313"/>
        <v/>
      </c>
      <c r="GI79" s="34"/>
      <c r="HE79" s="34"/>
      <c r="HZ79" s="34"/>
      <c r="IA79" s="19" t="str">
        <f t="shared" ca="1" si="231"/>
        <v>No Hdcp</v>
      </c>
      <c r="IB79" s="19" t="str">
        <f t="shared" ca="1" si="232"/>
        <v>Low of score &amp; 0</v>
      </c>
      <c r="IC79" s="19" t="str">
        <f t="shared" ca="1" si="233"/>
        <v>Low of score &amp; 0</v>
      </c>
      <c r="ID79" s="18" t="str">
        <f t="shared" ca="1" si="234"/>
        <v>Low of score &amp; 0</v>
      </c>
      <c r="IE79" s="18" t="str">
        <f t="shared" ca="1" si="235"/>
        <v>Low of score &amp; 0</v>
      </c>
      <c r="IF79" s="18">
        <f t="shared" ca="1" si="236"/>
        <v>-34.56</v>
      </c>
      <c r="IG79" s="353" t="e">
        <f t="shared" ca="1" si="237"/>
        <v>#NUM!</v>
      </c>
      <c r="IH79" s="18" t="e">
        <f t="shared" ca="1" si="238"/>
        <v>#NUM!</v>
      </c>
      <c r="II79" s="18" t="e">
        <f t="shared" ca="1" si="239"/>
        <v>#NUM!</v>
      </c>
      <c r="IJ79" s="18" t="e">
        <f t="shared" ca="1" si="240"/>
        <v>#NUM!</v>
      </c>
      <c r="IK79" s="18" t="e">
        <f t="shared" ca="1" si="241"/>
        <v>#NUM!</v>
      </c>
      <c r="IL79" s="34"/>
      <c r="IN79" s="18">
        <f t="shared" si="242"/>
        <v>0</v>
      </c>
      <c r="IO79" s="18">
        <f t="shared" si="243"/>
        <v>0</v>
      </c>
      <c r="IP79" s="18">
        <f t="shared" ca="1" si="244"/>
        <v>0</v>
      </c>
      <c r="IQ79" s="18">
        <f t="shared" ca="1" si="245"/>
        <v>0</v>
      </c>
      <c r="IR79" s="18">
        <f t="shared" ca="1" si="246"/>
        <v>0</v>
      </c>
      <c r="IS79" s="18">
        <f t="shared" ca="1" si="247"/>
        <v>0</v>
      </c>
      <c r="IT79" s="18">
        <f t="shared" ca="1" si="248"/>
        <v>0</v>
      </c>
      <c r="IU79" s="18">
        <f t="shared" ca="1" si="249"/>
        <v>0</v>
      </c>
      <c r="IV79" s="18">
        <f t="shared" ca="1" si="250"/>
        <v>0</v>
      </c>
      <c r="IW79" s="18">
        <f t="shared" ca="1" si="251"/>
        <v>0</v>
      </c>
      <c r="IX79" s="19">
        <f t="shared" ca="1" si="252"/>
        <v>10</v>
      </c>
      <c r="IY79" s="21">
        <f t="shared" ca="1" si="253"/>
        <v>-34.56</v>
      </c>
      <c r="JA79" s="18" t="str">
        <f t="shared" ca="1" si="254"/>
        <v>No Hdcp</v>
      </c>
      <c r="JB79" s="18" t="str">
        <f t="shared" ca="1" si="255"/>
        <v>Low of score &amp; 0</v>
      </c>
      <c r="JC79" s="18" t="str">
        <f t="shared" ca="1" si="256"/>
        <v>Low of score &amp; 0</v>
      </c>
      <c r="JD79" s="18" t="str">
        <f t="shared" ca="1" si="257"/>
        <v>Low of score &amp; 0</v>
      </c>
      <c r="JE79" s="18" t="str">
        <f t="shared" ca="1" si="258"/>
        <v>Low of score &amp; 0</v>
      </c>
      <c r="JF79" s="18">
        <f t="shared" ca="1" si="259"/>
        <v>-34.56</v>
      </c>
      <c r="JG79" s="18">
        <f t="shared" ca="1" si="260"/>
        <v>-34.56</v>
      </c>
      <c r="JH79" s="18">
        <f t="shared" ca="1" si="261"/>
        <v>-34.56</v>
      </c>
      <c r="JI79" s="18">
        <f t="shared" ca="1" si="262"/>
        <v>-34.56</v>
      </c>
      <c r="JJ79" s="18">
        <f t="shared" ca="1" si="263"/>
        <v>-34.56</v>
      </c>
      <c r="JK79" s="18">
        <f t="shared" ca="1" si="264"/>
        <v>-34.56</v>
      </c>
    </row>
    <row r="80" spans="1:271" x14ac:dyDescent="0.2">
      <c r="A80" s="18" t="s">
        <v>76</v>
      </c>
      <c r="B80" s="19">
        <f t="shared" si="311"/>
        <v>133</v>
      </c>
      <c r="C80" s="22">
        <f t="shared" ca="1" si="206"/>
        <v>7.3000000000000001E-3</v>
      </c>
      <c r="D80" s="18" t="str">
        <f t="shared" ca="1" si="265"/>
        <v>Nimon, Ed - gold tees</v>
      </c>
      <c r="E80" s="19">
        <f t="shared" ca="1" si="207"/>
        <v>0</v>
      </c>
      <c r="F80" s="19">
        <f t="shared" ca="1" si="208"/>
        <v>0</v>
      </c>
      <c r="G80" s="21" t="str">
        <f t="shared" ca="1" si="209"/>
        <v>No Hdcp</v>
      </c>
      <c r="H80" s="337" t="str">
        <f ca="1">IFERROR(INDEX($AF80:$BH80, , SUMPRODUCT(LARGE((($AF80:$BH80&lt;&gt;0)*($BJ80:$CL80&lt;&gt;1)*($AF$5:$BH$5)), H$6))), "")</f>
        <v/>
      </c>
      <c r="I80" s="338" t="str" cm="1">
        <f t="array" aca="1" ref="I80" ca="1">IFERROR(_xlfn.SINGLE(INDEX($AF80:$BH80, , SUMPRODUCT(LARGE((($AF80:$BH80&lt;&gt;0)*($BJ80:$CL80&lt;&gt;1)*($AF$5:$BH$5)), I$6)))), "")</f>
        <v/>
      </c>
      <c r="J80" s="338" t="str" cm="1">
        <f t="array" aca="1" ref="J80" ca="1">IFERROR(_xlfn.SINGLE(INDEX($AF80:$BH80, , SUMPRODUCT(LARGE((($AF80:$BH80&lt;&gt;0)*($BJ80:$CL80&lt;&gt;1)*($AF$5:$BH$5)), J$6)))), "")</f>
        <v/>
      </c>
      <c r="K80" s="338" t="str" cm="1">
        <f t="array" aca="1" ref="K80" ca="1">IFERROR(_xlfn.SINGLE(INDEX($AF80:$BH80, , SUMPRODUCT(LARGE((($AF80:$BH80&lt;&gt;0)*($BJ80:$CL80&lt;&gt;1)*($AF$5:$BH$5)), K$6)))), "")</f>
        <v/>
      </c>
      <c r="L80" s="338" t="str" cm="1">
        <f t="array" aca="1" ref="L80" ca="1">IFERROR(_xlfn.SINGLE(INDEX($AF80:$BH80, , SUMPRODUCT(LARGE((($AF80:$BH80&lt;&gt;0)*($BJ80:$CL80&lt;&gt;1)*($AF$5:$BH$5)), L$6)))), "")</f>
        <v/>
      </c>
      <c r="M80" s="338" t="str" cm="1">
        <f t="array" aca="1" ref="M80" ca="1">IFERROR(_xlfn.SINGLE(INDEX($AF80:$BH80, , SUMPRODUCT(LARGE((($AF80:$BH80&lt;&gt;0)*($BJ80:$CL80&lt;&gt;1)*($AF$5:$BH$5)), M$6)))), "")</f>
        <v/>
      </c>
      <c r="N80" s="338" t="str" cm="1">
        <f t="array" aca="1" ref="N80" ca="1">IFERROR(_xlfn.SINGLE(INDEX($AF80:$BH80, , SUMPRODUCT(LARGE((($AF80:$BH80&lt;&gt;0)*($BJ80:$CL80&lt;&gt;1)*($AF$5:$BH$5)), N$6)))), "")</f>
        <v/>
      </c>
      <c r="O80" s="338" t="str" cm="1">
        <f t="array" aca="1" ref="O80" ca="1">IFERROR(_xlfn.SINGLE(INDEX($AF80:$BH80, , SUMPRODUCT(LARGE((($AF80:$BH80&lt;&gt;0)*($BJ80:$CL80&lt;&gt;1)*($AF$5:$BH$5)), O$6)))), "")</f>
        <v/>
      </c>
      <c r="P80" s="338" t="str" cm="1">
        <f t="array" aca="1" ref="P80" ca="1">IFERROR(_xlfn.SINGLE(INDEX($AF80:$BH80, , SUMPRODUCT(LARGE((($AF80:$BH80&lt;&gt;0)*($BJ80:$CL80&lt;&gt;1)*($AF$5:$BH$5)), P$6)))), "")</f>
        <v/>
      </c>
      <c r="Q80" s="339" t="str" cm="1">
        <f t="array" aca="1" ref="Q80" ca="1">IFERROR(_xlfn.SINGLE(INDEX($AF80:$BH80, , SUMPRODUCT(LARGE((($AF80:$BH80&lt;&gt;0)*($BJ80:$CL80&lt;&gt;1)*($AF$5:$BH$5)), Q$6)))), "")</f>
        <v/>
      </c>
      <c r="R80" s="116" t="s">
        <v>456</v>
      </c>
      <c r="S80" s="47" t="str">
        <f t="shared" ca="1" si="210"/>
        <v>-</v>
      </c>
      <c r="T80" s="21" t="str">
        <f t="shared" ca="1" si="211"/>
        <v>-</v>
      </c>
      <c r="U80" s="21" t="str">
        <f t="shared" ca="1" si="212"/>
        <v>-</v>
      </c>
      <c r="V80" s="46" t="str">
        <f t="shared" ca="1" si="213"/>
        <v/>
      </c>
      <c r="W80" s="19" t="str">
        <f t="shared" ca="1" si="214"/>
        <v/>
      </c>
      <c r="X80" s="46">
        <f t="shared" ca="1" si="215"/>
        <v>0</v>
      </c>
      <c r="Y80" s="21" t="str">
        <f t="shared" ca="1" si="216"/>
        <v>-</v>
      </c>
      <c r="Z80" s="19">
        <f t="shared" ca="1" si="217"/>
        <v>0</v>
      </c>
      <c r="AA80" s="19">
        <f t="shared" ca="1" si="218"/>
        <v>0</v>
      </c>
      <c r="AB80" s="46" t="str">
        <f t="shared" ca="1" si="219"/>
        <v>0-0-0</v>
      </c>
      <c r="AC80" s="218">
        <f t="shared" ca="1" si="273"/>
        <v>3304958907</v>
      </c>
      <c r="AD80" s="57" t="str">
        <f t="shared" ca="1" si="274"/>
        <v>ebn44720@gmail.com</v>
      </c>
      <c r="AE80" s="34"/>
      <c r="AF80" s="341">
        <f ca="1">INDEX(PriorScores[],MATCH($D80,PriorScores[Team / Player],0),2)</f>
        <v>0</v>
      </c>
      <c r="AG80" s="341">
        <f ca="1">INDEX(PriorScores[],MATCH($D80,PriorScores[Team / Player],0),3)</f>
        <v>0</v>
      </c>
      <c r="AH80" s="341">
        <f ca="1">INDEX(PriorScores[],MATCH($D80,PriorScores[Team / Player],0),4)</f>
        <v>0</v>
      </c>
      <c r="AI80" s="341">
        <f ca="1">INDEX(PriorScores[],MATCH($D80,PriorScores[Team / Player],0),5)</f>
        <v>0</v>
      </c>
      <c r="AJ80" s="341">
        <f ca="1">INDEX(PriorScores[],MATCH($D80,PriorScores[Team / Player],0),6)</f>
        <v>0</v>
      </c>
      <c r="AK80" s="341">
        <f ca="1">INDEX(PriorScores[],MATCH($D80,PriorScores[Team / Player],0),7)</f>
        <v>0</v>
      </c>
      <c r="AL80" s="341">
        <f ca="1">INDEX(PriorScores[],MATCH($D80,PriorScores[Team / Player],0),8)</f>
        <v>0</v>
      </c>
      <c r="AM80" s="341"/>
      <c r="AN80" s="341"/>
      <c r="AO80" s="341"/>
      <c r="AP80" s="20">
        <f t="shared" ref="AP80:BE92" ca="1" si="316">IF(OR(INDEX(INDIRECT($A80), $B80, AP$6+2)="",INDEX(INDIRECT($A80),$B80+5,AP$6+2)=1), 0, INDEX(INDIRECT($A80), $B80, AP$6+2))</f>
        <v>0</v>
      </c>
      <c r="AQ80" s="20">
        <f t="shared" ca="1" si="316"/>
        <v>0</v>
      </c>
      <c r="AR80" s="20">
        <f t="shared" ca="1" si="316"/>
        <v>0</v>
      </c>
      <c r="AS80" s="20">
        <f t="shared" ca="1" si="316"/>
        <v>0</v>
      </c>
      <c r="AT80" s="20">
        <f t="shared" ca="1" si="316"/>
        <v>0</v>
      </c>
      <c r="AU80" s="20">
        <f t="shared" ca="1" si="316"/>
        <v>0</v>
      </c>
      <c r="AV80" s="20">
        <f t="shared" ca="1" si="316"/>
        <v>0</v>
      </c>
      <c r="AW80" s="20">
        <f t="shared" ca="1" si="316"/>
        <v>0</v>
      </c>
      <c r="AX80" s="20">
        <f t="shared" ca="1" si="316"/>
        <v>0</v>
      </c>
      <c r="AY80" s="20">
        <f t="shared" ca="1" si="316"/>
        <v>0</v>
      </c>
      <c r="AZ80" s="20">
        <f t="shared" ca="1" si="316"/>
        <v>0</v>
      </c>
      <c r="BA80" s="20">
        <f t="shared" ca="1" si="316"/>
        <v>0</v>
      </c>
      <c r="BB80" s="20">
        <f t="shared" ca="1" si="316"/>
        <v>0</v>
      </c>
      <c r="BC80" s="20">
        <f t="shared" ca="1" si="316"/>
        <v>0</v>
      </c>
      <c r="BD80" s="20">
        <f t="shared" ca="1" si="316"/>
        <v>0</v>
      </c>
      <c r="BE80" s="20">
        <f t="shared" ca="1" si="316"/>
        <v>0</v>
      </c>
      <c r="BF80" s="20">
        <f t="shared" ref="BA80:BH92" ca="1" si="317">IF(OR(INDEX(INDIRECT($A80), $B80, BF$6+2)="",INDEX(INDIRECT($A80),$B80+5,BF$6+2)=1), 0, INDEX(INDIRECT($A80), $B80, BF$6+2))</f>
        <v>0</v>
      </c>
      <c r="BG80" s="20">
        <f t="shared" ca="1" si="317"/>
        <v>0</v>
      </c>
      <c r="BH80" s="20">
        <f t="shared" ca="1" si="317"/>
        <v>0</v>
      </c>
      <c r="BI80" s="34"/>
      <c r="BJ80" s="341">
        <v>0</v>
      </c>
      <c r="BK80" s="341">
        <v>0</v>
      </c>
      <c r="BL80" s="341">
        <v>0</v>
      </c>
      <c r="BM80" s="341">
        <v>0</v>
      </c>
      <c r="BN80" s="341">
        <v>0</v>
      </c>
      <c r="BO80" s="341">
        <v>0</v>
      </c>
      <c r="BP80" s="341">
        <v>0</v>
      </c>
      <c r="BQ80" s="341">
        <v>0</v>
      </c>
      <c r="BR80" s="341">
        <v>0</v>
      </c>
      <c r="BS80" s="341">
        <v>0</v>
      </c>
      <c r="BT80" s="20">
        <f t="shared" ca="1" si="266"/>
        <v>0</v>
      </c>
      <c r="BU80" s="20">
        <f t="shared" ca="1" si="266"/>
        <v>0</v>
      </c>
      <c r="BV80" s="20">
        <f t="shared" ca="1" si="266"/>
        <v>0</v>
      </c>
      <c r="BW80" s="20">
        <f t="shared" ca="1" si="266"/>
        <v>0</v>
      </c>
      <c r="BX80" s="20">
        <f t="shared" ca="1" si="266"/>
        <v>0</v>
      </c>
      <c r="BY80" s="20">
        <f t="shared" ca="1" si="266"/>
        <v>0</v>
      </c>
      <c r="BZ80" s="20">
        <f t="shared" ca="1" si="266"/>
        <v>0</v>
      </c>
      <c r="CA80" s="20">
        <f t="shared" ca="1" si="266"/>
        <v>0</v>
      </c>
      <c r="CB80" s="20">
        <f t="shared" ca="1" si="266"/>
        <v>0</v>
      </c>
      <c r="CC80" s="20">
        <f t="shared" ca="1" si="266"/>
        <v>0</v>
      </c>
      <c r="CD80" s="20">
        <f t="shared" ca="1" si="266"/>
        <v>0</v>
      </c>
      <c r="CE80" s="20">
        <f t="shared" ca="1" si="266"/>
        <v>0</v>
      </c>
      <c r="CF80" s="20">
        <f t="shared" ca="1" si="266"/>
        <v>0</v>
      </c>
      <c r="CG80" s="20">
        <f t="shared" ca="1" si="266"/>
        <v>0</v>
      </c>
      <c r="CH80" s="20">
        <f t="shared" ca="1" si="266"/>
        <v>0</v>
      </c>
      <c r="CI80" s="20">
        <f t="shared" ref="CI80:CL92" ca="1" si="318">IF(INDEX(INDIRECT($A80), $B80+5, CI$6+2)="", 0, INDEX(INDIRECT($A80), $B80+5, CI$6+2))</f>
        <v>0</v>
      </c>
      <c r="CJ80" s="20">
        <f t="shared" ca="1" si="318"/>
        <v>0</v>
      </c>
      <c r="CK80" s="20">
        <f t="shared" ca="1" si="318"/>
        <v>0</v>
      </c>
      <c r="CL80" s="20">
        <f t="shared" ca="1" si="318"/>
        <v>0</v>
      </c>
      <c r="CM80" s="34"/>
      <c r="CN80" s="20" t="str">
        <f t="shared" ref="CN80:DC92" ca="1" si="319">IF(OR(INDEX(INDIRECT($A80), $B80+1, CN$6+2)=0,INDEX(INDIRECT($A80),$B80+5,CN$6+2)=1), "", INDEX(INDIRECT($A80), $B80+1, CN$6+2))</f>
        <v/>
      </c>
      <c r="CO80" s="20" t="str">
        <f t="shared" ca="1" si="319"/>
        <v/>
      </c>
      <c r="CP80" s="20" t="str">
        <f t="shared" ca="1" si="319"/>
        <v/>
      </c>
      <c r="CQ80" s="20" t="str">
        <f t="shared" ca="1" si="319"/>
        <v/>
      </c>
      <c r="CR80" s="20" t="str">
        <f t="shared" ca="1" si="319"/>
        <v/>
      </c>
      <c r="CS80" s="20" t="str">
        <f t="shared" ca="1" si="319"/>
        <v/>
      </c>
      <c r="CT80" s="20" t="str">
        <f t="shared" ca="1" si="319"/>
        <v/>
      </c>
      <c r="CU80" s="20" t="str">
        <f t="shared" ca="1" si="319"/>
        <v/>
      </c>
      <c r="CV80" s="20" t="str">
        <f t="shared" ca="1" si="319"/>
        <v/>
      </c>
      <c r="CW80" s="20" t="str">
        <f t="shared" ca="1" si="319"/>
        <v/>
      </c>
      <c r="CX80" s="20" t="str">
        <f t="shared" ca="1" si="319"/>
        <v/>
      </c>
      <c r="CY80" s="20" t="str">
        <f t="shared" ca="1" si="319"/>
        <v/>
      </c>
      <c r="CZ80" s="20" t="str">
        <f t="shared" ca="1" si="319"/>
        <v/>
      </c>
      <c r="DA80" s="20" t="str">
        <f t="shared" ca="1" si="319"/>
        <v/>
      </c>
      <c r="DB80" s="20" t="str">
        <f t="shared" ca="1" si="319"/>
        <v/>
      </c>
      <c r="DC80" s="20" t="str">
        <f t="shared" ca="1" si="319"/>
        <v/>
      </c>
      <c r="DD80" s="20" t="str">
        <f t="shared" ref="DD80:DF92" ca="1" si="320">IF(OR(INDEX(INDIRECT($A80), $B80+1, DD$6+2)=0,INDEX(INDIRECT($A80),$B80+5,DD$6+2)=1), "", INDEX(INDIRECT($A80), $B80+1, DD$6+2))</f>
        <v/>
      </c>
      <c r="DE80" s="20" t="str">
        <f t="shared" ca="1" si="320"/>
        <v/>
      </c>
      <c r="DF80" s="20" t="str">
        <f t="shared" ca="1" si="320"/>
        <v/>
      </c>
      <c r="DG80" s="34"/>
      <c r="DH80" s="20" t="str">
        <f t="shared" ref="DH80:DH92" ca="1" si="321">IF(INDEX(INDIRECT($A80), $B80+2, DH$6+2)=0, "", INDEX(INDIRECT($A80), $B80+2, DH$6+2))</f>
        <v/>
      </c>
      <c r="DI80" s="20" t="str">
        <f t="shared" ca="1" si="276"/>
        <v/>
      </c>
      <c r="DJ80" s="20" t="str">
        <f t="shared" ca="1" si="277"/>
        <v/>
      </c>
      <c r="DK80" s="20" t="str">
        <f t="shared" ca="1" si="278"/>
        <v/>
      </c>
      <c r="DL80" s="20" t="str">
        <f t="shared" ca="1" si="279"/>
        <v/>
      </c>
      <c r="DM80" s="20" t="str">
        <f t="shared" ca="1" si="280"/>
        <v/>
      </c>
      <c r="DN80" s="20" t="str">
        <f t="shared" ca="1" si="281"/>
        <v/>
      </c>
      <c r="DO80" s="20" t="str">
        <f t="shared" ca="1" si="282"/>
        <v/>
      </c>
      <c r="DP80" s="20" t="str">
        <f t="shared" ca="1" si="283"/>
        <v/>
      </c>
      <c r="DQ80" s="20" t="str">
        <f t="shared" ca="1" si="284"/>
        <v/>
      </c>
      <c r="DR80" s="20" t="str">
        <f t="shared" ca="1" si="285"/>
        <v/>
      </c>
      <c r="DS80" s="20" t="str">
        <f t="shared" ca="1" si="286"/>
        <v/>
      </c>
      <c r="DT80" s="20" t="str">
        <f t="shared" ca="1" si="287"/>
        <v/>
      </c>
      <c r="DU80" s="20" t="str">
        <f t="shared" ca="1" si="288"/>
        <v/>
      </c>
      <c r="DV80" s="20" t="str">
        <f t="shared" ca="1" si="289"/>
        <v/>
      </c>
      <c r="DW80" s="20" t="str">
        <f t="shared" ca="1" si="290"/>
        <v/>
      </c>
      <c r="DX80" s="20" t="str">
        <f t="shared" ca="1" si="290"/>
        <v/>
      </c>
      <c r="DY80" s="20" t="str">
        <f t="shared" ca="1" si="290"/>
        <v/>
      </c>
      <c r="DZ80" s="20" t="str">
        <f t="shared" ca="1" si="290"/>
        <v/>
      </c>
      <c r="EA80" s="34"/>
      <c r="EB80" s="20" t="str">
        <f t="shared" ref="EB80:EB92" ca="1" si="322">IF(INDEX(INDIRECT($A80), $B80+3, EB$6+2)=0, "", INDEX(INDIRECT($A80), $B80+3, EB$6+2))</f>
        <v/>
      </c>
      <c r="EC80" s="20" t="str">
        <f t="shared" ca="1" si="292"/>
        <v/>
      </c>
      <c r="ED80" s="20" t="str">
        <f t="shared" ca="1" si="293"/>
        <v/>
      </c>
      <c r="EE80" s="20" t="str">
        <f t="shared" ca="1" si="294"/>
        <v/>
      </c>
      <c r="EF80" s="20" t="str">
        <f t="shared" ca="1" si="295"/>
        <v/>
      </c>
      <c r="EG80" s="20" t="str">
        <f t="shared" ca="1" si="296"/>
        <v/>
      </c>
      <c r="EH80" s="20" t="str">
        <f t="shared" ca="1" si="297"/>
        <v/>
      </c>
      <c r="EI80" s="20" t="str">
        <f t="shared" ca="1" si="298"/>
        <v/>
      </c>
      <c r="EJ80" s="20" t="str">
        <f t="shared" ca="1" si="299"/>
        <v/>
      </c>
      <c r="EK80" s="20" t="str">
        <f t="shared" ca="1" si="300"/>
        <v/>
      </c>
      <c r="EL80" s="20" t="str">
        <f t="shared" ca="1" si="301"/>
        <v/>
      </c>
      <c r="EM80" s="20" t="str">
        <f t="shared" ca="1" si="302"/>
        <v/>
      </c>
      <c r="EN80" s="20" t="str">
        <f t="shared" ca="1" si="303"/>
        <v/>
      </c>
      <c r="EO80" s="20" t="str">
        <f t="shared" ca="1" si="304"/>
        <v/>
      </c>
      <c r="EP80" s="20" t="str">
        <f t="shared" ca="1" si="305"/>
        <v/>
      </c>
      <c r="EQ80" s="20" t="str">
        <f t="shared" ca="1" si="306"/>
        <v/>
      </c>
      <c r="ER80" s="20" t="str">
        <f t="shared" ca="1" si="306"/>
        <v/>
      </c>
      <c r="ES80" s="20" t="str">
        <f t="shared" ca="1" si="306"/>
        <v/>
      </c>
      <c r="ET80" s="20" t="str">
        <f t="shared" ca="1" si="306"/>
        <v/>
      </c>
      <c r="EU80" s="34"/>
      <c r="EV80" s="20" t="str">
        <f ca="1">IF(INDEX(INDIRECT($A80), $B80+4, EV$6+2)=0, "", INDEX(INDIRECT($A80), $B80+4, EV$6+2))</f>
        <v/>
      </c>
      <c r="EW80" s="20" t="str">
        <f t="shared" ca="1" si="314"/>
        <v/>
      </c>
      <c r="EX80" s="20" t="str">
        <f t="shared" ca="1" si="314"/>
        <v/>
      </c>
      <c r="EY80" s="20" t="str">
        <f t="shared" ca="1" si="314"/>
        <v/>
      </c>
      <c r="EZ80" s="20" t="str">
        <f t="shared" ca="1" si="312"/>
        <v/>
      </c>
      <c r="FA80" s="20" t="str">
        <f t="shared" ca="1" si="312"/>
        <v/>
      </c>
      <c r="FB80" s="20" t="str">
        <f t="shared" ca="1" si="312"/>
        <v/>
      </c>
      <c r="FC80" s="20" t="str">
        <f t="shared" ca="1" si="312"/>
        <v/>
      </c>
      <c r="FD80" s="20" t="str">
        <f t="shared" ca="1" si="312"/>
        <v/>
      </c>
      <c r="FE80" s="20" t="str">
        <f t="shared" ca="1" si="312"/>
        <v/>
      </c>
      <c r="FF80" s="20" t="str">
        <f t="shared" ca="1" si="312"/>
        <v/>
      </c>
      <c r="FG80" s="20" t="str">
        <f t="shared" ca="1" si="312"/>
        <v/>
      </c>
      <c r="FH80" s="20" t="str">
        <f t="shared" ca="1" si="312"/>
        <v/>
      </c>
      <c r="FI80" s="20" t="str">
        <f t="shared" ca="1" si="312"/>
        <v/>
      </c>
      <c r="FJ80" s="20" t="str">
        <f t="shared" ca="1" si="312"/>
        <v/>
      </c>
      <c r="FK80" s="20" t="str">
        <f t="shared" ca="1" si="312"/>
        <v/>
      </c>
      <c r="FL80" s="20" t="str">
        <f t="shared" ca="1" si="312"/>
        <v/>
      </c>
      <c r="FM80" s="20" t="str">
        <f t="shared" ca="1" si="312"/>
        <v/>
      </c>
      <c r="FN80" s="20" t="str">
        <f t="shared" ca="1" si="312"/>
        <v/>
      </c>
      <c r="FO80" s="34"/>
      <c r="FP80" s="20" t="str">
        <f ca="1">IF(INDEX(INDIRECT($A80), $B80+6, FP$6+2)=0, "", INDEX(INDIRECT($A80), $B80+6, FP$6+2))</f>
        <v/>
      </c>
      <c r="FQ80" s="20" t="str">
        <f t="shared" ca="1" si="315"/>
        <v/>
      </c>
      <c r="FR80" s="20" t="str">
        <f t="shared" ca="1" si="315"/>
        <v/>
      </c>
      <c r="FS80" s="20" t="str">
        <f t="shared" ca="1" si="315"/>
        <v/>
      </c>
      <c r="FT80" s="20" t="str">
        <f t="shared" ca="1" si="313"/>
        <v/>
      </c>
      <c r="FU80" s="20" t="str">
        <f t="shared" ca="1" si="313"/>
        <v/>
      </c>
      <c r="FV80" s="20" t="str">
        <f t="shared" ca="1" si="313"/>
        <v/>
      </c>
      <c r="FW80" s="20" t="str">
        <f t="shared" ca="1" si="313"/>
        <v/>
      </c>
      <c r="FX80" s="20" t="str">
        <f t="shared" ca="1" si="313"/>
        <v/>
      </c>
      <c r="FY80" s="20" t="str">
        <f t="shared" ca="1" si="313"/>
        <v/>
      </c>
      <c r="FZ80" s="20" t="str">
        <f t="shared" ca="1" si="313"/>
        <v/>
      </c>
      <c r="GA80" s="20" t="str">
        <f t="shared" ca="1" si="313"/>
        <v/>
      </c>
      <c r="GB80" s="20" t="str">
        <f t="shared" ca="1" si="313"/>
        <v/>
      </c>
      <c r="GC80" s="20" t="str">
        <f t="shared" ca="1" si="313"/>
        <v/>
      </c>
      <c r="GD80" s="20" t="str">
        <f t="shared" ca="1" si="313"/>
        <v/>
      </c>
      <c r="GE80" s="20" t="str">
        <f t="shared" ca="1" si="313"/>
        <v/>
      </c>
      <c r="GF80" s="20" t="str">
        <f t="shared" ca="1" si="313"/>
        <v/>
      </c>
      <c r="GG80" s="20" t="str">
        <f t="shared" ca="1" si="313"/>
        <v/>
      </c>
      <c r="GH80" s="20" t="str">
        <f t="shared" ca="1" si="313"/>
        <v/>
      </c>
      <c r="GI80" s="34"/>
      <c r="HE80" s="34"/>
      <c r="HZ80" s="34"/>
      <c r="IA80" s="19" t="str">
        <f t="shared" ca="1" si="231"/>
        <v>No Hdcp</v>
      </c>
      <c r="IB80" s="19" t="str">
        <f t="shared" ca="1" si="232"/>
        <v>Low of score &amp; 0</v>
      </c>
      <c r="IC80" s="19" t="str">
        <f t="shared" ca="1" si="233"/>
        <v>Low of score &amp; 0</v>
      </c>
      <c r="ID80" s="18" t="str">
        <f t="shared" ca="1" si="234"/>
        <v>Low of score &amp; 0</v>
      </c>
      <c r="IE80" s="18" t="str">
        <f t="shared" ca="1" si="235"/>
        <v>Low of score &amp; 0</v>
      </c>
      <c r="IF80" s="18">
        <f t="shared" ca="1" si="236"/>
        <v>-34.56</v>
      </c>
      <c r="IG80" s="353" t="e">
        <f t="shared" ca="1" si="237"/>
        <v>#NUM!</v>
      </c>
      <c r="IH80" s="18" t="e">
        <f t="shared" ca="1" si="238"/>
        <v>#NUM!</v>
      </c>
      <c r="II80" s="18" t="e">
        <f t="shared" ca="1" si="239"/>
        <v>#NUM!</v>
      </c>
      <c r="IJ80" s="18" t="e">
        <f t="shared" ca="1" si="240"/>
        <v>#NUM!</v>
      </c>
      <c r="IK80" s="18" t="e">
        <f t="shared" ca="1" si="241"/>
        <v>#NUM!</v>
      </c>
      <c r="IL80" s="34"/>
      <c r="IN80" s="18">
        <f t="shared" si="242"/>
        <v>0</v>
      </c>
      <c r="IO80" s="18">
        <f t="shared" si="243"/>
        <v>0</v>
      </c>
      <c r="IP80" s="18">
        <f t="shared" si="244"/>
        <v>0</v>
      </c>
      <c r="IQ80" s="18">
        <f t="shared" ca="1" si="245"/>
        <v>0</v>
      </c>
      <c r="IR80" s="18">
        <f t="shared" ca="1" si="246"/>
        <v>0</v>
      </c>
      <c r="IS80" s="18">
        <f t="shared" ca="1" si="247"/>
        <v>0</v>
      </c>
      <c r="IT80" s="18">
        <f t="shared" ca="1" si="248"/>
        <v>0</v>
      </c>
      <c r="IU80" s="18">
        <f t="shared" ca="1" si="249"/>
        <v>0</v>
      </c>
      <c r="IV80" s="18">
        <f t="shared" ca="1" si="250"/>
        <v>0</v>
      </c>
      <c r="IW80" s="18">
        <f t="shared" ca="1" si="251"/>
        <v>0</v>
      </c>
      <c r="IX80" s="19">
        <f t="shared" ca="1" si="252"/>
        <v>10</v>
      </c>
      <c r="IY80" s="21">
        <f t="shared" ca="1" si="253"/>
        <v>-34.56</v>
      </c>
      <c r="JA80" s="18" t="str">
        <f t="shared" ca="1" si="254"/>
        <v>No Hdcp</v>
      </c>
      <c r="JB80" s="18" t="str">
        <f t="shared" ca="1" si="255"/>
        <v>Low of score &amp; 0</v>
      </c>
      <c r="JC80" s="18" t="str">
        <f t="shared" ca="1" si="256"/>
        <v>Low of score &amp; 0</v>
      </c>
      <c r="JD80" s="18" t="str">
        <f t="shared" ca="1" si="257"/>
        <v>Low of score &amp; 0</v>
      </c>
      <c r="JE80" s="18" t="str">
        <f t="shared" ca="1" si="258"/>
        <v>Low of score &amp; 0</v>
      </c>
      <c r="JF80" s="18">
        <f t="shared" ca="1" si="259"/>
        <v>-34.56</v>
      </c>
      <c r="JG80" s="18">
        <f t="shared" ca="1" si="260"/>
        <v>-34.56</v>
      </c>
      <c r="JH80" s="18">
        <f t="shared" ca="1" si="261"/>
        <v>-34.56</v>
      </c>
      <c r="JI80" s="18">
        <f t="shared" ca="1" si="262"/>
        <v>-34.56</v>
      </c>
      <c r="JJ80" s="18">
        <f t="shared" ca="1" si="263"/>
        <v>-34.56</v>
      </c>
      <c r="JK80" s="18">
        <f t="shared" ca="1" si="264"/>
        <v>-34.56</v>
      </c>
    </row>
    <row r="81" spans="1:271" x14ac:dyDescent="0.2">
      <c r="A81" s="18" t="s">
        <v>76</v>
      </c>
      <c r="B81" s="19">
        <f t="shared" si="311"/>
        <v>141</v>
      </c>
      <c r="C81" s="22">
        <f t="shared" ca="1" si="206"/>
        <v>7.4000000000000003E-3</v>
      </c>
      <c r="D81" s="18" t="str">
        <f t="shared" ca="1" si="265"/>
        <v>Okonak, Tom - green tees</v>
      </c>
      <c r="E81" s="19">
        <f t="shared" ca="1" si="207"/>
        <v>1</v>
      </c>
      <c r="F81" s="19">
        <f t="shared" ca="1" si="208"/>
        <v>1</v>
      </c>
      <c r="G81" s="21" t="str">
        <f t="shared" ca="1" si="209"/>
        <v>Low of score &amp; 51</v>
      </c>
      <c r="H81" s="337" cm="1">
        <f t="array" aca="1" ref="H81" ca="1">IFERROR(_xlfn.SINGLE(INDEX($AF81:$BH81, , SUMPRODUCT(LARGE((($AF81:$BH81&lt;&gt;0)*($BJ81:$CL81&lt;&gt;1)*($AF$5:$BH$5)), H$6)))), "")</f>
        <v>51</v>
      </c>
      <c r="I81" s="338" t="str" cm="1">
        <f t="array" aca="1" ref="I81" ca="1">IFERROR(_xlfn.SINGLE(INDEX($AF81:$BH81, , SUMPRODUCT(LARGE((($AF81:$BH81&lt;&gt;0)*($BJ81:$CL81&lt;&gt;1)*($AF$5:$BH$5)), I$6)))), "")</f>
        <v/>
      </c>
      <c r="J81" s="338" t="str" cm="1">
        <f t="array" aca="1" ref="J81" ca="1">IFERROR(_xlfn.SINGLE(INDEX($AF81:$BH81, , SUMPRODUCT(LARGE((($AF81:$BH81&lt;&gt;0)*($BJ81:$CL81&lt;&gt;1)*($AF$5:$BH$5)), J$6)))), "")</f>
        <v/>
      </c>
      <c r="K81" s="338" t="str" cm="1">
        <f t="array" aca="1" ref="K81" ca="1">IFERROR(_xlfn.SINGLE(INDEX($AF81:$BH81, , SUMPRODUCT(LARGE((($AF81:$BH81&lt;&gt;0)*($BJ81:$CL81&lt;&gt;1)*($AF$5:$BH$5)), K$6)))), "")</f>
        <v/>
      </c>
      <c r="L81" s="338" t="str" cm="1">
        <f t="array" aca="1" ref="L81" ca="1">IFERROR(_xlfn.SINGLE(INDEX($AF81:$BH81, , SUMPRODUCT(LARGE((($AF81:$BH81&lt;&gt;0)*($BJ81:$CL81&lt;&gt;1)*($AF$5:$BH$5)), L$6)))), "")</f>
        <v/>
      </c>
      <c r="M81" s="338" t="str" cm="1">
        <f t="array" aca="1" ref="M81" ca="1">IFERROR(_xlfn.SINGLE(INDEX($AF81:$BH81, , SUMPRODUCT(LARGE((($AF81:$BH81&lt;&gt;0)*($BJ81:$CL81&lt;&gt;1)*($AF$5:$BH$5)), M$6)))), "")</f>
        <v/>
      </c>
      <c r="N81" s="338" t="str" cm="1">
        <f t="array" aca="1" ref="N81" ca="1">IFERROR(_xlfn.SINGLE(INDEX($AF81:$BH81, , SUMPRODUCT(LARGE((($AF81:$BH81&lt;&gt;0)*($BJ81:$CL81&lt;&gt;1)*($AF$5:$BH$5)), N$6)))), "")</f>
        <v/>
      </c>
      <c r="O81" s="338" t="str" cm="1">
        <f t="array" aca="1" ref="O81" ca="1">IFERROR(_xlfn.SINGLE(INDEX($AF81:$BH81, , SUMPRODUCT(LARGE((($AF81:$BH81&lt;&gt;0)*($BJ81:$CL81&lt;&gt;1)*($AF$5:$BH$5)), O$6)))), "")</f>
        <v/>
      </c>
      <c r="P81" s="338" t="str" cm="1">
        <f t="array" aca="1" ref="P81" ca="1">IFERROR(_xlfn.SINGLE(INDEX($AF81:$BH81, , SUMPRODUCT(LARGE((($AF81:$BH81&lt;&gt;0)*($BJ81:$CL81&lt;&gt;1)*($AF$5:$BH$5)), P$6)))), "")</f>
        <v/>
      </c>
      <c r="Q81" s="339" t="str" cm="1">
        <f t="array" aca="1" ref="Q81" ca="1">IFERROR(_xlfn.SINGLE(INDEX($AF81:$BH81, , SUMPRODUCT(LARGE((($AF81:$BH81&lt;&gt;0)*($BJ81:$CL81&lt;&gt;1)*($AF$5:$BH$5)), Q$6)))), "")</f>
        <v/>
      </c>
      <c r="R81" s="116" t="s">
        <v>459</v>
      </c>
      <c r="S81" s="47" t="str">
        <f t="shared" ca="1" si="210"/>
        <v>-</v>
      </c>
      <c r="T81" s="21" t="str">
        <f t="shared" ca="1" si="211"/>
        <v>51.00*</v>
      </c>
      <c r="U81" s="21" t="str">
        <f t="shared" ca="1" si="212"/>
        <v>41.00*</v>
      </c>
      <c r="V81" s="46">
        <f t="shared" ca="1" si="213"/>
        <v>51</v>
      </c>
      <c r="W81" s="19">
        <f t="shared" ca="1" si="214"/>
        <v>41</v>
      </c>
      <c r="X81" s="46">
        <f t="shared" ca="1" si="215"/>
        <v>9</v>
      </c>
      <c r="Y81" s="21" t="str">
        <f t="shared" ca="1" si="216"/>
        <v>9.00*</v>
      </c>
      <c r="Z81" s="19">
        <f t="shared" ca="1" si="217"/>
        <v>0</v>
      </c>
      <c r="AA81" s="19">
        <f t="shared" ca="1" si="218"/>
        <v>0</v>
      </c>
      <c r="AB81" s="46" t="str">
        <f t="shared" ca="1" si="219"/>
        <v>0-0-0</v>
      </c>
      <c r="AC81" s="218">
        <f t="shared" ca="1" si="273"/>
        <v>3304178312</v>
      </c>
      <c r="AD81" s="57" t="str">
        <f t="shared" ca="1" si="274"/>
        <v>tom@okonak.net</v>
      </c>
      <c r="AE81" s="34"/>
      <c r="AF81" s="341"/>
      <c r="AG81" s="341"/>
      <c r="AH81" s="341"/>
      <c r="AI81" s="341"/>
      <c r="AJ81" s="341"/>
      <c r="AK81" s="341"/>
      <c r="AL81" s="341"/>
      <c r="AM81" s="341"/>
      <c r="AN81" s="341"/>
      <c r="AO81" s="341"/>
      <c r="AP81" s="20">
        <f t="shared" ca="1" si="316"/>
        <v>0</v>
      </c>
      <c r="AQ81" s="20">
        <f t="shared" ca="1" si="316"/>
        <v>0</v>
      </c>
      <c r="AR81" s="20">
        <f t="shared" ca="1" si="316"/>
        <v>0</v>
      </c>
      <c r="AS81" s="20">
        <f t="shared" ca="1" si="316"/>
        <v>0</v>
      </c>
      <c r="AT81" s="20">
        <f t="shared" ca="1" si="316"/>
        <v>51</v>
      </c>
      <c r="AU81" s="20">
        <f t="shared" ca="1" si="316"/>
        <v>0</v>
      </c>
      <c r="AV81" s="20">
        <f t="shared" ca="1" si="316"/>
        <v>0</v>
      </c>
      <c r="AW81" s="20">
        <f t="shared" ca="1" si="316"/>
        <v>0</v>
      </c>
      <c r="AX81" s="20">
        <f t="shared" ca="1" si="316"/>
        <v>0</v>
      </c>
      <c r="AY81" s="20">
        <f t="shared" ca="1" si="316"/>
        <v>0</v>
      </c>
      <c r="AZ81" s="20">
        <f t="shared" ca="1" si="316"/>
        <v>0</v>
      </c>
      <c r="BA81" s="20">
        <f t="shared" ca="1" si="317"/>
        <v>0</v>
      </c>
      <c r="BB81" s="20">
        <f t="shared" ca="1" si="317"/>
        <v>0</v>
      </c>
      <c r="BC81" s="20">
        <f t="shared" ca="1" si="317"/>
        <v>0</v>
      </c>
      <c r="BD81" s="20">
        <f t="shared" ca="1" si="317"/>
        <v>0</v>
      </c>
      <c r="BE81" s="20">
        <f t="shared" ca="1" si="317"/>
        <v>0</v>
      </c>
      <c r="BF81" s="20">
        <f t="shared" ca="1" si="317"/>
        <v>0</v>
      </c>
      <c r="BG81" s="20">
        <f t="shared" ca="1" si="317"/>
        <v>0</v>
      </c>
      <c r="BH81" s="20">
        <f t="shared" ca="1" si="317"/>
        <v>0</v>
      </c>
      <c r="BI81" s="34"/>
      <c r="BJ81" s="341">
        <v>0</v>
      </c>
      <c r="BK81" s="341">
        <v>0</v>
      </c>
      <c r="BL81" s="341">
        <v>0</v>
      </c>
      <c r="BM81" s="341">
        <v>0</v>
      </c>
      <c r="BN81" s="341">
        <v>0</v>
      </c>
      <c r="BO81" s="341">
        <v>0</v>
      </c>
      <c r="BP81" s="341">
        <v>0</v>
      </c>
      <c r="BQ81" s="341">
        <v>0</v>
      </c>
      <c r="BR81" s="341">
        <v>0</v>
      </c>
      <c r="BS81" s="341">
        <v>0</v>
      </c>
      <c r="BT81" s="20">
        <f t="shared" ref="BT81:CI92" ca="1" si="323">IF(INDEX(INDIRECT($A81), $B81+5, BT$6+2)="", 0, INDEX(INDIRECT($A81), $B81+5, BT$6+2))</f>
        <v>0</v>
      </c>
      <c r="BU81" s="20">
        <f t="shared" ca="1" si="323"/>
        <v>0</v>
      </c>
      <c r="BV81" s="20">
        <f t="shared" ca="1" si="323"/>
        <v>0</v>
      </c>
      <c r="BW81" s="20">
        <f t="shared" ca="1" si="323"/>
        <v>0</v>
      </c>
      <c r="BX81" s="20">
        <f t="shared" ca="1" si="323"/>
        <v>0</v>
      </c>
      <c r="BY81" s="20">
        <f t="shared" ca="1" si="323"/>
        <v>0</v>
      </c>
      <c r="BZ81" s="20">
        <f t="shared" ca="1" si="323"/>
        <v>0</v>
      </c>
      <c r="CA81" s="20">
        <f t="shared" ca="1" si="323"/>
        <v>0</v>
      </c>
      <c r="CB81" s="20">
        <f t="shared" ca="1" si="323"/>
        <v>0</v>
      </c>
      <c r="CC81" s="20">
        <f t="shared" ca="1" si="323"/>
        <v>0</v>
      </c>
      <c r="CD81" s="20">
        <f t="shared" ca="1" si="323"/>
        <v>0</v>
      </c>
      <c r="CE81" s="20">
        <f t="shared" ca="1" si="323"/>
        <v>0</v>
      </c>
      <c r="CF81" s="20">
        <f t="shared" ca="1" si="323"/>
        <v>0</v>
      </c>
      <c r="CG81" s="20">
        <f t="shared" ca="1" si="323"/>
        <v>0</v>
      </c>
      <c r="CH81" s="20">
        <f t="shared" ca="1" si="323"/>
        <v>0</v>
      </c>
      <c r="CI81" s="20">
        <f t="shared" ca="1" si="323"/>
        <v>0</v>
      </c>
      <c r="CJ81" s="20">
        <f t="shared" ca="1" si="318"/>
        <v>0</v>
      </c>
      <c r="CK81" s="20">
        <f t="shared" ca="1" si="318"/>
        <v>0</v>
      </c>
      <c r="CL81" s="20">
        <f t="shared" ca="1" si="318"/>
        <v>0</v>
      </c>
      <c r="CM81" s="34"/>
      <c r="CN81" s="20" t="str">
        <f t="shared" ca="1" si="319"/>
        <v/>
      </c>
      <c r="CO81" s="20" t="str">
        <f t="shared" ca="1" si="319"/>
        <v/>
      </c>
      <c r="CP81" s="20" t="str">
        <f t="shared" ca="1" si="319"/>
        <v/>
      </c>
      <c r="CQ81" s="20" t="str">
        <f t="shared" ca="1" si="319"/>
        <v/>
      </c>
      <c r="CR81" s="20">
        <f t="shared" ca="1" si="319"/>
        <v>41</v>
      </c>
      <c r="CS81" s="20" t="str">
        <f t="shared" ca="1" si="319"/>
        <v/>
      </c>
      <c r="CT81" s="20" t="str">
        <f t="shared" ca="1" si="319"/>
        <v/>
      </c>
      <c r="CU81" s="20" t="str">
        <f t="shared" ca="1" si="319"/>
        <v/>
      </c>
      <c r="CV81" s="20" t="str">
        <f t="shared" ca="1" si="319"/>
        <v/>
      </c>
      <c r="CW81" s="20" t="str">
        <f t="shared" ca="1" si="319"/>
        <v/>
      </c>
      <c r="CX81" s="20" t="str">
        <f t="shared" ca="1" si="319"/>
        <v/>
      </c>
      <c r="CY81" s="20" t="str">
        <f t="shared" ca="1" si="319"/>
        <v/>
      </c>
      <c r="CZ81" s="20" t="str">
        <f t="shared" ref="CZ81:DC83" ca="1" si="324">IF(OR(INDEX(INDIRECT($A81), $B81+1, CZ$6+2)=0,INDEX(INDIRECT($A81),$B81+5,CZ$6+2)=1), "", INDEX(INDIRECT($A81), $B81+1, CZ$6+2))</f>
        <v/>
      </c>
      <c r="DA81" s="20" t="str">
        <f t="shared" ca="1" si="324"/>
        <v/>
      </c>
      <c r="DB81" s="20" t="str">
        <f t="shared" ca="1" si="324"/>
        <v/>
      </c>
      <c r="DC81" s="20" t="str">
        <f t="shared" ca="1" si="324"/>
        <v/>
      </c>
      <c r="DD81" s="20" t="str">
        <f t="shared" ca="1" si="320"/>
        <v/>
      </c>
      <c r="DE81" s="20" t="str">
        <f t="shared" ca="1" si="320"/>
        <v/>
      </c>
      <c r="DF81" s="20" t="str">
        <f t="shared" ca="1" si="320"/>
        <v/>
      </c>
      <c r="DG81" s="34"/>
      <c r="DH81" s="20" t="str">
        <f t="shared" ca="1" si="321"/>
        <v/>
      </c>
      <c r="DI81" s="20" t="str">
        <f t="shared" ca="1" si="276"/>
        <v/>
      </c>
      <c r="DJ81" s="20" t="str">
        <f t="shared" ca="1" si="277"/>
        <v/>
      </c>
      <c r="DK81" s="20" t="str">
        <f t="shared" ca="1" si="278"/>
        <v/>
      </c>
      <c r="DL81" s="20">
        <f t="shared" ca="1" si="279"/>
        <v>9</v>
      </c>
      <c r="DM81" s="20" t="str">
        <f t="shared" ca="1" si="280"/>
        <v/>
      </c>
      <c r="DN81" s="20" t="str">
        <f t="shared" ca="1" si="281"/>
        <v/>
      </c>
      <c r="DO81" s="20" t="str">
        <f t="shared" ca="1" si="282"/>
        <v/>
      </c>
      <c r="DP81" s="20" t="str">
        <f t="shared" ca="1" si="283"/>
        <v/>
      </c>
      <c r="DQ81" s="20" t="str">
        <f t="shared" ca="1" si="284"/>
        <v/>
      </c>
      <c r="DR81" s="20" t="str">
        <f t="shared" ca="1" si="285"/>
        <v/>
      </c>
      <c r="DS81" s="20" t="str">
        <f t="shared" ca="1" si="286"/>
        <v/>
      </c>
      <c r="DT81" s="20" t="str">
        <f t="shared" ca="1" si="287"/>
        <v/>
      </c>
      <c r="DU81" s="20" t="str">
        <f t="shared" ca="1" si="288"/>
        <v/>
      </c>
      <c r="DV81" s="20" t="str">
        <f t="shared" ca="1" si="289"/>
        <v/>
      </c>
      <c r="DW81" s="20" t="str">
        <f t="shared" ca="1" si="290"/>
        <v/>
      </c>
      <c r="DX81" s="20" t="str">
        <f t="shared" ca="1" si="290"/>
        <v/>
      </c>
      <c r="DY81" s="20" t="str">
        <f t="shared" ca="1" si="290"/>
        <v/>
      </c>
      <c r="DZ81" s="20" t="str">
        <f t="shared" ca="1" si="290"/>
        <v/>
      </c>
      <c r="EA81" s="34"/>
      <c r="EB81" s="20" t="str">
        <f t="shared" ca="1" si="322"/>
        <v/>
      </c>
      <c r="EC81" s="20" t="str">
        <f t="shared" ca="1" si="292"/>
        <v/>
      </c>
      <c r="ED81" s="20" t="str">
        <f t="shared" ca="1" si="293"/>
        <v/>
      </c>
      <c r="EE81" s="20" t="str">
        <f t="shared" ca="1" si="294"/>
        <v/>
      </c>
      <c r="EF81" s="20" t="str">
        <f t="shared" ca="1" si="295"/>
        <v/>
      </c>
      <c r="EG81" s="20" t="str">
        <f t="shared" ca="1" si="296"/>
        <v/>
      </c>
      <c r="EH81" s="20" t="str">
        <f t="shared" ca="1" si="297"/>
        <v/>
      </c>
      <c r="EI81" s="20" t="str">
        <f t="shared" ca="1" si="298"/>
        <v/>
      </c>
      <c r="EJ81" s="20" t="str">
        <f t="shared" ca="1" si="299"/>
        <v/>
      </c>
      <c r="EK81" s="20" t="str">
        <f t="shared" ca="1" si="300"/>
        <v/>
      </c>
      <c r="EL81" s="20" t="str">
        <f t="shared" ca="1" si="301"/>
        <v/>
      </c>
      <c r="EM81" s="20" t="str">
        <f t="shared" ca="1" si="302"/>
        <v/>
      </c>
      <c r="EN81" s="20" t="str">
        <f t="shared" ca="1" si="303"/>
        <v/>
      </c>
      <c r="EO81" s="20" t="str">
        <f t="shared" ca="1" si="304"/>
        <v/>
      </c>
      <c r="EP81" s="20" t="str">
        <f t="shared" ca="1" si="305"/>
        <v/>
      </c>
      <c r="EQ81" s="20" t="str">
        <f t="shared" ca="1" si="306"/>
        <v/>
      </c>
      <c r="ER81" s="20" t="str">
        <f t="shared" ca="1" si="306"/>
        <v/>
      </c>
      <c r="ES81" s="20" t="str">
        <f t="shared" ca="1" si="306"/>
        <v/>
      </c>
      <c r="ET81" s="20" t="str">
        <f t="shared" ca="1" si="306"/>
        <v/>
      </c>
      <c r="EU81" s="34"/>
      <c r="EV81" s="20" t="str">
        <f t="shared" ref="EV81:FK92" ca="1" si="325">IF(INDEX(INDIRECT($A81), $B81+4, EV$6+2)=0, "", INDEX(INDIRECT($A81), $B81+4, EV$6+2))</f>
        <v/>
      </c>
      <c r="EW81" s="20" t="str">
        <f t="shared" ca="1" si="325"/>
        <v/>
      </c>
      <c r="EX81" s="20" t="str">
        <f t="shared" ca="1" si="325"/>
        <v/>
      </c>
      <c r="EY81" s="20" t="str">
        <f t="shared" ca="1" si="325"/>
        <v/>
      </c>
      <c r="EZ81" s="20" t="str">
        <f t="shared" ca="1" si="325"/>
        <v/>
      </c>
      <c r="FA81" s="20" t="str">
        <f t="shared" ca="1" si="325"/>
        <v/>
      </c>
      <c r="FB81" s="20" t="str">
        <f t="shared" ca="1" si="325"/>
        <v/>
      </c>
      <c r="FC81" s="20" t="str">
        <f t="shared" ca="1" si="325"/>
        <v/>
      </c>
      <c r="FD81" s="20" t="str">
        <f t="shared" ca="1" si="325"/>
        <v/>
      </c>
      <c r="FE81" s="20" t="str">
        <f t="shared" ca="1" si="325"/>
        <v/>
      </c>
      <c r="FF81" s="20" t="str">
        <f t="shared" ca="1" si="325"/>
        <v/>
      </c>
      <c r="FG81" s="20" t="str">
        <f t="shared" ca="1" si="325"/>
        <v/>
      </c>
      <c r="FH81" s="20" t="str">
        <f t="shared" ca="1" si="325"/>
        <v/>
      </c>
      <c r="FI81" s="20" t="str">
        <f t="shared" ca="1" si="325"/>
        <v/>
      </c>
      <c r="FJ81" s="20" t="str">
        <f t="shared" ca="1" si="325"/>
        <v/>
      </c>
      <c r="FK81" s="20" t="str">
        <f t="shared" ca="1" si="325"/>
        <v/>
      </c>
      <c r="FL81" s="20" t="str">
        <f t="shared" ref="FL81:FN92" ca="1" si="326">IF(INDEX(INDIRECT($A81), $B81+4, FL$6+2)=0, "", INDEX(INDIRECT($A81), $B81+4, FL$6+2))</f>
        <v/>
      </c>
      <c r="FM81" s="20" t="str">
        <f t="shared" ca="1" si="326"/>
        <v/>
      </c>
      <c r="FN81" s="20" t="str">
        <f t="shared" ca="1" si="326"/>
        <v/>
      </c>
      <c r="FO81" s="34"/>
      <c r="FP81" s="20" t="str">
        <f t="shared" ref="FP81:GE92" ca="1" si="327">IF(INDEX(INDIRECT($A81), $B81+6, FP$6+2)=0, "", INDEX(INDIRECT($A81), $B81+6, FP$6+2))</f>
        <v/>
      </c>
      <c r="FQ81" s="20" t="str">
        <f t="shared" ca="1" si="327"/>
        <v/>
      </c>
      <c r="FR81" s="20" t="str">
        <f t="shared" ca="1" si="327"/>
        <v/>
      </c>
      <c r="FS81" s="20" t="str">
        <f t="shared" ca="1" si="327"/>
        <v/>
      </c>
      <c r="FT81" s="20" t="str">
        <f t="shared" ca="1" si="327"/>
        <v>Mickey Mouse Club</v>
      </c>
      <c r="FU81" s="20" t="str">
        <f t="shared" ca="1" si="327"/>
        <v/>
      </c>
      <c r="FV81" s="20" t="str">
        <f t="shared" ca="1" si="327"/>
        <v/>
      </c>
      <c r="FW81" s="20" t="str">
        <f t="shared" ca="1" si="327"/>
        <v/>
      </c>
      <c r="FX81" s="20" t="str">
        <f t="shared" ca="1" si="327"/>
        <v/>
      </c>
      <c r="FY81" s="20" t="str">
        <f t="shared" ca="1" si="327"/>
        <v/>
      </c>
      <c r="FZ81" s="20" t="str">
        <f t="shared" ca="1" si="327"/>
        <v/>
      </c>
      <c r="GA81" s="20" t="str">
        <f t="shared" ca="1" si="327"/>
        <v/>
      </c>
      <c r="GB81" s="20" t="str">
        <f t="shared" ca="1" si="327"/>
        <v/>
      </c>
      <c r="GC81" s="20" t="str">
        <f t="shared" ca="1" si="327"/>
        <v/>
      </c>
      <c r="GD81" s="20" t="str">
        <f t="shared" ca="1" si="327"/>
        <v/>
      </c>
      <c r="GE81" s="20" t="str">
        <f t="shared" ca="1" si="327"/>
        <v/>
      </c>
      <c r="GF81" s="20" t="str">
        <f t="shared" ref="GF81:GH92" ca="1" si="328">IF(INDEX(INDIRECT($A81), $B81+6, GF$6+2)=0, "", INDEX(INDIRECT($A81), $B81+6, GF$6+2))</f>
        <v/>
      </c>
      <c r="GG81" s="20" t="str">
        <f t="shared" ca="1" si="328"/>
        <v/>
      </c>
      <c r="GH81" s="20" t="str">
        <f t="shared" ca="1" si="328"/>
        <v/>
      </c>
      <c r="GI81" s="34"/>
      <c r="HE81" s="34"/>
      <c r="HZ81" s="34"/>
      <c r="IA81" s="19" t="str">
        <f t="shared" ca="1" si="231"/>
        <v>No Hdcp</v>
      </c>
      <c r="IB81" s="19" t="str">
        <f t="shared" ca="1" si="232"/>
        <v>Low of score &amp; 51</v>
      </c>
      <c r="IC81" s="19" t="str">
        <f t="shared" ca="1" si="233"/>
        <v>Low of score &amp; 51</v>
      </c>
      <c r="ID81" s="18" t="str">
        <f t="shared" ca="1" si="234"/>
        <v>Low of score &amp; 51</v>
      </c>
      <c r="IE81" s="18" t="str">
        <f t="shared" ca="1" si="235"/>
        <v>Low of score &amp; 51</v>
      </c>
      <c r="IF81" s="18">
        <f t="shared" ca="1" si="236"/>
        <v>14.4</v>
      </c>
      <c r="IG81" s="353" t="e">
        <f t="shared" ca="1" si="237"/>
        <v>#NUM!</v>
      </c>
      <c r="IH81" s="18" t="e">
        <f t="shared" ca="1" si="238"/>
        <v>#NUM!</v>
      </c>
      <c r="II81" s="18" t="e">
        <f t="shared" ca="1" si="239"/>
        <v>#NUM!</v>
      </c>
      <c r="IJ81" s="18" t="e">
        <f t="shared" ca="1" si="240"/>
        <v>#NUM!</v>
      </c>
      <c r="IK81" s="18" t="e">
        <f t="shared" ca="1" si="241"/>
        <v>#NUM!</v>
      </c>
      <c r="IL81" s="34"/>
      <c r="IN81" s="18">
        <f t="shared" si="242"/>
        <v>0</v>
      </c>
      <c r="IO81" s="18">
        <f t="shared" si="243"/>
        <v>0</v>
      </c>
      <c r="IP81" s="18">
        <f t="shared" si="244"/>
        <v>0</v>
      </c>
      <c r="IQ81" s="18">
        <f t="shared" si="245"/>
        <v>0</v>
      </c>
      <c r="IR81" s="18">
        <f t="shared" si="246"/>
        <v>0</v>
      </c>
      <c r="IS81" s="18">
        <f t="shared" si="247"/>
        <v>0</v>
      </c>
      <c r="IT81" s="18">
        <f t="shared" si="248"/>
        <v>0</v>
      </c>
      <c r="IU81" s="18">
        <f t="shared" si="249"/>
        <v>0</v>
      </c>
      <c r="IV81" s="18">
        <f t="shared" si="250"/>
        <v>0</v>
      </c>
      <c r="IW81" s="18">
        <f t="shared" si="251"/>
        <v>0</v>
      </c>
      <c r="IX81" s="19">
        <f t="shared" ca="1" si="252"/>
        <v>10</v>
      </c>
      <c r="IY81" s="21">
        <f t="shared" ca="1" si="253"/>
        <v>-34.56</v>
      </c>
      <c r="JA81" s="18" t="str">
        <f t="shared" ca="1" si="254"/>
        <v>No Hdcp</v>
      </c>
      <c r="JB81" s="18" t="str">
        <f t="shared" ca="1" si="255"/>
        <v>Low of score &amp; 0</v>
      </c>
      <c r="JC81" s="18" t="str">
        <f t="shared" ca="1" si="256"/>
        <v>Low of score &amp; 0</v>
      </c>
      <c r="JD81" s="18" t="str">
        <f t="shared" ca="1" si="257"/>
        <v>Low of score &amp; 0</v>
      </c>
      <c r="JE81" s="18" t="str">
        <f t="shared" ca="1" si="258"/>
        <v>Low of score &amp; 0</v>
      </c>
      <c r="JF81" s="18">
        <f t="shared" ca="1" si="259"/>
        <v>-34.56</v>
      </c>
      <c r="JG81" s="18">
        <f t="shared" ca="1" si="260"/>
        <v>-34.56</v>
      </c>
      <c r="JH81" s="18">
        <f t="shared" ca="1" si="261"/>
        <v>-34.56</v>
      </c>
      <c r="JI81" s="18">
        <f t="shared" ca="1" si="262"/>
        <v>-34.56</v>
      </c>
      <c r="JJ81" s="18">
        <f t="shared" ca="1" si="263"/>
        <v>-34.56</v>
      </c>
      <c r="JK81" s="18">
        <f t="shared" ca="1" si="264"/>
        <v>-34.56</v>
      </c>
    </row>
    <row r="82" spans="1:271" x14ac:dyDescent="0.2">
      <c r="A82" s="18" t="s">
        <v>76</v>
      </c>
      <c r="B82" s="19">
        <f t="shared" si="311"/>
        <v>149</v>
      </c>
      <c r="C82" s="22">
        <f t="shared" ca="1" si="206"/>
        <v>7.6E-3</v>
      </c>
      <c r="D82" s="18" t="str">
        <f t="shared" ca="1" si="265"/>
        <v>Parrish, Mack</v>
      </c>
      <c r="E82" s="19">
        <f t="shared" ca="1" si="207"/>
        <v>0</v>
      </c>
      <c r="F82" s="19">
        <f t="shared" ca="1" si="208"/>
        <v>0</v>
      </c>
      <c r="G82" s="21" t="str">
        <f t="shared" ca="1" si="209"/>
        <v>No Hdcp</v>
      </c>
      <c r="H82" s="337" t="str" cm="1">
        <f t="array" aca="1" ref="H82" ca="1">IFERROR(_xlfn.SINGLE(INDEX($AF82:$BH82, , SUMPRODUCT(LARGE((($AF82:$BH82&lt;&gt;0)*($BJ82:$CL82&lt;&gt;1)*($AF$5:$BH$5)), H$6)))), "")</f>
        <v/>
      </c>
      <c r="I82" s="338" t="str" cm="1">
        <f t="array" aca="1" ref="I82" ca="1">IFERROR(_xlfn.SINGLE(INDEX($AF82:$BH82, , SUMPRODUCT(LARGE((($AF82:$BH82&lt;&gt;0)*($BJ82:$CL82&lt;&gt;1)*($AF$5:$BH$5)), I$6)))), "")</f>
        <v/>
      </c>
      <c r="J82" s="338" t="str" cm="1">
        <f t="array" aca="1" ref="J82" ca="1">IFERROR(_xlfn.SINGLE(INDEX($AF82:$BH82, , SUMPRODUCT(LARGE((($AF82:$BH82&lt;&gt;0)*($BJ82:$CL82&lt;&gt;1)*($AF$5:$BH$5)), J$6)))), "")</f>
        <v/>
      </c>
      <c r="K82" s="338" t="str" cm="1">
        <f t="array" aca="1" ref="K82" ca="1">IFERROR(_xlfn.SINGLE(INDEX($AF82:$BH82, , SUMPRODUCT(LARGE((($AF82:$BH82&lt;&gt;0)*($BJ82:$CL82&lt;&gt;1)*($AF$5:$BH$5)), K$6)))), "")</f>
        <v/>
      </c>
      <c r="L82" s="338" t="str" cm="1">
        <f t="array" aca="1" ref="L82" ca="1">IFERROR(_xlfn.SINGLE(INDEX($AF82:$BH82, , SUMPRODUCT(LARGE((($AF82:$BH82&lt;&gt;0)*($BJ82:$CL82&lt;&gt;1)*($AF$5:$BH$5)), L$6)))), "")</f>
        <v/>
      </c>
      <c r="M82" s="338" t="str" cm="1">
        <f t="array" aca="1" ref="M82" ca="1">IFERROR(_xlfn.SINGLE(INDEX($AF82:$BH82, , SUMPRODUCT(LARGE((($AF82:$BH82&lt;&gt;0)*($BJ82:$CL82&lt;&gt;1)*($AF$5:$BH$5)), M$6)))), "")</f>
        <v/>
      </c>
      <c r="N82" s="338" t="str" cm="1">
        <f t="array" aca="1" ref="N82" ca="1">IFERROR(_xlfn.SINGLE(INDEX($AF82:$BH82, , SUMPRODUCT(LARGE((($AF82:$BH82&lt;&gt;0)*($BJ82:$CL82&lt;&gt;1)*($AF$5:$BH$5)), N$6)))), "")</f>
        <v/>
      </c>
      <c r="O82" s="338" t="str" cm="1">
        <f t="array" aca="1" ref="O82" ca="1">IFERROR(_xlfn.SINGLE(INDEX($AF82:$BH82, , SUMPRODUCT(LARGE((($AF82:$BH82&lt;&gt;0)*($BJ82:$CL82&lt;&gt;1)*($AF$5:$BH$5)), O$6)))), "")</f>
        <v/>
      </c>
      <c r="P82" s="338" t="str" cm="1">
        <f t="array" aca="1" ref="P82" ca="1">IFERROR(_xlfn.SINGLE(INDEX($AF82:$BH82, , SUMPRODUCT(LARGE((($AF82:$BH82&lt;&gt;0)*($BJ82:$CL82&lt;&gt;1)*($AF$5:$BH$5)), P$6)))), "")</f>
        <v/>
      </c>
      <c r="Q82" s="339" t="str" cm="1">
        <f t="array" aca="1" ref="Q82" ca="1">IFERROR(_xlfn.SINGLE(INDEX($AF82:$BH82, , SUMPRODUCT(LARGE((($AF82:$BH82&lt;&gt;0)*($BJ82:$CL82&lt;&gt;1)*($AF$5:$BH$5)), Q$6)))), "")</f>
        <v/>
      </c>
      <c r="R82" s="116">
        <v>57.33</v>
      </c>
      <c r="S82" s="47" t="str">
        <f t="shared" ca="1" si="210"/>
        <v>-</v>
      </c>
      <c r="T82" s="21" t="str">
        <f t="shared" ca="1" si="211"/>
        <v>-</v>
      </c>
      <c r="U82" s="21" t="str">
        <f t="shared" ca="1" si="212"/>
        <v>-</v>
      </c>
      <c r="V82" s="46" t="str">
        <f t="shared" ca="1" si="213"/>
        <v/>
      </c>
      <c r="W82" s="19" t="str">
        <f t="shared" ca="1" si="214"/>
        <v/>
      </c>
      <c r="X82" s="46">
        <f t="shared" ca="1" si="215"/>
        <v>16</v>
      </c>
      <c r="Y82" s="21" t="str">
        <f t="shared" ca="1" si="216"/>
        <v>8.00*</v>
      </c>
      <c r="Z82" s="19">
        <f t="shared" ca="1" si="217"/>
        <v>0</v>
      </c>
      <c r="AA82" s="19">
        <f t="shared" ca="1" si="218"/>
        <v>0</v>
      </c>
      <c r="AB82" s="46" t="str">
        <f t="shared" ca="1" si="219"/>
        <v>0-0-0</v>
      </c>
      <c r="AC82" s="218">
        <f t="shared" ca="1" si="273"/>
        <v>3304884075</v>
      </c>
      <c r="AD82" s="57">
        <f t="shared" ca="1" si="274"/>
        <v>0</v>
      </c>
      <c r="AE82" s="34"/>
      <c r="AF82" s="341">
        <f ca="1">INDEX(PriorScores[],MATCH($D82,PriorScores[Team / Player],0),2)</f>
        <v>0</v>
      </c>
      <c r="AG82" s="341">
        <f ca="1">INDEX(PriorScores[],MATCH($D82,PriorScores[Team / Player],0),3)</f>
        <v>0</v>
      </c>
      <c r="AH82" s="341">
        <f ca="1">INDEX(PriorScores[],MATCH($D82,PriorScores[Team / Player],0),4)</f>
        <v>0</v>
      </c>
      <c r="AI82" s="341">
        <f ca="1">INDEX(PriorScores[],MATCH($D82,PriorScores[Team / Player],0),5)</f>
        <v>0</v>
      </c>
      <c r="AJ82" s="341">
        <f ca="1">INDEX(PriorScores[],MATCH($D82,PriorScores[Team / Player],0),6)</f>
        <v>0</v>
      </c>
      <c r="AK82" s="341">
        <f ca="1">INDEX(PriorScores[],MATCH($D82,PriorScores[Team / Player],0),7)</f>
        <v>0</v>
      </c>
      <c r="AL82" s="341">
        <f ca="1">INDEX(PriorScores[],MATCH($D82,PriorScores[Team / Player],0),8)</f>
        <v>0</v>
      </c>
      <c r="AM82" s="341">
        <f ca="1">INDEX(PriorScores[],MATCH($D82,PriorScores[Team / Player],0),9)</f>
        <v>0</v>
      </c>
      <c r="AN82" s="341">
        <f ca="1">INDEX(PriorScores[],MATCH($D82,PriorScores[Team / Player],0),10)</f>
        <v>0</v>
      </c>
      <c r="AO82" s="341">
        <f ca="1">INDEX(PriorScores[],MATCH($D82,PriorScores[Team / Player],0),11)</f>
        <v>0</v>
      </c>
      <c r="AP82" s="20">
        <f t="shared" ca="1" si="316"/>
        <v>0</v>
      </c>
      <c r="AQ82" s="20">
        <f t="shared" ca="1" si="316"/>
        <v>0</v>
      </c>
      <c r="AR82" s="20">
        <f t="shared" ca="1" si="316"/>
        <v>0</v>
      </c>
      <c r="AS82" s="20">
        <f t="shared" ca="1" si="316"/>
        <v>0</v>
      </c>
      <c r="AT82" s="20">
        <f t="shared" ca="1" si="316"/>
        <v>0</v>
      </c>
      <c r="AU82" s="20">
        <f t="shared" ca="1" si="316"/>
        <v>0</v>
      </c>
      <c r="AV82" s="20">
        <f t="shared" ca="1" si="316"/>
        <v>0</v>
      </c>
      <c r="AW82" s="20">
        <f t="shared" ca="1" si="316"/>
        <v>0</v>
      </c>
      <c r="AX82" s="20">
        <f t="shared" ca="1" si="316"/>
        <v>0</v>
      </c>
      <c r="AY82" s="20">
        <f t="shared" ca="1" si="316"/>
        <v>0</v>
      </c>
      <c r="AZ82" s="20">
        <f t="shared" ca="1" si="316"/>
        <v>0</v>
      </c>
      <c r="BA82" s="20">
        <f t="shared" ca="1" si="317"/>
        <v>0</v>
      </c>
      <c r="BB82" s="20">
        <f t="shared" ca="1" si="317"/>
        <v>0</v>
      </c>
      <c r="BC82" s="20">
        <f t="shared" ca="1" si="317"/>
        <v>0</v>
      </c>
      <c r="BD82" s="20">
        <f t="shared" ca="1" si="317"/>
        <v>0</v>
      </c>
      <c r="BE82" s="20">
        <f t="shared" ca="1" si="317"/>
        <v>0</v>
      </c>
      <c r="BF82" s="20">
        <f t="shared" ca="1" si="317"/>
        <v>0</v>
      </c>
      <c r="BG82" s="20">
        <f t="shared" ca="1" si="317"/>
        <v>0</v>
      </c>
      <c r="BH82" s="20">
        <f t="shared" ca="1" si="317"/>
        <v>0</v>
      </c>
      <c r="BI82" s="34"/>
      <c r="BJ82" s="341">
        <v>0</v>
      </c>
      <c r="BK82" s="341">
        <v>0</v>
      </c>
      <c r="BL82" s="341">
        <v>0</v>
      </c>
      <c r="BM82" s="341">
        <v>0</v>
      </c>
      <c r="BN82" s="341">
        <v>0</v>
      </c>
      <c r="BO82" s="341">
        <v>0</v>
      </c>
      <c r="BP82" s="341">
        <v>0</v>
      </c>
      <c r="BQ82" s="341">
        <v>0</v>
      </c>
      <c r="BR82" s="341">
        <v>0</v>
      </c>
      <c r="BS82" s="341">
        <v>0</v>
      </c>
      <c r="BT82" s="20">
        <f t="shared" ca="1" si="323"/>
        <v>0</v>
      </c>
      <c r="BU82" s="20">
        <f t="shared" ca="1" si="323"/>
        <v>0</v>
      </c>
      <c r="BV82" s="20">
        <f t="shared" ca="1" si="323"/>
        <v>0</v>
      </c>
      <c r="BW82" s="20">
        <f t="shared" ca="1" si="323"/>
        <v>0</v>
      </c>
      <c r="BX82" s="20">
        <f t="shared" ca="1" si="323"/>
        <v>0</v>
      </c>
      <c r="BY82" s="20">
        <f t="shared" ca="1" si="323"/>
        <v>0</v>
      </c>
      <c r="BZ82" s="20">
        <f t="shared" ca="1" si="323"/>
        <v>0</v>
      </c>
      <c r="CA82" s="20">
        <f t="shared" ca="1" si="323"/>
        <v>0</v>
      </c>
      <c r="CB82" s="20">
        <f t="shared" ca="1" si="323"/>
        <v>0</v>
      </c>
      <c r="CC82" s="20">
        <f t="shared" ca="1" si="323"/>
        <v>0</v>
      </c>
      <c r="CD82" s="20">
        <f t="shared" ca="1" si="323"/>
        <v>0</v>
      </c>
      <c r="CE82" s="20">
        <f t="shared" ca="1" si="323"/>
        <v>0</v>
      </c>
      <c r="CF82" s="20">
        <f t="shared" ca="1" si="323"/>
        <v>0</v>
      </c>
      <c r="CG82" s="20">
        <f t="shared" ca="1" si="323"/>
        <v>0</v>
      </c>
      <c r="CH82" s="20">
        <f t="shared" ca="1" si="323"/>
        <v>1</v>
      </c>
      <c r="CI82" s="20">
        <f t="shared" ca="1" si="323"/>
        <v>0</v>
      </c>
      <c r="CJ82" s="20">
        <f t="shared" ca="1" si="318"/>
        <v>0</v>
      </c>
      <c r="CK82" s="20">
        <f t="shared" ca="1" si="318"/>
        <v>1</v>
      </c>
      <c r="CL82" s="20">
        <f t="shared" ca="1" si="318"/>
        <v>0</v>
      </c>
      <c r="CM82" s="34"/>
      <c r="CN82" s="20" t="str">
        <f t="shared" ca="1" si="319"/>
        <v/>
      </c>
      <c r="CO82" s="20" t="str">
        <f t="shared" ca="1" si="319"/>
        <v/>
      </c>
      <c r="CP82" s="20" t="str">
        <f t="shared" ca="1" si="319"/>
        <v/>
      </c>
      <c r="CQ82" s="20" t="str">
        <f t="shared" ca="1" si="319"/>
        <v/>
      </c>
      <c r="CR82" s="20" t="str">
        <f t="shared" ca="1" si="319"/>
        <v/>
      </c>
      <c r="CS82" s="20" t="str">
        <f t="shared" ca="1" si="319"/>
        <v/>
      </c>
      <c r="CT82" s="20" t="str">
        <f t="shared" ca="1" si="319"/>
        <v/>
      </c>
      <c r="CU82" s="20" t="str">
        <f t="shared" ca="1" si="319"/>
        <v/>
      </c>
      <c r="CV82" s="20" t="str">
        <f t="shared" ca="1" si="319"/>
        <v/>
      </c>
      <c r="CW82" s="20" t="str">
        <f t="shared" ca="1" si="319"/>
        <v/>
      </c>
      <c r="CX82" s="20" t="str">
        <f t="shared" ca="1" si="319"/>
        <v/>
      </c>
      <c r="CY82" s="20" t="str">
        <f t="shared" ca="1" si="319"/>
        <v/>
      </c>
      <c r="CZ82" s="20" t="str">
        <f t="shared" ca="1" si="324"/>
        <v/>
      </c>
      <c r="DA82" s="20" t="str">
        <f t="shared" ca="1" si="324"/>
        <v/>
      </c>
      <c r="DB82" s="20" t="str">
        <f t="shared" ca="1" si="324"/>
        <v/>
      </c>
      <c r="DC82" s="20" t="str">
        <f t="shared" ca="1" si="324"/>
        <v/>
      </c>
      <c r="DD82" s="20" t="str">
        <f t="shared" ca="1" si="320"/>
        <v/>
      </c>
      <c r="DE82" s="20" t="str">
        <f t="shared" ca="1" si="320"/>
        <v/>
      </c>
      <c r="DF82" s="20" t="str">
        <f t="shared" ca="1" si="320"/>
        <v/>
      </c>
      <c r="DG82" s="34"/>
      <c r="DH82" s="20" t="str">
        <f t="shared" ca="1" si="321"/>
        <v/>
      </c>
      <c r="DI82" s="20" t="str">
        <f t="shared" ca="1" si="276"/>
        <v/>
      </c>
      <c r="DJ82" s="20" t="str">
        <f t="shared" ca="1" si="277"/>
        <v/>
      </c>
      <c r="DK82" s="20" t="str">
        <f t="shared" ca="1" si="278"/>
        <v/>
      </c>
      <c r="DL82" s="20" t="str">
        <f t="shared" ca="1" si="279"/>
        <v/>
      </c>
      <c r="DM82" s="20" t="str">
        <f t="shared" ca="1" si="280"/>
        <v/>
      </c>
      <c r="DN82" s="20" t="str">
        <f t="shared" ca="1" si="281"/>
        <v/>
      </c>
      <c r="DO82" s="20" t="str">
        <f t="shared" ca="1" si="282"/>
        <v/>
      </c>
      <c r="DP82" s="20" t="str">
        <f t="shared" ca="1" si="283"/>
        <v/>
      </c>
      <c r="DQ82" s="20" t="str">
        <f t="shared" ca="1" si="284"/>
        <v/>
      </c>
      <c r="DR82" s="20" t="str">
        <f t="shared" ca="1" si="285"/>
        <v/>
      </c>
      <c r="DS82" s="20" t="str">
        <f t="shared" ca="1" si="286"/>
        <v/>
      </c>
      <c r="DT82" s="20" t="str">
        <f t="shared" ca="1" si="287"/>
        <v/>
      </c>
      <c r="DU82" s="20" t="str">
        <f t="shared" ca="1" si="288"/>
        <v/>
      </c>
      <c r="DV82" s="20">
        <f t="shared" ca="1" si="289"/>
        <v>10</v>
      </c>
      <c r="DW82" s="20" t="str">
        <f t="shared" ca="1" si="290"/>
        <v/>
      </c>
      <c r="DX82" s="20" t="str">
        <f t="shared" ca="1" si="290"/>
        <v/>
      </c>
      <c r="DY82" s="20">
        <f t="shared" ca="1" si="290"/>
        <v>6</v>
      </c>
      <c r="DZ82" s="20" t="str">
        <f t="shared" ca="1" si="290"/>
        <v/>
      </c>
      <c r="EA82" s="34"/>
      <c r="EB82" s="20" t="str">
        <f t="shared" ca="1" si="322"/>
        <v/>
      </c>
      <c r="EC82" s="20" t="str">
        <f t="shared" ca="1" si="292"/>
        <v/>
      </c>
      <c r="ED82" s="20" t="str">
        <f t="shared" ca="1" si="293"/>
        <v/>
      </c>
      <c r="EE82" s="20" t="str">
        <f t="shared" ca="1" si="294"/>
        <v/>
      </c>
      <c r="EF82" s="20" t="str">
        <f t="shared" ca="1" si="295"/>
        <v/>
      </c>
      <c r="EG82" s="20" t="str">
        <f t="shared" ca="1" si="296"/>
        <v/>
      </c>
      <c r="EH82" s="20" t="str">
        <f t="shared" ca="1" si="297"/>
        <v/>
      </c>
      <c r="EI82" s="20" t="str">
        <f t="shared" ca="1" si="298"/>
        <v/>
      </c>
      <c r="EJ82" s="20" t="str">
        <f t="shared" ca="1" si="299"/>
        <v/>
      </c>
      <c r="EK82" s="20" t="str">
        <f t="shared" ca="1" si="300"/>
        <v/>
      </c>
      <c r="EL82" s="20" t="str">
        <f t="shared" ca="1" si="301"/>
        <v/>
      </c>
      <c r="EM82" s="20" t="str">
        <f t="shared" ca="1" si="302"/>
        <v/>
      </c>
      <c r="EN82" s="20" t="str">
        <f t="shared" ca="1" si="303"/>
        <v/>
      </c>
      <c r="EO82" s="20" t="str">
        <f t="shared" ca="1" si="304"/>
        <v/>
      </c>
      <c r="EP82" s="20" t="str">
        <f t="shared" ca="1" si="305"/>
        <v/>
      </c>
      <c r="EQ82" s="20" t="str">
        <f t="shared" ca="1" si="306"/>
        <v/>
      </c>
      <c r="ER82" s="20" t="str">
        <f t="shared" ca="1" si="306"/>
        <v/>
      </c>
      <c r="ES82" s="20" t="str">
        <f t="shared" ca="1" si="306"/>
        <v/>
      </c>
      <c r="ET82" s="20" t="str">
        <f t="shared" ca="1" si="306"/>
        <v/>
      </c>
      <c r="EU82" s="34"/>
      <c r="EV82" s="20" t="str">
        <f t="shared" ca="1" si="325"/>
        <v/>
      </c>
      <c r="EW82" s="20" t="str">
        <f t="shared" ca="1" si="325"/>
        <v/>
      </c>
      <c r="EX82" s="20" t="str">
        <f t="shared" ca="1" si="325"/>
        <v/>
      </c>
      <c r="EY82" s="20" t="str">
        <f t="shared" ca="1" si="325"/>
        <v/>
      </c>
      <c r="EZ82" s="20" t="str">
        <f t="shared" ca="1" si="325"/>
        <v/>
      </c>
      <c r="FA82" s="20" t="str">
        <f t="shared" ca="1" si="325"/>
        <v/>
      </c>
      <c r="FB82" s="20" t="str">
        <f t="shared" ca="1" si="325"/>
        <v/>
      </c>
      <c r="FC82" s="20" t="str">
        <f t="shared" ca="1" si="325"/>
        <v/>
      </c>
      <c r="FD82" s="20" t="str">
        <f t="shared" ca="1" si="325"/>
        <v/>
      </c>
      <c r="FE82" s="20" t="str">
        <f t="shared" ca="1" si="325"/>
        <v/>
      </c>
      <c r="FF82" s="20" t="str">
        <f t="shared" ca="1" si="325"/>
        <v/>
      </c>
      <c r="FG82" s="20" t="str">
        <f t="shared" ca="1" si="325"/>
        <v/>
      </c>
      <c r="FH82" s="20" t="str">
        <f t="shared" ca="1" si="325"/>
        <v/>
      </c>
      <c r="FI82" s="20" t="str">
        <f t="shared" ca="1" si="325"/>
        <v/>
      </c>
      <c r="FJ82" s="20" t="str">
        <f t="shared" ca="1" si="325"/>
        <v/>
      </c>
      <c r="FK82" s="20" t="str">
        <f t="shared" ca="1" si="325"/>
        <v/>
      </c>
      <c r="FL82" s="20" t="str">
        <f t="shared" ca="1" si="326"/>
        <v/>
      </c>
      <c r="FM82" s="20" t="str">
        <f t="shared" ca="1" si="326"/>
        <v/>
      </c>
      <c r="FN82" s="20" t="str">
        <f t="shared" ca="1" si="326"/>
        <v/>
      </c>
      <c r="FO82" s="34"/>
      <c r="FP82" s="20" t="str">
        <f t="shared" ca="1" si="327"/>
        <v/>
      </c>
      <c r="FQ82" s="20" t="str">
        <f t="shared" ca="1" si="327"/>
        <v/>
      </c>
      <c r="FR82" s="20" t="str">
        <f t="shared" ca="1" si="327"/>
        <v/>
      </c>
      <c r="FS82" s="20" t="str">
        <f t="shared" ca="1" si="327"/>
        <v/>
      </c>
      <c r="FT82" s="20" t="str">
        <f t="shared" ca="1" si="327"/>
        <v/>
      </c>
      <c r="FU82" s="20" t="str">
        <f t="shared" ca="1" si="327"/>
        <v/>
      </c>
      <c r="FV82" s="20" t="str">
        <f t="shared" ca="1" si="327"/>
        <v/>
      </c>
      <c r="FW82" s="20" t="str">
        <f t="shared" ca="1" si="327"/>
        <v/>
      </c>
      <c r="FX82" s="20" t="str">
        <f t="shared" ca="1" si="327"/>
        <v/>
      </c>
      <c r="FY82" s="20" t="str">
        <f t="shared" ca="1" si="327"/>
        <v/>
      </c>
      <c r="FZ82" s="20" t="str">
        <f t="shared" ca="1" si="327"/>
        <v/>
      </c>
      <c r="GA82" s="20" t="str">
        <f t="shared" ca="1" si="327"/>
        <v/>
      </c>
      <c r="GB82" s="20" t="str">
        <f t="shared" ca="1" si="327"/>
        <v/>
      </c>
      <c r="GC82" s="20" t="str">
        <f t="shared" ca="1" si="327"/>
        <v/>
      </c>
      <c r="GD82" s="20" t="str">
        <f t="shared" ca="1" si="327"/>
        <v>Metheads</v>
      </c>
      <c r="GE82" s="20" t="str">
        <f t="shared" ca="1" si="327"/>
        <v/>
      </c>
      <c r="GF82" s="20" t="str">
        <f t="shared" ca="1" si="328"/>
        <v/>
      </c>
      <c r="GG82" s="20" t="str">
        <f t="shared" ca="1" si="328"/>
        <v>Aceholes</v>
      </c>
      <c r="GH82" s="20" t="str">
        <f t="shared" ca="1" si="328"/>
        <v/>
      </c>
      <c r="GI82" s="34"/>
      <c r="HE82" s="34"/>
      <c r="HZ82" s="34"/>
      <c r="IA82" s="19" t="str">
        <f t="shared" ca="1" si="231"/>
        <v>No Hdcp</v>
      </c>
      <c r="IB82" s="19" t="str">
        <f t="shared" ca="1" si="232"/>
        <v>Low of score &amp; 0</v>
      </c>
      <c r="IC82" s="19" t="str">
        <f t="shared" ca="1" si="233"/>
        <v>Low of score &amp; 0</v>
      </c>
      <c r="ID82" s="18" t="str">
        <f t="shared" ca="1" si="234"/>
        <v>Low of score &amp; 0</v>
      </c>
      <c r="IE82" s="18" t="str">
        <f t="shared" ca="1" si="235"/>
        <v>Low of score &amp; 0</v>
      </c>
      <c r="IF82" s="18">
        <f t="shared" ca="1" si="236"/>
        <v>-34.56</v>
      </c>
      <c r="IG82" s="353" t="e">
        <f t="shared" ca="1" si="237"/>
        <v>#NUM!</v>
      </c>
      <c r="IH82" s="18" t="e">
        <f t="shared" ca="1" si="238"/>
        <v>#NUM!</v>
      </c>
      <c r="II82" s="18" t="e">
        <f t="shared" ca="1" si="239"/>
        <v>#NUM!</v>
      </c>
      <c r="IJ82" s="18" t="e">
        <f t="shared" ca="1" si="240"/>
        <v>#NUM!</v>
      </c>
      <c r="IK82" s="18" t="e">
        <f t="shared" ca="1" si="241"/>
        <v>#NUM!</v>
      </c>
      <c r="IL82" s="34"/>
      <c r="IN82" s="18">
        <f t="shared" ca="1" si="242"/>
        <v>0</v>
      </c>
      <c r="IO82" s="18">
        <f t="shared" ca="1" si="243"/>
        <v>0</v>
      </c>
      <c r="IP82" s="18">
        <f t="shared" ca="1" si="244"/>
        <v>0</v>
      </c>
      <c r="IQ82" s="18">
        <f t="shared" ca="1" si="245"/>
        <v>0</v>
      </c>
      <c r="IR82" s="18">
        <f t="shared" ca="1" si="246"/>
        <v>0</v>
      </c>
      <c r="IS82" s="18">
        <f t="shared" ca="1" si="247"/>
        <v>0</v>
      </c>
      <c r="IT82" s="18">
        <f t="shared" ca="1" si="248"/>
        <v>0</v>
      </c>
      <c r="IU82" s="18">
        <f t="shared" ca="1" si="249"/>
        <v>0</v>
      </c>
      <c r="IV82" s="18">
        <f t="shared" ca="1" si="250"/>
        <v>0</v>
      </c>
      <c r="IW82" s="18">
        <f t="shared" ca="1" si="251"/>
        <v>0</v>
      </c>
      <c r="IX82" s="19">
        <f t="shared" ca="1" si="252"/>
        <v>10</v>
      </c>
      <c r="IY82" s="21">
        <f t="shared" ca="1" si="253"/>
        <v>-34.56</v>
      </c>
      <c r="JA82" s="18" t="str">
        <f t="shared" ca="1" si="254"/>
        <v>No Hdcp</v>
      </c>
      <c r="JB82" s="18" t="str">
        <f t="shared" ca="1" si="255"/>
        <v>Low of score &amp; 0</v>
      </c>
      <c r="JC82" s="18" t="str">
        <f t="shared" ca="1" si="256"/>
        <v>Low of score &amp; 0</v>
      </c>
      <c r="JD82" s="18" t="str">
        <f t="shared" ca="1" si="257"/>
        <v>Low of score &amp; 0</v>
      </c>
      <c r="JE82" s="18" t="str">
        <f t="shared" ca="1" si="258"/>
        <v>Low of score &amp; 0</v>
      </c>
      <c r="JF82" s="18">
        <f t="shared" ca="1" si="259"/>
        <v>-34.56</v>
      </c>
      <c r="JG82" s="18">
        <f t="shared" ca="1" si="260"/>
        <v>-34.56</v>
      </c>
      <c r="JH82" s="18">
        <f t="shared" ca="1" si="261"/>
        <v>-34.56</v>
      </c>
      <c r="JI82" s="18">
        <f t="shared" ca="1" si="262"/>
        <v>-34.56</v>
      </c>
      <c r="JJ82" s="18">
        <f t="shared" ca="1" si="263"/>
        <v>-34.56</v>
      </c>
      <c r="JK82" s="18">
        <f t="shared" ca="1" si="264"/>
        <v>-34.56</v>
      </c>
    </row>
    <row r="83" spans="1:271" x14ac:dyDescent="0.2">
      <c r="A83" s="18" t="s">
        <v>76</v>
      </c>
      <c r="B83" s="19">
        <f t="shared" si="311"/>
        <v>157</v>
      </c>
      <c r="C83" s="22">
        <f t="shared" ca="1" si="206"/>
        <v>7.7000000000000002E-3</v>
      </c>
      <c r="D83" s="18" t="str">
        <f t="shared" ca="1" si="265"/>
        <v>Piccari, Steve</v>
      </c>
      <c r="E83" s="19">
        <f t="shared" ca="1" si="207"/>
        <v>2</v>
      </c>
      <c r="F83" s="19">
        <f t="shared" ca="1" si="208"/>
        <v>2</v>
      </c>
      <c r="G83" s="21" t="str">
        <f t="shared" ca="1" si="209"/>
        <v>Low of score &amp; 52</v>
      </c>
      <c r="H83" s="337" cm="1">
        <f t="array" aca="1" ref="H83" ca="1">IFERROR(_xlfn.SINGLE(INDEX($AF83:$BH83, , SUMPRODUCT(LARGE((($AF83:$BH83&lt;&gt;0)*($BJ83:$CL83&lt;&gt;1)*($AF$5:$BH$5)), H$6)))), "")</f>
        <v>54</v>
      </c>
      <c r="I83" s="338" cm="1">
        <f t="array" aca="1" ref="I83" ca="1">IFERROR(_xlfn.SINGLE(INDEX($AF83:$BH83, , SUMPRODUCT(LARGE((($AF83:$BH83&lt;&gt;0)*($BJ83:$CL83&lt;&gt;1)*($AF$5:$BH$5)), I$6)))), "")</f>
        <v>52</v>
      </c>
      <c r="J83" s="338" t="str" cm="1">
        <f t="array" aca="1" ref="J83" ca="1">IFERROR(_xlfn.SINGLE(INDEX($AF83:$BH83, , SUMPRODUCT(LARGE((($AF83:$BH83&lt;&gt;0)*($BJ83:$CL83&lt;&gt;1)*($AF$5:$BH$5)), J$6)))), "")</f>
        <v/>
      </c>
      <c r="K83" s="338" t="str" cm="1">
        <f t="array" aca="1" ref="K83" ca="1">IFERROR(_xlfn.SINGLE(INDEX($AF83:$BH83, , SUMPRODUCT(LARGE((($AF83:$BH83&lt;&gt;0)*($BJ83:$CL83&lt;&gt;1)*($AF$5:$BH$5)), K$6)))), "")</f>
        <v/>
      </c>
      <c r="L83" s="338" t="str" cm="1">
        <f t="array" aca="1" ref="L83" ca="1">IFERROR(_xlfn.SINGLE(INDEX($AF83:$BH83, , SUMPRODUCT(LARGE((($AF83:$BH83&lt;&gt;0)*($BJ83:$CL83&lt;&gt;1)*($AF$5:$BH$5)), L$6)))), "")</f>
        <v/>
      </c>
      <c r="M83" s="338" t="str" cm="1">
        <f t="array" aca="1" ref="M83" ca="1">IFERROR(_xlfn.SINGLE(INDEX($AF83:$BH83, , SUMPRODUCT(LARGE((($AF83:$BH83&lt;&gt;0)*($BJ83:$CL83&lt;&gt;1)*($AF$5:$BH$5)), M$6)))), "")</f>
        <v/>
      </c>
      <c r="N83" s="338" t="str" cm="1">
        <f t="array" aca="1" ref="N83" ca="1">IFERROR(_xlfn.SINGLE(INDEX($AF83:$BH83, , SUMPRODUCT(LARGE((($AF83:$BH83&lt;&gt;0)*($BJ83:$CL83&lt;&gt;1)*($AF$5:$BH$5)), N$6)))), "")</f>
        <v/>
      </c>
      <c r="O83" s="338" t="str" cm="1">
        <f t="array" aca="1" ref="O83" ca="1">IFERROR(_xlfn.SINGLE(INDEX($AF83:$BH83, , SUMPRODUCT(LARGE((($AF83:$BH83&lt;&gt;0)*($BJ83:$CL83&lt;&gt;1)*($AF$5:$BH$5)), O$6)))), "")</f>
        <v/>
      </c>
      <c r="P83" s="338" t="str" cm="1">
        <f t="array" aca="1" ref="P83" ca="1">IFERROR(_xlfn.SINGLE(INDEX($AF83:$BH83, , SUMPRODUCT(LARGE((($AF83:$BH83&lt;&gt;0)*($BJ83:$CL83&lt;&gt;1)*($AF$5:$BH$5)), P$6)))), "")</f>
        <v/>
      </c>
      <c r="Q83" s="339" t="str" cm="1">
        <f t="array" aca="1" ref="Q83" ca="1">IFERROR(_xlfn.SINGLE(INDEX($AF83:$BH83, , SUMPRODUCT(LARGE((($AF83:$BH83&lt;&gt;0)*($BJ83:$CL83&lt;&gt;1)*($AF$5:$BH$5)), Q$6)))), "")</f>
        <v/>
      </c>
      <c r="R83" s="116" t="s">
        <v>451</v>
      </c>
      <c r="S83" s="47" t="str">
        <f t="shared" ca="1" si="210"/>
        <v>-</v>
      </c>
      <c r="T83" s="21" t="str">
        <f t="shared" ca="1" si="211"/>
        <v>53.00*</v>
      </c>
      <c r="U83" s="21" t="str">
        <f t="shared" ca="1" si="212"/>
        <v>41.00*</v>
      </c>
      <c r="V83" s="46">
        <f t="shared" ca="1" si="213"/>
        <v>52</v>
      </c>
      <c r="W83" s="19">
        <f t="shared" ca="1" si="214"/>
        <v>40</v>
      </c>
      <c r="X83" s="46">
        <f t="shared" ca="1" si="215"/>
        <v>27</v>
      </c>
      <c r="Y83" s="21" t="str">
        <f t="shared" ca="1" si="216"/>
        <v>13.50*</v>
      </c>
      <c r="Z83" s="19">
        <f t="shared" ca="1" si="217"/>
        <v>0</v>
      </c>
      <c r="AA83" s="19">
        <f t="shared" ca="1" si="218"/>
        <v>0</v>
      </c>
      <c r="AB83" s="46" t="str">
        <f t="shared" ca="1" si="219"/>
        <v>0-0-0</v>
      </c>
      <c r="AC83" s="218">
        <f t="shared" ca="1" si="273"/>
        <v>0</v>
      </c>
      <c r="AD83" s="57" t="str">
        <f t="shared" ca="1" si="274"/>
        <v>Stephen.piccari@yahoo.com</v>
      </c>
      <c r="AE83" s="34"/>
      <c r="AF83" s="341">
        <f ca="1">INDEX(PriorScores[],MATCH($D83,PriorScores[Team / Player],0),2)</f>
        <v>0</v>
      </c>
      <c r="AG83" s="341">
        <f ca="1">INDEX(PriorScores[],MATCH($D83,PriorScores[Team / Player],0),3)</f>
        <v>0</v>
      </c>
      <c r="AH83" s="341">
        <f ca="1">INDEX(PriorScores[],MATCH($D83,PriorScores[Team / Player],0),4)</f>
        <v>0</v>
      </c>
      <c r="AI83" s="341">
        <f ca="1">INDEX(PriorScores[],MATCH($D83,PriorScores[Team / Player],0),5)</f>
        <v>0</v>
      </c>
      <c r="AJ83" s="341">
        <f ca="1">INDEX(PriorScores[],MATCH($D83,PriorScores[Team / Player],0),6)</f>
        <v>0</v>
      </c>
      <c r="AK83" s="341">
        <f ca="1">INDEX(PriorScores[],MATCH($D83,PriorScores[Team / Player],0),7)</f>
        <v>0</v>
      </c>
      <c r="AL83" s="341">
        <f ca="1">INDEX(PriorScores[],MATCH($D83,PriorScores[Team / Player],0),8)</f>
        <v>0</v>
      </c>
      <c r="AM83" s="341"/>
      <c r="AN83" s="341"/>
      <c r="AO83" s="341"/>
      <c r="AP83" s="20">
        <f t="shared" ca="1" si="316"/>
        <v>0</v>
      </c>
      <c r="AQ83" s="20">
        <f t="shared" ca="1" si="316"/>
        <v>52</v>
      </c>
      <c r="AR83" s="20">
        <f t="shared" ca="1" si="316"/>
        <v>0</v>
      </c>
      <c r="AS83" s="20">
        <f t="shared" ca="1" si="316"/>
        <v>0</v>
      </c>
      <c r="AT83" s="20">
        <f t="shared" ca="1" si="316"/>
        <v>0</v>
      </c>
      <c r="AU83" s="20">
        <f t="shared" ca="1" si="316"/>
        <v>0</v>
      </c>
      <c r="AV83" s="20">
        <f t="shared" ca="1" si="316"/>
        <v>54</v>
      </c>
      <c r="AW83" s="20">
        <f t="shared" ca="1" si="316"/>
        <v>0</v>
      </c>
      <c r="AX83" s="20">
        <f t="shared" ca="1" si="316"/>
        <v>0</v>
      </c>
      <c r="AY83" s="20">
        <f t="shared" ca="1" si="316"/>
        <v>0</v>
      </c>
      <c r="AZ83" s="20">
        <f t="shared" ca="1" si="316"/>
        <v>0</v>
      </c>
      <c r="BA83" s="20">
        <f t="shared" ca="1" si="317"/>
        <v>0</v>
      </c>
      <c r="BB83" s="20">
        <f t="shared" ca="1" si="317"/>
        <v>0</v>
      </c>
      <c r="BC83" s="20">
        <f t="shared" ca="1" si="317"/>
        <v>0</v>
      </c>
      <c r="BD83" s="20">
        <f t="shared" ca="1" si="317"/>
        <v>0</v>
      </c>
      <c r="BE83" s="20">
        <f t="shared" ca="1" si="317"/>
        <v>0</v>
      </c>
      <c r="BF83" s="20">
        <f t="shared" ca="1" si="317"/>
        <v>0</v>
      </c>
      <c r="BG83" s="20">
        <f t="shared" ca="1" si="317"/>
        <v>0</v>
      </c>
      <c r="BH83" s="20">
        <f t="shared" ca="1" si="317"/>
        <v>0</v>
      </c>
      <c r="BI83" s="34"/>
      <c r="BJ83" s="341">
        <v>0</v>
      </c>
      <c r="BK83" s="341">
        <v>0</v>
      </c>
      <c r="BL83" s="341">
        <v>0</v>
      </c>
      <c r="BM83" s="341">
        <v>0</v>
      </c>
      <c r="BN83" s="341">
        <v>0</v>
      </c>
      <c r="BO83" s="341">
        <v>0</v>
      </c>
      <c r="BP83" s="341">
        <v>0</v>
      </c>
      <c r="BQ83" s="341">
        <v>0</v>
      </c>
      <c r="BR83" s="341">
        <v>0</v>
      </c>
      <c r="BS83" s="341">
        <v>0</v>
      </c>
      <c r="BT83" s="20">
        <f t="shared" ca="1" si="323"/>
        <v>0</v>
      </c>
      <c r="BU83" s="20">
        <f t="shared" ca="1" si="323"/>
        <v>0</v>
      </c>
      <c r="BV83" s="20">
        <f t="shared" ca="1" si="323"/>
        <v>0</v>
      </c>
      <c r="BW83" s="20">
        <f t="shared" ca="1" si="323"/>
        <v>0</v>
      </c>
      <c r="BX83" s="20">
        <f t="shared" ca="1" si="323"/>
        <v>0</v>
      </c>
      <c r="BY83" s="20">
        <f t="shared" ca="1" si="323"/>
        <v>0</v>
      </c>
      <c r="BZ83" s="20">
        <f t="shared" ca="1" si="323"/>
        <v>0</v>
      </c>
      <c r="CA83" s="20">
        <f t="shared" ca="1" si="323"/>
        <v>0</v>
      </c>
      <c r="CB83" s="20">
        <f t="shared" ca="1" si="323"/>
        <v>0</v>
      </c>
      <c r="CC83" s="20">
        <f t="shared" ca="1" si="323"/>
        <v>0</v>
      </c>
      <c r="CD83" s="20">
        <f t="shared" ca="1" si="323"/>
        <v>0</v>
      </c>
      <c r="CE83" s="20">
        <f t="shared" ca="1" si="323"/>
        <v>0</v>
      </c>
      <c r="CF83" s="20">
        <f t="shared" ca="1" si="323"/>
        <v>0</v>
      </c>
      <c r="CG83" s="20">
        <f t="shared" ca="1" si="323"/>
        <v>0</v>
      </c>
      <c r="CH83" s="20">
        <f t="shared" ca="1" si="323"/>
        <v>0</v>
      </c>
      <c r="CI83" s="20">
        <f t="shared" ca="1" si="323"/>
        <v>0</v>
      </c>
      <c r="CJ83" s="20">
        <f t="shared" ca="1" si="318"/>
        <v>0</v>
      </c>
      <c r="CK83" s="20">
        <f t="shared" ca="1" si="318"/>
        <v>0</v>
      </c>
      <c r="CL83" s="20">
        <f t="shared" ca="1" si="318"/>
        <v>0</v>
      </c>
      <c r="CM83" s="34"/>
      <c r="CN83" s="20" t="str">
        <f t="shared" ca="1" si="319"/>
        <v/>
      </c>
      <c r="CO83" s="20">
        <f t="shared" ca="1" si="319"/>
        <v>40</v>
      </c>
      <c r="CP83" s="20" t="str">
        <f t="shared" ca="1" si="319"/>
        <v/>
      </c>
      <c r="CQ83" s="20" t="str">
        <f t="shared" ca="1" si="319"/>
        <v/>
      </c>
      <c r="CR83" s="20" t="str">
        <f t="shared" ca="1" si="319"/>
        <v/>
      </c>
      <c r="CS83" s="20" t="str">
        <f t="shared" ca="1" si="319"/>
        <v/>
      </c>
      <c r="CT83" s="20">
        <f t="shared" ca="1" si="319"/>
        <v>42</v>
      </c>
      <c r="CU83" s="20" t="str">
        <f t="shared" ca="1" si="319"/>
        <v/>
      </c>
      <c r="CV83" s="20" t="str">
        <f t="shared" ca="1" si="319"/>
        <v/>
      </c>
      <c r="CW83" s="20" t="str">
        <f t="shared" ca="1" si="319"/>
        <v/>
      </c>
      <c r="CX83" s="20" t="str">
        <f t="shared" ca="1" si="319"/>
        <v/>
      </c>
      <c r="CY83" s="20" t="str">
        <f t="shared" ca="1" si="319"/>
        <v/>
      </c>
      <c r="CZ83" s="20" t="str">
        <f t="shared" ca="1" si="324"/>
        <v/>
      </c>
      <c r="DA83" s="20" t="str">
        <f t="shared" ca="1" si="324"/>
        <v/>
      </c>
      <c r="DB83" s="20" t="str">
        <f t="shared" ca="1" si="324"/>
        <v/>
      </c>
      <c r="DC83" s="20" t="str">
        <f t="shared" ca="1" si="324"/>
        <v/>
      </c>
      <c r="DD83" s="20" t="str">
        <f t="shared" ca="1" si="320"/>
        <v/>
      </c>
      <c r="DE83" s="20" t="str">
        <f t="shared" ca="1" si="320"/>
        <v/>
      </c>
      <c r="DF83" s="20" t="str">
        <f t="shared" ca="1" si="320"/>
        <v/>
      </c>
      <c r="DG83" s="34"/>
      <c r="DH83" s="20" t="str">
        <f t="shared" ca="1" si="321"/>
        <v/>
      </c>
      <c r="DI83" s="20">
        <f t="shared" ca="1" si="276"/>
        <v>14</v>
      </c>
      <c r="DJ83" s="20" t="str">
        <f t="shared" ca="1" si="277"/>
        <v/>
      </c>
      <c r="DK83" s="20" t="str">
        <f t="shared" ca="1" si="278"/>
        <v/>
      </c>
      <c r="DL83" s="20" t="str">
        <f t="shared" ca="1" si="279"/>
        <v/>
      </c>
      <c r="DM83" s="20" t="str">
        <f t="shared" ca="1" si="280"/>
        <v/>
      </c>
      <c r="DN83" s="20">
        <f t="shared" ca="1" si="281"/>
        <v>13</v>
      </c>
      <c r="DO83" s="20" t="str">
        <f t="shared" ca="1" si="282"/>
        <v/>
      </c>
      <c r="DP83" s="20" t="str">
        <f t="shared" ca="1" si="283"/>
        <v/>
      </c>
      <c r="DQ83" s="20" t="str">
        <f t="shared" ca="1" si="284"/>
        <v/>
      </c>
      <c r="DR83" s="20" t="str">
        <f t="shared" ca="1" si="285"/>
        <v/>
      </c>
      <c r="DS83" s="20" t="str">
        <f t="shared" ca="1" si="286"/>
        <v/>
      </c>
      <c r="DT83" s="20" t="str">
        <f t="shared" ca="1" si="287"/>
        <v/>
      </c>
      <c r="DU83" s="20" t="str">
        <f t="shared" ca="1" si="288"/>
        <v/>
      </c>
      <c r="DV83" s="20" t="str">
        <f t="shared" ca="1" si="289"/>
        <v/>
      </c>
      <c r="DW83" s="20" t="str">
        <f t="shared" ca="1" si="290"/>
        <v/>
      </c>
      <c r="DX83" s="20" t="str">
        <f t="shared" ca="1" si="290"/>
        <v/>
      </c>
      <c r="DY83" s="20" t="str">
        <f t="shared" ca="1" si="290"/>
        <v/>
      </c>
      <c r="DZ83" s="20" t="str">
        <f t="shared" ca="1" si="290"/>
        <v/>
      </c>
      <c r="EA83" s="34"/>
      <c r="EB83" s="20" t="str">
        <f t="shared" ca="1" si="322"/>
        <v/>
      </c>
      <c r="EC83" s="20" t="str">
        <f t="shared" ca="1" si="292"/>
        <v/>
      </c>
      <c r="ED83" s="20" t="str">
        <f t="shared" ca="1" si="293"/>
        <v/>
      </c>
      <c r="EE83" s="20" t="str">
        <f t="shared" ca="1" si="294"/>
        <v/>
      </c>
      <c r="EF83" s="20" t="str">
        <f t="shared" ca="1" si="295"/>
        <v/>
      </c>
      <c r="EG83" s="20" t="str">
        <f t="shared" ca="1" si="296"/>
        <v/>
      </c>
      <c r="EH83" s="20" t="str">
        <f t="shared" ca="1" si="297"/>
        <v/>
      </c>
      <c r="EI83" s="20" t="str">
        <f t="shared" ca="1" si="298"/>
        <v/>
      </c>
      <c r="EJ83" s="20" t="str">
        <f t="shared" ca="1" si="299"/>
        <v/>
      </c>
      <c r="EK83" s="20" t="str">
        <f t="shared" ca="1" si="300"/>
        <v/>
      </c>
      <c r="EL83" s="20" t="str">
        <f t="shared" ca="1" si="301"/>
        <v/>
      </c>
      <c r="EM83" s="20" t="str">
        <f t="shared" ca="1" si="302"/>
        <v/>
      </c>
      <c r="EN83" s="20" t="str">
        <f t="shared" ca="1" si="303"/>
        <v/>
      </c>
      <c r="EO83" s="20" t="str">
        <f t="shared" ca="1" si="304"/>
        <v/>
      </c>
      <c r="EP83" s="20" t="str">
        <f t="shared" ca="1" si="305"/>
        <v/>
      </c>
      <c r="EQ83" s="20" t="str">
        <f t="shared" ca="1" si="306"/>
        <v/>
      </c>
      <c r="ER83" s="20" t="str">
        <f t="shared" ca="1" si="306"/>
        <v/>
      </c>
      <c r="ES83" s="20" t="str">
        <f t="shared" ca="1" si="306"/>
        <v/>
      </c>
      <c r="ET83" s="20" t="str">
        <f t="shared" ca="1" si="306"/>
        <v/>
      </c>
      <c r="EU83" s="34"/>
      <c r="EV83" s="20" t="str">
        <f t="shared" ca="1" si="325"/>
        <v/>
      </c>
      <c r="EW83" s="20" t="str">
        <f t="shared" ca="1" si="325"/>
        <v/>
      </c>
      <c r="EX83" s="20" t="str">
        <f t="shared" ca="1" si="325"/>
        <v/>
      </c>
      <c r="EY83" s="20" t="str">
        <f t="shared" ca="1" si="325"/>
        <v/>
      </c>
      <c r="EZ83" s="20" t="str">
        <f t="shared" ca="1" si="325"/>
        <v/>
      </c>
      <c r="FA83" s="20" t="str">
        <f t="shared" ca="1" si="325"/>
        <v/>
      </c>
      <c r="FB83" s="20" t="str">
        <f t="shared" ca="1" si="325"/>
        <v/>
      </c>
      <c r="FC83" s="20" t="str">
        <f t="shared" ca="1" si="325"/>
        <v/>
      </c>
      <c r="FD83" s="20" t="str">
        <f t="shared" ca="1" si="325"/>
        <v/>
      </c>
      <c r="FE83" s="20" t="str">
        <f t="shared" ca="1" si="325"/>
        <v/>
      </c>
      <c r="FF83" s="20" t="str">
        <f t="shared" ca="1" si="325"/>
        <v/>
      </c>
      <c r="FG83" s="20" t="str">
        <f t="shared" ca="1" si="325"/>
        <v/>
      </c>
      <c r="FH83" s="20" t="str">
        <f t="shared" ca="1" si="325"/>
        <v/>
      </c>
      <c r="FI83" s="20" t="str">
        <f t="shared" ca="1" si="325"/>
        <v/>
      </c>
      <c r="FJ83" s="20" t="str">
        <f t="shared" ca="1" si="325"/>
        <v/>
      </c>
      <c r="FK83" s="20" t="str">
        <f t="shared" ca="1" si="325"/>
        <v/>
      </c>
      <c r="FL83" s="20" t="str">
        <f t="shared" ca="1" si="326"/>
        <v/>
      </c>
      <c r="FM83" s="20" t="str">
        <f t="shared" ca="1" si="326"/>
        <v/>
      </c>
      <c r="FN83" s="20" t="str">
        <f t="shared" ca="1" si="326"/>
        <v/>
      </c>
      <c r="FO83" s="34"/>
      <c r="FP83" s="20" t="str">
        <f t="shared" ca="1" si="327"/>
        <v/>
      </c>
      <c r="FQ83" s="20" t="str">
        <f t="shared" ca="1" si="327"/>
        <v>Hack Squad</v>
      </c>
      <c r="FR83" s="20" t="str">
        <f t="shared" ca="1" si="327"/>
        <v/>
      </c>
      <c r="FS83" s="20" t="str">
        <f t="shared" ca="1" si="327"/>
        <v/>
      </c>
      <c r="FT83" s="20" t="str">
        <f t="shared" ca="1" si="327"/>
        <v/>
      </c>
      <c r="FU83" s="20" t="str">
        <f t="shared" ca="1" si="327"/>
        <v/>
      </c>
      <c r="FV83" s="20" t="str">
        <f t="shared" ca="1" si="327"/>
        <v>Hack Squad</v>
      </c>
      <c r="FW83" s="20" t="str">
        <f t="shared" ca="1" si="327"/>
        <v/>
      </c>
      <c r="FX83" s="20" t="str">
        <f t="shared" ca="1" si="327"/>
        <v/>
      </c>
      <c r="FY83" s="20" t="str">
        <f t="shared" ca="1" si="327"/>
        <v/>
      </c>
      <c r="FZ83" s="20" t="str">
        <f t="shared" ca="1" si="327"/>
        <v/>
      </c>
      <c r="GA83" s="20" t="str">
        <f t="shared" ca="1" si="327"/>
        <v/>
      </c>
      <c r="GB83" s="20" t="str">
        <f t="shared" ca="1" si="327"/>
        <v/>
      </c>
      <c r="GC83" s="20" t="str">
        <f t="shared" ca="1" si="327"/>
        <v/>
      </c>
      <c r="GD83" s="20" t="str">
        <f t="shared" ca="1" si="327"/>
        <v/>
      </c>
      <c r="GE83" s="20" t="str">
        <f t="shared" ca="1" si="327"/>
        <v/>
      </c>
      <c r="GF83" s="20" t="str">
        <f t="shared" ca="1" si="328"/>
        <v/>
      </c>
      <c r="GG83" s="20" t="str">
        <f t="shared" ca="1" si="328"/>
        <v/>
      </c>
      <c r="GH83" s="20" t="str">
        <f t="shared" ca="1" si="328"/>
        <v/>
      </c>
      <c r="GI83" s="34"/>
      <c r="HE83" s="34"/>
      <c r="HZ83" s="34"/>
      <c r="IA83" s="19" t="str">
        <f t="shared" ca="1" si="231"/>
        <v>No Hdcp</v>
      </c>
      <c r="IB83" s="19" t="str">
        <f t="shared" ca="1" si="232"/>
        <v>Low of score &amp; 54</v>
      </c>
      <c r="IC83" s="19" t="str">
        <f t="shared" ca="1" si="233"/>
        <v>Low of score &amp; 52</v>
      </c>
      <c r="ID83" s="18" t="str">
        <f t="shared" ca="1" si="234"/>
        <v>Low of score &amp; 52</v>
      </c>
      <c r="IE83" s="18" t="str">
        <f t="shared" ca="1" si="235"/>
        <v>Low of score &amp; 52</v>
      </c>
      <c r="IF83" s="18">
        <f t="shared" ca="1" si="236"/>
        <v>15.36</v>
      </c>
      <c r="IG83" s="353">
        <f t="shared" ca="1" si="237"/>
        <v>16.32</v>
      </c>
      <c r="IH83" s="18" t="e">
        <f t="shared" ca="1" si="238"/>
        <v>#NUM!</v>
      </c>
      <c r="II83" s="18" t="e">
        <f t="shared" ca="1" si="239"/>
        <v>#NUM!</v>
      </c>
      <c r="IJ83" s="18" t="e">
        <f t="shared" ca="1" si="240"/>
        <v>#NUM!</v>
      </c>
      <c r="IK83" s="18" t="e">
        <f t="shared" ca="1" si="241"/>
        <v>#NUM!</v>
      </c>
      <c r="IL83" s="34"/>
      <c r="IN83" s="18">
        <f t="shared" si="242"/>
        <v>0</v>
      </c>
      <c r="IO83" s="18">
        <f t="shared" si="243"/>
        <v>0</v>
      </c>
      <c r="IP83" s="18">
        <f t="shared" si="244"/>
        <v>0</v>
      </c>
      <c r="IQ83" s="18">
        <f t="shared" ca="1" si="245"/>
        <v>0</v>
      </c>
      <c r="IR83" s="18">
        <f t="shared" ca="1" si="246"/>
        <v>0</v>
      </c>
      <c r="IS83" s="18">
        <f t="shared" ca="1" si="247"/>
        <v>0</v>
      </c>
      <c r="IT83" s="18">
        <f t="shared" ca="1" si="248"/>
        <v>0</v>
      </c>
      <c r="IU83" s="18">
        <f t="shared" ca="1" si="249"/>
        <v>0</v>
      </c>
      <c r="IV83" s="18">
        <f t="shared" ca="1" si="250"/>
        <v>0</v>
      </c>
      <c r="IW83" s="18">
        <f t="shared" ca="1" si="251"/>
        <v>0</v>
      </c>
      <c r="IX83" s="19">
        <f t="shared" ca="1" si="252"/>
        <v>10</v>
      </c>
      <c r="IY83" s="21">
        <f t="shared" ca="1" si="253"/>
        <v>-34.56</v>
      </c>
      <c r="JA83" s="18" t="str">
        <f t="shared" ca="1" si="254"/>
        <v>No Hdcp</v>
      </c>
      <c r="JB83" s="18" t="str">
        <f t="shared" ca="1" si="255"/>
        <v>Low of score &amp; 0</v>
      </c>
      <c r="JC83" s="18" t="str">
        <f t="shared" ca="1" si="256"/>
        <v>Low of score &amp; 0</v>
      </c>
      <c r="JD83" s="18" t="str">
        <f t="shared" ca="1" si="257"/>
        <v>Low of score &amp; 0</v>
      </c>
      <c r="JE83" s="18" t="str">
        <f t="shared" ca="1" si="258"/>
        <v>Low of score &amp; 0</v>
      </c>
      <c r="JF83" s="18">
        <f t="shared" ca="1" si="259"/>
        <v>-34.56</v>
      </c>
      <c r="JG83" s="18">
        <f t="shared" ca="1" si="260"/>
        <v>-34.56</v>
      </c>
      <c r="JH83" s="18">
        <f t="shared" ca="1" si="261"/>
        <v>-34.56</v>
      </c>
      <c r="JI83" s="18">
        <f t="shared" ca="1" si="262"/>
        <v>-34.56</v>
      </c>
      <c r="JJ83" s="18">
        <f t="shared" ca="1" si="263"/>
        <v>-34.56</v>
      </c>
      <c r="JK83" s="18">
        <f t="shared" ca="1" si="264"/>
        <v>-34.56</v>
      </c>
    </row>
    <row r="84" spans="1:271" x14ac:dyDescent="0.2">
      <c r="A84" s="18" t="s">
        <v>76</v>
      </c>
      <c r="B84" s="19">
        <f t="shared" si="311"/>
        <v>165</v>
      </c>
      <c r="C84" s="22">
        <f t="shared" ca="1" si="206"/>
        <v>7.7999999999999996E-3</v>
      </c>
      <c r="D84" s="18" t="str">
        <f ca="1">INDEX(INDIRECT($A84), $B84, 1)</f>
        <v>Preising, Danny</v>
      </c>
      <c r="E84" s="19">
        <f t="shared" ca="1" si="207"/>
        <v>1</v>
      </c>
      <c r="F84" s="19">
        <f t="shared" ca="1" si="208"/>
        <v>1</v>
      </c>
      <c r="G84" s="21" t="str">
        <f t="shared" ca="1" si="209"/>
        <v>Low of score &amp; 41</v>
      </c>
      <c r="H84" s="337" cm="1">
        <f t="array" aca="1" ref="H84" ca="1">IFERROR(_xlfn.SINGLE(INDEX($AF84:$BH84, , SUMPRODUCT(LARGE((($AF84:$BH84&lt;&gt;0)*($BJ84:$CL84&lt;&gt;1)*($AF$5:$BH$5)), H$6)))), "")</f>
        <v>41</v>
      </c>
      <c r="I84" s="338" t="str" cm="1">
        <f t="array" aca="1" ref="I84" ca="1">IFERROR(_xlfn.SINGLE(INDEX($AF84:$BH84, , SUMPRODUCT(LARGE((($AF84:$BH84&lt;&gt;0)*($BJ84:$CL84&lt;&gt;1)*($AF$5:$BH$5)), I$6)))), "")</f>
        <v/>
      </c>
      <c r="J84" s="338" t="str" cm="1">
        <f t="array" aca="1" ref="J84" ca="1">IFERROR(_xlfn.SINGLE(INDEX($AF84:$BH84, , SUMPRODUCT(LARGE((($AF84:$BH84&lt;&gt;0)*($BJ84:$CL84&lt;&gt;1)*($AF$5:$BH$5)), J$6)))), "")</f>
        <v/>
      </c>
      <c r="K84" s="338" t="str" cm="1">
        <f t="array" aca="1" ref="K84" ca="1">IFERROR(_xlfn.SINGLE(INDEX($AF84:$BH84, , SUMPRODUCT(LARGE((($AF84:$BH84&lt;&gt;0)*($BJ84:$CL84&lt;&gt;1)*($AF$5:$BH$5)), K$6)))), "")</f>
        <v/>
      </c>
      <c r="L84" s="338" t="str" cm="1">
        <f t="array" aca="1" ref="L84" ca="1">IFERROR(_xlfn.SINGLE(INDEX($AF84:$BH84, , SUMPRODUCT(LARGE((($AF84:$BH84&lt;&gt;0)*($BJ84:$CL84&lt;&gt;1)*($AF$5:$BH$5)), L$6)))), "")</f>
        <v/>
      </c>
      <c r="M84" s="338" t="str" cm="1">
        <f t="array" aca="1" ref="M84" ca="1">IFERROR(_xlfn.SINGLE(INDEX($AF84:$BH84, , SUMPRODUCT(LARGE((($AF84:$BH84&lt;&gt;0)*($BJ84:$CL84&lt;&gt;1)*($AF$5:$BH$5)), M$6)))), "")</f>
        <v/>
      </c>
      <c r="N84" s="338" t="str" cm="1">
        <f t="array" aca="1" ref="N84" ca="1">IFERROR(_xlfn.SINGLE(INDEX($AF84:$BH84, , SUMPRODUCT(LARGE((($AF84:$BH84&lt;&gt;0)*($BJ84:$CL84&lt;&gt;1)*($AF$5:$BH$5)), N$6)))), "")</f>
        <v/>
      </c>
      <c r="O84" s="338" t="str" cm="1">
        <f t="array" aca="1" ref="O84" ca="1">IFERROR(_xlfn.SINGLE(INDEX($AF84:$BH84, , SUMPRODUCT(LARGE((($AF84:$BH84&lt;&gt;0)*($BJ84:$CL84&lt;&gt;1)*($AF$5:$BH$5)), O$6)))), "")</f>
        <v/>
      </c>
      <c r="P84" s="338" t="str" cm="1">
        <f t="array" aca="1" ref="P84" ca="1">IFERROR(_xlfn.SINGLE(INDEX($AF84:$BH84, , SUMPRODUCT(LARGE((($AF84:$BH84&lt;&gt;0)*($BJ84:$CL84&lt;&gt;1)*($AF$5:$BH$5)), P$6)))), "")</f>
        <v/>
      </c>
      <c r="Q84" s="339" t="str" cm="1">
        <f t="array" aca="1" ref="Q84" ca="1">IFERROR(_xlfn.SINGLE(INDEX($AF84:$BH84, , SUMPRODUCT(LARGE((($AF84:$BH84&lt;&gt;0)*($BJ84:$CL84&lt;&gt;1)*($AF$5:$BH$5)), Q$6)))), "")</f>
        <v/>
      </c>
      <c r="R84" s="116" t="s">
        <v>451</v>
      </c>
      <c r="S84" s="47" t="str">
        <f t="shared" ca="1" si="210"/>
        <v>-</v>
      </c>
      <c r="T84" s="21" t="str">
        <f t="shared" ca="1" si="211"/>
        <v>41.00*</v>
      </c>
      <c r="U84" s="21" t="str">
        <f t="shared" ca="1" si="212"/>
        <v>37.00*</v>
      </c>
      <c r="V84" s="46">
        <f t="shared" ca="1" si="213"/>
        <v>41</v>
      </c>
      <c r="W84" s="19">
        <f t="shared" ca="1" si="214"/>
        <v>37</v>
      </c>
      <c r="X84" s="46">
        <f t="shared" ca="1" si="215"/>
        <v>10</v>
      </c>
      <c r="Y84" s="21" t="str">
        <f t="shared" ca="1" si="216"/>
        <v>10.00*</v>
      </c>
      <c r="Z84" s="19">
        <f t="shared" ca="1" si="217"/>
        <v>0</v>
      </c>
      <c r="AA84" s="19">
        <f t="shared" ca="1" si="218"/>
        <v>0</v>
      </c>
      <c r="AB84" s="46" t="str">
        <f t="shared" ca="1" si="219"/>
        <v>0-0-0</v>
      </c>
      <c r="AC84" s="218">
        <f t="shared" ca="1" si="273"/>
        <v>3307050477</v>
      </c>
      <c r="AD84" s="57" t="str">
        <f t="shared" ca="1" si="274"/>
        <v>dpreising@wayne-dalton.com</v>
      </c>
      <c r="AE84" s="34"/>
      <c r="AF84" s="341">
        <f ca="1">INDEX(PriorScores[],MATCH($D84,PriorScores[Team / Player],0),2)</f>
        <v>0</v>
      </c>
      <c r="AG84" s="341">
        <f ca="1">INDEX(PriorScores[],MATCH($D84,PriorScores[Team / Player],0),3)</f>
        <v>0</v>
      </c>
      <c r="AH84" s="341">
        <f ca="1">INDEX(PriorScores[],MATCH($D84,PriorScores[Team / Player],0),4)</f>
        <v>0</v>
      </c>
      <c r="AI84" s="341">
        <f ca="1">INDEX(PriorScores[],MATCH($D84,PriorScores[Team / Player],0),5)</f>
        <v>0</v>
      </c>
      <c r="AJ84" s="341">
        <f ca="1">INDEX(PriorScores[],MATCH($D84,PriorScores[Team / Player],0),6)</f>
        <v>0</v>
      </c>
      <c r="AK84" s="341">
        <f ca="1">INDEX(PriorScores[],MATCH($D84,PriorScores[Team / Player],0),7)</f>
        <v>0</v>
      </c>
      <c r="AL84" s="341">
        <f ca="1">INDEX(PriorScores[],MATCH($D84,PriorScores[Team / Player],0),8)</f>
        <v>0</v>
      </c>
      <c r="AM84" s="341">
        <f ca="1">INDEX(PriorScores[],MATCH($D84,PriorScores[Team / Player],0),9)</f>
        <v>0</v>
      </c>
      <c r="AN84" s="341">
        <f ca="1">INDEX(PriorScores[],MATCH($D84,PriorScores[Team / Player],0),10)</f>
        <v>0</v>
      </c>
      <c r="AO84" s="341"/>
      <c r="AP84" s="20">
        <f t="shared" ca="1" si="316"/>
        <v>0</v>
      </c>
      <c r="AQ84" s="20">
        <f t="shared" ca="1" si="316"/>
        <v>0</v>
      </c>
      <c r="AR84" s="20">
        <f t="shared" ca="1" si="316"/>
        <v>0</v>
      </c>
      <c r="AS84" s="20">
        <f t="shared" ca="1" si="316"/>
        <v>0</v>
      </c>
      <c r="AT84" s="20">
        <f t="shared" ca="1" si="316"/>
        <v>0</v>
      </c>
      <c r="AU84" s="20">
        <f t="shared" ca="1" si="316"/>
        <v>0</v>
      </c>
      <c r="AV84" s="20">
        <f t="shared" ca="1" si="316"/>
        <v>0</v>
      </c>
      <c r="AW84" s="20">
        <f t="shared" ca="1" si="316"/>
        <v>0</v>
      </c>
      <c r="AX84" s="20">
        <f t="shared" ca="1" si="316"/>
        <v>0</v>
      </c>
      <c r="AY84" s="20">
        <f t="shared" ca="1" si="316"/>
        <v>41</v>
      </c>
      <c r="AZ84" s="20">
        <f ca="1">IF(OR(INDEX(INDIRECT($A84), $B84, AZ$6+2)="",INDEX(INDIRECT($A84),$B84+5,AZ$6+2)=1), 0, INDEX(INDIRECT($A84), $B84, AZ$6+2))</f>
        <v>0</v>
      </c>
      <c r="BA84" s="20">
        <f t="shared" ca="1" si="316"/>
        <v>0</v>
      </c>
      <c r="BB84" s="20">
        <f t="shared" ca="1" si="316"/>
        <v>0</v>
      </c>
      <c r="BC84" s="20">
        <f t="shared" ca="1" si="316"/>
        <v>0</v>
      </c>
      <c r="BD84" s="20">
        <f t="shared" ca="1" si="316"/>
        <v>0</v>
      </c>
      <c r="BE84" s="20">
        <f t="shared" ca="1" si="316"/>
        <v>0</v>
      </c>
      <c r="BF84" s="20">
        <f t="shared" ca="1" si="317"/>
        <v>0</v>
      </c>
      <c r="BG84" s="20">
        <f t="shared" ca="1" si="317"/>
        <v>0</v>
      </c>
      <c r="BH84" s="20">
        <f t="shared" ca="1" si="317"/>
        <v>0</v>
      </c>
      <c r="BI84" s="34"/>
      <c r="BJ84" s="341">
        <v>0</v>
      </c>
      <c r="BK84" s="341">
        <v>0</v>
      </c>
      <c r="BL84" s="341">
        <v>0</v>
      </c>
      <c r="BM84" s="341">
        <v>0</v>
      </c>
      <c r="BN84" s="341">
        <v>0</v>
      </c>
      <c r="BO84" s="341">
        <v>0</v>
      </c>
      <c r="BP84" s="341">
        <v>0</v>
      </c>
      <c r="BQ84" s="341">
        <v>0</v>
      </c>
      <c r="BR84" s="341">
        <v>0</v>
      </c>
      <c r="BS84" s="341">
        <v>0</v>
      </c>
      <c r="BT84" s="20">
        <f t="shared" ca="1" si="323"/>
        <v>0</v>
      </c>
      <c r="BU84" s="20">
        <f t="shared" ca="1" si="323"/>
        <v>0</v>
      </c>
      <c r="BV84" s="20">
        <f t="shared" ca="1" si="323"/>
        <v>0</v>
      </c>
      <c r="BW84" s="20">
        <f t="shared" ca="1" si="323"/>
        <v>0</v>
      </c>
      <c r="BX84" s="20">
        <f t="shared" ca="1" si="323"/>
        <v>0</v>
      </c>
      <c r="BY84" s="20">
        <f t="shared" ca="1" si="323"/>
        <v>0</v>
      </c>
      <c r="BZ84" s="20">
        <f t="shared" ca="1" si="323"/>
        <v>0</v>
      </c>
      <c r="CA84" s="20">
        <f t="shared" ca="1" si="323"/>
        <v>0</v>
      </c>
      <c r="CB84" s="20">
        <f t="shared" ca="1" si="323"/>
        <v>0</v>
      </c>
      <c r="CC84" s="20">
        <f t="shared" ca="1" si="323"/>
        <v>0</v>
      </c>
      <c r="CD84" s="20">
        <f t="shared" ca="1" si="323"/>
        <v>0</v>
      </c>
      <c r="CE84" s="20">
        <f t="shared" ca="1" si="323"/>
        <v>0</v>
      </c>
      <c r="CF84" s="20">
        <f t="shared" ca="1" si="323"/>
        <v>0</v>
      </c>
      <c r="CG84" s="20">
        <f t="shared" ca="1" si="323"/>
        <v>0</v>
      </c>
      <c r="CH84" s="20">
        <f t="shared" ca="1" si="323"/>
        <v>0</v>
      </c>
      <c r="CI84" s="20">
        <f t="shared" ca="1" si="323"/>
        <v>0</v>
      </c>
      <c r="CJ84" s="20">
        <f t="shared" ca="1" si="318"/>
        <v>0</v>
      </c>
      <c r="CK84" s="20">
        <f t="shared" ca="1" si="318"/>
        <v>0</v>
      </c>
      <c r="CL84" s="20">
        <f t="shared" ca="1" si="318"/>
        <v>0</v>
      </c>
      <c r="CM84" s="34"/>
      <c r="CN84" s="20" t="str">
        <f t="shared" ca="1" si="319"/>
        <v/>
      </c>
      <c r="CO84" s="20" t="str">
        <f t="shared" ca="1" si="319"/>
        <v/>
      </c>
      <c r="CP84" s="20" t="str">
        <f t="shared" ca="1" si="319"/>
        <v/>
      </c>
      <c r="CQ84" s="20" t="str">
        <f t="shared" ca="1" si="319"/>
        <v/>
      </c>
      <c r="CR84" s="20" t="str">
        <f t="shared" ca="1" si="319"/>
        <v/>
      </c>
      <c r="CS84" s="20" t="str">
        <f t="shared" ca="1" si="319"/>
        <v/>
      </c>
      <c r="CT84" s="20" t="str">
        <f t="shared" ca="1" si="319"/>
        <v/>
      </c>
      <c r="CU84" s="20" t="str">
        <f t="shared" ca="1" si="319"/>
        <v/>
      </c>
      <c r="CV84" s="20" t="str">
        <f t="shared" ca="1" si="319"/>
        <v/>
      </c>
      <c r="CW84" s="20">
        <f t="shared" ca="1" si="319"/>
        <v>37</v>
      </c>
      <c r="CX84" s="20" t="str">
        <f t="shared" ca="1" si="319"/>
        <v/>
      </c>
      <c r="CY84" s="20" t="str">
        <f ca="1">IF(OR(INDEX(INDIRECT($A84), $B84+1, CY$6+2)=0,INDEX(INDIRECT($A84),$B84+5,CY$6+2)=1), "", INDEX(INDIRECT($A84), $B84+1, CY$6+2))</f>
        <v/>
      </c>
      <c r="CZ84" s="20" t="str">
        <f t="shared" ca="1" si="319"/>
        <v/>
      </c>
      <c r="DA84" s="20" t="str">
        <f t="shared" ca="1" si="319"/>
        <v/>
      </c>
      <c r="DB84" s="20" t="str">
        <f t="shared" ca="1" si="319"/>
        <v/>
      </c>
      <c r="DC84" s="20" t="str">
        <f t="shared" ca="1" si="319"/>
        <v/>
      </c>
      <c r="DD84" s="20" t="str">
        <f t="shared" ca="1" si="320"/>
        <v/>
      </c>
      <c r="DE84" s="20" t="str">
        <f t="shared" ca="1" si="320"/>
        <v/>
      </c>
      <c r="DF84" s="20" t="str">
        <f t="shared" ca="1" si="320"/>
        <v/>
      </c>
      <c r="DG84" s="34"/>
      <c r="DH84" s="20" t="str">
        <f t="shared" ca="1" si="321"/>
        <v/>
      </c>
      <c r="DI84" s="20" t="str">
        <f t="shared" ca="1" si="276"/>
        <v/>
      </c>
      <c r="DJ84" s="20" t="str">
        <f t="shared" ca="1" si="277"/>
        <v/>
      </c>
      <c r="DK84" s="20" t="str">
        <f t="shared" ca="1" si="278"/>
        <v/>
      </c>
      <c r="DL84" s="20" t="str">
        <f t="shared" ca="1" si="279"/>
        <v/>
      </c>
      <c r="DM84" s="20" t="str">
        <f t="shared" ca="1" si="280"/>
        <v/>
      </c>
      <c r="DN84" s="20" t="str">
        <f t="shared" ca="1" si="281"/>
        <v/>
      </c>
      <c r="DO84" s="20" t="str">
        <f t="shared" ca="1" si="282"/>
        <v/>
      </c>
      <c r="DP84" s="20" t="str">
        <f t="shared" ca="1" si="283"/>
        <v/>
      </c>
      <c r="DQ84" s="20">
        <f t="shared" ca="1" si="284"/>
        <v>10</v>
      </c>
      <c r="DR84" s="20" t="str">
        <f t="shared" ca="1" si="285"/>
        <v/>
      </c>
      <c r="DS84" s="20" t="str">
        <f t="shared" ca="1" si="286"/>
        <v/>
      </c>
      <c r="DT84" s="20" t="str">
        <f t="shared" ca="1" si="287"/>
        <v/>
      </c>
      <c r="DU84" s="20" t="str">
        <f t="shared" ca="1" si="288"/>
        <v/>
      </c>
      <c r="DV84" s="20" t="str">
        <f t="shared" ca="1" si="289"/>
        <v/>
      </c>
      <c r="DW84" s="20" t="str">
        <f t="shared" ca="1" si="290"/>
        <v/>
      </c>
      <c r="DX84" s="20" t="str">
        <f t="shared" ca="1" si="290"/>
        <v/>
      </c>
      <c r="DY84" s="20" t="str">
        <f t="shared" ca="1" si="290"/>
        <v/>
      </c>
      <c r="DZ84" s="20" t="str">
        <f t="shared" ca="1" si="290"/>
        <v/>
      </c>
      <c r="EA84" s="34"/>
      <c r="EB84" s="20" t="str">
        <f t="shared" ca="1" si="322"/>
        <v/>
      </c>
      <c r="EC84" s="20" t="str">
        <f t="shared" ca="1" si="292"/>
        <v/>
      </c>
      <c r="ED84" s="20" t="str">
        <f t="shared" ca="1" si="293"/>
        <v/>
      </c>
      <c r="EE84" s="20" t="str">
        <f t="shared" ca="1" si="294"/>
        <v/>
      </c>
      <c r="EF84" s="20" t="str">
        <f t="shared" ca="1" si="295"/>
        <v/>
      </c>
      <c r="EG84" s="20" t="str">
        <f t="shared" ca="1" si="296"/>
        <v/>
      </c>
      <c r="EH84" s="20" t="str">
        <f t="shared" ca="1" si="297"/>
        <v/>
      </c>
      <c r="EI84" s="20" t="str">
        <f t="shared" ca="1" si="298"/>
        <v/>
      </c>
      <c r="EJ84" s="20" t="str">
        <f t="shared" ca="1" si="299"/>
        <v/>
      </c>
      <c r="EK84" s="20" t="str">
        <f t="shared" ca="1" si="300"/>
        <v/>
      </c>
      <c r="EL84" s="20" t="str">
        <f t="shared" ca="1" si="301"/>
        <v/>
      </c>
      <c r="EM84" s="20" t="str">
        <f t="shared" ca="1" si="302"/>
        <v/>
      </c>
      <c r="EN84" s="20" t="str">
        <f t="shared" ca="1" si="303"/>
        <v/>
      </c>
      <c r="EO84" s="20" t="str">
        <f t="shared" ca="1" si="304"/>
        <v/>
      </c>
      <c r="EP84" s="20" t="str">
        <f t="shared" ca="1" si="305"/>
        <v/>
      </c>
      <c r="EQ84" s="20" t="str">
        <f t="shared" ca="1" si="306"/>
        <v/>
      </c>
      <c r="ER84" s="20" t="str">
        <f t="shared" ca="1" si="306"/>
        <v/>
      </c>
      <c r="ES84" s="20" t="str">
        <f t="shared" ca="1" si="306"/>
        <v/>
      </c>
      <c r="ET84" s="20" t="str">
        <f t="shared" ca="1" si="306"/>
        <v/>
      </c>
      <c r="EU84" s="34"/>
      <c r="EV84" s="20" t="str">
        <f t="shared" ca="1" si="325"/>
        <v/>
      </c>
      <c r="EW84" s="20" t="str">
        <f t="shared" ca="1" si="325"/>
        <v/>
      </c>
      <c r="EX84" s="20" t="str">
        <f t="shared" ca="1" si="325"/>
        <v/>
      </c>
      <c r="EY84" s="20" t="str">
        <f t="shared" ca="1" si="325"/>
        <v/>
      </c>
      <c r="EZ84" s="20" t="str">
        <f t="shared" ca="1" si="325"/>
        <v/>
      </c>
      <c r="FA84" s="20" t="str">
        <f t="shared" ca="1" si="325"/>
        <v/>
      </c>
      <c r="FB84" s="20" t="str">
        <f t="shared" ca="1" si="325"/>
        <v/>
      </c>
      <c r="FC84" s="20" t="str">
        <f t="shared" ca="1" si="325"/>
        <v/>
      </c>
      <c r="FD84" s="20" t="str">
        <f t="shared" ca="1" si="325"/>
        <v/>
      </c>
      <c r="FE84" s="20" t="str">
        <f t="shared" ca="1" si="325"/>
        <v/>
      </c>
      <c r="FF84" s="20" t="str">
        <f t="shared" ca="1" si="325"/>
        <v/>
      </c>
      <c r="FG84" s="20" t="str">
        <f t="shared" ca="1" si="325"/>
        <v/>
      </c>
      <c r="FH84" s="20" t="str">
        <f t="shared" ca="1" si="325"/>
        <v/>
      </c>
      <c r="FI84" s="20" t="str">
        <f t="shared" ca="1" si="325"/>
        <v/>
      </c>
      <c r="FJ84" s="20" t="str">
        <f t="shared" ca="1" si="325"/>
        <v/>
      </c>
      <c r="FK84" s="20" t="str">
        <f t="shared" ca="1" si="325"/>
        <v/>
      </c>
      <c r="FL84" s="20" t="str">
        <f t="shared" ca="1" si="326"/>
        <v/>
      </c>
      <c r="FM84" s="20" t="str">
        <f t="shared" ca="1" si="326"/>
        <v/>
      </c>
      <c r="FN84" s="20" t="str">
        <f t="shared" ca="1" si="326"/>
        <v/>
      </c>
      <c r="FO84" s="34"/>
      <c r="FP84" s="20" t="str">
        <f t="shared" ca="1" si="327"/>
        <v/>
      </c>
      <c r="FQ84" s="20" t="str">
        <f t="shared" ca="1" si="327"/>
        <v/>
      </c>
      <c r="FR84" s="20" t="str">
        <f t="shared" ca="1" si="327"/>
        <v/>
      </c>
      <c r="FS84" s="20" t="str">
        <f t="shared" ca="1" si="327"/>
        <v/>
      </c>
      <c r="FT84" s="20" t="str">
        <f t="shared" ca="1" si="327"/>
        <v/>
      </c>
      <c r="FU84" s="20" t="str">
        <f t="shared" ca="1" si="327"/>
        <v/>
      </c>
      <c r="FV84" s="20" t="str">
        <f t="shared" ca="1" si="327"/>
        <v/>
      </c>
      <c r="FW84" s="20" t="str">
        <f t="shared" ca="1" si="327"/>
        <v/>
      </c>
      <c r="FX84" s="20" t="str">
        <f t="shared" ca="1" si="327"/>
        <v/>
      </c>
      <c r="FY84" s="20" t="str">
        <f t="shared" ca="1" si="327"/>
        <v>Metheads</v>
      </c>
      <c r="FZ84" s="20" t="str">
        <f t="shared" ca="1" si="327"/>
        <v/>
      </c>
      <c r="GA84" s="20" t="str">
        <f t="shared" ca="1" si="327"/>
        <v/>
      </c>
      <c r="GB84" s="20" t="str">
        <f t="shared" ca="1" si="327"/>
        <v/>
      </c>
      <c r="GC84" s="20" t="str">
        <f t="shared" ca="1" si="327"/>
        <v/>
      </c>
      <c r="GD84" s="20" t="str">
        <f t="shared" ca="1" si="327"/>
        <v/>
      </c>
      <c r="GE84" s="20" t="str">
        <f t="shared" ca="1" si="327"/>
        <v/>
      </c>
      <c r="GF84" s="20" t="str">
        <f t="shared" ca="1" si="328"/>
        <v/>
      </c>
      <c r="GG84" s="20" t="str">
        <f t="shared" ca="1" si="328"/>
        <v/>
      </c>
      <c r="GH84" s="20" t="str">
        <f t="shared" ca="1" si="328"/>
        <v/>
      </c>
      <c r="GI84" s="34"/>
      <c r="HE84" s="34"/>
      <c r="HZ84" s="34"/>
      <c r="IA84" s="19" t="str">
        <f t="shared" ca="1" si="231"/>
        <v>No Hdcp</v>
      </c>
      <c r="IB84" s="19" t="str">
        <f t="shared" ca="1" si="232"/>
        <v>Low of score &amp; 41</v>
      </c>
      <c r="IC84" s="19" t="str">
        <f t="shared" ca="1" si="233"/>
        <v>Low of score &amp; 41</v>
      </c>
      <c r="ID84" s="18" t="str">
        <f t="shared" ca="1" si="234"/>
        <v>Low of score &amp; 41</v>
      </c>
      <c r="IE84" s="18" t="str">
        <f t="shared" ca="1" si="235"/>
        <v>Low of score &amp; 41</v>
      </c>
      <c r="IF84" s="18">
        <f t="shared" ca="1" si="236"/>
        <v>4.8</v>
      </c>
      <c r="IG84" s="353" t="e">
        <f t="shared" ca="1" si="237"/>
        <v>#NUM!</v>
      </c>
      <c r="IH84" s="18" t="e">
        <f t="shared" ca="1" si="238"/>
        <v>#NUM!</v>
      </c>
      <c r="II84" s="18" t="e">
        <f t="shared" ca="1" si="239"/>
        <v>#NUM!</v>
      </c>
      <c r="IJ84" s="18" t="e">
        <f t="shared" ca="1" si="240"/>
        <v>#NUM!</v>
      </c>
      <c r="IK84" s="18" t="e">
        <f t="shared" ca="1" si="241"/>
        <v>#NUM!</v>
      </c>
      <c r="IL84" s="34"/>
      <c r="IN84" s="18">
        <f t="shared" si="242"/>
        <v>0</v>
      </c>
      <c r="IO84" s="18">
        <f t="shared" ca="1" si="243"/>
        <v>0</v>
      </c>
      <c r="IP84" s="18">
        <f t="shared" ca="1" si="244"/>
        <v>0</v>
      </c>
      <c r="IQ84" s="18">
        <f t="shared" ca="1" si="245"/>
        <v>0</v>
      </c>
      <c r="IR84" s="18">
        <f t="shared" ca="1" si="246"/>
        <v>0</v>
      </c>
      <c r="IS84" s="18">
        <f t="shared" ca="1" si="247"/>
        <v>0</v>
      </c>
      <c r="IT84" s="18">
        <f t="shared" ca="1" si="248"/>
        <v>0</v>
      </c>
      <c r="IU84" s="18">
        <f t="shared" ca="1" si="249"/>
        <v>0</v>
      </c>
      <c r="IV84" s="18">
        <f t="shared" ca="1" si="250"/>
        <v>0</v>
      </c>
      <c r="IW84" s="18">
        <f t="shared" ca="1" si="251"/>
        <v>0</v>
      </c>
      <c r="IX84" s="19">
        <f t="shared" ca="1" si="252"/>
        <v>10</v>
      </c>
      <c r="IY84" s="21">
        <f t="shared" ca="1" si="253"/>
        <v>-34.56</v>
      </c>
      <c r="JA84" s="18" t="str">
        <f t="shared" ca="1" si="254"/>
        <v>No Hdcp</v>
      </c>
      <c r="JB84" s="18" t="str">
        <f t="shared" ca="1" si="255"/>
        <v>Low of score &amp; 0</v>
      </c>
      <c r="JC84" s="18" t="str">
        <f t="shared" ca="1" si="256"/>
        <v>Low of score &amp; 0</v>
      </c>
      <c r="JD84" s="18" t="str">
        <f t="shared" ca="1" si="257"/>
        <v>Low of score &amp; 0</v>
      </c>
      <c r="JE84" s="18" t="str">
        <f t="shared" ca="1" si="258"/>
        <v>Low of score &amp; 0</v>
      </c>
      <c r="JF84" s="18">
        <f t="shared" ca="1" si="259"/>
        <v>-34.56</v>
      </c>
      <c r="JG84" s="18">
        <f t="shared" ca="1" si="260"/>
        <v>-34.56</v>
      </c>
      <c r="JH84" s="18">
        <f t="shared" ca="1" si="261"/>
        <v>-34.56</v>
      </c>
      <c r="JI84" s="18">
        <f t="shared" ca="1" si="262"/>
        <v>-34.56</v>
      </c>
      <c r="JJ84" s="18">
        <f t="shared" ca="1" si="263"/>
        <v>-34.56</v>
      </c>
      <c r="JK84" s="18">
        <f t="shared" ca="1" si="264"/>
        <v>-34.56</v>
      </c>
    </row>
    <row r="85" spans="1:271" x14ac:dyDescent="0.2">
      <c r="A85" s="18" t="s">
        <v>76</v>
      </c>
      <c r="B85" s="19">
        <f t="shared" si="311"/>
        <v>173</v>
      </c>
      <c r="C85" s="22">
        <f t="shared" ca="1" si="206"/>
        <v>8.0000000000000002E-3</v>
      </c>
      <c r="D85" s="18" t="str">
        <f t="shared" ca="1" si="265"/>
        <v>Quinn, Pat - gold tees</v>
      </c>
      <c r="E85" s="19">
        <f t="shared" ca="1" si="207"/>
        <v>0</v>
      </c>
      <c r="F85" s="19">
        <f t="shared" ca="1" si="208"/>
        <v>0</v>
      </c>
      <c r="G85" s="21" t="str">
        <f t="shared" ca="1" si="209"/>
        <v>No Hdcp</v>
      </c>
      <c r="H85" s="337" t="str">
        <f ca="1">IFERROR(INDEX($AF85:$BH85, , SUMPRODUCT(LARGE((($AF85:$BH85&lt;&gt;0)*($BJ85:$CL85&lt;&gt;1)*($AF$5:$BH$5)), H$6))), "")</f>
        <v/>
      </c>
      <c r="I85" s="338" t="str" cm="1">
        <f t="array" aca="1" ref="I85" ca="1">IFERROR(_xlfn.SINGLE(INDEX($AF85:$BH85, , SUMPRODUCT(LARGE((($AF85:$BH85&lt;&gt;0)*($BJ85:$CL85&lt;&gt;1)*($AF$5:$BH$5)), I$6)))), "")</f>
        <v/>
      </c>
      <c r="J85" s="338" t="str" cm="1">
        <f t="array" aca="1" ref="J85" ca="1">IFERROR(_xlfn.SINGLE(INDEX($AF85:$BH85, , SUMPRODUCT(LARGE((($AF85:$BH85&lt;&gt;0)*($BJ85:$CL85&lt;&gt;1)*($AF$5:$BH$5)), J$6)))), "")</f>
        <v/>
      </c>
      <c r="K85" s="338" t="str" cm="1">
        <f t="array" aca="1" ref="K85" ca="1">IFERROR(_xlfn.SINGLE(INDEX($AF85:$BH85, , SUMPRODUCT(LARGE((($AF85:$BH85&lt;&gt;0)*($BJ85:$CL85&lt;&gt;1)*($AF$5:$BH$5)), K$6)))), "")</f>
        <v/>
      </c>
      <c r="L85" s="338" t="str" cm="1">
        <f t="array" aca="1" ref="L85" ca="1">IFERROR(_xlfn.SINGLE(INDEX($AF85:$BH85, , SUMPRODUCT(LARGE((($AF85:$BH85&lt;&gt;0)*($BJ85:$CL85&lt;&gt;1)*($AF$5:$BH$5)), L$6)))), "")</f>
        <v/>
      </c>
      <c r="M85" s="338" t="str" cm="1">
        <f t="array" aca="1" ref="M85" ca="1">IFERROR(_xlfn.SINGLE(INDEX($AF85:$BH85, , SUMPRODUCT(LARGE((($AF85:$BH85&lt;&gt;0)*($BJ85:$CL85&lt;&gt;1)*($AF$5:$BH$5)), M$6)))), "")</f>
        <v/>
      </c>
      <c r="N85" s="338" t="str" cm="1">
        <f t="array" aca="1" ref="N85" ca="1">IFERROR(_xlfn.SINGLE(INDEX($AF85:$BH85, , SUMPRODUCT(LARGE((($AF85:$BH85&lt;&gt;0)*($BJ85:$CL85&lt;&gt;1)*($AF$5:$BH$5)), N$6)))), "")</f>
        <v/>
      </c>
      <c r="O85" s="338" t="str" cm="1">
        <f t="array" aca="1" ref="O85" ca="1">IFERROR(_xlfn.SINGLE(INDEX($AF85:$BH85, , SUMPRODUCT(LARGE((($AF85:$BH85&lt;&gt;0)*($BJ85:$CL85&lt;&gt;1)*($AF$5:$BH$5)), O$6)))), "")</f>
        <v/>
      </c>
      <c r="P85" s="338" t="str" cm="1">
        <f t="array" aca="1" ref="P85" ca="1">IFERROR(_xlfn.SINGLE(INDEX($AF85:$BH85, , SUMPRODUCT(LARGE((($AF85:$BH85&lt;&gt;0)*($BJ85:$CL85&lt;&gt;1)*($AF$5:$BH$5)), P$6)))), "")</f>
        <v/>
      </c>
      <c r="Q85" s="339" t="str" cm="1">
        <f t="array" aca="1" ref="Q85" ca="1">IFERROR(_xlfn.SINGLE(INDEX($AF85:$BH85, , SUMPRODUCT(LARGE((($AF85:$BH85&lt;&gt;0)*($BJ85:$CL85&lt;&gt;1)*($AF$5:$BH$5)), Q$6)))), "")</f>
        <v/>
      </c>
      <c r="R85" s="116" t="s">
        <v>459</v>
      </c>
      <c r="S85" s="47" t="str">
        <f t="shared" ca="1" si="210"/>
        <v>-</v>
      </c>
      <c r="T85" s="21" t="str">
        <f t="shared" ca="1" si="211"/>
        <v>-</v>
      </c>
      <c r="U85" s="21" t="str">
        <f t="shared" ca="1" si="212"/>
        <v>-</v>
      </c>
      <c r="V85" s="46" t="str">
        <f t="shared" ca="1" si="213"/>
        <v/>
      </c>
      <c r="W85" s="19" t="str">
        <f t="shared" ca="1" si="214"/>
        <v/>
      </c>
      <c r="X85" s="46">
        <f t="shared" ca="1" si="215"/>
        <v>0</v>
      </c>
      <c r="Y85" s="21" t="str">
        <f t="shared" ca="1" si="216"/>
        <v>-</v>
      </c>
      <c r="Z85" s="19">
        <f t="shared" ca="1" si="217"/>
        <v>0</v>
      </c>
      <c r="AA85" s="19">
        <f t="shared" ca="1" si="218"/>
        <v>0</v>
      </c>
      <c r="AB85" s="46" t="str">
        <f t="shared" ca="1" si="219"/>
        <v>0-0-0</v>
      </c>
      <c r="AC85" s="218">
        <f t="shared" ca="1" si="273"/>
        <v>3304778837</v>
      </c>
      <c r="AD85" s="57" t="str">
        <f t="shared" ca="1" si="274"/>
        <v>paperboy@neo.rr.com</v>
      </c>
      <c r="AE85" s="34"/>
      <c r="AF85" s="341">
        <f ca="1">INDEX(PriorScores[],MATCH($D85,PriorScores[Team / Player],0),2)</f>
        <v>0</v>
      </c>
      <c r="AG85" s="341">
        <f ca="1">INDEX(PriorScores[],MATCH($D85,PriorScores[Team / Player],0),3)</f>
        <v>0</v>
      </c>
      <c r="AH85" s="341">
        <f ca="1">INDEX(PriorScores[],MATCH($D85,PriorScores[Team / Player],0),4)</f>
        <v>0</v>
      </c>
      <c r="AI85" s="341">
        <f ca="1">INDEX(PriorScores[],MATCH($D85,PriorScores[Team / Player],0),5)</f>
        <v>0</v>
      </c>
      <c r="AJ85" s="341"/>
      <c r="AK85" s="341"/>
      <c r="AL85" s="341"/>
      <c r="AM85" s="341"/>
      <c r="AN85" s="341"/>
      <c r="AO85" s="341"/>
      <c r="AP85" s="20">
        <f t="shared" ca="1" si="316"/>
        <v>0</v>
      </c>
      <c r="AQ85" s="20">
        <f t="shared" ca="1" si="316"/>
        <v>0</v>
      </c>
      <c r="AR85" s="20">
        <f t="shared" ca="1" si="316"/>
        <v>0</v>
      </c>
      <c r="AS85" s="20">
        <f t="shared" ca="1" si="316"/>
        <v>0</v>
      </c>
      <c r="AT85" s="20">
        <f t="shared" ca="1" si="316"/>
        <v>0</v>
      </c>
      <c r="AU85" s="20">
        <f t="shared" ca="1" si="316"/>
        <v>0</v>
      </c>
      <c r="AV85" s="20">
        <f t="shared" ca="1" si="316"/>
        <v>0</v>
      </c>
      <c r="AW85" s="20">
        <f t="shared" ca="1" si="316"/>
        <v>0</v>
      </c>
      <c r="AX85" s="20">
        <f t="shared" ca="1" si="316"/>
        <v>0</v>
      </c>
      <c r="AY85" s="20">
        <f t="shared" ca="1" si="316"/>
        <v>0</v>
      </c>
      <c r="AZ85" s="20">
        <f t="shared" ca="1" si="316"/>
        <v>0</v>
      </c>
      <c r="BA85" s="20">
        <f t="shared" ca="1" si="317"/>
        <v>0</v>
      </c>
      <c r="BB85" s="20">
        <f t="shared" ca="1" si="317"/>
        <v>0</v>
      </c>
      <c r="BC85" s="20">
        <f t="shared" ca="1" si="317"/>
        <v>0</v>
      </c>
      <c r="BD85" s="20">
        <f t="shared" ca="1" si="317"/>
        <v>0</v>
      </c>
      <c r="BE85" s="20">
        <f t="shared" ca="1" si="317"/>
        <v>0</v>
      </c>
      <c r="BF85" s="20">
        <f t="shared" ca="1" si="317"/>
        <v>0</v>
      </c>
      <c r="BG85" s="20">
        <f t="shared" ca="1" si="317"/>
        <v>0</v>
      </c>
      <c r="BH85" s="20">
        <f t="shared" ca="1" si="317"/>
        <v>0</v>
      </c>
      <c r="BI85" s="34"/>
      <c r="BJ85" s="341">
        <v>0</v>
      </c>
      <c r="BK85" s="341">
        <v>0</v>
      </c>
      <c r="BL85" s="341">
        <v>0</v>
      </c>
      <c r="BM85" s="341">
        <v>0</v>
      </c>
      <c r="BN85" s="341">
        <v>0</v>
      </c>
      <c r="BO85" s="341">
        <v>0</v>
      </c>
      <c r="BP85" s="341">
        <v>0</v>
      </c>
      <c r="BQ85" s="341">
        <v>0</v>
      </c>
      <c r="BR85" s="341">
        <v>0</v>
      </c>
      <c r="BS85" s="341">
        <v>0</v>
      </c>
      <c r="BT85" s="20">
        <f t="shared" ca="1" si="323"/>
        <v>0</v>
      </c>
      <c r="BU85" s="20">
        <f t="shared" ca="1" si="323"/>
        <v>0</v>
      </c>
      <c r="BV85" s="20">
        <f t="shared" ca="1" si="323"/>
        <v>0</v>
      </c>
      <c r="BW85" s="20">
        <f t="shared" ca="1" si="323"/>
        <v>0</v>
      </c>
      <c r="BX85" s="20">
        <f t="shared" ca="1" si="323"/>
        <v>0</v>
      </c>
      <c r="BY85" s="20">
        <f t="shared" ca="1" si="323"/>
        <v>0</v>
      </c>
      <c r="BZ85" s="20">
        <f t="shared" ca="1" si="323"/>
        <v>0</v>
      </c>
      <c r="CA85" s="20">
        <f t="shared" ca="1" si="323"/>
        <v>0</v>
      </c>
      <c r="CB85" s="20">
        <f t="shared" ca="1" si="323"/>
        <v>0</v>
      </c>
      <c r="CC85" s="20">
        <f t="shared" ca="1" si="323"/>
        <v>0</v>
      </c>
      <c r="CD85" s="20">
        <f t="shared" ca="1" si="323"/>
        <v>0</v>
      </c>
      <c r="CE85" s="20">
        <f t="shared" ca="1" si="323"/>
        <v>0</v>
      </c>
      <c r="CF85" s="20">
        <f t="shared" ca="1" si="323"/>
        <v>0</v>
      </c>
      <c r="CG85" s="20">
        <f t="shared" ca="1" si="323"/>
        <v>0</v>
      </c>
      <c r="CH85" s="20">
        <f t="shared" ca="1" si="323"/>
        <v>0</v>
      </c>
      <c r="CI85" s="20">
        <f t="shared" ca="1" si="323"/>
        <v>0</v>
      </c>
      <c r="CJ85" s="20">
        <f t="shared" ca="1" si="318"/>
        <v>0</v>
      </c>
      <c r="CK85" s="20">
        <f t="shared" ca="1" si="318"/>
        <v>0</v>
      </c>
      <c r="CL85" s="20">
        <f t="shared" ca="1" si="318"/>
        <v>0</v>
      </c>
      <c r="CM85" s="34"/>
      <c r="CN85" s="20" t="str">
        <f t="shared" ca="1" si="319"/>
        <v/>
      </c>
      <c r="CO85" s="20" t="str">
        <f t="shared" ca="1" si="319"/>
        <v/>
      </c>
      <c r="CP85" s="20" t="str">
        <f t="shared" ca="1" si="319"/>
        <v/>
      </c>
      <c r="CQ85" s="20" t="str">
        <f t="shared" ca="1" si="319"/>
        <v/>
      </c>
      <c r="CR85" s="20" t="str">
        <f t="shared" ca="1" si="319"/>
        <v/>
      </c>
      <c r="CS85" s="20" t="str">
        <f t="shared" ca="1" si="319"/>
        <v/>
      </c>
      <c r="CT85" s="20" t="str">
        <f t="shared" ca="1" si="319"/>
        <v/>
      </c>
      <c r="CU85" s="20" t="str">
        <f t="shared" ca="1" si="319"/>
        <v/>
      </c>
      <c r="CV85" s="20" t="str">
        <f t="shared" ca="1" si="319"/>
        <v/>
      </c>
      <c r="CW85" s="20" t="str">
        <f t="shared" ca="1" si="319"/>
        <v/>
      </c>
      <c r="CX85" s="20" t="str">
        <f t="shared" ca="1" si="319"/>
        <v/>
      </c>
      <c r="CY85" s="20" t="str">
        <f ca="1">IF(OR(INDEX(INDIRECT($A85), $B85+1, CY$6+2)=0,INDEX(INDIRECT($A85),$B85+5,CY$6+2)=1), "", INDEX(INDIRECT($A85), $B85+1, CY$6+2))</f>
        <v/>
      </c>
      <c r="CZ85" s="20" t="str">
        <f t="shared" ca="1" si="319"/>
        <v/>
      </c>
      <c r="DA85" s="20" t="str">
        <f t="shared" ca="1" si="319"/>
        <v/>
      </c>
      <c r="DB85" s="20" t="str">
        <f t="shared" ca="1" si="319"/>
        <v/>
      </c>
      <c r="DC85" s="20" t="str">
        <f t="shared" ca="1" si="319"/>
        <v/>
      </c>
      <c r="DD85" s="20" t="str">
        <f t="shared" ca="1" si="320"/>
        <v/>
      </c>
      <c r="DE85" s="20" t="str">
        <f t="shared" ca="1" si="320"/>
        <v/>
      </c>
      <c r="DF85" s="20" t="str">
        <f t="shared" ca="1" si="320"/>
        <v/>
      </c>
      <c r="DG85" s="34"/>
      <c r="DH85" s="20" t="str">
        <f t="shared" ca="1" si="321"/>
        <v/>
      </c>
      <c r="DI85" s="20" t="str">
        <f t="shared" ca="1" si="276"/>
        <v/>
      </c>
      <c r="DJ85" s="20" t="str">
        <f t="shared" ca="1" si="277"/>
        <v/>
      </c>
      <c r="DK85" s="20" t="str">
        <f t="shared" ca="1" si="278"/>
        <v/>
      </c>
      <c r="DL85" s="20" t="str">
        <f t="shared" ca="1" si="279"/>
        <v/>
      </c>
      <c r="DM85" s="20" t="str">
        <f t="shared" ca="1" si="280"/>
        <v/>
      </c>
      <c r="DN85" s="20" t="str">
        <f t="shared" ca="1" si="281"/>
        <v/>
      </c>
      <c r="DO85" s="20" t="str">
        <f t="shared" ca="1" si="282"/>
        <v/>
      </c>
      <c r="DP85" s="20" t="str">
        <f t="shared" ca="1" si="283"/>
        <v/>
      </c>
      <c r="DQ85" s="20" t="str">
        <f t="shared" ca="1" si="284"/>
        <v/>
      </c>
      <c r="DR85" s="20" t="str">
        <f t="shared" ca="1" si="285"/>
        <v/>
      </c>
      <c r="DS85" s="20" t="str">
        <f t="shared" ca="1" si="286"/>
        <v/>
      </c>
      <c r="DT85" s="20" t="str">
        <f t="shared" ca="1" si="287"/>
        <v/>
      </c>
      <c r="DU85" s="20" t="str">
        <f t="shared" ca="1" si="288"/>
        <v/>
      </c>
      <c r="DV85" s="20" t="str">
        <f t="shared" ca="1" si="289"/>
        <v/>
      </c>
      <c r="DW85" s="20" t="str">
        <f t="shared" ca="1" si="290"/>
        <v/>
      </c>
      <c r="DX85" s="20" t="str">
        <f t="shared" ca="1" si="290"/>
        <v/>
      </c>
      <c r="DY85" s="20" t="str">
        <f t="shared" ca="1" si="290"/>
        <v/>
      </c>
      <c r="DZ85" s="20" t="str">
        <f t="shared" ca="1" si="290"/>
        <v/>
      </c>
      <c r="EA85" s="34"/>
      <c r="EB85" s="20" t="str">
        <f t="shared" ca="1" si="322"/>
        <v/>
      </c>
      <c r="EC85" s="20" t="str">
        <f t="shared" ca="1" si="292"/>
        <v/>
      </c>
      <c r="ED85" s="20" t="str">
        <f t="shared" ca="1" si="293"/>
        <v/>
      </c>
      <c r="EE85" s="20" t="str">
        <f t="shared" ca="1" si="294"/>
        <v/>
      </c>
      <c r="EF85" s="20" t="str">
        <f t="shared" ca="1" si="295"/>
        <v/>
      </c>
      <c r="EG85" s="20" t="str">
        <f t="shared" ca="1" si="296"/>
        <v/>
      </c>
      <c r="EH85" s="20" t="str">
        <f t="shared" ca="1" si="297"/>
        <v/>
      </c>
      <c r="EI85" s="20" t="str">
        <f t="shared" ca="1" si="298"/>
        <v/>
      </c>
      <c r="EJ85" s="20" t="str">
        <f t="shared" ca="1" si="299"/>
        <v/>
      </c>
      <c r="EK85" s="20" t="str">
        <f t="shared" ca="1" si="300"/>
        <v/>
      </c>
      <c r="EL85" s="20" t="str">
        <f t="shared" ca="1" si="301"/>
        <v/>
      </c>
      <c r="EM85" s="20" t="str">
        <f t="shared" ca="1" si="302"/>
        <v/>
      </c>
      <c r="EN85" s="20" t="str">
        <f t="shared" ca="1" si="303"/>
        <v/>
      </c>
      <c r="EO85" s="20" t="str">
        <f t="shared" ca="1" si="304"/>
        <v/>
      </c>
      <c r="EP85" s="20" t="str">
        <f t="shared" ca="1" si="305"/>
        <v/>
      </c>
      <c r="EQ85" s="20" t="str">
        <f t="shared" ca="1" si="306"/>
        <v/>
      </c>
      <c r="ER85" s="20" t="str">
        <f t="shared" ca="1" si="306"/>
        <v/>
      </c>
      <c r="ES85" s="20" t="str">
        <f t="shared" ca="1" si="306"/>
        <v/>
      </c>
      <c r="ET85" s="20" t="str">
        <f t="shared" ca="1" si="306"/>
        <v/>
      </c>
      <c r="EU85" s="34"/>
      <c r="EV85" s="20" t="str">
        <f t="shared" ca="1" si="325"/>
        <v/>
      </c>
      <c r="EW85" s="20" t="str">
        <f t="shared" ca="1" si="325"/>
        <v/>
      </c>
      <c r="EX85" s="20" t="str">
        <f t="shared" ca="1" si="325"/>
        <v/>
      </c>
      <c r="EY85" s="20" t="str">
        <f t="shared" ca="1" si="325"/>
        <v/>
      </c>
      <c r="EZ85" s="20" t="str">
        <f t="shared" ca="1" si="325"/>
        <v/>
      </c>
      <c r="FA85" s="20" t="str">
        <f t="shared" ca="1" si="325"/>
        <v/>
      </c>
      <c r="FB85" s="20" t="str">
        <f t="shared" ca="1" si="325"/>
        <v/>
      </c>
      <c r="FC85" s="20" t="str">
        <f t="shared" ca="1" si="325"/>
        <v/>
      </c>
      <c r="FD85" s="20" t="str">
        <f t="shared" ca="1" si="325"/>
        <v/>
      </c>
      <c r="FE85" s="20" t="str">
        <f t="shared" ca="1" si="325"/>
        <v/>
      </c>
      <c r="FF85" s="20" t="str">
        <f t="shared" ca="1" si="325"/>
        <v/>
      </c>
      <c r="FG85" s="20" t="str">
        <f t="shared" ca="1" si="325"/>
        <v/>
      </c>
      <c r="FH85" s="20" t="str">
        <f t="shared" ca="1" si="325"/>
        <v/>
      </c>
      <c r="FI85" s="20" t="str">
        <f t="shared" ca="1" si="325"/>
        <v/>
      </c>
      <c r="FJ85" s="20" t="str">
        <f t="shared" ca="1" si="325"/>
        <v/>
      </c>
      <c r="FK85" s="20" t="str">
        <f t="shared" ca="1" si="325"/>
        <v/>
      </c>
      <c r="FL85" s="20" t="str">
        <f t="shared" ca="1" si="326"/>
        <v/>
      </c>
      <c r="FM85" s="20" t="str">
        <f t="shared" ca="1" si="326"/>
        <v/>
      </c>
      <c r="FN85" s="20" t="str">
        <f t="shared" ca="1" si="326"/>
        <v/>
      </c>
      <c r="FO85" s="34"/>
      <c r="FP85" s="20" t="str">
        <f t="shared" ca="1" si="327"/>
        <v/>
      </c>
      <c r="FQ85" s="20" t="str">
        <f t="shared" ca="1" si="327"/>
        <v/>
      </c>
      <c r="FR85" s="20" t="str">
        <f t="shared" ca="1" si="327"/>
        <v/>
      </c>
      <c r="FS85" s="20" t="str">
        <f t="shared" ca="1" si="327"/>
        <v/>
      </c>
      <c r="FT85" s="20" t="str">
        <f t="shared" ca="1" si="327"/>
        <v/>
      </c>
      <c r="FU85" s="20" t="str">
        <f t="shared" ca="1" si="327"/>
        <v/>
      </c>
      <c r="FV85" s="20" t="str">
        <f t="shared" ca="1" si="327"/>
        <v/>
      </c>
      <c r="FW85" s="20" t="str">
        <f t="shared" ca="1" si="327"/>
        <v/>
      </c>
      <c r="FX85" s="20" t="str">
        <f t="shared" ca="1" si="327"/>
        <v/>
      </c>
      <c r="FY85" s="20" t="str">
        <f t="shared" ca="1" si="327"/>
        <v/>
      </c>
      <c r="FZ85" s="20" t="str">
        <f t="shared" ca="1" si="327"/>
        <v/>
      </c>
      <c r="GA85" s="20" t="str">
        <f t="shared" ca="1" si="327"/>
        <v/>
      </c>
      <c r="GB85" s="20" t="str">
        <f t="shared" ca="1" si="327"/>
        <v/>
      </c>
      <c r="GC85" s="20" t="str">
        <f t="shared" ca="1" si="327"/>
        <v/>
      </c>
      <c r="GD85" s="20" t="str">
        <f t="shared" ca="1" si="327"/>
        <v/>
      </c>
      <c r="GE85" s="20" t="str">
        <f t="shared" ca="1" si="327"/>
        <v/>
      </c>
      <c r="GF85" s="20" t="str">
        <f t="shared" ca="1" si="328"/>
        <v/>
      </c>
      <c r="GG85" s="20" t="str">
        <f t="shared" ca="1" si="328"/>
        <v/>
      </c>
      <c r="GH85" s="20" t="str">
        <f t="shared" ca="1" si="328"/>
        <v/>
      </c>
      <c r="GI85" s="34"/>
      <c r="HE85" s="34"/>
      <c r="HZ85" s="34"/>
      <c r="IA85" s="19" t="str">
        <f t="shared" ca="1" si="231"/>
        <v>No Hdcp</v>
      </c>
      <c r="IB85" s="19" t="str">
        <f t="shared" ca="1" si="232"/>
        <v>Low of score &amp; 0</v>
      </c>
      <c r="IC85" s="19" t="str">
        <f t="shared" ca="1" si="233"/>
        <v>Low of score &amp; 0</v>
      </c>
      <c r="ID85" s="18" t="str">
        <f t="shared" ca="1" si="234"/>
        <v>Low of score &amp; 0</v>
      </c>
      <c r="IE85" s="18" t="str">
        <f t="shared" ca="1" si="235"/>
        <v>Low of score &amp; 0</v>
      </c>
      <c r="IF85" s="18">
        <f t="shared" ca="1" si="236"/>
        <v>-34.56</v>
      </c>
      <c r="IG85" s="353" t="e">
        <f t="shared" ca="1" si="237"/>
        <v>#NUM!</v>
      </c>
      <c r="IH85" s="18" t="e">
        <f t="shared" ca="1" si="238"/>
        <v>#NUM!</v>
      </c>
      <c r="II85" s="18" t="e">
        <f t="shared" ca="1" si="239"/>
        <v>#NUM!</v>
      </c>
      <c r="IJ85" s="18" t="e">
        <f t="shared" ca="1" si="240"/>
        <v>#NUM!</v>
      </c>
      <c r="IK85" s="18" t="e">
        <f t="shared" ca="1" si="241"/>
        <v>#NUM!</v>
      </c>
      <c r="IL85" s="34"/>
      <c r="IN85" s="18">
        <f t="shared" si="242"/>
        <v>0</v>
      </c>
      <c r="IO85" s="18">
        <f t="shared" si="243"/>
        <v>0</v>
      </c>
      <c r="IP85" s="18">
        <f t="shared" si="244"/>
        <v>0</v>
      </c>
      <c r="IQ85" s="18">
        <f t="shared" si="245"/>
        <v>0</v>
      </c>
      <c r="IR85" s="18">
        <f t="shared" si="246"/>
        <v>0</v>
      </c>
      <c r="IS85" s="18">
        <f t="shared" si="247"/>
        <v>0</v>
      </c>
      <c r="IT85" s="18">
        <f t="shared" ca="1" si="248"/>
        <v>0</v>
      </c>
      <c r="IU85" s="18">
        <f t="shared" ca="1" si="249"/>
        <v>0</v>
      </c>
      <c r="IV85" s="18">
        <f t="shared" ca="1" si="250"/>
        <v>0</v>
      </c>
      <c r="IW85" s="18">
        <f t="shared" ca="1" si="251"/>
        <v>0</v>
      </c>
      <c r="IX85" s="19">
        <f t="shared" ca="1" si="252"/>
        <v>10</v>
      </c>
      <c r="IY85" s="21">
        <f t="shared" ca="1" si="253"/>
        <v>-34.56</v>
      </c>
      <c r="JA85" s="18" t="str">
        <f t="shared" ca="1" si="254"/>
        <v>No Hdcp</v>
      </c>
      <c r="JB85" s="18" t="str">
        <f t="shared" ca="1" si="255"/>
        <v>Low of score &amp; 0</v>
      </c>
      <c r="JC85" s="18" t="str">
        <f t="shared" ca="1" si="256"/>
        <v>Low of score &amp; 0</v>
      </c>
      <c r="JD85" s="18" t="str">
        <f t="shared" ca="1" si="257"/>
        <v>Low of score &amp; 0</v>
      </c>
      <c r="JE85" s="18" t="str">
        <f t="shared" ca="1" si="258"/>
        <v>Low of score &amp; 0</v>
      </c>
      <c r="JF85" s="18">
        <f t="shared" ca="1" si="259"/>
        <v>-34.56</v>
      </c>
      <c r="JG85" s="18">
        <f t="shared" ca="1" si="260"/>
        <v>-34.56</v>
      </c>
      <c r="JH85" s="18">
        <f t="shared" ca="1" si="261"/>
        <v>-34.56</v>
      </c>
      <c r="JI85" s="18">
        <f t="shared" ca="1" si="262"/>
        <v>-34.56</v>
      </c>
      <c r="JJ85" s="18">
        <f t="shared" ca="1" si="263"/>
        <v>-34.56</v>
      </c>
      <c r="JK85" s="18">
        <f t="shared" ca="1" si="264"/>
        <v>-34.56</v>
      </c>
    </row>
    <row r="86" spans="1:271" x14ac:dyDescent="0.2">
      <c r="A86" s="18" t="s">
        <v>76</v>
      </c>
      <c r="B86" s="19">
        <f t="shared" si="311"/>
        <v>181</v>
      </c>
      <c r="C86" s="22">
        <f t="shared" ca="1" si="206"/>
        <v>8.3000000000000001E-3</v>
      </c>
      <c r="D86" s="18" t="str">
        <f t="shared" ca="1" si="265"/>
        <v>Reese, Felix</v>
      </c>
      <c r="E86" s="19">
        <f t="shared" ca="1" si="207"/>
        <v>1</v>
      </c>
      <c r="F86" s="19">
        <f t="shared" ca="1" si="208"/>
        <v>1</v>
      </c>
      <c r="G86" s="21" t="str">
        <f t="shared" ca="1" si="209"/>
        <v>Low of score &amp; 48</v>
      </c>
      <c r="H86" s="337" cm="1">
        <f t="array" aca="1" ref="H86" ca="1">IFERROR(_xlfn.SINGLE(INDEX($AF86:$BH86, , SUMPRODUCT(LARGE((($AF86:$BH86&lt;&gt;0)*($BJ86:$CL86&lt;&gt;1)*($AF$5:$BH$5)), H$6)))), "")</f>
        <v>48</v>
      </c>
      <c r="I86" s="338" t="str" cm="1">
        <f t="array" aca="1" ref="I86" ca="1">IFERROR(_xlfn.SINGLE(INDEX($AF86:$BH86, , SUMPRODUCT(LARGE((($AF86:$BH86&lt;&gt;0)*($BJ86:$CL86&lt;&gt;1)*($AF$5:$BH$5)), I$6)))), "")</f>
        <v/>
      </c>
      <c r="J86" s="338" t="str" cm="1">
        <f t="array" aca="1" ref="J86" ca="1">IFERROR(_xlfn.SINGLE(INDEX($AF86:$BH86, , SUMPRODUCT(LARGE((($AF86:$BH86&lt;&gt;0)*($BJ86:$CL86&lt;&gt;1)*($AF$5:$BH$5)), J$6)))), "")</f>
        <v/>
      </c>
      <c r="K86" s="338" t="str" cm="1">
        <f t="array" aca="1" ref="K86" ca="1">IFERROR(_xlfn.SINGLE(INDEX($AF86:$BH86, , SUMPRODUCT(LARGE((($AF86:$BH86&lt;&gt;0)*($BJ86:$CL86&lt;&gt;1)*($AF$5:$BH$5)), K$6)))), "")</f>
        <v/>
      </c>
      <c r="L86" s="338" t="str" cm="1">
        <f t="array" aca="1" ref="L86" ca="1">IFERROR(_xlfn.SINGLE(INDEX($AF86:$BH86, , SUMPRODUCT(LARGE((($AF86:$BH86&lt;&gt;0)*($BJ86:$CL86&lt;&gt;1)*($AF$5:$BH$5)), L$6)))), "")</f>
        <v/>
      </c>
      <c r="M86" s="338" t="str" cm="1">
        <f t="array" aca="1" ref="M86" ca="1">IFERROR(_xlfn.SINGLE(INDEX($AF86:$BH86, , SUMPRODUCT(LARGE((($AF86:$BH86&lt;&gt;0)*($BJ86:$CL86&lt;&gt;1)*($AF$5:$BH$5)), M$6)))), "")</f>
        <v/>
      </c>
      <c r="N86" s="338" t="str" cm="1">
        <f t="array" aca="1" ref="N86" ca="1">IFERROR(_xlfn.SINGLE(INDEX($AF86:$BH86, , SUMPRODUCT(LARGE((($AF86:$BH86&lt;&gt;0)*($BJ86:$CL86&lt;&gt;1)*($AF$5:$BH$5)), N$6)))), "")</f>
        <v/>
      </c>
      <c r="O86" s="338" t="str" cm="1">
        <f t="array" aca="1" ref="O86" ca="1">IFERROR(_xlfn.SINGLE(INDEX($AF86:$BH86, , SUMPRODUCT(LARGE((($AF86:$BH86&lt;&gt;0)*($BJ86:$CL86&lt;&gt;1)*($AF$5:$BH$5)), O$6)))), "")</f>
        <v/>
      </c>
      <c r="P86" s="338" t="str" cm="1">
        <f t="array" aca="1" ref="P86" ca="1">IFERROR(_xlfn.SINGLE(INDEX($AF86:$BH86, , SUMPRODUCT(LARGE((($AF86:$BH86&lt;&gt;0)*($BJ86:$CL86&lt;&gt;1)*($AF$5:$BH$5)), P$6)))), "")</f>
        <v/>
      </c>
      <c r="Q86" s="339" t="str" cm="1">
        <f t="array" aca="1" ref="Q86" ca="1">IFERROR(_xlfn.SINGLE(INDEX($AF86:$BH86, , SUMPRODUCT(LARGE((($AF86:$BH86&lt;&gt;0)*($BJ86:$CL86&lt;&gt;1)*($AF$5:$BH$5)), Q$6)))), "")</f>
        <v/>
      </c>
      <c r="R86" s="116">
        <v>47.22</v>
      </c>
      <c r="S86" s="47" t="str">
        <f t="shared" ca="1" si="210"/>
        <v>-</v>
      </c>
      <c r="T86" s="21" t="str">
        <f t="shared" ca="1" si="211"/>
        <v>48.00*</v>
      </c>
      <c r="U86" s="21" t="str">
        <f t="shared" ca="1" si="212"/>
        <v>38.00*</v>
      </c>
      <c r="V86" s="46">
        <f t="shared" ca="1" si="213"/>
        <v>48</v>
      </c>
      <c r="W86" s="19">
        <f t="shared" ca="1" si="214"/>
        <v>38</v>
      </c>
      <c r="X86" s="46">
        <f t="shared" ca="1" si="215"/>
        <v>8</v>
      </c>
      <c r="Y86" s="21" t="str">
        <f t="shared" ca="1" si="216"/>
        <v>8.00*</v>
      </c>
      <c r="Z86" s="19">
        <f t="shared" ca="1" si="217"/>
        <v>0</v>
      </c>
      <c r="AA86" s="19">
        <f t="shared" ca="1" si="218"/>
        <v>0</v>
      </c>
      <c r="AB86" s="46" t="str">
        <f t="shared" ca="1" si="219"/>
        <v>0-0-0</v>
      </c>
      <c r="AC86" s="218">
        <f t="shared" ca="1" si="273"/>
        <v>0</v>
      </c>
      <c r="AD86" s="57">
        <f t="shared" ca="1" si="274"/>
        <v>0</v>
      </c>
      <c r="AE86" s="34"/>
      <c r="AF86" s="341">
        <f ca="1">INDEX(PriorScores[],MATCH($D86,PriorScores[Team / Player],0),2)</f>
        <v>0</v>
      </c>
      <c r="AG86" s="341">
        <f ca="1">INDEX(PriorScores[],MATCH($D86,PriorScores[Team / Player],0),3)</f>
        <v>0</v>
      </c>
      <c r="AH86" s="341">
        <f ca="1">INDEX(PriorScores[],MATCH($D86,PriorScores[Team / Player],0),4)</f>
        <v>0</v>
      </c>
      <c r="AI86" s="341">
        <f ca="1">INDEX(PriorScores[],MATCH($D86,PriorScores[Team / Player],0),5)</f>
        <v>0</v>
      </c>
      <c r="AJ86" s="341">
        <f ca="1">INDEX(PriorScores[],MATCH($D86,PriorScores[Team / Player],0),6)</f>
        <v>0</v>
      </c>
      <c r="AK86" s="341">
        <f ca="1">INDEX(PriorScores[],MATCH($D86,PriorScores[Team / Player],0),7)</f>
        <v>0</v>
      </c>
      <c r="AL86" s="341">
        <f ca="1">INDEX(PriorScores[],MATCH($D86,PriorScores[Team / Player],0),8)</f>
        <v>0</v>
      </c>
      <c r="AM86" s="341">
        <f ca="1">INDEX(PriorScores[],MATCH($D86,PriorScores[Team / Player],0),9)</f>
        <v>0</v>
      </c>
      <c r="AN86" s="341">
        <f ca="1">INDEX(PriorScores[],MATCH($D86,PriorScores[Team / Player],0),10)</f>
        <v>0</v>
      </c>
      <c r="AO86" s="341">
        <f ca="1">INDEX(PriorScores[],MATCH($D86,PriorScores[Team / Player],0),11)</f>
        <v>0</v>
      </c>
      <c r="AP86" s="20">
        <f t="shared" ca="1" si="316"/>
        <v>0</v>
      </c>
      <c r="AQ86" s="20">
        <f t="shared" ca="1" si="316"/>
        <v>0</v>
      </c>
      <c r="AR86" s="20">
        <f t="shared" ca="1" si="316"/>
        <v>48</v>
      </c>
      <c r="AS86" s="20">
        <f t="shared" ca="1" si="316"/>
        <v>0</v>
      </c>
      <c r="AT86" s="20">
        <f t="shared" ca="1" si="316"/>
        <v>0</v>
      </c>
      <c r="AU86" s="20">
        <f t="shared" ca="1" si="316"/>
        <v>0</v>
      </c>
      <c r="AV86" s="20">
        <f t="shared" ca="1" si="316"/>
        <v>0</v>
      </c>
      <c r="AW86" s="20">
        <f t="shared" ca="1" si="316"/>
        <v>0</v>
      </c>
      <c r="AX86" s="20">
        <f t="shared" ca="1" si="316"/>
        <v>0</v>
      </c>
      <c r="AY86" s="20">
        <f t="shared" ca="1" si="316"/>
        <v>0</v>
      </c>
      <c r="AZ86" s="20">
        <f t="shared" ca="1" si="316"/>
        <v>0</v>
      </c>
      <c r="BA86" s="20">
        <f t="shared" ca="1" si="317"/>
        <v>0</v>
      </c>
      <c r="BB86" s="20">
        <f t="shared" ca="1" si="317"/>
        <v>0</v>
      </c>
      <c r="BC86" s="20">
        <f t="shared" ca="1" si="317"/>
        <v>0</v>
      </c>
      <c r="BD86" s="20">
        <f t="shared" ca="1" si="317"/>
        <v>0</v>
      </c>
      <c r="BE86" s="20">
        <f t="shared" ca="1" si="317"/>
        <v>0</v>
      </c>
      <c r="BF86" s="20">
        <f t="shared" ca="1" si="317"/>
        <v>0</v>
      </c>
      <c r="BG86" s="20">
        <f t="shared" ca="1" si="317"/>
        <v>0</v>
      </c>
      <c r="BH86" s="20">
        <f t="shared" ca="1" si="317"/>
        <v>0</v>
      </c>
      <c r="BI86" s="34"/>
      <c r="BJ86" s="341">
        <v>0</v>
      </c>
      <c r="BK86" s="341">
        <v>0</v>
      </c>
      <c r="BL86" s="341">
        <v>0</v>
      </c>
      <c r="BM86" s="341">
        <v>0</v>
      </c>
      <c r="BN86" s="341">
        <v>0</v>
      </c>
      <c r="BO86" s="341">
        <v>0</v>
      </c>
      <c r="BP86" s="341">
        <v>0</v>
      </c>
      <c r="BQ86" s="341">
        <v>0</v>
      </c>
      <c r="BR86" s="341">
        <v>0</v>
      </c>
      <c r="BS86" s="341">
        <v>0</v>
      </c>
      <c r="BT86" s="20">
        <f t="shared" ca="1" si="323"/>
        <v>0</v>
      </c>
      <c r="BU86" s="20">
        <f t="shared" ca="1" si="323"/>
        <v>0</v>
      </c>
      <c r="BV86" s="20">
        <f t="shared" ca="1" si="323"/>
        <v>0</v>
      </c>
      <c r="BW86" s="20">
        <f t="shared" ca="1" si="323"/>
        <v>0</v>
      </c>
      <c r="BX86" s="20">
        <f t="shared" ca="1" si="323"/>
        <v>0</v>
      </c>
      <c r="BY86" s="20">
        <f t="shared" ca="1" si="323"/>
        <v>0</v>
      </c>
      <c r="BZ86" s="20">
        <f t="shared" ca="1" si="323"/>
        <v>0</v>
      </c>
      <c r="CA86" s="20">
        <f t="shared" ca="1" si="323"/>
        <v>0</v>
      </c>
      <c r="CB86" s="20">
        <f t="shared" ca="1" si="323"/>
        <v>0</v>
      </c>
      <c r="CC86" s="20">
        <f t="shared" ca="1" si="323"/>
        <v>0</v>
      </c>
      <c r="CD86" s="20">
        <f t="shared" ca="1" si="323"/>
        <v>0</v>
      </c>
      <c r="CE86" s="20">
        <f t="shared" ca="1" si="323"/>
        <v>0</v>
      </c>
      <c r="CF86" s="20">
        <f t="shared" ca="1" si="323"/>
        <v>0</v>
      </c>
      <c r="CG86" s="20">
        <f t="shared" ca="1" si="323"/>
        <v>0</v>
      </c>
      <c r="CH86" s="20">
        <f t="shared" ca="1" si="323"/>
        <v>0</v>
      </c>
      <c r="CI86" s="20">
        <f t="shared" ca="1" si="323"/>
        <v>0</v>
      </c>
      <c r="CJ86" s="20">
        <f t="shared" ca="1" si="318"/>
        <v>0</v>
      </c>
      <c r="CK86" s="20">
        <f t="shared" ca="1" si="318"/>
        <v>0</v>
      </c>
      <c r="CL86" s="20">
        <f t="shared" ca="1" si="318"/>
        <v>0</v>
      </c>
      <c r="CM86" s="34"/>
      <c r="CN86" s="20" t="str">
        <f t="shared" ca="1" si="319"/>
        <v/>
      </c>
      <c r="CO86" s="20" t="str">
        <f t="shared" ca="1" si="319"/>
        <v/>
      </c>
      <c r="CP86" s="20">
        <f t="shared" ca="1" si="319"/>
        <v>38</v>
      </c>
      <c r="CQ86" s="20" t="str">
        <f t="shared" ca="1" si="319"/>
        <v/>
      </c>
      <c r="CR86" s="20" t="str">
        <f t="shared" ca="1" si="319"/>
        <v/>
      </c>
      <c r="CS86" s="20" t="str">
        <f t="shared" ca="1" si="319"/>
        <v/>
      </c>
      <c r="CT86" s="20" t="str">
        <f t="shared" ca="1" si="319"/>
        <v/>
      </c>
      <c r="CU86" s="20" t="str">
        <f t="shared" ca="1" si="319"/>
        <v/>
      </c>
      <c r="CV86" s="20" t="str">
        <f t="shared" ca="1" si="319"/>
        <v/>
      </c>
      <c r="CW86" s="20" t="str">
        <f t="shared" ca="1" si="319"/>
        <v/>
      </c>
      <c r="CX86" s="20" t="str">
        <f t="shared" ca="1" si="319"/>
        <v/>
      </c>
      <c r="CY86" s="20" t="str">
        <f t="shared" ca="1" si="319"/>
        <v/>
      </c>
      <c r="CZ86" s="20" t="str">
        <f t="shared" ca="1" si="319"/>
        <v/>
      </c>
      <c r="DA86" s="20" t="str">
        <f t="shared" ca="1" si="319"/>
        <v/>
      </c>
      <c r="DB86" s="20" t="str">
        <f t="shared" ca="1" si="319"/>
        <v/>
      </c>
      <c r="DC86" s="20" t="str">
        <f t="shared" ca="1" si="319"/>
        <v/>
      </c>
      <c r="DD86" s="20" t="str">
        <f t="shared" ca="1" si="320"/>
        <v/>
      </c>
      <c r="DE86" s="20" t="str">
        <f t="shared" ca="1" si="320"/>
        <v/>
      </c>
      <c r="DF86" s="20" t="str">
        <f t="shared" ca="1" si="320"/>
        <v/>
      </c>
      <c r="DG86" s="34"/>
      <c r="DH86" s="20" t="str">
        <f t="shared" ca="1" si="321"/>
        <v/>
      </c>
      <c r="DI86" s="20" t="str">
        <f t="shared" ca="1" si="276"/>
        <v/>
      </c>
      <c r="DJ86" s="20">
        <f t="shared" ca="1" si="277"/>
        <v>8</v>
      </c>
      <c r="DK86" s="20" t="str">
        <f t="shared" ca="1" si="278"/>
        <v/>
      </c>
      <c r="DL86" s="20" t="str">
        <f t="shared" ca="1" si="279"/>
        <v/>
      </c>
      <c r="DM86" s="20" t="str">
        <f t="shared" ca="1" si="280"/>
        <v/>
      </c>
      <c r="DN86" s="20" t="str">
        <f t="shared" ca="1" si="281"/>
        <v/>
      </c>
      <c r="DO86" s="20" t="str">
        <f t="shared" ca="1" si="282"/>
        <v/>
      </c>
      <c r="DP86" s="20" t="str">
        <f t="shared" ca="1" si="283"/>
        <v/>
      </c>
      <c r="DQ86" s="20" t="str">
        <f t="shared" ca="1" si="284"/>
        <v/>
      </c>
      <c r="DR86" s="20" t="str">
        <f t="shared" ca="1" si="285"/>
        <v/>
      </c>
      <c r="DS86" s="20" t="str">
        <f t="shared" ca="1" si="286"/>
        <v/>
      </c>
      <c r="DT86" s="20" t="str">
        <f t="shared" ca="1" si="287"/>
        <v/>
      </c>
      <c r="DU86" s="20" t="str">
        <f t="shared" ca="1" si="288"/>
        <v/>
      </c>
      <c r="DV86" s="20" t="str">
        <f t="shared" ca="1" si="289"/>
        <v/>
      </c>
      <c r="DW86" s="20" t="str">
        <f t="shared" ca="1" si="290"/>
        <v/>
      </c>
      <c r="DX86" s="20" t="str">
        <f t="shared" ca="1" si="290"/>
        <v/>
      </c>
      <c r="DY86" s="20" t="str">
        <f t="shared" ca="1" si="290"/>
        <v/>
      </c>
      <c r="DZ86" s="20" t="str">
        <f t="shared" ca="1" si="290"/>
        <v/>
      </c>
      <c r="EA86" s="34"/>
      <c r="EB86" s="20" t="str">
        <f t="shared" ca="1" si="322"/>
        <v/>
      </c>
      <c r="EC86" s="20" t="str">
        <f t="shared" ca="1" si="292"/>
        <v/>
      </c>
      <c r="ED86" s="20" t="str">
        <f t="shared" ca="1" si="293"/>
        <v/>
      </c>
      <c r="EE86" s="20" t="str">
        <f t="shared" ca="1" si="294"/>
        <v/>
      </c>
      <c r="EF86" s="20" t="str">
        <f t="shared" ca="1" si="295"/>
        <v/>
      </c>
      <c r="EG86" s="20" t="str">
        <f t="shared" ca="1" si="296"/>
        <v/>
      </c>
      <c r="EH86" s="20" t="str">
        <f t="shared" ca="1" si="297"/>
        <v/>
      </c>
      <c r="EI86" s="20" t="str">
        <f t="shared" ca="1" si="298"/>
        <v/>
      </c>
      <c r="EJ86" s="20" t="str">
        <f t="shared" ca="1" si="299"/>
        <v/>
      </c>
      <c r="EK86" s="20" t="str">
        <f t="shared" ca="1" si="300"/>
        <v/>
      </c>
      <c r="EL86" s="20" t="str">
        <f t="shared" ca="1" si="301"/>
        <v/>
      </c>
      <c r="EM86" s="20" t="str">
        <f t="shared" ca="1" si="302"/>
        <v/>
      </c>
      <c r="EN86" s="20" t="str">
        <f t="shared" ca="1" si="303"/>
        <v/>
      </c>
      <c r="EO86" s="20" t="str">
        <f t="shared" ca="1" si="304"/>
        <v/>
      </c>
      <c r="EP86" s="20" t="str">
        <f t="shared" ca="1" si="305"/>
        <v/>
      </c>
      <c r="EQ86" s="20" t="str">
        <f t="shared" ca="1" si="306"/>
        <v/>
      </c>
      <c r="ER86" s="20" t="str">
        <f t="shared" ca="1" si="306"/>
        <v/>
      </c>
      <c r="ES86" s="20" t="str">
        <f t="shared" ca="1" si="306"/>
        <v/>
      </c>
      <c r="ET86" s="20" t="str">
        <f t="shared" ca="1" si="306"/>
        <v/>
      </c>
      <c r="EU86" s="34"/>
      <c r="EV86" s="20" t="str">
        <f t="shared" ca="1" si="325"/>
        <v/>
      </c>
      <c r="EW86" s="20" t="str">
        <f t="shared" ca="1" si="325"/>
        <v/>
      </c>
      <c r="EX86" s="20" t="str">
        <f t="shared" ca="1" si="325"/>
        <v/>
      </c>
      <c r="EY86" s="20" t="str">
        <f t="shared" ca="1" si="325"/>
        <v/>
      </c>
      <c r="EZ86" s="20" t="str">
        <f t="shared" ca="1" si="325"/>
        <v/>
      </c>
      <c r="FA86" s="20" t="str">
        <f t="shared" ca="1" si="325"/>
        <v/>
      </c>
      <c r="FB86" s="20" t="str">
        <f t="shared" ca="1" si="325"/>
        <v/>
      </c>
      <c r="FC86" s="20" t="str">
        <f t="shared" ca="1" si="325"/>
        <v/>
      </c>
      <c r="FD86" s="20" t="str">
        <f t="shared" ca="1" si="325"/>
        <v/>
      </c>
      <c r="FE86" s="20" t="str">
        <f t="shared" ca="1" si="325"/>
        <v/>
      </c>
      <c r="FF86" s="20" t="str">
        <f t="shared" ca="1" si="325"/>
        <v/>
      </c>
      <c r="FG86" s="20" t="str">
        <f t="shared" ca="1" si="325"/>
        <v/>
      </c>
      <c r="FH86" s="20" t="str">
        <f t="shared" ca="1" si="325"/>
        <v/>
      </c>
      <c r="FI86" s="20" t="str">
        <f t="shared" ca="1" si="325"/>
        <v/>
      </c>
      <c r="FJ86" s="20" t="str">
        <f t="shared" ca="1" si="325"/>
        <v/>
      </c>
      <c r="FK86" s="20" t="str">
        <f t="shared" ca="1" si="325"/>
        <v/>
      </c>
      <c r="FL86" s="20" t="str">
        <f t="shared" ca="1" si="326"/>
        <v/>
      </c>
      <c r="FM86" s="20" t="str">
        <f t="shared" ca="1" si="326"/>
        <v/>
      </c>
      <c r="FN86" s="20" t="str">
        <f t="shared" ca="1" si="326"/>
        <v/>
      </c>
      <c r="FO86" s="34"/>
      <c r="FP86" s="20" t="str">
        <f t="shared" ca="1" si="327"/>
        <v/>
      </c>
      <c r="FQ86" s="20" t="str">
        <f t="shared" ca="1" si="327"/>
        <v/>
      </c>
      <c r="FR86" s="20" t="str">
        <f t="shared" ca="1" si="327"/>
        <v>Hack Squad</v>
      </c>
      <c r="FS86" s="20" t="str">
        <f t="shared" ca="1" si="327"/>
        <v/>
      </c>
      <c r="FT86" s="20" t="str">
        <f t="shared" ca="1" si="327"/>
        <v/>
      </c>
      <c r="FU86" s="20" t="str">
        <f t="shared" ca="1" si="327"/>
        <v/>
      </c>
      <c r="FV86" s="20" t="str">
        <f t="shared" ca="1" si="327"/>
        <v/>
      </c>
      <c r="FW86" s="20" t="str">
        <f t="shared" ca="1" si="327"/>
        <v/>
      </c>
      <c r="FX86" s="20" t="str">
        <f t="shared" ca="1" si="327"/>
        <v/>
      </c>
      <c r="FY86" s="20" t="str">
        <f t="shared" ca="1" si="327"/>
        <v/>
      </c>
      <c r="FZ86" s="20" t="str">
        <f t="shared" ca="1" si="327"/>
        <v/>
      </c>
      <c r="GA86" s="20" t="str">
        <f t="shared" ca="1" si="327"/>
        <v/>
      </c>
      <c r="GB86" s="20" t="str">
        <f t="shared" ca="1" si="327"/>
        <v/>
      </c>
      <c r="GC86" s="20" t="str">
        <f t="shared" ca="1" si="327"/>
        <v/>
      </c>
      <c r="GD86" s="20" t="str">
        <f t="shared" ca="1" si="327"/>
        <v/>
      </c>
      <c r="GE86" s="20" t="str">
        <f t="shared" ca="1" si="327"/>
        <v/>
      </c>
      <c r="GF86" s="20" t="str">
        <f t="shared" ca="1" si="328"/>
        <v/>
      </c>
      <c r="GG86" s="20" t="str">
        <f t="shared" ca="1" si="328"/>
        <v/>
      </c>
      <c r="GH86" s="20" t="str">
        <f t="shared" ca="1" si="328"/>
        <v/>
      </c>
      <c r="GI86" s="34"/>
      <c r="HE86" s="34"/>
      <c r="HZ86" s="34"/>
      <c r="IA86" s="19" t="str">
        <f t="shared" ca="1" si="231"/>
        <v>No Hdcp</v>
      </c>
      <c r="IB86" s="19" t="str">
        <f t="shared" ca="1" si="232"/>
        <v>Low of score &amp; 48</v>
      </c>
      <c r="IC86" s="19" t="str">
        <f t="shared" ca="1" si="233"/>
        <v>Low of score &amp; 48</v>
      </c>
      <c r="ID86" s="18" t="str">
        <f t="shared" ca="1" si="234"/>
        <v>Low of score &amp; 48</v>
      </c>
      <c r="IE86" s="18" t="str">
        <f t="shared" ca="1" si="235"/>
        <v>Low of score &amp; 48</v>
      </c>
      <c r="IF86" s="18">
        <f t="shared" ca="1" si="236"/>
        <v>11.52</v>
      </c>
      <c r="IG86" s="353" t="e">
        <f t="shared" ca="1" si="237"/>
        <v>#NUM!</v>
      </c>
      <c r="IH86" s="18" t="e">
        <f t="shared" ca="1" si="238"/>
        <v>#NUM!</v>
      </c>
      <c r="II86" s="18" t="e">
        <f t="shared" ca="1" si="239"/>
        <v>#NUM!</v>
      </c>
      <c r="IJ86" s="18" t="e">
        <f t="shared" ca="1" si="240"/>
        <v>#NUM!</v>
      </c>
      <c r="IK86" s="18" t="e">
        <f t="shared" ca="1" si="241"/>
        <v>#NUM!</v>
      </c>
      <c r="IL86" s="34"/>
      <c r="IN86" s="18">
        <f t="shared" ca="1" si="242"/>
        <v>0</v>
      </c>
      <c r="IO86" s="18">
        <f t="shared" ca="1" si="243"/>
        <v>0</v>
      </c>
      <c r="IP86" s="18">
        <f t="shared" ca="1" si="244"/>
        <v>0</v>
      </c>
      <c r="IQ86" s="18">
        <f t="shared" ca="1" si="245"/>
        <v>0</v>
      </c>
      <c r="IR86" s="18">
        <f t="shared" ca="1" si="246"/>
        <v>0</v>
      </c>
      <c r="IS86" s="18">
        <f t="shared" ca="1" si="247"/>
        <v>0</v>
      </c>
      <c r="IT86" s="18">
        <f t="shared" ca="1" si="248"/>
        <v>0</v>
      </c>
      <c r="IU86" s="18">
        <f t="shared" ca="1" si="249"/>
        <v>0</v>
      </c>
      <c r="IV86" s="18">
        <f t="shared" ca="1" si="250"/>
        <v>0</v>
      </c>
      <c r="IW86" s="18">
        <f t="shared" ca="1" si="251"/>
        <v>0</v>
      </c>
      <c r="IX86" s="19">
        <f t="shared" ca="1" si="252"/>
        <v>10</v>
      </c>
      <c r="IY86" s="21">
        <f t="shared" ca="1" si="253"/>
        <v>-34.56</v>
      </c>
      <c r="JA86" s="18" t="str">
        <f t="shared" ca="1" si="254"/>
        <v>No Hdcp</v>
      </c>
      <c r="JB86" s="18" t="str">
        <f t="shared" ca="1" si="255"/>
        <v>Low of score &amp; 0</v>
      </c>
      <c r="JC86" s="18" t="str">
        <f t="shared" ca="1" si="256"/>
        <v>Low of score &amp; 0</v>
      </c>
      <c r="JD86" s="18" t="str">
        <f t="shared" ca="1" si="257"/>
        <v>Low of score &amp; 0</v>
      </c>
      <c r="JE86" s="18" t="str">
        <f t="shared" ca="1" si="258"/>
        <v>Low of score &amp; 0</v>
      </c>
      <c r="JF86" s="18">
        <f t="shared" ca="1" si="259"/>
        <v>-34.56</v>
      </c>
      <c r="JG86" s="18">
        <f t="shared" ca="1" si="260"/>
        <v>-34.56</v>
      </c>
      <c r="JH86" s="18">
        <f t="shared" ca="1" si="261"/>
        <v>-34.56</v>
      </c>
      <c r="JI86" s="18">
        <f t="shared" ca="1" si="262"/>
        <v>-34.56</v>
      </c>
      <c r="JJ86" s="18">
        <f t="shared" ca="1" si="263"/>
        <v>-34.56</v>
      </c>
      <c r="JK86" s="18">
        <f t="shared" ca="1" si="264"/>
        <v>-34.56</v>
      </c>
    </row>
    <row r="87" spans="1:271" x14ac:dyDescent="0.2">
      <c r="A87" s="18" t="s">
        <v>76</v>
      </c>
      <c r="B87" s="19">
        <f t="shared" si="311"/>
        <v>189</v>
      </c>
      <c r="C87" s="22">
        <f t="shared" ca="1" si="206"/>
        <v>8.8000000000000005E-3</v>
      </c>
      <c r="D87" s="18" t="str">
        <f t="shared" ca="1" si="265"/>
        <v>Schloss, Rich</v>
      </c>
      <c r="E87" s="19">
        <f t="shared" ca="1" si="207"/>
        <v>1</v>
      </c>
      <c r="F87" s="19">
        <f t="shared" ref="F87:F92" ca="1" si="329">IF(D87&lt;&gt;"",COUNT($H87:$Q87),"")</f>
        <v>1</v>
      </c>
      <c r="G87" s="21" t="str">
        <f t="shared" ca="1" si="209"/>
        <v>Low of score &amp; 64</v>
      </c>
      <c r="H87" s="337" cm="1">
        <f t="array" aca="1" ref="H87" ca="1">IFERROR(_xlfn.SINGLE(INDEX($AF87:$BH87, , SUMPRODUCT(LARGE((($AF87:$BH87&lt;&gt;0)*($BJ87:$CL87&lt;&gt;1)*($AF$5:$BH$5)), H$6)))), "")</f>
        <v>64</v>
      </c>
      <c r="I87" s="338" t="str" cm="1">
        <f t="array" aca="1" ref="I87" ca="1">IFERROR(_xlfn.SINGLE(INDEX($AF87:$BH87, , SUMPRODUCT(LARGE((($AF87:$BH87&lt;&gt;0)*($BJ87:$CL87&lt;&gt;1)*($AF$5:$BH$5)), I$6)))), "")</f>
        <v/>
      </c>
      <c r="J87" s="338" t="str" cm="1">
        <f t="array" aca="1" ref="J87" ca="1">IFERROR(_xlfn.SINGLE(INDEX($AF87:$BH87, , SUMPRODUCT(LARGE((($AF87:$BH87&lt;&gt;0)*($BJ87:$CL87&lt;&gt;1)*($AF$5:$BH$5)), J$6)))), "")</f>
        <v/>
      </c>
      <c r="K87" s="338" t="str" cm="1">
        <f t="array" aca="1" ref="K87" ca="1">IFERROR(_xlfn.SINGLE(INDEX($AF87:$BH87, , SUMPRODUCT(LARGE((($AF87:$BH87&lt;&gt;0)*($BJ87:$CL87&lt;&gt;1)*($AF$5:$BH$5)), K$6)))), "")</f>
        <v/>
      </c>
      <c r="L87" s="338" t="str" cm="1">
        <f t="array" aca="1" ref="L87" ca="1">IFERROR(_xlfn.SINGLE(INDEX($AF87:$BH87, , SUMPRODUCT(LARGE((($AF87:$BH87&lt;&gt;0)*($BJ87:$CL87&lt;&gt;1)*($AF$5:$BH$5)), L$6)))), "")</f>
        <v/>
      </c>
      <c r="M87" s="338" t="str" cm="1">
        <f t="array" aca="1" ref="M87" ca="1">IFERROR(_xlfn.SINGLE(INDEX($AF87:$BH87, , SUMPRODUCT(LARGE((($AF87:$BH87&lt;&gt;0)*($BJ87:$CL87&lt;&gt;1)*($AF$5:$BH$5)), M$6)))), "")</f>
        <v/>
      </c>
      <c r="N87" s="338" t="str" cm="1">
        <f t="array" aca="1" ref="N87" ca="1">IFERROR(_xlfn.SINGLE(INDEX($AF87:$BH87, , SUMPRODUCT(LARGE((($AF87:$BH87&lt;&gt;0)*($BJ87:$CL87&lt;&gt;1)*($AF$5:$BH$5)), N$6)))), "")</f>
        <v/>
      </c>
      <c r="O87" s="338" t="str" cm="1">
        <f t="array" aca="1" ref="O87" ca="1">IFERROR(_xlfn.SINGLE(INDEX($AF87:$BH87, , SUMPRODUCT(LARGE((($AF87:$BH87&lt;&gt;0)*($BJ87:$CL87&lt;&gt;1)*($AF$5:$BH$5)), O$6)))), "")</f>
        <v/>
      </c>
      <c r="P87" s="338" t="str" cm="1">
        <f t="array" aca="1" ref="P87" ca="1">IFERROR(_xlfn.SINGLE(INDEX($AF87:$BH87, , SUMPRODUCT(LARGE((($AF87:$BH87&lt;&gt;0)*($BJ87:$CL87&lt;&gt;1)*($AF$5:$BH$5)), P$6)))), "")</f>
        <v/>
      </c>
      <c r="Q87" s="339" t="str" cm="1">
        <f t="array" aca="1" ref="Q87" ca="1">IFERROR(_xlfn.SINGLE(INDEX($AF87:$BH87, , SUMPRODUCT(LARGE((($AF87:$BH87&lt;&gt;0)*($BJ87:$CL87&lt;&gt;1)*($AF$5:$BH$5)), Q$6)))), "")</f>
        <v/>
      </c>
      <c r="R87" s="116">
        <v>48.22</v>
      </c>
      <c r="S87" s="47" t="str">
        <f t="shared" ca="1" si="210"/>
        <v>-</v>
      </c>
      <c r="T87" s="21" t="str">
        <f t="shared" ca="1" si="211"/>
        <v>64.00*</v>
      </c>
      <c r="U87" s="21" t="str">
        <f t="shared" ca="1" si="212"/>
        <v>44.00*</v>
      </c>
      <c r="V87" s="46">
        <f t="shared" ca="1" si="213"/>
        <v>64</v>
      </c>
      <c r="W87" s="19">
        <f t="shared" ca="1" si="214"/>
        <v>44</v>
      </c>
      <c r="X87" s="46">
        <f t="shared" ca="1" si="215"/>
        <v>4</v>
      </c>
      <c r="Y87" s="21" t="str">
        <f t="shared" ca="1" si="216"/>
        <v>4.00*</v>
      </c>
      <c r="Z87" s="19">
        <f t="shared" ca="1" si="217"/>
        <v>0</v>
      </c>
      <c r="AA87" s="19">
        <f t="shared" ca="1" si="218"/>
        <v>0</v>
      </c>
      <c r="AB87" s="46" t="str">
        <f t="shared" ca="1" si="219"/>
        <v>0-0-0</v>
      </c>
      <c r="AC87" s="218">
        <f t="shared" ca="1" si="273"/>
        <v>0</v>
      </c>
      <c r="AD87" s="57">
        <f t="shared" ca="1" si="274"/>
        <v>0</v>
      </c>
      <c r="AE87" s="34"/>
      <c r="AF87" s="341">
        <f ca="1">INDEX(PriorScores[],MATCH($D87,PriorScores[Team / Player],0),2)</f>
        <v>0</v>
      </c>
      <c r="AG87" s="341">
        <f ca="1">INDEX(PriorScores[],MATCH($D87,PriorScores[Team / Player],0),3)</f>
        <v>0</v>
      </c>
      <c r="AH87" s="341">
        <f ca="1">INDEX(PriorScores[],MATCH($D87,PriorScores[Team / Player],0),4)</f>
        <v>0</v>
      </c>
      <c r="AI87" s="341">
        <f ca="1">INDEX(PriorScores[],MATCH($D87,PriorScores[Team / Player],0),5)</f>
        <v>0</v>
      </c>
      <c r="AJ87" s="341">
        <f ca="1">INDEX(PriorScores[],MATCH($D87,PriorScores[Team / Player],0),6)</f>
        <v>0</v>
      </c>
      <c r="AK87" s="341">
        <f ca="1">INDEX(PriorScores[],MATCH($D87,PriorScores[Team / Player],0),7)</f>
        <v>0</v>
      </c>
      <c r="AL87" s="341">
        <f ca="1">INDEX(PriorScores[],MATCH($D87,PriorScores[Team / Player],0),8)</f>
        <v>0</v>
      </c>
      <c r="AM87" s="341">
        <f ca="1">INDEX(PriorScores[],MATCH($D87,PriorScores[Team / Player],0),9)</f>
        <v>0</v>
      </c>
      <c r="AN87" s="341">
        <f ca="1">INDEX(PriorScores[],MATCH($D87,PriorScores[Team / Player],0),10)</f>
        <v>0</v>
      </c>
      <c r="AO87" s="341">
        <f ca="1">INDEX(PriorScores[],MATCH($D87,PriorScores[Team / Player],0),11)</f>
        <v>0</v>
      </c>
      <c r="AP87" s="20">
        <f t="shared" ca="1" si="316"/>
        <v>0</v>
      </c>
      <c r="AQ87" s="20">
        <f t="shared" ca="1" si="316"/>
        <v>64</v>
      </c>
      <c r="AR87" s="20">
        <f t="shared" ca="1" si="316"/>
        <v>0</v>
      </c>
      <c r="AS87" s="20">
        <f t="shared" ca="1" si="316"/>
        <v>0</v>
      </c>
      <c r="AT87" s="20">
        <f t="shared" ca="1" si="316"/>
        <v>0</v>
      </c>
      <c r="AU87" s="20">
        <f t="shared" ca="1" si="316"/>
        <v>0</v>
      </c>
      <c r="AV87" s="20">
        <f t="shared" ca="1" si="316"/>
        <v>0</v>
      </c>
      <c r="AW87" s="20">
        <f t="shared" ca="1" si="316"/>
        <v>0</v>
      </c>
      <c r="AX87" s="20">
        <f t="shared" ca="1" si="316"/>
        <v>0</v>
      </c>
      <c r="AY87" s="20">
        <f t="shared" ca="1" si="316"/>
        <v>0</v>
      </c>
      <c r="AZ87" s="20">
        <f t="shared" ca="1" si="316"/>
        <v>0</v>
      </c>
      <c r="BA87" s="20">
        <f t="shared" ca="1" si="317"/>
        <v>0</v>
      </c>
      <c r="BB87" s="20">
        <f t="shared" ca="1" si="317"/>
        <v>0</v>
      </c>
      <c r="BC87" s="20">
        <f t="shared" ca="1" si="317"/>
        <v>0</v>
      </c>
      <c r="BD87" s="20">
        <f t="shared" ca="1" si="317"/>
        <v>0</v>
      </c>
      <c r="BE87" s="20">
        <f t="shared" ca="1" si="317"/>
        <v>0</v>
      </c>
      <c r="BF87" s="20">
        <f t="shared" ca="1" si="317"/>
        <v>0</v>
      </c>
      <c r="BG87" s="20">
        <f t="shared" ca="1" si="317"/>
        <v>0</v>
      </c>
      <c r="BH87" s="20">
        <f t="shared" ca="1" si="317"/>
        <v>0</v>
      </c>
      <c r="BI87" s="34"/>
      <c r="BJ87" s="341">
        <v>0</v>
      </c>
      <c r="BK87" s="341">
        <v>0</v>
      </c>
      <c r="BL87" s="341">
        <v>0</v>
      </c>
      <c r="BM87" s="341">
        <v>0</v>
      </c>
      <c r="BN87" s="341">
        <v>0</v>
      </c>
      <c r="BO87" s="341">
        <v>0</v>
      </c>
      <c r="BP87" s="341">
        <v>0</v>
      </c>
      <c r="BQ87" s="341">
        <v>0</v>
      </c>
      <c r="BR87" s="341">
        <v>0</v>
      </c>
      <c r="BS87" s="341">
        <v>0</v>
      </c>
      <c r="BT87" s="20">
        <f t="shared" ca="1" si="323"/>
        <v>0</v>
      </c>
      <c r="BU87" s="20">
        <f t="shared" ca="1" si="323"/>
        <v>0</v>
      </c>
      <c r="BV87" s="20">
        <f t="shared" ca="1" si="323"/>
        <v>0</v>
      </c>
      <c r="BW87" s="20">
        <f t="shared" ca="1" si="323"/>
        <v>0</v>
      </c>
      <c r="BX87" s="20">
        <f t="shared" ca="1" si="323"/>
        <v>0</v>
      </c>
      <c r="BY87" s="20">
        <f t="shared" ca="1" si="323"/>
        <v>0</v>
      </c>
      <c r="BZ87" s="20">
        <f t="shared" ca="1" si="323"/>
        <v>0</v>
      </c>
      <c r="CA87" s="20">
        <f t="shared" ca="1" si="323"/>
        <v>0</v>
      </c>
      <c r="CB87" s="20">
        <f t="shared" ca="1" si="323"/>
        <v>0</v>
      </c>
      <c r="CC87" s="20">
        <f t="shared" ca="1" si="323"/>
        <v>0</v>
      </c>
      <c r="CD87" s="20">
        <f t="shared" ca="1" si="323"/>
        <v>0</v>
      </c>
      <c r="CE87" s="20">
        <f t="shared" ca="1" si="323"/>
        <v>0</v>
      </c>
      <c r="CF87" s="20">
        <f t="shared" ca="1" si="323"/>
        <v>0</v>
      </c>
      <c r="CG87" s="20">
        <f t="shared" ca="1" si="323"/>
        <v>0</v>
      </c>
      <c r="CH87" s="20">
        <f t="shared" ca="1" si="323"/>
        <v>0</v>
      </c>
      <c r="CI87" s="20">
        <f t="shared" ca="1" si="323"/>
        <v>0</v>
      </c>
      <c r="CJ87" s="20">
        <f t="shared" ca="1" si="318"/>
        <v>0</v>
      </c>
      <c r="CK87" s="20">
        <f t="shared" ca="1" si="318"/>
        <v>0</v>
      </c>
      <c r="CL87" s="20">
        <f t="shared" ca="1" si="318"/>
        <v>0</v>
      </c>
      <c r="CM87" s="34"/>
      <c r="CN87" s="20" t="str">
        <f t="shared" ca="1" si="319"/>
        <v/>
      </c>
      <c r="CO87" s="20">
        <f t="shared" ca="1" si="319"/>
        <v>44</v>
      </c>
      <c r="CP87" s="20" t="str">
        <f t="shared" ca="1" si="319"/>
        <v/>
      </c>
      <c r="CQ87" s="20" t="str">
        <f t="shared" ca="1" si="319"/>
        <v/>
      </c>
      <c r="CR87" s="20" t="str">
        <f t="shared" ca="1" si="319"/>
        <v/>
      </c>
      <c r="CS87" s="20" t="str">
        <f t="shared" ca="1" si="319"/>
        <v/>
      </c>
      <c r="CT87" s="20" t="str">
        <f t="shared" ca="1" si="319"/>
        <v/>
      </c>
      <c r="CU87" s="20" t="str">
        <f t="shared" ca="1" si="319"/>
        <v/>
      </c>
      <c r="CV87" s="20" t="str">
        <f t="shared" ca="1" si="319"/>
        <v/>
      </c>
      <c r="CW87" s="20" t="str">
        <f t="shared" ca="1" si="319"/>
        <v/>
      </c>
      <c r="CX87" s="20" t="str">
        <f t="shared" ca="1" si="319"/>
        <v/>
      </c>
      <c r="CY87" s="20" t="str">
        <f t="shared" ca="1" si="319"/>
        <v/>
      </c>
      <c r="CZ87" s="20" t="str">
        <f t="shared" ca="1" si="319"/>
        <v/>
      </c>
      <c r="DA87" s="20" t="str">
        <f t="shared" ca="1" si="319"/>
        <v/>
      </c>
      <c r="DB87" s="20" t="str">
        <f t="shared" ca="1" si="319"/>
        <v/>
      </c>
      <c r="DC87" s="20" t="str">
        <f t="shared" ca="1" si="319"/>
        <v/>
      </c>
      <c r="DD87" s="20" t="str">
        <f t="shared" ca="1" si="320"/>
        <v/>
      </c>
      <c r="DE87" s="20" t="str">
        <f t="shared" ca="1" si="320"/>
        <v/>
      </c>
      <c r="DF87" s="20" t="str">
        <f t="shared" ca="1" si="320"/>
        <v/>
      </c>
      <c r="DG87" s="34"/>
      <c r="DH87" s="20" t="str">
        <f t="shared" ca="1" si="321"/>
        <v/>
      </c>
      <c r="DI87" s="20">
        <f t="shared" ca="1" si="276"/>
        <v>4</v>
      </c>
      <c r="DJ87" s="20" t="str">
        <f t="shared" ca="1" si="277"/>
        <v/>
      </c>
      <c r="DK87" s="20" t="str">
        <f t="shared" ca="1" si="278"/>
        <v/>
      </c>
      <c r="DL87" s="20" t="str">
        <f t="shared" ca="1" si="279"/>
        <v/>
      </c>
      <c r="DM87" s="20" t="str">
        <f t="shared" ca="1" si="280"/>
        <v/>
      </c>
      <c r="DN87" s="20" t="str">
        <f t="shared" ca="1" si="281"/>
        <v/>
      </c>
      <c r="DO87" s="20" t="str">
        <f t="shared" ca="1" si="282"/>
        <v/>
      </c>
      <c r="DP87" s="20" t="str">
        <f t="shared" ca="1" si="283"/>
        <v/>
      </c>
      <c r="DQ87" s="20" t="str">
        <f t="shared" ca="1" si="284"/>
        <v/>
      </c>
      <c r="DR87" s="20" t="str">
        <f t="shared" ca="1" si="285"/>
        <v/>
      </c>
      <c r="DS87" s="20" t="str">
        <f t="shared" ca="1" si="286"/>
        <v/>
      </c>
      <c r="DT87" s="20" t="str">
        <f t="shared" ca="1" si="287"/>
        <v/>
      </c>
      <c r="DU87" s="20" t="str">
        <f t="shared" ca="1" si="288"/>
        <v/>
      </c>
      <c r="DV87" s="20" t="str">
        <f t="shared" ca="1" si="289"/>
        <v/>
      </c>
      <c r="DW87" s="20" t="str">
        <f t="shared" ca="1" si="290"/>
        <v/>
      </c>
      <c r="DX87" s="20" t="str">
        <f t="shared" ca="1" si="290"/>
        <v/>
      </c>
      <c r="DY87" s="20" t="str">
        <f t="shared" ca="1" si="290"/>
        <v/>
      </c>
      <c r="DZ87" s="20" t="str">
        <f t="shared" ca="1" si="290"/>
        <v/>
      </c>
      <c r="EA87" s="34"/>
      <c r="EB87" s="20" t="str">
        <f t="shared" ca="1" si="322"/>
        <v/>
      </c>
      <c r="EC87" s="20" t="str">
        <f t="shared" ca="1" si="292"/>
        <v/>
      </c>
      <c r="ED87" s="20" t="str">
        <f t="shared" ca="1" si="293"/>
        <v/>
      </c>
      <c r="EE87" s="20" t="str">
        <f t="shared" ca="1" si="294"/>
        <v/>
      </c>
      <c r="EF87" s="20" t="str">
        <f t="shared" ca="1" si="295"/>
        <v/>
      </c>
      <c r="EG87" s="20" t="str">
        <f t="shared" ca="1" si="296"/>
        <v/>
      </c>
      <c r="EH87" s="20" t="str">
        <f t="shared" ca="1" si="297"/>
        <v/>
      </c>
      <c r="EI87" s="20" t="str">
        <f t="shared" ca="1" si="298"/>
        <v/>
      </c>
      <c r="EJ87" s="20" t="str">
        <f t="shared" ca="1" si="299"/>
        <v/>
      </c>
      <c r="EK87" s="20" t="str">
        <f t="shared" ca="1" si="300"/>
        <v/>
      </c>
      <c r="EL87" s="20" t="str">
        <f t="shared" ca="1" si="301"/>
        <v/>
      </c>
      <c r="EM87" s="20" t="str">
        <f t="shared" ca="1" si="302"/>
        <v/>
      </c>
      <c r="EN87" s="20" t="str">
        <f t="shared" ca="1" si="303"/>
        <v/>
      </c>
      <c r="EO87" s="20" t="str">
        <f t="shared" ca="1" si="304"/>
        <v/>
      </c>
      <c r="EP87" s="20" t="str">
        <f t="shared" ca="1" si="305"/>
        <v/>
      </c>
      <c r="EQ87" s="20" t="str">
        <f t="shared" ca="1" si="306"/>
        <v/>
      </c>
      <c r="ER87" s="20" t="str">
        <f t="shared" ca="1" si="306"/>
        <v/>
      </c>
      <c r="ES87" s="20" t="str">
        <f t="shared" ca="1" si="306"/>
        <v/>
      </c>
      <c r="ET87" s="20" t="str">
        <f t="shared" ca="1" si="306"/>
        <v/>
      </c>
      <c r="EU87" s="34"/>
      <c r="EV87" s="20" t="str">
        <f t="shared" ca="1" si="325"/>
        <v/>
      </c>
      <c r="EW87" s="20" t="str">
        <f t="shared" ca="1" si="325"/>
        <v/>
      </c>
      <c r="EX87" s="20" t="str">
        <f t="shared" ca="1" si="325"/>
        <v/>
      </c>
      <c r="EY87" s="20" t="str">
        <f t="shared" ca="1" si="325"/>
        <v/>
      </c>
      <c r="EZ87" s="20" t="str">
        <f t="shared" ca="1" si="325"/>
        <v/>
      </c>
      <c r="FA87" s="20" t="str">
        <f t="shared" ca="1" si="325"/>
        <v/>
      </c>
      <c r="FB87" s="20" t="str">
        <f t="shared" ca="1" si="325"/>
        <v/>
      </c>
      <c r="FC87" s="20" t="str">
        <f t="shared" ca="1" si="325"/>
        <v/>
      </c>
      <c r="FD87" s="20" t="str">
        <f t="shared" ca="1" si="325"/>
        <v/>
      </c>
      <c r="FE87" s="20" t="str">
        <f t="shared" ca="1" si="325"/>
        <v/>
      </c>
      <c r="FF87" s="20" t="str">
        <f t="shared" ca="1" si="325"/>
        <v/>
      </c>
      <c r="FG87" s="20" t="str">
        <f t="shared" ca="1" si="325"/>
        <v/>
      </c>
      <c r="FH87" s="20" t="str">
        <f t="shared" ca="1" si="325"/>
        <v/>
      </c>
      <c r="FI87" s="20" t="str">
        <f t="shared" ca="1" si="325"/>
        <v/>
      </c>
      <c r="FJ87" s="20" t="str">
        <f t="shared" ca="1" si="325"/>
        <v/>
      </c>
      <c r="FK87" s="20" t="str">
        <f t="shared" ca="1" si="325"/>
        <v/>
      </c>
      <c r="FL87" s="20" t="str">
        <f t="shared" ca="1" si="326"/>
        <v/>
      </c>
      <c r="FM87" s="20" t="str">
        <f t="shared" ca="1" si="326"/>
        <v/>
      </c>
      <c r="FN87" s="20" t="str">
        <f t="shared" ca="1" si="326"/>
        <v/>
      </c>
      <c r="FO87" s="34"/>
      <c r="FP87" s="20" t="str">
        <f t="shared" ca="1" si="327"/>
        <v/>
      </c>
      <c r="FQ87" s="20" t="str">
        <f t="shared" ca="1" si="327"/>
        <v>Hack Squad</v>
      </c>
      <c r="FR87" s="20" t="str">
        <f t="shared" ca="1" si="327"/>
        <v/>
      </c>
      <c r="FS87" s="20" t="str">
        <f t="shared" ca="1" si="327"/>
        <v/>
      </c>
      <c r="FT87" s="20" t="str">
        <f t="shared" ca="1" si="327"/>
        <v/>
      </c>
      <c r="FU87" s="20" t="str">
        <f t="shared" ca="1" si="327"/>
        <v/>
      </c>
      <c r="FV87" s="20" t="str">
        <f t="shared" ca="1" si="327"/>
        <v/>
      </c>
      <c r="FW87" s="20" t="str">
        <f t="shared" ca="1" si="327"/>
        <v/>
      </c>
      <c r="FX87" s="20" t="str">
        <f t="shared" ca="1" si="327"/>
        <v/>
      </c>
      <c r="FY87" s="20" t="str">
        <f t="shared" ca="1" si="327"/>
        <v/>
      </c>
      <c r="FZ87" s="20" t="str">
        <f t="shared" ca="1" si="327"/>
        <v/>
      </c>
      <c r="GA87" s="20" t="str">
        <f t="shared" ca="1" si="327"/>
        <v/>
      </c>
      <c r="GB87" s="20" t="str">
        <f t="shared" ca="1" si="327"/>
        <v/>
      </c>
      <c r="GC87" s="20" t="str">
        <f t="shared" ca="1" si="327"/>
        <v/>
      </c>
      <c r="GD87" s="20" t="str">
        <f t="shared" ca="1" si="327"/>
        <v/>
      </c>
      <c r="GE87" s="20" t="str">
        <f t="shared" ca="1" si="327"/>
        <v/>
      </c>
      <c r="GF87" s="20" t="str">
        <f t="shared" ca="1" si="328"/>
        <v/>
      </c>
      <c r="GG87" s="20" t="str">
        <f t="shared" ca="1" si="328"/>
        <v/>
      </c>
      <c r="GH87" s="20" t="str">
        <f t="shared" ca="1" si="328"/>
        <v/>
      </c>
      <c r="GI87" s="34"/>
      <c r="HE87" s="34"/>
      <c r="HZ87" s="34"/>
      <c r="IA87" s="19" t="str">
        <f t="shared" ref="IA87:IA92" ca="1" si="330">IF(D87&lt;&gt;"","No Hdcp","")</f>
        <v>No Hdcp</v>
      </c>
      <c r="IB87" s="19" t="str">
        <f t="shared" ca="1" si="232"/>
        <v>Low of score &amp; 64</v>
      </c>
      <c r="IC87" s="19" t="str">
        <f t="shared" ca="1" si="233"/>
        <v>Low of score &amp; 64</v>
      </c>
      <c r="ID87" s="18" t="str">
        <f t="shared" ca="1" si="234"/>
        <v>Low of score &amp; 64</v>
      </c>
      <c r="IE87" s="18" t="str">
        <f t="shared" ca="1" si="235"/>
        <v>Low of score &amp; 64</v>
      </c>
      <c r="IF87" s="18">
        <f t="shared" ca="1" si="236"/>
        <v>20</v>
      </c>
      <c r="IG87" s="353" t="e">
        <f t="shared" ca="1" si="237"/>
        <v>#NUM!</v>
      </c>
      <c r="IH87" s="18" t="e">
        <f t="shared" ca="1" si="238"/>
        <v>#NUM!</v>
      </c>
      <c r="II87" s="18" t="e">
        <f t="shared" ca="1" si="239"/>
        <v>#NUM!</v>
      </c>
      <c r="IJ87" s="18" t="e">
        <f t="shared" ca="1" si="240"/>
        <v>#NUM!</v>
      </c>
      <c r="IK87" s="18" t="e">
        <f t="shared" ca="1" si="241"/>
        <v>#NUM!</v>
      </c>
      <c r="IL87" s="34"/>
    </row>
    <row r="88" spans="1:271" x14ac:dyDescent="0.2">
      <c r="A88" s="18" t="s">
        <v>76</v>
      </c>
      <c r="B88" s="19">
        <f t="shared" si="311"/>
        <v>197</v>
      </c>
      <c r="C88" s="22">
        <f t="shared" ca="1" si="206"/>
        <v>9.1999999999999998E-3</v>
      </c>
      <c r="D88" s="18" t="str">
        <f t="shared" ca="1" si="265"/>
        <v>Shrestha, Bishnu</v>
      </c>
      <c r="E88" s="19">
        <f t="shared" ca="1" si="207"/>
        <v>1</v>
      </c>
      <c r="F88" s="19">
        <f t="shared" ca="1" si="329"/>
        <v>1</v>
      </c>
      <c r="G88" s="21" t="str">
        <f t="shared" ca="1" si="209"/>
        <v>Low of score &amp; 60</v>
      </c>
      <c r="H88" s="337" cm="1">
        <f t="array" aca="1" ref="H88" ca="1">IFERROR(_xlfn.SINGLE(INDEX($AF88:$BH88, , SUMPRODUCT(LARGE((($AF88:$BH88&lt;&gt;0)*($BJ88:$CL88&lt;&gt;1)*($AF$5:$BH$5)), H$6)))), "")</f>
        <v>60</v>
      </c>
      <c r="I88" s="338" t="str" cm="1">
        <f t="array" aca="1" ref="I88" ca="1">IFERROR(_xlfn.SINGLE(INDEX($AF88:$BH88, , SUMPRODUCT(LARGE((($AF88:$BH88&lt;&gt;0)*($BJ88:$CL88&lt;&gt;1)*($AF$5:$BH$5)), I$6)))), "")</f>
        <v/>
      </c>
      <c r="J88" s="338" t="str" cm="1">
        <f t="array" aca="1" ref="J88" ca="1">IFERROR(_xlfn.SINGLE(INDEX($AF88:$BH88, , SUMPRODUCT(LARGE((($AF88:$BH88&lt;&gt;0)*($BJ88:$CL88&lt;&gt;1)*($AF$5:$BH$5)), J$6)))), "")</f>
        <v/>
      </c>
      <c r="K88" s="338" t="str" cm="1">
        <f t="array" aca="1" ref="K88" ca="1">IFERROR(_xlfn.SINGLE(INDEX($AF88:$BH88, , SUMPRODUCT(LARGE((($AF88:$BH88&lt;&gt;0)*($BJ88:$CL88&lt;&gt;1)*($AF$5:$BH$5)), K$6)))), "")</f>
        <v/>
      </c>
      <c r="L88" s="338" t="str" cm="1">
        <f t="array" aca="1" ref="L88" ca="1">IFERROR(_xlfn.SINGLE(INDEX($AF88:$BH88, , SUMPRODUCT(LARGE((($AF88:$BH88&lt;&gt;0)*($BJ88:$CL88&lt;&gt;1)*($AF$5:$BH$5)), L$6)))), "")</f>
        <v/>
      </c>
      <c r="M88" s="338" t="str" cm="1">
        <f t="array" aca="1" ref="M88" ca="1">IFERROR(_xlfn.SINGLE(INDEX($AF88:$BH88, , SUMPRODUCT(LARGE((($AF88:$BH88&lt;&gt;0)*($BJ88:$CL88&lt;&gt;1)*($AF$5:$BH$5)), M$6)))), "")</f>
        <v/>
      </c>
      <c r="N88" s="338" t="str" cm="1">
        <f t="array" aca="1" ref="N88" ca="1">IFERROR(_xlfn.SINGLE(INDEX($AF88:$BH88, , SUMPRODUCT(LARGE((($AF88:$BH88&lt;&gt;0)*($BJ88:$CL88&lt;&gt;1)*($AF$5:$BH$5)), N$6)))), "")</f>
        <v/>
      </c>
      <c r="O88" s="338" t="str" cm="1">
        <f t="array" aca="1" ref="O88" ca="1">IFERROR(_xlfn.SINGLE(INDEX($AF88:$BH88, , SUMPRODUCT(LARGE((($AF88:$BH88&lt;&gt;0)*($BJ88:$CL88&lt;&gt;1)*($AF$5:$BH$5)), O$6)))), "")</f>
        <v/>
      </c>
      <c r="P88" s="338" t="str" cm="1">
        <f t="array" aca="1" ref="P88" ca="1">IFERROR(_xlfn.SINGLE(INDEX($AF88:$BH88, , SUMPRODUCT(LARGE((($AF88:$BH88&lt;&gt;0)*($BJ88:$CL88&lt;&gt;1)*($AF$5:$BH$5)), P$6)))), "")</f>
        <v/>
      </c>
      <c r="Q88" s="339" t="str" cm="1">
        <f t="array" aca="1" ref="Q88" ca="1">IFERROR(_xlfn.SINGLE(INDEX($AF88:$BH88, , SUMPRODUCT(LARGE((($AF88:$BH88&lt;&gt;0)*($BJ88:$CL88&lt;&gt;1)*($AF$5:$BH$5)), Q$6)))), "")</f>
        <v/>
      </c>
      <c r="R88" s="116">
        <v>49.22</v>
      </c>
      <c r="S88" s="47" t="str">
        <f t="shared" ca="1" si="210"/>
        <v>-</v>
      </c>
      <c r="T88" s="21" t="str">
        <f t="shared" ca="1" si="211"/>
        <v>60.00*</v>
      </c>
      <c r="U88" s="21" t="str">
        <f t="shared" ca="1" si="212"/>
        <v>40.00*</v>
      </c>
      <c r="V88" s="46">
        <f t="shared" ca="1" si="213"/>
        <v>60</v>
      </c>
      <c r="W88" s="19">
        <f t="shared" ca="1" si="214"/>
        <v>40</v>
      </c>
      <c r="X88" s="46">
        <f t="shared" ca="1" si="215"/>
        <v>22</v>
      </c>
      <c r="Y88" s="21" t="str">
        <f t="shared" ca="1" si="216"/>
        <v>11.00*</v>
      </c>
      <c r="Z88" s="19">
        <f t="shared" ca="1" si="217"/>
        <v>0</v>
      </c>
      <c r="AA88" s="19">
        <f t="shared" ca="1" si="218"/>
        <v>0</v>
      </c>
      <c r="AB88" s="46" t="str">
        <f t="shared" ca="1" si="219"/>
        <v>0-0-0</v>
      </c>
      <c r="AC88" s="218">
        <f t="shared" ca="1" si="273"/>
        <v>3304715633</v>
      </c>
      <c r="AD88" s="57" t="str">
        <f t="shared" ca="1" si="274"/>
        <v>bishnu.shrestha@metallus.com</v>
      </c>
      <c r="AE88" s="34"/>
      <c r="AF88" s="341">
        <f ca="1">INDEX(PriorScores[],MATCH($D88,PriorScores[Team / Player],0),2)</f>
        <v>0</v>
      </c>
      <c r="AG88" s="341">
        <f ca="1">INDEX(PriorScores[],MATCH($D88,PriorScores[Team / Player],0),3)</f>
        <v>0</v>
      </c>
      <c r="AH88" s="341">
        <f ca="1">INDEX(PriorScores[],MATCH($D88,PriorScores[Team / Player],0),4)</f>
        <v>0</v>
      </c>
      <c r="AI88" s="341">
        <f ca="1">INDEX(PriorScores[],MATCH($D88,PriorScores[Team / Player],0),5)</f>
        <v>0</v>
      </c>
      <c r="AJ88" s="341">
        <f ca="1">INDEX(PriorScores[],MATCH($D88,PriorScores[Team / Player],0),6)</f>
        <v>0</v>
      </c>
      <c r="AK88" s="341">
        <f ca="1">INDEX(PriorScores[],MATCH($D88,PriorScores[Team / Player],0),7)</f>
        <v>0</v>
      </c>
      <c r="AL88" s="341">
        <f ca="1">INDEX(PriorScores[],MATCH($D88,PriorScores[Team / Player],0),8)</f>
        <v>0</v>
      </c>
      <c r="AM88" s="341">
        <f ca="1">INDEX(PriorScores[],MATCH($D88,PriorScores[Team / Player],0),9)</f>
        <v>0</v>
      </c>
      <c r="AN88" s="341">
        <f ca="1">INDEX(PriorScores[],MATCH($D88,PriorScores[Team / Player],0),10)</f>
        <v>0</v>
      </c>
      <c r="AO88" s="341">
        <f ca="1">INDEX(PriorScores[],MATCH($D88,PriorScores[Team / Player],0),11)</f>
        <v>0</v>
      </c>
      <c r="AP88" s="20">
        <f t="shared" ca="1" si="316"/>
        <v>0</v>
      </c>
      <c r="AQ88" s="20">
        <f t="shared" ca="1" si="316"/>
        <v>0</v>
      </c>
      <c r="AR88" s="20">
        <f t="shared" ca="1" si="316"/>
        <v>0</v>
      </c>
      <c r="AS88" s="20">
        <f t="shared" ca="1" si="316"/>
        <v>0</v>
      </c>
      <c r="AT88" s="20">
        <f t="shared" ca="1" si="316"/>
        <v>0</v>
      </c>
      <c r="AU88" s="20">
        <f t="shared" ca="1" si="316"/>
        <v>0</v>
      </c>
      <c r="AV88" s="20">
        <f t="shared" ca="1" si="316"/>
        <v>0</v>
      </c>
      <c r="AW88" s="20">
        <f t="shared" ca="1" si="316"/>
        <v>0</v>
      </c>
      <c r="AX88" s="20">
        <f t="shared" ca="1" si="316"/>
        <v>0</v>
      </c>
      <c r="AY88" s="20">
        <f t="shared" ca="1" si="316"/>
        <v>0</v>
      </c>
      <c r="AZ88" s="20">
        <f t="shared" ca="1" si="316"/>
        <v>0</v>
      </c>
      <c r="BA88" s="20">
        <f t="shared" ca="1" si="317"/>
        <v>0</v>
      </c>
      <c r="BB88" s="20">
        <f t="shared" ca="1" si="317"/>
        <v>0</v>
      </c>
      <c r="BC88" s="20">
        <f t="shared" ca="1" si="317"/>
        <v>0</v>
      </c>
      <c r="BD88" s="20">
        <f t="shared" ca="1" si="317"/>
        <v>0</v>
      </c>
      <c r="BE88" s="20">
        <f t="shared" ca="1" si="317"/>
        <v>60</v>
      </c>
      <c r="BF88" s="20">
        <f t="shared" ca="1" si="317"/>
        <v>0</v>
      </c>
      <c r="BG88" s="20">
        <f t="shared" ca="1" si="317"/>
        <v>0</v>
      </c>
      <c r="BH88" s="20">
        <f t="shared" ca="1" si="317"/>
        <v>0</v>
      </c>
      <c r="BI88" s="34"/>
      <c r="BJ88" s="341">
        <v>0</v>
      </c>
      <c r="BK88" s="341">
        <v>0</v>
      </c>
      <c r="BL88" s="341">
        <v>0</v>
      </c>
      <c r="BM88" s="341">
        <v>0</v>
      </c>
      <c r="BN88" s="341">
        <v>0</v>
      </c>
      <c r="BO88" s="341">
        <v>0</v>
      </c>
      <c r="BP88" s="341">
        <v>0</v>
      </c>
      <c r="BQ88" s="341">
        <v>0</v>
      </c>
      <c r="BR88" s="341">
        <v>0</v>
      </c>
      <c r="BS88" s="341">
        <v>0</v>
      </c>
      <c r="BT88" s="20">
        <f t="shared" ca="1" si="323"/>
        <v>0</v>
      </c>
      <c r="BU88" s="20">
        <f t="shared" ca="1" si="323"/>
        <v>0</v>
      </c>
      <c r="BV88" s="20">
        <f t="shared" ca="1" si="323"/>
        <v>0</v>
      </c>
      <c r="BW88" s="20">
        <f t="shared" ca="1" si="323"/>
        <v>0</v>
      </c>
      <c r="BX88" s="20">
        <f t="shared" ca="1" si="323"/>
        <v>0</v>
      </c>
      <c r="BY88" s="20">
        <f t="shared" ca="1" si="323"/>
        <v>0</v>
      </c>
      <c r="BZ88" s="20">
        <f t="shared" ca="1" si="323"/>
        <v>0</v>
      </c>
      <c r="CA88" s="20">
        <f t="shared" ca="1" si="323"/>
        <v>0</v>
      </c>
      <c r="CB88" s="20">
        <f t="shared" ca="1" si="323"/>
        <v>0</v>
      </c>
      <c r="CC88" s="20">
        <f t="shared" ca="1" si="323"/>
        <v>0</v>
      </c>
      <c r="CD88" s="20">
        <f t="shared" ca="1" si="323"/>
        <v>0</v>
      </c>
      <c r="CE88" s="20">
        <f t="shared" ca="1" si="323"/>
        <v>0</v>
      </c>
      <c r="CF88" s="20">
        <f t="shared" ca="1" si="323"/>
        <v>0</v>
      </c>
      <c r="CG88" s="20">
        <f t="shared" ca="1" si="323"/>
        <v>0</v>
      </c>
      <c r="CH88" s="20">
        <f t="shared" ca="1" si="323"/>
        <v>1</v>
      </c>
      <c r="CI88" s="20">
        <f t="shared" ca="1" si="323"/>
        <v>0</v>
      </c>
      <c r="CJ88" s="20">
        <f t="shared" ca="1" si="318"/>
        <v>0</v>
      </c>
      <c r="CK88" s="20">
        <f t="shared" ca="1" si="318"/>
        <v>0</v>
      </c>
      <c r="CL88" s="20">
        <f t="shared" ca="1" si="318"/>
        <v>0</v>
      </c>
      <c r="CM88" s="34"/>
      <c r="CN88" s="20" t="str">
        <f t="shared" ca="1" si="319"/>
        <v/>
      </c>
      <c r="CO88" s="20" t="str">
        <f t="shared" ca="1" si="319"/>
        <v/>
      </c>
      <c r="CP88" s="20" t="str">
        <f t="shared" ca="1" si="319"/>
        <v/>
      </c>
      <c r="CQ88" s="20" t="str">
        <f t="shared" ca="1" si="319"/>
        <v/>
      </c>
      <c r="CR88" s="20" t="str">
        <f t="shared" ca="1" si="319"/>
        <v/>
      </c>
      <c r="CS88" s="20" t="str">
        <f t="shared" ca="1" si="319"/>
        <v/>
      </c>
      <c r="CT88" s="20" t="str">
        <f t="shared" ca="1" si="319"/>
        <v/>
      </c>
      <c r="CU88" s="20" t="str">
        <f t="shared" ca="1" si="319"/>
        <v/>
      </c>
      <c r="CV88" s="20" t="str">
        <f t="shared" ca="1" si="319"/>
        <v/>
      </c>
      <c r="CW88" s="20" t="str">
        <f t="shared" ca="1" si="319"/>
        <v/>
      </c>
      <c r="CX88" s="20" t="str">
        <f t="shared" ca="1" si="319"/>
        <v/>
      </c>
      <c r="CY88" s="20" t="str">
        <f t="shared" ca="1" si="319"/>
        <v/>
      </c>
      <c r="CZ88" s="20" t="str">
        <f t="shared" ca="1" si="319"/>
        <v/>
      </c>
      <c r="DA88" s="20" t="str">
        <f t="shared" ca="1" si="319"/>
        <v/>
      </c>
      <c r="DB88" s="20" t="str">
        <f t="shared" ca="1" si="319"/>
        <v/>
      </c>
      <c r="DC88" s="20">
        <f t="shared" ca="1" si="319"/>
        <v>40</v>
      </c>
      <c r="DD88" s="20" t="str">
        <f t="shared" ca="1" si="320"/>
        <v/>
      </c>
      <c r="DE88" s="20" t="str">
        <f t="shared" ca="1" si="320"/>
        <v/>
      </c>
      <c r="DF88" s="20" t="str">
        <f t="shared" ca="1" si="320"/>
        <v/>
      </c>
      <c r="DG88" s="34"/>
      <c r="DH88" s="20" t="str">
        <f t="shared" ca="1" si="321"/>
        <v/>
      </c>
      <c r="DI88" s="20" t="str">
        <f t="shared" ca="1" si="276"/>
        <v/>
      </c>
      <c r="DJ88" s="20" t="str">
        <f t="shared" ca="1" si="277"/>
        <v/>
      </c>
      <c r="DK88" s="20" t="str">
        <f t="shared" ca="1" si="278"/>
        <v/>
      </c>
      <c r="DL88" s="20" t="str">
        <f t="shared" ca="1" si="279"/>
        <v/>
      </c>
      <c r="DM88" s="20" t="str">
        <f t="shared" ca="1" si="280"/>
        <v/>
      </c>
      <c r="DN88" s="20" t="str">
        <f t="shared" ca="1" si="281"/>
        <v/>
      </c>
      <c r="DO88" s="20" t="str">
        <f t="shared" ca="1" si="282"/>
        <v/>
      </c>
      <c r="DP88" s="20" t="str">
        <f t="shared" ca="1" si="283"/>
        <v/>
      </c>
      <c r="DQ88" s="20" t="str">
        <f t="shared" ca="1" si="284"/>
        <v/>
      </c>
      <c r="DR88" s="20" t="str">
        <f t="shared" ca="1" si="285"/>
        <v/>
      </c>
      <c r="DS88" s="20" t="str">
        <f t="shared" ca="1" si="286"/>
        <v/>
      </c>
      <c r="DT88" s="20" t="str">
        <f t="shared" ca="1" si="287"/>
        <v/>
      </c>
      <c r="DU88" s="20" t="str">
        <f t="shared" ca="1" si="288"/>
        <v/>
      </c>
      <c r="DV88" s="20">
        <f t="shared" ca="1" si="289"/>
        <v>10</v>
      </c>
      <c r="DW88" s="20">
        <f t="shared" ca="1" si="290"/>
        <v>12</v>
      </c>
      <c r="DX88" s="20" t="str">
        <f t="shared" ca="1" si="290"/>
        <v/>
      </c>
      <c r="DY88" s="20" t="str">
        <f t="shared" ca="1" si="290"/>
        <v/>
      </c>
      <c r="DZ88" s="20" t="str">
        <f t="shared" ca="1" si="290"/>
        <v/>
      </c>
      <c r="EA88" s="34"/>
      <c r="EB88" s="20" t="str">
        <f t="shared" ca="1" si="322"/>
        <v/>
      </c>
      <c r="EC88" s="20" t="str">
        <f t="shared" ca="1" si="292"/>
        <v/>
      </c>
      <c r="ED88" s="20" t="str">
        <f t="shared" ca="1" si="293"/>
        <v/>
      </c>
      <c r="EE88" s="20" t="str">
        <f t="shared" ca="1" si="294"/>
        <v/>
      </c>
      <c r="EF88" s="20" t="str">
        <f t="shared" ca="1" si="295"/>
        <v/>
      </c>
      <c r="EG88" s="20" t="str">
        <f t="shared" ca="1" si="296"/>
        <v/>
      </c>
      <c r="EH88" s="20" t="str">
        <f t="shared" ca="1" si="297"/>
        <v/>
      </c>
      <c r="EI88" s="20" t="str">
        <f t="shared" ca="1" si="298"/>
        <v/>
      </c>
      <c r="EJ88" s="20" t="str">
        <f t="shared" ca="1" si="299"/>
        <v/>
      </c>
      <c r="EK88" s="20" t="str">
        <f t="shared" ca="1" si="300"/>
        <v/>
      </c>
      <c r="EL88" s="20" t="str">
        <f t="shared" ca="1" si="301"/>
        <v/>
      </c>
      <c r="EM88" s="20" t="str">
        <f t="shared" ca="1" si="302"/>
        <v/>
      </c>
      <c r="EN88" s="20" t="str">
        <f t="shared" ca="1" si="303"/>
        <v/>
      </c>
      <c r="EO88" s="20" t="str">
        <f t="shared" ca="1" si="304"/>
        <v/>
      </c>
      <c r="EP88" s="20" t="str">
        <f t="shared" ca="1" si="305"/>
        <v/>
      </c>
      <c r="EQ88" s="20" t="str">
        <f t="shared" ca="1" si="306"/>
        <v/>
      </c>
      <c r="ER88" s="20" t="str">
        <f t="shared" ca="1" si="306"/>
        <v/>
      </c>
      <c r="ES88" s="20" t="str">
        <f t="shared" ca="1" si="306"/>
        <v/>
      </c>
      <c r="ET88" s="20" t="str">
        <f t="shared" ca="1" si="306"/>
        <v/>
      </c>
      <c r="EU88" s="34"/>
      <c r="EV88" s="20" t="str">
        <f t="shared" ca="1" si="325"/>
        <v/>
      </c>
      <c r="EW88" s="20" t="str">
        <f t="shared" ca="1" si="325"/>
        <v/>
      </c>
      <c r="EX88" s="20" t="str">
        <f t="shared" ca="1" si="325"/>
        <v/>
      </c>
      <c r="EY88" s="20" t="str">
        <f t="shared" ca="1" si="325"/>
        <v/>
      </c>
      <c r="EZ88" s="20" t="str">
        <f t="shared" ca="1" si="325"/>
        <v/>
      </c>
      <c r="FA88" s="20" t="str">
        <f t="shared" ca="1" si="325"/>
        <v/>
      </c>
      <c r="FB88" s="20" t="str">
        <f t="shared" ca="1" si="325"/>
        <v/>
      </c>
      <c r="FC88" s="20" t="str">
        <f t="shared" ca="1" si="325"/>
        <v/>
      </c>
      <c r="FD88" s="20" t="str">
        <f t="shared" ca="1" si="325"/>
        <v/>
      </c>
      <c r="FE88" s="20" t="str">
        <f t="shared" ca="1" si="325"/>
        <v/>
      </c>
      <c r="FF88" s="20" t="str">
        <f t="shared" ca="1" si="325"/>
        <v/>
      </c>
      <c r="FG88" s="20" t="str">
        <f t="shared" ca="1" si="325"/>
        <v/>
      </c>
      <c r="FH88" s="20" t="str">
        <f t="shared" ca="1" si="325"/>
        <v/>
      </c>
      <c r="FI88" s="20" t="str">
        <f t="shared" ca="1" si="325"/>
        <v/>
      </c>
      <c r="FJ88" s="20" t="str">
        <f t="shared" ca="1" si="325"/>
        <v/>
      </c>
      <c r="FK88" s="20" t="str">
        <f t="shared" ca="1" si="325"/>
        <v/>
      </c>
      <c r="FL88" s="20" t="str">
        <f t="shared" ca="1" si="326"/>
        <v/>
      </c>
      <c r="FM88" s="20" t="str">
        <f t="shared" ca="1" si="326"/>
        <v/>
      </c>
      <c r="FN88" s="20" t="str">
        <f t="shared" ca="1" si="326"/>
        <v/>
      </c>
      <c r="FO88" s="34"/>
      <c r="FP88" s="20" t="str">
        <f t="shared" ca="1" si="327"/>
        <v/>
      </c>
      <c r="FQ88" s="20" t="str">
        <f t="shared" ca="1" si="327"/>
        <v/>
      </c>
      <c r="FR88" s="20" t="str">
        <f t="shared" ca="1" si="327"/>
        <v/>
      </c>
      <c r="FS88" s="20" t="str">
        <f t="shared" ca="1" si="327"/>
        <v/>
      </c>
      <c r="FT88" s="20" t="str">
        <f t="shared" ca="1" si="327"/>
        <v/>
      </c>
      <c r="FU88" s="20" t="str">
        <f t="shared" ca="1" si="327"/>
        <v/>
      </c>
      <c r="FV88" s="20" t="str">
        <f t="shared" ca="1" si="327"/>
        <v/>
      </c>
      <c r="FW88" s="20" t="str">
        <f t="shared" ca="1" si="327"/>
        <v/>
      </c>
      <c r="FX88" s="20" t="str">
        <f t="shared" ca="1" si="327"/>
        <v/>
      </c>
      <c r="FY88" s="20" t="str">
        <f t="shared" ca="1" si="327"/>
        <v/>
      </c>
      <c r="FZ88" s="20" t="str">
        <f t="shared" ca="1" si="327"/>
        <v/>
      </c>
      <c r="GA88" s="20" t="str">
        <f t="shared" ca="1" si="327"/>
        <v/>
      </c>
      <c r="GB88" s="20" t="str">
        <f t="shared" ca="1" si="327"/>
        <v/>
      </c>
      <c r="GC88" s="20" t="str">
        <f t="shared" ca="1" si="327"/>
        <v/>
      </c>
      <c r="GD88" s="20" t="str">
        <f t="shared" ca="1" si="327"/>
        <v>Stymies</v>
      </c>
      <c r="GE88" s="20" t="str">
        <f t="shared" ca="1" si="327"/>
        <v>Stymies</v>
      </c>
      <c r="GF88" s="20" t="str">
        <f t="shared" ca="1" si="328"/>
        <v/>
      </c>
      <c r="GG88" s="20" t="str">
        <f t="shared" ca="1" si="328"/>
        <v/>
      </c>
      <c r="GH88" s="20" t="str">
        <f t="shared" ca="1" si="328"/>
        <v/>
      </c>
      <c r="GI88" s="34"/>
      <c r="HE88" s="34"/>
      <c r="HZ88" s="34"/>
      <c r="IA88" s="19" t="str">
        <f t="shared" ca="1" si="330"/>
        <v>No Hdcp</v>
      </c>
      <c r="IB88" s="19" t="str">
        <f t="shared" ca="1" si="232"/>
        <v>Low of score &amp; 60</v>
      </c>
      <c r="IC88" s="19" t="str">
        <f t="shared" ca="1" si="233"/>
        <v>Low of score &amp; 60</v>
      </c>
      <c r="ID88" s="18" t="str">
        <f t="shared" ca="1" si="234"/>
        <v>Low of score &amp; 60</v>
      </c>
      <c r="IE88" s="18" t="str">
        <f t="shared" ca="1" si="235"/>
        <v>Low of score &amp; 60</v>
      </c>
      <c r="IF88" s="18">
        <f t="shared" ca="1" si="236"/>
        <v>20</v>
      </c>
      <c r="IG88" s="353" t="e">
        <f t="shared" ca="1" si="237"/>
        <v>#NUM!</v>
      </c>
      <c r="IH88" s="18" t="e">
        <f t="shared" ca="1" si="238"/>
        <v>#NUM!</v>
      </c>
      <c r="II88" s="18" t="e">
        <f t="shared" ca="1" si="239"/>
        <v>#NUM!</v>
      </c>
      <c r="IJ88" s="18" t="e">
        <f t="shared" ca="1" si="240"/>
        <v>#NUM!</v>
      </c>
      <c r="IK88" s="18" t="e">
        <f t="shared" ca="1" si="241"/>
        <v>#NUM!</v>
      </c>
      <c r="IL88" s="34"/>
    </row>
    <row r="89" spans="1:271" x14ac:dyDescent="0.2">
      <c r="A89" s="18" t="s">
        <v>76</v>
      </c>
      <c r="B89" s="19">
        <f t="shared" si="311"/>
        <v>205</v>
      </c>
      <c r="C89" s="22">
        <f t="shared" ca="1" si="206"/>
        <v>9.4000000000000004E-3</v>
      </c>
      <c r="D89" s="18" t="str">
        <f t="shared" ca="1" si="265"/>
        <v>Sopczak, Mike</v>
      </c>
      <c r="E89" s="19">
        <f t="shared" ca="1" si="207"/>
        <v>0</v>
      </c>
      <c r="F89" s="19">
        <f t="shared" ca="1" si="329"/>
        <v>0</v>
      </c>
      <c r="G89" s="21" t="str">
        <f t="shared" ca="1" si="209"/>
        <v>No Hdcp</v>
      </c>
      <c r="H89" s="337" t="str" cm="1">
        <f t="array" aca="1" ref="H89" ca="1">IFERROR(_xlfn.SINGLE(INDEX($AF89:$BH89, , SUMPRODUCT(LARGE((($AF89:$BH89&lt;&gt;0)*($BJ89:$CL89&lt;&gt;1)*($AF$5:$BH$5)), H$6)))), "")</f>
        <v/>
      </c>
      <c r="I89" s="338" t="str" cm="1">
        <f t="array" aca="1" ref="I89" ca="1">IFERROR(_xlfn.SINGLE(INDEX($AF89:$BH89, , SUMPRODUCT(LARGE((($AF89:$BH89&lt;&gt;0)*($BJ89:$CL89&lt;&gt;1)*($AF$5:$BH$5)), I$6)))), "")</f>
        <v/>
      </c>
      <c r="J89" s="338" t="str" cm="1">
        <f t="array" aca="1" ref="J89" ca="1">IFERROR(_xlfn.SINGLE(INDEX($AF89:$BH89, , SUMPRODUCT(LARGE((($AF89:$BH89&lt;&gt;0)*($BJ89:$CL89&lt;&gt;1)*($AF$5:$BH$5)), J$6)))), "")</f>
        <v/>
      </c>
      <c r="K89" s="338" t="str" cm="1">
        <f t="array" aca="1" ref="K89" ca="1">IFERROR(_xlfn.SINGLE(INDEX($AF89:$BH89, , SUMPRODUCT(LARGE((($AF89:$BH89&lt;&gt;0)*($BJ89:$CL89&lt;&gt;1)*($AF$5:$BH$5)), K$6)))), "")</f>
        <v/>
      </c>
      <c r="L89" s="338" t="str" cm="1">
        <f t="array" aca="1" ref="L89" ca="1">IFERROR(_xlfn.SINGLE(INDEX($AF89:$BH89, , SUMPRODUCT(LARGE((($AF89:$BH89&lt;&gt;0)*($BJ89:$CL89&lt;&gt;1)*($AF$5:$BH$5)), L$6)))), "")</f>
        <v/>
      </c>
      <c r="M89" s="338" t="str" cm="1">
        <f t="array" aca="1" ref="M89" ca="1">IFERROR(_xlfn.SINGLE(INDEX($AF89:$BH89, , SUMPRODUCT(LARGE((($AF89:$BH89&lt;&gt;0)*($BJ89:$CL89&lt;&gt;1)*($AF$5:$BH$5)), M$6)))), "")</f>
        <v/>
      </c>
      <c r="N89" s="338" t="str" cm="1">
        <f t="array" aca="1" ref="N89" ca="1">IFERROR(_xlfn.SINGLE(INDEX($AF89:$BH89, , SUMPRODUCT(LARGE((($AF89:$BH89&lt;&gt;0)*($BJ89:$CL89&lt;&gt;1)*($AF$5:$BH$5)), N$6)))), "")</f>
        <v/>
      </c>
      <c r="O89" s="338" t="str" cm="1">
        <f t="array" aca="1" ref="O89" ca="1">IFERROR(_xlfn.SINGLE(INDEX($AF89:$BH89, , SUMPRODUCT(LARGE((($AF89:$BH89&lt;&gt;0)*($BJ89:$CL89&lt;&gt;1)*($AF$5:$BH$5)), O$6)))), "")</f>
        <v/>
      </c>
      <c r="P89" s="338" t="str" cm="1">
        <f t="array" aca="1" ref="P89" ca="1">IFERROR(_xlfn.SINGLE(INDEX($AF89:$BH89, , SUMPRODUCT(LARGE((($AF89:$BH89&lt;&gt;0)*($BJ89:$CL89&lt;&gt;1)*($AF$5:$BH$5)), P$6)))), "")</f>
        <v/>
      </c>
      <c r="Q89" s="339" t="str" cm="1">
        <f t="array" aca="1" ref="Q89" ca="1">IFERROR(_xlfn.SINGLE(INDEX($AF89:$BH89, , SUMPRODUCT(LARGE((($AF89:$BH89&lt;&gt;0)*($BJ89:$CL89&lt;&gt;1)*($AF$5:$BH$5)), Q$6)))), "")</f>
        <v/>
      </c>
      <c r="R89" s="116">
        <v>50.22</v>
      </c>
      <c r="S89" s="47" t="str">
        <f t="shared" ca="1" si="210"/>
        <v>-</v>
      </c>
      <c r="T89" s="21" t="str">
        <f t="shared" ca="1" si="211"/>
        <v>-</v>
      </c>
      <c r="U89" s="21" t="str">
        <f t="shared" ca="1" si="212"/>
        <v>-</v>
      </c>
      <c r="V89" s="46" t="str">
        <f t="shared" ca="1" si="213"/>
        <v/>
      </c>
      <c r="W89" s="19" t="str">
        <f t="shared" ca="1" si="214"/>
        <v/>
      </c>
      <c r="X89" s="46">
        <f t="shared" ca="1" si="215"/>
        <v>0</v>
      </c>
      <c r="Y89" s="21" t="str">
        <f t="shared" ca="1" si="216"/>
        <v>-</v>
      </c>
      <c r="Z89" s="19">
        <f t="shared" ca="1" si="217"/>
        <v>0</v>
      </c>
      <c r="AA89" s="19">
        <f t="shared" ca="1" si="218"/>
        <v>0</v>
      </c>
      <c r="AB89" s="46" t="str">
        <f t="shared" ca="1" si="219"/>
        <v>0-0-0</v>
      </c>
      <c r="AC89" s="218">
        <f t="shared" ca="1" si="273"/>
        <v>2342627194</v>
      </c>
      <c r="AD89" s="57" t="str">
        <f t="shared" ca="1" si="274"/>
        <v>mike.sopczak@timken.com</v>
      </c>
      <c r="AE89" s="34"/>
      <c r="AF89" s="341">
        <f ca="1">INDEX(PriorScores[],MATCH($D89,PriorScores[Team / Player],0),2)</f>
        <v>0</v>
      </c>
      <c r="AG89" s="341">
        <f ca="1">INDEX(PriorScores[],MATCH($D89,PriorScores[Team / Player],0),3)</f>
        <v>0</v>
      </c>
      <c r="AH89" s="341">
        <f ca="1">INDEX(PriorScores[],MATCH($D89,PriorScores[Team / Player],0),4)</f>
        <v>0</v>
      </c>
      <c r="AI89" s="341">
        <f ca="1">INDEX(PriorScores[],MATCH($D89,PriorScores[Team / Player],0),5)</f>
        <v>0</v>
      </c>
      <c r="AJ89" s="341">
        <f ca="1">INDEX(PriorScores[],MATCH($D89,PriorScores[Team / Player],0),6)</f>
        <v>0</v>
      </c>
      <c r="AK89" s="341">
        <f ca="1">INDEX(PriorScores[],MATCH($D89,PriorScores[Team / Player],0),7)</f>
        <v>0</v>
      </c>
      <c r="AL89" s="341">
        <f ca="1">INDEX(PriorScores[],MATCH($D89,PriorScores[Team / Player],0),8)</f>
        <v>0</v>
      </c>
      <c r="AM89" s="341">
        <f ca="1">INDEX(PriorScores[],MATCH($D89,PriorScores[Team / Player],0),9)</f>
        <v>0</v>
      </c>
      <c r="AN89" s="341">
        <f ca="1">INDEX(PriorScores[],MATCH($D89,PriorScores[Team / Player],0),10)</f>
        <v>0</v>
      </c>
      <c r="AO89" s="341">
        <f ca="1">INDEX(PriorScores[],MATCH($D89,PriorScores[Team / Player],0),11)</f>
        <v>0</v>
      </c>
      <c r="AP89" s="20">
        <f t="shared" ca="1" si="316"/>
        <v>0</v>
      </c>
      <c r="AQ89" s="20">
        <f t="shared" ca="1" si="316"/>
        <v>0</v>
      </c>
      <c r="AR89" s="20">
        <f t="shared" ca="1" si="316"/>
        <v>0</v>
      </c>
      <c r="AS89" s="20">
        <f t="shared" ca="1" si="316"/>
        <v>0</v>
      </c>
      <c r="AT89" s="20">
        <f t="shared" ca="1" si="316"/>
        <v>0</v>
      </c>
      <c r="AU89" s="20">
        <f t="shared" ca="1" si="316"/>
        <v>0</v>
      </c>
      <c r="AV89" s="20">
        <f t="shared" ca="1" si="316"/>
        <v>0</v>
      </c>
      <c r="AW89" s="20">
        <f t="shared" ca="1" si="316"/>
        <v>0</v>
      </c>
      <c r="AX89" s="20">
        <f t="shared" ca="1" si="316"/>
        <v>0</v>
      </c>
      <c r="AY89" s="20">
        <f t="shared" ca="1" si="316"/>
        <v>0</v>
      </c>
      <c r="AZ89" s="20">
        <f t="shared" ca="1" si="316"/>
        <v>0</v>
      </c>
      <c r="BA89" s="20">
        <f t="shared" ca="1" si="317"/>
        <v>0</v>
      </c>
      <c r="BB89" s="20">
        <f t="shared" ca="1" si="317"/>
        <v>0</v>
      </c>
      <c r="BC89" s="20">
        <f t="shared" ca="1" si="317"/>
        <v>0</v>
      </c>
      <c r="BD89" s="20">
        <f t="shared" ca="1" si="317"/>
        <v>0</v>
      </c>
      <c r="BE89" s="20">
        <f t="shared" ca="1" si="317"/>
        <v>0</v>
      </c>
      <c r="BF89" s="20">
        <f t="shared" ca="1" si="317"/>
        <v>0</v>
      </c>
      <c r="BG89" s="20">
        <f t="shared" ca="1" si="317"/>
        <v>0</v>
      </c>
      <c r="BH89" s="20">
        <f t="shared" ca="1" si="317"/>
        <v>0</v>
      </c>
      <c r="BI89" s="34"/>
      <c r="BJ89" s="341">
        <v>0</v>
      </c>
      <c r="BK89" s="341">
        <v>0</v>
      </c>
      <c r="BL89" s="341">
        <v>0</v>
      </c>
      <c r="BM89" s="341">
        <v>0</v>
      </c>
      <c r="BN89" s="341">
        <v>0</v>
      </c>
      <c r="BO89" s="341">
        <v>0</v>
      </c>
      <c r="BP89" s="341">
        <v>0</v>
      </c>
      <c r="BQ89" s="341">
        <v>0</v>
      </c>
      <c r="BR89" s="341">
        <v>0</v>
      </c>
      <c r="BS89" s="341">
        <v>0</v>
      </c>
      <c r="BT89" s="20">
        <f t="shared" ca="1" si="323"/>
        <v>0</v>
      </c>
      <c r="BU89" s="20">
        <f t="shared" ca="1" si="323"/>
        <v>0</v>
      </c>
      <c r="BV89" s="20">
        <f t="shared" ca="1" si="323"/>
        <v>0</v>
      </c>
      <c r="BW89" s="20">
        <f t="shared" ca="1" si="323"/>
        <v>0</v>
      </c>
      <c r="BX89" s="20">
        <f t="shared" ca="1" si="323"/>
        <v>0</v>
      </c>
      <c r="BY89" s="20">
        <f t="shared" ca="1" si="323"/>
        <v>0</v>
      </c>
      <c r="BZ89" s="20">
        <f t="shared" ca="1" si="323"/>
        <v>0</v>
      </c>
      <c r="CA89" s="20">
        <f t="shared" ca="1" si="323"/>
        <v>0</v>
      </c>
      <c r="CB89" s="20">
        <f t="shared" ca="1" si="323"/>
        <v>0</v>
      </c>
      <c r="CC89" s="20">
        <f t="shared" ca="1" si="323"/>
        <v>0</v>
      </c>
      <c r="CD89" s="20">
        <f t="shared" ca="1" si="323"/>
        <v>0</v>
      </c>
      <c r="CE89" s="20">
        <f t="shared" ca="1" si="323"/>
        <v>0</v>
      </c>
      <c r="CF89" s="20">
        <f t="shared" ca="1" si="323"/>
        <v>0</v>
      </c>
      <c r="CG89" s="20">
        <f t="shared" ca="1" si="323"/>
        <v>0</v>
      </c>
      <c r="CH89" s="20">
        <f t="shared" ca="1" si="323"/>
        <v>0</v>
      </c>
      <c r="CI89" s="20">
        <f t="shared" ca="1" si="323"/>
        <v>0</v>
      </c>
      <c r="CJ89" s="20">
        <f t="shared" ca="1" si="318"/>
        <v>0</v>
      </c>
      <c r="CK89" s="20">
        <f t="shared" ca="1" si="318"/>
        <v>0</v>
      </c>
      <c r="CL89" s="20">
        <f t="shared" ca="1" si="318"/>
        <v>0</v>
      </c>
      <c r="CM89" s="34"/>
      <c r="CN89" s="20" t="str">
        <f t="shared" ca="1" si="319"/>
        <v/>
      </c>
      <c r="CO89" s="20" t="str">
        <f t="shared" ca="1" si="319"/>
        <v/>
      </c>
      <c r="CP89" s="20" t="str">
        <f t="shared" ca="1" si="319"/>
        <v/>
      </c>
      <c r="CQ89" s="20" t="str">
        <f t="shared" ca="1" si="319"/>
        <v/>
      </c>
      <c r="CR89" s="20" t="str">
        <f t="shared" ca="1" si="319"/>
        <v/>
      </c>
      <c r="CS89" s="20" t="str">
        <f t="shared" ca="1" si="319"/>
        <v/>
      </c>
      <c r="CT89" s="20" t="str">
        <f t="shared" ca="1" si="319"/>
        <v/>
      </c>
      <c r="CU89" s="20" t="str">
        <f t="shared" ca="1" si="319"/>
        <v/>
      </c>
      <c r="CV89" s="20" t="str">
        <f t="shared" ca="1" si="319"/>
        <v/>
      </c>
      <c r="CW89" s="20" t="str">
        <f t="shared" ca="1" si="319"/>
        <v/>
      </c>
      <c r="CX89" s="20" t="str">
        <f t="shared" ca="1" si="319"/>
        <v/>
      </c>
      <c r="CY89" s="20" t="str">
        <f t="shared" ca="1" si="319"/>
        <v/>
      </c>
      <c r="CZ89" s="20" t="str">
        <f t="shared" ca="1" si="319"/>
        <v/>
      </c>
      <c r="DA89" s="20" t="str">
        <f t="shared" ca="1" si="319"/>
        <v/>
      </c>
      <c r="DB89" s="20" t="str">
        <f t="shared" ca="1" si="319"/>
        <v/>
      </c>
      <c r="DC89" s="20" t="str">
        <f t="shared" ca="1" si="319"/>
        <v/>
      </c>
      <c r="DD89" s="20" t="str">
        <f t="shared" ca="1" si="320"/>
        <v/>
      </c>
      <c r="DE89" s="20" t="str">
        <f t="shared" ca="1" si="320"/>
        <v/>
      </c>
      <c r="DF89" s="20" t="str">
        <f t="shared" ca="1" si="320"/>
        <v/>
      </c>
      <c r="DG89" s="34"/>
      <c r="DH89" s="20" t="str">
        <f t="shared" ca="1" si="321"/>
        <v/>
      </c>
      <c r="DI89" s="20" t="str">
        <f t="shared" ca="1" si="276"/>
        <v/>
      </c>
      <c r="DJ89" s="20" t="str">
        <f t="shared" ca="1" si="277"/>
        <v/>
      </c>
      <c r="DK89" s="20" t="str">
        <f t="shared" ca="1" si="278"/>
        <v/>
      </c>
      <c r="DL89" s="20" t="str">
        <f t="shared" ca="1" si="279"/>
        <v/>
      </c>
      <c r="DM89" s="20" t="str">
        <f t="shared" ca="1" si="280"/>
        <v/>
      </c>
      <c r="DN89" s="20" t="str">
        <f t="shared" ca="1" si="281"/>
        <v/>
      </c>
      <c r="DO89" s="20" t="str">
        <f t="shared" ca="1" si="282"/>
        <v/>
      </c>
      <c r="DP89" s="20" t="str">
        <f t="shared" ca="1" si="283"/>
        <v/>
      </c>
      <c r="DQ89" s="20" t="str">
        <f t="shared" ca="1" si="284"/>
        <v/>
      </c>
      <c r="DR89" s="20" t="str">
        <f t="shared" ca="1" si="285"/>
        <v/>
      </c>
      <c r="DS89" s="20" t="str">
        <f t="shared" ca="1" si="286"/>
        <v/>
      </c>
      <c r="DT89" s="20" t="str">
        <f t="shared" ca="1" si="287"/>
        <v/>
      </c>
      <c r="DU89" s="20" t="str">
        <f t="shared" ca="1" si="288"/>
        <v/>
      </c>
      <c r="DV89" s="20" t="str">
        <f t="shared" ca="1" si="289"/>
        <v/>
      </c>
      <c r="DW89" s="20" t="str">
        <f t="shared" ca="1" si="290"/>
        <v/>
      </c>
      <c r="DX89" s="20" t="str">
        <f t="shared" ca="1" si="290"/>
        <v/>
      </c>
      <c r="DY89" s="20" t="str">
        <f t="shared" ca="1" si="290"/>
        <v/>
      </c>
      <c r="DZ89" s="20" t="str">
        <f t="shared" ca="1" si="290"/>
        <v/>
      </c>
      <c r="EA89" s="34"/>
      <c r="EB89" s="20" t="str">
        <f t="shared" ca="1" si="322"/>
        <v/>
      </c>
      <c r="EC89" s="20" t="str">
        <f t="shared" ca="1" si="292"/>
        <v/>
      </c>
      <c r="ED89" s="20" t="str">
        <f t="shared" ca="1" si="293"/>
        <v/>
      </c>
      <c r="EE89" s="20" t="str">
        <f t="shared" ca="1" si="294"/>
        <v/>
      </c>
      <c r="EF89" s="20" t="str">
        <f t="shared" ca="1" si="295"/>
        <v/>
      </c>
      <c r="EG89" s="20" t="str">
        <f t="shared" ca="1" si="296"/>
        <v/>
      </c>
      <c r="EH89" s="20" t="str">
        <f t="shared" ca="1" si="297"/>
        <v/>
      </c>
      <c r="EI89" s="20" t="str">
        <f t="shared" ca="1" si="298"/>
        <v/>
      </c>
      <c r="EJ89" s="20" t="str">
        <f t="shared" ca="1" si="299"/>
        <v/>
      </c>
      <c r="EK89" s="20" t="str">
        <f t="shared" ca="1" si="300"/>
        <v/>
      </c>
      <c r="EL89" s="20" t="str">
        <f t="shared" ca="1" si="301"/>
        <v/>
      </c>
      <c r="EM89" s="20" t="str">
        <f t="shared" ca="1" si="302"/>
        <v/>
      </c>
      <c r="EN89" s="20" t="str">
        <f t="shared" ca="1" si="303"/>
        <v/>
      </c>
      <c r="EO89" s="20" t="str">
        <f t="shared" ca="1" si="304"/>
        <v/>
      </c>
      <c r="EP89" s="20" t="str">
        <f t="shared" ca="1" si="305"/>
        <v/>
      </c>
      <c r="EQ89" s="20" t="str">
        <f t="shared" ca="1" si="306"/>
        <v/>
      </c>
      <c r="ER89" s="20" t="str">
        <f t="shared" ca="1" si="306"/>
        <v/>
      </c>
      <c r="ES89" s="20" t="str">
        <f t="shared" ca="1" si="306"/>
        <v/>
      </c>
      <c r="ET89" s="20" t="str">
        <f t="shared" ca="1" si="306"/>
        <v/>
      </c>
      <c r="EU89" s="34"/>
      <c r="EV89" s="20" t="str">
        <f t="shared" ca="1" si="325"/>
        <v/>
      </c>
      <c r="EW89" s="20" t="str">
        <f t="shared" ca="1" si="325"/>
        <v/>
      </c>
      <c r="EX89" s="20" t="str">
        <f t="shared" ca="1" si="325"/>
        <v/>
      </c>
      <c r="EY89" s="20" t="str">
        <f t="shared" ca="1" si="325"/>
        <v/>
      </c>
      <c r="EZ89" s="20" t="str">
        <f t="shared" ca="1" si="325"/>
        <v/>
      </c>
      <c r="FA89" s="20" t="str">
        <f t="shared" ca="1" si="325"/>
        <v/>
      </c>
      <c r="FB89" s="20" t="str">
        <f t="shared" ca="1" si="325"/>
        <v/>
      </c>
      <c r="FC89" s="20" t="str">
        <f t="shared" ca="1" si="325"/>
        <v/>
      </c>
      <c r="FD89" s="20" t="str">
        <f t="shared" ca="1" si="325"/>
        <v/>
      </c>
      <c r="FE89" s="20" t="str">
        <f t="shared" ca="1" si="325"/>
        <v/>
      </c>
      <c r="FF89" s="20" t="str">
        <f t="shared" ca="1" si="325"/>
        <v/>
      </c>
      <c r="FG89" s="20" t="str">
        <f t="shared" ca="1" si="325"/>
        <v/>
      </c>
      <c r="FH89" s="20" t="str">
        <f t="shared" ca="1" si="325"/>
        <v/>
      </c>
      <c r="FI89" s="20" t="str">
        <f t="shared" ca="1" si="325"/>
        <v/>
      </c>
      <c r="FJ89" s="20" t="str">
        <f t="shared" ca="1" si="325"/>
        <v/>
      </c>
      <c r="FK89" s="20" t="str">
        <f t="shared" ca="1" si="325"/>
        <v/>
      </c>
      <c r="FL89" s="20" t="str">
        <f t="shared" ca="1" si="326"/>
        <v/>
      </c>
      <c r="FM89" s="20" t="str">
        <f t="shared" ca="1" si="326"/>
        <v/>
      </c>
      <c r="FN89" s="20" t="str">
        <f t="shared" ca="1" si="326"/>
        <v/>
      </c>
      <c r="FO89" s="34"/>
      <c r="FP89" s="20" t="str">
        <f t="shared" ca="1" si="327"/>
        <v/>
      </c>
      <c r="FQ89" s="20" t="str">
        <f t="shared" ca="1" si="327"/>
        <v/>
      </c>
      <c r="FR89" s="20" t="str">
        <f t="shared" ca="1" si="327"/>
        <v/>
      </c>
      <c r="FS89" s="20" t="str">
        <f t="shared" ca="1" si="327"/>
        <v/>
      </c>
      <c r="FT89" s="20" t="str">
        <f t="shared" ca="1" si="327"/>
        <v/>
      </c>
      <c r="FU89" s="20" t="str">
        <f t="shared" ca="1" si="327"/>
        <v/>
      </c>
      <c r="FV89" s="20" t="str">
        <f t="shared" ca="1" si="327"/>
        <v/>
      </c>
      <c r="FW89" s="20" t="str">
        <f t="shared" ca="1" si="327"/>
        <v/>
      </c>
      <c r="FX89" s="20" t="str">
        <f t="shared" ca="1" si="327"/>
        <v/>
      </c>
      <c r="FY89" s="20" t="str">
        <f t="shared" ca="1" si="327"/>
        <v/>
      </c>
      <c r="FZ89" s="20" t="str">
        <f t="shared" ca="1" si="327"/>
        <v/>
      </c>
      <c r="GA89" s="20" t="str">
        <f t="shared" ca="1" si="327"/>
        <v/>
      </c>
      <c r="GB89" s="20" t="str">
        <f t="shared" ca="1" si="327"/>
        <v/>
      </c>
      <c r="GC89" s="20" t="str">
        <f t="shared" ca="1" si="327"/>
        <v/>
      </c>
      <c r="GD89" s="20" t="str">
        <f t="shared" ca="1" si="327"/>
        <v/>
      </c>
      <c r="GE89" s="20" t="str">
        <f t="shared" ca="1" si="327"/>
        <v/>
      </c>
      <c r="GF89" s="20" t="str">
        <f t="shared" ca="1" si="328"/>
        <v/>
      </c>
      <c r="GG89" s="20" t="str">
        <f t="shared" ca="1" si="328"/>
        <v/>
      </c>
      <c r="GH89" s="20" t="str">
        <f t="shared" ca="1" si="328"/>
        <v/>
      </c>
      <c r="GI89" s="34"/>
      <c r="HE89" s="34"/>
      <c r="HZ89" s="34"/>
      <c r="IA89" s="19" t="str">
        <f t="shared" ca="1" si="330"/>
        <v>No Hdcp</v>
      </c>
      <c r="IB89" s="19" t="str">
        <f t="shared" ca="1" si="232"/>
        <v>Low of score &amp; 0</v>
      </c>
      <c r="IC89" s="19" t="str">
        <f t="shared" ca="1" si="233"/>
        <v>Low of score &amp; 0</v>
      </c>
      <c r="ID89" s="18" t="str">
        <f t="shared" ca="1" si="234"/>
        <v>Low of score &amp; 0</v>
      </c>
      <c r="IE89" s="18" t="str">
        <f t="shared" ca="1" si="235"/>
        <v>Low of score &amp; 0</v>
      </c>
      <c r="IF89" s="18">
        <f t="shared" ca="1" si="236"/>
        <v>-34.56</v>
      </c>
      <c r="IG89" s="353" t="e">
        <f t="shared" ca="1" si="237"/>
        <v>#NUM!</v>
      </c>
      <c r="IH89" s="18" t="e">
        <f t="shared" ca="1" si="238"/>
        <v>#NUM!</v>
      </c>
      <c r="II89" s="18" t="e">
        <f t="shared" ca="1" si="239"/>
        <v>#NUM!</v>
      </c>
      <c r="IJ89" s="18" t="e">
        <f t="shared" ca="1" si="240"/>
        <v>#NUM!</v>
      </c>
      <c r="IK89" s="18" t="e">
        <f t="shared" ca="1" si="241"/>
        <v>#NUM!</v>
      </c>
      <c r="IL89" s="34"/>
    </row>
    <row r="90" spans="1:271" x14ac:dyDescent="0.2">
      <c r="A90" s="18" t="s">
        <v>76</v>
      </c>
      <c r="B90" s="19">
        <f t="shared" si="311"/>
        <v>213</v>
      </c>
      <c r="C90" s="22">
        <f t="shared" ca="1" si="206"/>
        <v>9.7000000000000003E-3</v>
      </c>
      <c r="D90" s="18" t="str">
        <f t="shared" ca="1" si="265"/>
        <v>Tavares, Carlos</v>
      </c>
      <c r="E90" s="19">
        <f t="shared" ca="1" si="207"/>
        <v>0</v>
      </c>
      <c r="F90" s="19">
        <f t="shared" ca="1" si="329"/>
        <v>0</v>
      </c>
      <c r="G90" s="21" t="str">
        <f t="shared" ca="1" si="209"/>
        <v>No Hdcp</v>
      </c>
      <c r="H90" s="337" t="str" cm="1">
        <f t="array" aca="1" ref="H90" ca="1">IFERROR(_xlfn.SINGLE(INDEX($AF90:$BH90, , SUMPRODUCT(LARGE((($AF90:$BH90&lt;&gt;0)*($BJ90:$CL90&lt;&gt;1)*($AF$5:$BH$5)), H$6)))), "")</f>
        <v/>
      </c>
      <c r="I90" s="338" t="str" cm="1">
        <f t="array" aca="1" ref="I90" ca="1">IFERROR(_xlfn.SINGLE(INDEX($AF90:$BH90, , SUMPRODUCT(LARGE((($AF90:$BH90&lt;&gt;0)*($BJ90:$CL90&lt;&gt;1)*($AF$5:$BH$5)), I$6)))), "")</f>
        <v/>
      </c>
      <c r="J90" s="338" t="str" cm="1">
        <f t="array" aca="1" ref="J90" ca="1">IFERROR(_xlfn.SINGLE(INDEX($AF90:$BH90, , SUMPRODUCT(LARGE((($AF90:$BH90&lt;&gt;0)*($BJ90:$CL90&lt;&gt;1)*($AF$5:$BH$5)), J$6)))), "")</f>
        <v/>
      </c>
      <c r="K90" s="338" t="str" cm="1">
        <f t="array" aca="1" ref="K90" ca="1">IFERROR(_xlfn.SINGLE(INDEX($AF90:$BH90, , SUMPRODUCT(LARGE((($AF90:$BH90&lt;&gt;0)*($BJ90:$CL90&lt;&gt;1)*($AF$5:$BH$5)), K$6)))), "")</f>
        <v/>
      </c>
      <c r="L90" s="338" t="str" cm="1">
        <f t="array" aca="1" ref="L90" ca="1">IFERROR(_xlfn.SINGLE(INDEX($AF90:$BH90, , SUMPRODUCT(LARGE((($AF90:$BH90&lt;&gt;0)*($BJ90:$CL90&lt;&gt;1)*($AF$5:$BH$5)), L$6)))), "")</f>
        <v/>
      </c>
      <c r="M90" s="338" t="str" cm="1">
        <f t="array" aca="1" ref="M90" ca="1">IFERROR(_xlfn.SINGLE(INDEX($AF90:$BH90, , SUMPRODUCT(LARGE((($AF90:$BH90&lt;&gt;0)*($BJ90:$CL90&lt;&gt;1)*($AF$5:$BH$5)), M$6)))), "")</f>
        <v/>
      </c>
      <c r="N90" s="338" t="str" cm="1">
        <f t="array" aca="1" ref="N90" ca="1">IFERROR(_xlfn.SINGLE(INDEX($AF90:$BH90, , SUMPRODUCT(LARGE((($AF90:$BH90&lt;&gt;0)*($BJ90:$CL90&lt;&gt;1)*($AF$5:$BH$5)), N$6)))), "")</f>
        <v/>
      </c>
      <c r="O90" s="338" t="str" cm="1">
        <f t="array" aca="1" ref="O90" ca="1">IFERROR(_xlfn.SINGLE(INDEX($AF90:$BH90, , SUMPRODUCT(LARGE((($AF90:$BH90&lt;&gt;0)*($BJ90:$CL90&lt;&gt;1)*($AF$5:$BH$5)), O$6)))), "")</f>
        <v/>
      </c>
      <c r="P90" s="338" t="str" cm="1">
        <f t="array" aca="1" ref="P90" ca="1">IFERROR(_xlfn.SINGLE(INDEX($AF90:$BH90, , SUMPRODUCT(LARGE((($AF90:$BH90&lt;&gt;0)*($BJ90:$CL90&lt;&gt;1)*($AF$5:$BH$5)), P$6)))), "")</f>
        <v/>
      </c>
      <c r="Q90" s="339" t="str" cm="1">
        <f t="array" aca="1" ref="Q90" ca="1">IFERROR(_xlfn.SINGLE(INDEX($AF90:$BH90, , SUMPRODUCT(LARGE((($AF90:$BH90&lt;&gt;0)*($BJ90:$CL90&lt;&gt;1)*($AF$5:$BH$5)), Q$6)))), "")</f>
        <v/>
      </c>
      <c r="R90" s="116">
        <v>51.22</v>
      </c>
      <c r="S90" s="47" t="str">
        <f t="shared" ca="1" si="210"/>
        <v>-</v>
      </c>
      <c r="T90" s="21" t="str">
        <f t="shared" ca="1" si="211"/>
        <v>-</v>
      </c>
      <c r="U90" s="21" t="str">
        <f t="shared" ca="1" si="212"/>
        <v>-</v>
      </c>
      <c r="V90" s="46" t="str">
        <f t="shared" ca="1" si="213"/>
        <v/>
      </c>
      <c r="W90" s="19" t="str">
        <f t="shared" ca="1" si="214"/>
        <v/>
      </c>
      <c r="X90" s="46">
        <f t="shared" ca="1" si="215"/>
        <v>0</v>
      </c>
      <c r="Y90" s="21" t="str">
        <f t="shared" ca="1" si="216"/>
        <v>-</v>
      </c>
      <c r="Z90" s="19">
        <f t="shared" ca="1" si="217"/>
        <v>0</v>
      </c>
      <c r="AA90" s="19">
        <f t="shared" ca="1" si="218"/>
        <v>0</v>
      </c>
      <c r="AB90" s="46" t="str">
        <f t="shared" ca="1" si="219"/>
        <v>0-0-0</v>
      </c>
      <c r="AC90" s="218">
        <f t="shared" ca="1" si="273"/>
        <v>3302680010</v>
      </c>
      <c r="AD90" s="57" t="str">
        <f t="shared" ca="1" si="274"/>
        <v>ct0910197r@gmail.com</v>
      </c>
      <c r="AE90" s="34"/>
      <c r="AF90" s="341">
        <f ca="1">INDEX(PriorScores[],MATCH($D90,PriorScores[Team / Player],0),2)</f>
        <v>0</v>
      </c>
      <c r="AG90" s="341">
        <f ca="1">INDEX(PriorScores[],MATCH($D90,PriorScores[Team / Player],0),3)</f>
        <v>0</v>
      </c>
      <c r="AH90" s="341">
        <f ca="1">INDEX(PriorScores[],MATCH($D90,PriorScores[Team / Player],0),4)</f>
        <v>0</v>
      </c>
      <c r="AI90" s="341">
        <f ca="1">INDEX(PriorScores[],MATCH($D90,PriorScores[Team / Player],0),5)</f>
        <v>0</v>
      </c>
      <c r="AJ90" s="341">
        <f ca="1">INDEX(PriorScores[],MATCH($D90,PriorScores[Team / Player],0),6)</f>
        <v>0</v>
      </c>
      <c r="AK90" s="341">
        <f ca="1">INDEX(PriorScores[],MATCH($D90,PriorScores[Team / Player],0),7)</f>
        <v>0</v>
      </c>
      <c r="AL90" s="341">
        <f ca="1">INDEX(PriorScores[],MATCH($D90,PriorScores[Team / Player],0),8)</f>
        <v>0</v>
      </c>
      <c r="AM90" s="341">
        <f ca="1">INDEX(PriorScores[],MATCH($D90,PriorScores[Team / Player],0),9)</f>
        <v>0</v>
      </c>
      <c r="AN90" s="341">
        <f ca="1">INDEX(PriorScores[],MATCH($D90,PriorScores[Team / Player],0),10)</f>
        <v>0</v>
      </c>
      <c r="AO90" s="341">
        <f ca="1">INDEX(PriorScores[],MATCH($D90,PriorScores[Team / Player],0),11)</f>
        <v>0</v>
      </c>
      <c r="AP90" s="20">
        <f t="shared" ca="1" si="316"/>
        <v>0</v>
      </c>
      <c r="AQ90" s="20">
        <f t="shared" ca="1" si="316"/>
        <v>0</v>
      </c>
      <c r="AR90" s="20">
        <f t="shared" ca="1" si="316"/>
        <v>0</v>
      </c>
      <c r="AS90" s="20">
        <f t="shared" ca="1" si="316"/>
        <v>0</v>
      </c>
      <c r="AT90" s="20">
        <f t="shared" ca="1" si="316"/>
        <v>0</v>
      </c>
      <c r="AU90" s="20">
        <f t="shared" ca="1" si="316"/>
        <v>0</v>
      </c>
      <c r="AV90" s="20">
        <f t="shared" ca="1" si="316"/>
        <v>0</v>
      </c>
      <c r="AW90" s="20">
        <f t="shared" ca="1" si="316"/>
        <v>0</v>
      </c>
      <c r="AX90" s="20">
        <f t="shared" ca="1" si="316"/>
        <v>0</v>
      </c>
      <c r="AY90" s="20">
        <f t="shared" ca="1" si="316"/>
        <v>0</v>
      </c>
      <c r="AZ90" s="20">
        <f t="shared" ca="1" si="316"/>
        <v>0</v>
      </c>
      <c r="BA90" s="20">
        <f t="shared" ca="1" si="317"/>
        <v>0</v>
      </c>
      <c r="BB90" s="20">
        <f t="shared" ca="1" si="317"/>
        <v>0</v>
      </c>
      <c r="BC90" s="20">
        <f t="shared" ca="1" si="317"/>
        <v>0</v>
      </c>
      <c r="BD90" s="20">
        <f t="shared" ca="1" si="317"/>
        <v>0</v>
      </c>
      <c r="BE90" s="20">
        <f t="shared" ca="1" si="317"/>
        <v>0</v>
      </c>
      <c r="BF90" s="20">
        <f t="shared" ca="1" si="317"/>
        <v>0</v>
      </c>
      <c r="BG90" s="20">
        <f t="shared" ca="1" si="317"/>
        <v>0</v>
      </c>
      <c r="BH90" s="20">
        <f t="shared" ca="1" si="317"/>
        <v>0</v>
      </c>
      <c r="BI90" s="34"/>
      <c r="BJ90" s="341">
        <v>0</v>
      </c>
      <c r="BK90" s="341">
        <v>0</v>
      </c>
      <c r="BL90" s="341">
        <v>0</v>
      </c>
      <c r="BM90" s="341">
        <v>0</v>
      </c>
      <c r="BN90" s="341">
        <v>0</v>
      </c>
      <c r="BO90" s="341">
        <v>0</v>
      </c>
      <c r="BP90" s="341">
        <v>0</v>
      </c>
      <c r="BQ90" s="341">
        <v>0</v>
      </c>
      <c r="BR90" s="341">
        <v>0</v>
      </c>
      <c r="BS90" s="341">
        <v>0</v>
      </c>
      <c r="BT90" s="20">
        <f t="shared" ca="1" si="323"/>
        <v>0</v>
      </c>
      <c r="BU90" s="20">
        <f t="shared" ca="1" si="323"/>
        <v>0</v>
      </c>
      <c r="BV90" s="20">
        <f t="shared" ca="1" si="323"/>
        <v>0</v>
      </c>
      <c r="BW90" s="20">
        <f t="shared" ca="1" si="323"/>
        <v>0</v>
      </c>
      <c r="BX90" s="20">
        <f t="shared" ca="1" si="323"/>
        <v>0</v>
      </c>
      <c r="BY90" s="20">
        <f t="shared" ca="1" si="323"/>
        <v>0</v>
      </c>
      <c r="BZ90" s="20">
        <f t="shared" ca="1" si="323"/>
        <v>0</v>
      </c>
      <c r="CA90" s="20">
        <f t="shared" ca="1" si="323"/>
        <v>0</v>
      </c>
      <c r="CB90" s="20">
        <f t="shared" ca="1" si="323"/>
        <v>0</v>
      </c>
      <c r="CC90" s="20">
        <f t="shared" ca="1" si="323"/>
        <v>0</v>
      </c>
      <c r="CD90" s="20">
        <f t="shared" ca="1" si="323"/>
        <v>0</v>
      </c>
      <c r="CE90" s="20">
        <f t="shared" ca="1" si="323"/>
        <v>0</v>
      </c>
      <c r="CF90" s="20">
        <f t="shared" ca="1" si="323"/>
        <v>0</v>
      </c>
      <c r="CG90" s="20">
        <f t="shared" ca="1" si="323"/>
        <v>0</v>
      </c>
      <c r="CH90" s="20">
        <f t="shared" ca="1" si="323"/>
        <v>0</v>
      </c>
      <c r="CI90" s="20">
        <f t="shared" ca="1" si="323"/>
        <v>0</v>
      </c>
      <c r="CJ90" s="20">
        <f t="shared" ca="1" si="318"/>
        <v>0</v>
      </c>
      <c r="CK90" s="20">
        <f t="shared" ca="1" si="318"/>
        <v>0</v>
      </c>
      <c r="CL90" s="20">
        <f t="shared" ca="1" si="318"/>
        <v>0</v>
      </c>
      <c r="CM90" s="34"/>
      <c r="CN90" s="20" t="str">
        <f t="shared" ca="1" si="319"/>
        <v/>
      </c>
      <c r="CO90" s="20" t="str">
        <f t="shared" ca="1" si="319"/>
        <v/>
      </c>
      <c r="CP90" s="20" t="str">
        <f t="shared" ca="1" si="319"/>
        <v/>
      </c>
      <c r="CQ90" s="20" t="str">
        <f t="shared" ca="1" si="319"/>
        <v/>
      </c>
      <c r="CR90" s="20" t="str">
        <f t="shared" ca="1" si="319"/>
        <v/>
      </c>
      <c r="CS90" s="20" t="str">
        <f t="shared" ca="1" si="319"/>
        <v/>
      </c>
      <c r="CT90" s="20" t="str">
        <f t="shared" ca="1" si="319"/>
        <v/>
      </c>
      <c r="CU90" s="20" t="str">
        <f t="shared" ca="1" si="319"/>
        <v/>
      </c>
      <c r="CV90" s="20" t="str">
        <f t="shared" ca="1" si="319"/>
        <v/>
      </c>
      <c r="CW90" s="20" t="str">
        <f t="shared" ca="1" si="319"/>
        <v/>
      </c>
      <c r="CX90" s="20" t="str">
        <f t="shared" ca="1" si="319"/>
        <v/>
      </c>
      <c r="CY90" s="20" t="str">
        <f t="shared" ca="1" si="319"/>
        <v/>
      </c>
      <c r="CZ90" s="20" t="str">
        <f t="shared" ca="1" si="319"/>
        <v/>
      </c>
      <c r="DA90" s="20" t="str">
        <f t="shared" ca="1" si="319"/>
        <v/>
      </c>
      <c r="DB90" s="20" t="str">
        <f t="shared" ca="1" si="319"/>
        <v/>
      </c>
      <c r="DC90" s="20" t="str">
        <f t="shared" ca="1" si="319"/>
        <v/>
      </c>
      <c r="DD90" s="20" t="str">
        <f t="shared" ca="1" si="320"/>
        <v/>
      </c>
      <c r="DE90" s="20" t="str">
        <f t="shared" ca="1" si="320"/>
        <v/>
      </c>
      <c r="DF90" s="20" t="str">
        <f t="shared" ca="1" si="320"/>
        <v/>
      </c>
      <c r="DG90" s="34"/>
      <c r="DH90" s="20" t="str">
        <f t="shared" ca="1" si="321"/>
        <v/>
      </c>
      <c r="DI90" s="20" t="str">
        <f t="shared" ca="1" si="276"/>
        <v/>
      </c>
      <c r="DJ90" s="20" t="str">
        <f t="shared" ca="1" si="277"/>
        <v/>
      </c>
      <c r="DK90" s="20" t="str">
        <f t="shared" ca="1" si="278"/>
        <v/>
      </c>
      <c r="DL90" s="20" t="str">
        <f t="shared" ca="1" si="279"/>
        <v/>
      </c>
      <c r="DM90" s="20" t="str">
        <f t="shared" ca="1" si="280"/>
        <v/>
      </c>
      <c r="DN90" s="20" t="str">
        <f t="shared" ca="1" si="281"/>
        <v/>
      </c>
      <c r="DO90" s="20" t="str">
        <f t="shared" ca="1" si="282"/>
        <v/>
      </c>
      <c r="DP90" s="20" t="str">
        <f t="shared" ca="1" si="283"/>
        <v/>
      </c>
      <c r="DQ90" s="20" t="str">
        <f t="shared" ca="1" si="284"/>
        <v/>
      </c>
      <c r="DR90" s="20" t="str">
        <f t="shared" ca="1" si="285"/>
        <v/>
      </c>
      <c r="DS90" s="20" t="str">
        <f t="shared" ca="1" si="286"/>
        <v/>
      </c>
      <c r="DT90" s="20" t="str">
        <f t="shared" ca="1" si="287"/>
        <v/>
      </c>
      <c r="DU90" s="20" t="str">
        <f t="shared" ca="1" si="288"/>
        <v/>
      </c>
      <c r="DV90" s="20" t="str">
        <f t="shared" ca="1" si="289"/>
        <v/>
      </c>
      <c r="DW90" s="20" t="str">
        <f t="shared" ca="1" si="290"/>
        <v/>
      </c>
      <c r="DX90" s="20" t="str">
        <f t="shared" ca="1" si="290"/>
        <v/>
      </c>
      <c r="DY90" s="20" t="str">
        <f t="shared" ca="1" si="290"/>
        <v/>
      </c>
      <c r="DZ90" s="20" t="str">
        <f t="shared" ca="1" si="290"/>
        <v/>
      </c>
      <c r="EA90" s="34"/>
      <c r="EB90" s="20" t="str">
        <f t="shared" ca="1" si="322"/>
        <v/>
      </c>
      <c r="EC90" s="20" t="str">
        <f t="shared" ca="1" si="292"/>
        <v/>
      </c>
      <c r="ED90" s="20" t="str">
        <f t="shared" ca="1" si="293"/>
        <v/>
      </c>
      <c r="EE90" s="20" t="str">
        <f t="shared" ca="1" si="294"/>
        <v/>
      </c>
      <c r="EF90" s="20" t="str">
        <f t="shared" ca="1" si="295"/>
        <v/>
      </c>
      <c r="EG90" s="20" t="str">
        <f t="shared" ca="1" si="296"/>
        <v/>
      </c>
      <c r="EH90" s="20" t="str">
        <f t="shared" ca="1" si="297"/>
        <v/>
      </c>
      <c r="EI90" s="20" t="str">
        <f t="shared" ca="1" si="298"/>
        <v/>
      </c>
      <c r="EJ90" s="20" t="str">
        <f t="shared" ca="1" si="299"/>
        <v/>
      </c>
      <c r="EK90" s="20" t="str">
        <f t="shared" ca="1" si="300"/>
        <v/>
      </c>
      <c r="EL90" s="20" t="str">
        <f t="shared" ca="1" si="301"/>
        <v/>
      </c>
      <c r="EM90" s="20" t="str">
        <f t="shared" ca="1" si="302"/>
        <v/>
      </c>
      <c r="EN90" s="20" t="str">
        <f t="shared" ca="1" si="303"/>
        <v/>
      </c>
      <c r="EO90" s="20" t="str">
        <f t="shared" ca="1" si="304"/>
        <v/>
      </c>
      <c r="EP90" s="20" t="str">
        <f t="shared" ca="1" si="305"/>
        <v/>
      </c>
      <c r="EQ90" s="20" t="str">
        <f t="shared" ca="1" si="306"/>
        <v/>
      </c>
      <c r="ER90" s="20" t="str">
        <f t="shared" ca="1" si="306"/>
        <v/>
      </c>
      <c r="ES90" s="20" t="str">
        <f t="shared" ca="1" si="306"/>
        <v/>
      </c>
      <c r="ET90" s="20" t="str">
        <f t="shared" ca="1" si="306"/>
        <v/>
      </c>
      <c r="EU90" s="34"/>
      <c r="EV90" s="20" t="str">
        <f t="shared" ca="1" si="325"/>
        <v/>
      </c>
      <c r="EW90" s="20" t="str">
        <f t="shared" ca="1" si="325"/>
        <v/>
      </c>
      <c r="EX90" s="20" t="str">
        <f t="shared" ca="1" si="325"/>
        <v/>
      </c>
      <c r="EY90" s="20" t="str">
        <f t="shared" ca="1" si="325"/>
        <v/>
      </c>
      <c r="EZ90" s="20" t="str">
        <f t="shared" ca="1" si="325"/>
        <v/>
      </c>
      <c r="FA90" s="20" t="str">
        <f t="shared" ca="1" si="325"/>
        <v/>
      </c>
      <c r="FB90" s="20" t="str">
        <f t="shared" ca="1" si="325"/>
        <v/>
      </c>
      <c r="FC90" s="20" t="str">
        <f t="shared" ca="1" si="325"/>
        <v/>
      </c>
      <c r="FD90" s="20" t="str">
        <f t="shared" ca="1" si="325"/>
        <v/>
      </c>
      <c r="FE90" s="20" t="str">
        <f t="shared" ca="1" si="325"/>
        <v/>
      </c>
      <c r="FF90" s="20" t="str">
        <f t="shared" ca="1" si="325"/>
        <v/>
      </c>
      <c r="FG90" s="20" t="str">
        <f t="shared" ca="1" si="325"/>
        <v/>
      </c>
      <c r="FH90" s="20" t="str">
        <f t="shared" ca="1" si="325"/>
        <v/>
      </c>
      <c r="FI90" s="20" t="str">
        <f t="shared" ca="1" si="325"/>
        <v/>
      </c>
      <c r="FJ90" s="20" t="str">
        <f t="shared" ca="1" si="325"/>
        <v/>
      </c>
      <c r="FK90" s="20" t="str">
        <f t="shared" ca="1" si="325"/>
        <v/>
      </c>
      <c r="FL90" s="20" t="str">
        <f t="shared" ca="1" si="326"/>
        <v/>
      </c>
      <c r="FM90" s="20" t="str">
        <f t="shared" ca="1" si="326"/>
        <v/>
      </c>
      <c r="FN90" s="20" t="str">
        <f t="shared" ca="1" si="326"/>
        <v/>
      </c>
      <c r="FO90" s="34"/>
      <c r="FP90" s="20" t="str">
        <f t="shared" ca="1" si="327"/>
        <v/>
      </c>
      <c r="FQ90" s="20" t="str">
        <f t="shared" ca="1" si="327"/>
        <v/>
      </c>
      <c r="FR90" s="20" t="str">
        <f t="shared" ca="1" si="327"/>
        <v/>
      </c>
      <c r="FS90" s="20" t="str">
        <f t="shared" ca="1" si="327"/>
        <v/>
      </c>
      <c r="FT90" s="20" t="str">
        <f t="shared" ca="1" si="327"/>
        <v/>
      </c>
      <c r="FU90" s="20" t="str">
        <f t="shared" ca="1" si="327"/>
        <v/>
      </c>
      <c r="FV90" s="20" t="str">
        <f t="shared" ca="1" si="327"/>
        <v/>
      </c>
      <c r="FW90" s="20" t="str">
        <f t="shared" ca="1" si="327"/>
        <v/>
      </c>
      <c r="FX90" s="20" t="str">
        <f t="shared" ca="1" si="327"/>
        <v/>
      </c>
      <c r="FY90" s="20" t="str">
        <f t="shared" ca="1" si="327"/>
        <v/>
      </c>
      <c r="FZ90" s="20" t="str">
        <f t="shared" ca="1" si="327"/>
        <v/>
      </c>
      <c r="GA90" s="20" t="str">
        <f t="shared" ca="1" si="327"/>
        <v/>
      </c>
      <c r="GB90" s="20" t="str">
        <f t="shared" ca="1" si="327"/>
        <v/>
      </c>
      <c r="GC90" s="20" t="str">
        <f t="shared" ca="1" si="327"/>
        <v/>
      </c>
      <c r="GD90" s="20" t="str">
        <f t="shared" ca="1" si="327"/>
        <v/>
      </c>
      <c r="GE90" s="20" t="str">
        <f t="shared" ca="1" si="327"/>
        <v/>
      </c>
      <c r="GF90" s="20" t="str">
        <f t="shared" ca="1" si="328"/>
        <v/>
      </c>
      <c r="GG90" s="20" t="str">
        <f t="shared" ca="1" si="328"/>
        <v/>
      </c>
      <c r="GH90" s="20" t="str">
        <f t="shared" ca="1" si="328"/>
        <v/>
      </c>
      <c r="GI90" s="34"/>
      <c r="HE90" s="34"/>
      <c r="HZ90" s="34"/>
      <c r="IA90" s="19" t="str">
        <f t="shared" ca="1" si="330"/>
        <v>No Hdcp</v>
      </c>
      <c r="IB90" s="19" t="str">
        <f t="shared" ca="1" si="232"/>
        <v>Low of score &amp; 0</v>
      </c>
      <c r="IC90" s="19" t="str">
        <f t="shared" ca="1" si="233"/>
        <v>Low of score &amp; 0</v>
      </c>
      <c r="ID90" s="18" t="str">
        <f t="shared" ca="1" si="234"/>
        <v>Low of score &amp; 0</v>
      </c>
      <c r="IE90" s="18" t="str">
        <f t="shared" ca="1" si="235"/>
        <v>Low of score &amp; 0</v>
      </c>
      <c r="IF90" s="18">
        <f t="shared" ca="1" si="236"/>
        <v>-34.56</v>
      </c>
      <c r="IG90" s="353" t="e">
        <f t="shared" ca="1" si="237"/>
        <v>#NUM!</v>
      </c>
      <c r="IH90" s="18" t="e">
        <f t="shared" ca="1" si="238"/>
        <v>#NUM!</v>
      </c>
      <c r="II90" s="18" t="e">
        <f t="shared" ca="1" si="239"/>
        <v>#NUM!</v>
      </c>
      <c r="IJ90" s="18" t="e">
        <f t="shared" ca="1" si="240"/>
        <v>#NUM!</v>
      </c>
      <c r="IK90" s="18" t="e">
        <f t="shared" ca="1" si="241"/>
        <v>#NUM!</v>
      </c>
      <c r="IL90" s="34"/>
    </row>
    <row r="91" spans="1:271" x14ac:dyDescent="0.2">
      <c r="A91" s="18" t="s">
        <v>76</v>
      </c>
      <c r="B91" s="19">
        <f t="shared" si="311"/>
        <v>221</v>
      </c>
      <c r="C91" s="22">
        <f t="shared" ca="1" si="206"/>
        <v>1.0200000000000001E-2</v>
      </c>
      <c r="D91" s="18" t="str">
        <f t="shared" ca="1" si="265"/>
        <v>Vassas, Jim</v>
      </c>
      <c r="E91" s="19">
        <f t="shared" ca="1" si="207"/>
        <v>1</v>
      </c>
      <c r="F91" s="19">
        <f t="shared" ca="1" si="329"/>
        <v>1</v>
      </c>
      <c r="G91" s="21" t="str">
        <f t="shared" ca="1" si="209"/>
        <v>Low of score &amp; 52</v>
      </c>
      <c r="H91" s="337" cm="1">
        <f t="array" aca="1" ref="H91" ca="1">IFERROR(_xlfn.SINGLE(INDEX($AF91:$BH91, , SUMPRODUCT(LARGE((($AF91:$BH91&lt;&gt;0)*($BJ91:$CL91&lt;&gt;1)*($AF$5:$BH$5)), H$6)))), "")</f>
        <v>52</v>
      </c>
      <c r="I91" s="338" t="str" cm="1">
        <f t="array" aca="1" ref="I91" ca="1">IFERROR(_xlfn.SINGLE(INDEX($AF91:$BH91, , SUMPRODUCT(LARGE((($AF91:$BH91&lt;&gt;0)*($BJ91:$CL91&lt;&gt;1)*($AF$5:$BH$5)), I$6)))), "")</f>
        <v/>
      </c>
      <c r="J91" s="338" t="str" cm="1">
        <f t="array" aca="1" ref="J91" ca="1">IFERROR(_xlfn.SINGLE(INDEX($AF91:$BH91, , SUMPRODUCT(LARGE((($AF91:$BH91&lt;&gt;0)*($BJ91:$CL91&lt;&gt;1)*($AF$5:$BH$5)), J$6)))), "")</f>
        <v/>
      </c>
      <c r="K91" s="338" t="str" cm="1">
        <f t="array" aca="1" ref="K91" ca="1">IFERROR(_xlfn.SINGLE(INDEX($AF91:$BH91, , SUMPRODUCT(LARGE((($AF91:$BH91&lt;&gt;0)*($BJ91:$CL91&lt;&gt;1)*($AF$5:$BH$5)), K$6)))), "")</f>
        <v/>
      </c>
      <c r="L91" s="338" t="str" cm="1">
        <f t="array" aca="1" ref="L91" ca="1">IFERROR(_xlfn.SINGLE(INDEX($AF91:$BH91, , SUMPRODUCT(LARGE((($AF91:$BH91&lt;&gt;0)*($BJ91:$CL91&lt;&gt;1)*($AF$5:$BH$5)), L$6)))), "")</f>
        <v/>
      </c>
      <c r="M91" s="338" t="str" cm="1">
        <f t="array" aca="1" ref="M91" ca="1">IFERROR(_xlfn.SINGLE(INDEX($AF91:$BH91, , SUMPRODUCT(LARGE((($AF91:$BH91&lt;&gt;0)*($BJ91:$CL91&lt;&gt;1)*($AF$5:$BH$5)), M$6)))), "")</f>
        <v/>
      </c>
      <c r="N91" s="338" t="str" cm="1">
        <f t="array" aca="1" ref="N91" ca="1">IFERROR(_xlfn.SINGLE(INDEX($AF91:$BH91, , SUMPRODUCT(LARGE((($AF91:$BH91&lt;&gt;0)*($BJ91:$CL91&lt;&gt;1)*($AF$5:$BH$5)), N$6)))), "")</f>
        <v/>
      </c>
      <c r="O91" s="338" t="str" cm="1">
        <f t="array" aca="1" ref="O91" ca="1">IFERROR(_xlfn.SINGLE(INDEX($AF91:$BH91, , SUMPRODUCT(LARGE((($AF91:$BH91&lt;&gt;0)*($BJ91:$CL91&lt;&gt;1)*($AF$5:$BH$5)), O$6)))), "")</f>
        <v/>
      </c>
      <c r="P91" s="338" t="str" cm="1">
        <f t="array" aca="1" ref="P91" ca="1">IFERROR(_xlfn.SINGLE(INDEX($AF91:$BH91, , SUMPRODUCT(LARGE((($AF91:$BH91&lt;&gt;0)*($BJ91:$CL91&lt;&gt;1)*($AF$5:$BH$5)), P$6)))), "")</f>
        <v/>
      </c>
      <c r="Q91" s="339" t="str" cm="1">
        <f t="array" aca="1" ref="Q91" ca="1">IFERROR(_xlfn.SINGLE(INDEX($AF91:$BH91, , SUMPRODUCT(LARGE((($AF91:$BH91&lt;&gt;0)*($BJ91:$CL91&lt;&gt;1)*($AF$5:$BH$5)), Q$6)))), "")</f>
        <v/>
      </c>
      <c r="R91" s="116">
        <v>52.22</v>
      </c>
      <c r="S91" s="47" t="str">
        <f t="shared" ca="1" si="210"/>
        <v>-</v>
      </c>
      <c r="T91" s="21" t="str">
        <f t="shared" ca="1" si="211"/>
        <v>52.00*</v>
      </c>
      <c r="U91" s="21" t="str">
        <f t="shared" ca="1" si="212"/>
        <v>43.00*</v>
      </c>
      <c r="V91" s="46">
        <f t="shared" ca="1" si="213"/>
        <v>52</v>
      </c>
      <c r="W91" s="19">
        <f t="shared" ca="1" si="214"/>
        <v>43</v>
      </c>
      <c r="X91" s="46">
        <f t="shared" ca="1" si="215"/>
        <v>7</v>
      </c>
      <c r="Y91" s="21" t="str">
        <f t="shared" ca="1" si="216"/>
        <v>7.00*</v>
      </c>
      <c r="Z91" s="19">
        <f t="shared" ca="1" si="217"/>
        <v>0</v>
      </c>
      <c r="AA91" s="19">
        <f t="shared" ca="1" si="218"/>
        <v>0</v>
      </c>
      <c r="AB91" s="46" t="str">
        <f t="shared" ca="1" si="219"/>
        <v>0-0-0</v>
      </c>
      <c r="AC91" s="218">
        <f t="shared" ca="1" si="273"/>
        <v>3308069128</v>
      </c>
      <c r="AD91" s="57" t="str">
        <f t="shared" ca="1" si="274"/>
        <v>vassasj@gmail.com</v>
      </c>
      <c r="AE91" s="34"/>
      <c r="AF91" s="341">
        <f ca="1">INDEX(PriorScores[],MATCH($D91,PriorScores[Team / Player],0),2)</f>
        <v>0</v>
      </c>
      <c r="AG91" s="341">
        <f ca="1">INDEX(PriorScores[],MATCH($D91,PriorScores[Team / Player],0),3)</f>
        <v>0</v>
      </c>
      <c r="AH91" s="341">
        <f ca="1">INDEX(PriorScores[],MATCH($D91,PriorScores[Team / Player],0),4)</f>
        <v>0</v>
      </c>
      <c r="AI91" s="341">
        <f ca="1">INDEX(PriorScores[],MATCH($D91,PriorScores[Team / Player],0),5)</f>
        <v>0</v>
      </c>
      <c r="AJ91" s="341">
        <f ca="1">INDEX(PriorScores[],MATCH($D91,PriorScores[Team / Player],0),6)</f>
        <v>0</v>
      </c>
      <c r="AK91" s="341">
        <f ca="1">INDEX(PriorScores[],MATCH($D91,PriorScores[Team / Player],0),7)</f>
        <v>0</v>
      </c>
      <c r="AL91" s="341">
        <f ca="1">INDEX(PriorScores[],MATCH($D91,PriorScores[Team / Player],0),8)</f>
        <v>0</v>
      </c>
      <c r="AM91" s="341">
        <f ca="1">INDEX(PriorScores[],MATCH($D91,PriorScores[Team / Player],0),9)</f>
        <v>0</v>
      </c>
      <c r="AN91" s="341"/>
      <c r="AO91" s="341"/>
      <c r="AP91" s="20">
        <f t="shared" ca="1" si="316"/>
        <v>0</v>
      </c>
      <c r="AQ91" s="20">
        <f t="shared" ca="1" si="316"/>
        <v>0</v>
      </c>
      <c r="AR91" s="20">
        <f t="shared" ca="1" si="316"/>
        <v>0</v>
      </c>
      <c r="AS91" s="20">
        <f t="shared" ca="1" si="316"/>
        <v>0</v>
      </c>
      <c r="AT91" s="20">
        <f t="shared" ca="1" si="316"/>
        <v>0</v>
      </c>
      <c r="AU91" s="20">
        <f t="shared" ca="1" si="316"/>
        <v>0</v>
      </c>
      <c r="AV91" s="20">
        <f t="shared" ca="1" si="316"/>
        <v>0</v>
      </c>
      <c r="AW91" s="20">
        <f t="shared" ca="1" si="316"/>
        <v>0</v>
      </c>
      <c r="AX91" s="20">
        <f t="shared" ca="1" si="316"/>
        <v>0</v>
      </c>
      <c r="AY91" s="20">
        <f t="shared" ca="1" si="316"/>
        <v>0</v>
      </c>
      <c r="AZ91" s="20">
        <f t="shared" ca="1" si="316"/>
        <v>52</v>
      </c>
      <c r="BA91" s="20">
        <f t="shared" ca="1" si="317"/>
        <v>0</v>
      </c>
      <c r="BB91" s="20">
        <f t="shared" ca="1" si="317"/>
        <v>0</v>
      </c>
      <c r="BC91" s="20">
        <f t="shared" ca="1" si="317"/>
        <v>0</v>
      </c>
      <c r="BD91" s="20">
        <f t="shared" ca="1" si="317"/>
        <v>0</v>
      </c>
      <c r="BE91" s="20">
        <f t="shared" ca="1" si="317"/>
        <v>0</v>
      </c>
      <c r="BF91" s="20">
        <f t="shared" ca="1" si="317"/>
        <v>0</v>
      </c>
      <c r="BG91" s="20">
        <f t="shared" ca="1" si="317"/>
        <v>0</v>
      </c>
      <c r="BH91" s="20">
        <f t="shared" ca="1" si="317"/>
        <v>0</v>
      </c>
      <c r="BI91" s="34"/>
      <c r="BJ91" s="341">
        <v>0</v>
      </c>
      <c r="BK91" s="341">
        <v>0</v>
      </c>
      <c r="BL91" s="341">
        <v>0</v>
      </c>
      <c r="BM91" s="341">
        <v>0</v>
      </c>
      <c r="BN91" s="341">
        <v>0</v>
      </c>
      <c r="BO91" s="341">
        <v>0</v>
      </c>
      <c r="BP91" s="341">
        <v>0</v>
      </c>
      <c r="BQ91" s="341">
        <v>0</v>
      </c>
      <c r="BR91" s="341">
        <v>0</v>
      </c>
      <c r="BS91" s="341">
        <v>0</v>
      </c>
      <c r="BT91" s="20">
        <f t="shared" ca="1" si="323"/>
        <v>0</v>
      </c>
      <c r="BU91" s="20">
        <f t="shared" ca="1" si="323"/>
        <v>0</v>
      </c>
      <c r="BV91" s="20">
        <f t="shared" ca="1" si="323"/>
        <v>0</v>
      </c>
      <c r="BW91" s="20">
        <f t="shared" ca="1" si="323"/>
        <v>0</v>
      </c>
      <c r="BX91" s="20">
        <f t="shared" ca="1" si="323"/>
        <v>0</v>
      </c>
      <c r="BY91" s="20">
        <f t="shared" ca="1" si="323"/>
        <v>0</v>
      </c>
      <c r="BZ91" s="20">
        <f t="shared" ca="1" si="323"/>
        <v>0</v>
      </c>
      <c r="CA91" s="20">
        <f t="shared" ca="1" si="323"/>
        <v>0</v>
      </c>
      <c r="CB91" s="20">
        <f t="shared" ca="1" si="323"/>
        <v>0</v>
      </c>
      <c r="CC91" s="20">
        <f t="shared" ca="1" si="323"/>
        <v>0</v>
      </c>
      <c r="CD91" s="20">
        <f t="shared" ca="1" si="323"/>
        <v>0</v>
      </c>
      <c r="CE91" s="20">
        <f t="shared" ca="1" si="323"/>
        <v>0</v>
      </c>
      <c r="CF91" s="20">
        <f t="shared" ca="1" si="323"/>
        <v>0</v>
      </c>
      <c r="CG91" s="20">
        <f t="shared" ca="1" si="323"/>
        <v>0</v>
      </c>
      <c r="CH91" s="20">
        <f t="shared" ca="1" si="323"/>
        <v>0</v>
      </c>
      <c r="CI91" s="20">
        <f t="shared" ca="1" si="323"/>
        <v>0</v>
      </c>
      <c r="CJ91" s="20">
        <f t="shared" ca="1" si="318"/>
        <v>0</v>
      </c>
      <c r="CK91" s="20">
        <f t="shared" ca="1" si="318"/>
        <v>0</v>
      </c>
      <c r="CL91" s="20">
        <f t="shared" ca="1" si="318"/>
        <v>0</v>
      </c>
      <c r="CM91" s="34"/>
      <c r="CN91" s="20" t="str">
        <f t="shared" ca="1" si="319"/>
        <v/>
      </c>
      <c r="CO91" s="20" t="str">
        <f t="shared" ca="1" si="319"/>
        <v/>
      </c>
      <c r="CP91" s="20" t="str">
        <f t="shared" ca="1" si="319"/>
        <v/>
      </c>
      <c r="CQ91" s="20" t="str">
        <f t="shared" ca="1" si="319"/>
        <v/>
      </c>
      <c r="CR91" s="20" t="str">
        <f t="shared" ca="1" si="319"/>
        <v/>
      </c>
      <c r="CS91" s="20" t="str">
        <f t="shared" ca="1" si="319"/>
        <v/>
      </c>
      <c r="CT91" s="20" t="str">
        <f t="shared" ca="1" si="319"/>
        <v/>
      </c>
      <c r="CU91" s="20" t="str">
        <f t="shared" ca="1" si="319"/>
        <v/>
      </c>
      <c r="CV91" s="20" t="str">
        <f t="shared" ca="1" si="319"/>
        <v/>
      </c>
      <c r="CW91" s="20" t="str">
        <f t="shared" ca="1" si="319"/>
        <v/>
      </c>
      <c r="CX91" s="20">
        <f t="shared" ca="1" si="319"/>
        <v>43</v>
      </c>
      <c r="CY91" s="20" t="str">
        <f t="shared" ca="1" si="319"/>
        <v/>
      </c>
      <c r="CZ91" s="20" t="str">
        <f t="shared" ca="1" si="319"/>
        <v/>
      </c>
      <c r="DA91" s="20" t="str">
        <f t="shared" ca="1" si="319"/>
        <v/>
      </c>
      <c r="DB91" s="20" t="str">
        <f t="shared" ca="1" si="319"/>
        <v/>
      </c>
      <c r="DC91" s="20" t="str">
        <f t="shared" ca="1" si="319"/>
        <v/>
      </c>
      <c r="DD91" s="20" t="str">
        <f t="shared" ca="1" si="320"/>
        <v/>
      </c>
      <c r="DE91" s="20" t="str">
        <f t="shared" ca="1" si="320"/>
        <v/>
      </c>
      <c r="DF91" s="20" t="str">
        <f t="shared" ca="1" si="320"/>
        <v/>
      </c>
      <c r="DG91" s="34"/>
      <c r="DH91" s="20" t="str">
        <f t="shared" ca="1" si="321"/>
        <v/>
      </c>
      <c r="DI91" s="20" t="str">
        <f t="shared" ca="1" si="276"/>
        <v/>
      </c>
      <c r="DJ91" s="20" t="str">
        <f t="shared" ca="1" si="277"/>
        <v/>
      </c>
      <c r="DK91" s="20" t="str">
        <f t="shared" ca="1" si="278"/>
        <v/>
      </c>
      <c r="DL91" s="20" t="str">
        <f t="shared" ca="1" si="279"/>
        <v/>
      </c>
      <c r="DM91" s="20" t="str">
        <f t="shared" ca="1" si="280"/>
        <v/>
      </c>
      <c r="DN91" s="20" t="str">
        <f t="shared" ca="1" si="281"/>
        <v/>
      </c>
      <c r="DO91" s="20" t="str">
        <f t="shared" ca="1" si="282"/>
        <v/>
      </c>
      <c r="DP91" s="20" t="str">
        <f t="shared" ca="1" si="283"/>
        <v/>
      </c>
      <c r="DQ91" s="20" t="str">
        <f t="shared" ca="1" si="284"/>
        <v/>
      </c>
      <c r="DR91" s="20">
        <f t="shared" ca="1" si="285"/>
        <v>7</v>
      </c>
      <c r="DS91" s="20" t="str">
        <f t="shared" ca="1" si="286"/>
        <v/>
      </c>
      <c r="DT91" s="20" t="str">
        <f t="shared" ca="1" si="287"/>
        <v/>
      </c>
      <c r="DU91" s="20" t="str">
        <f t="shared" ca="1" si="288"/>
        <v/>
      </c>
      <c r="DV91" s="20" t="str">
        <f t="shared" ca="1" si="289"/>
        <v/>
      </c>
      <c r="DW91" s="20" t="str">
        <f t="shared" ca="1" si="290"/>
        <v/>
      </c>
      <c r="DX91" s="20" t="str">
        <f t="shared" ca="1" si="290"/>
        <v/>
      </c>
      <c r="DY91" s="20" t="str">
        <f t="shared" ca="1" si="290"/>
        <v/>
      </c>
      <c r="DZ91" s="20" t="str">
        <f t="shared" ca="1" si="290"/>
        <v/>
      </c>
      <c r="EA91" s="34"/>
      <c r="EB91" s="20" t="str">
        <f t="shared" ca="1" si="322"/>
        <v/>
      </c>
      <c r="EC91" s="20" t="str">
        <f t="shared" ca="1" si="292"/>
        <v/>
      </c>
      <c r="ED91" s="20" t="str">
        <f t="shared" ca="1" si="293"/>
        <v/>
      </c>
      <c r="EE91" s="20" t="str">
        <f t="shared" ca="1" si="294"/>
        <v/>
      </c>
      <c r="EF91" s="20" t="str">
        <f t="shared" ca="1" si="295"/>
        <v/>
      </c>
      <c r="EG91" s="20" t="str">
        <f t="shared" ca="1" si="296"/>
        <v/>
      </c>
      <c r="EH91" s="20" t="str">
        <f t="shared" ca="1" si="297"/>
        <v/>
      </c>
      <c r="EI91" s="20" t="str">
        <f t="shared" ca="1" si="298"/>
        <v/>
      </c>
      <c r="EJ91" s="20" t="str">
        <f t="shared" ca="1" si="299"/>
        <v/>
      </c>
      <c r="EK91" s="20" t="str">
        <f t="shared" ca="1" si="300"/>
        <v/>
      </c>
      <c r="EL91" s="20" t="str">
        <f t="shared" ca="1" si="301"/>
        <v/>
      </c>
      <c r="EM91" s="20" t="str">
        <f t="shared" ca="1" si="302"/>
        <v/>
      </c>
      <c r="EN91" s="20" t="str">
        <f t="shared" ca="1" si="303"/>
        <v/>
      </c>
      <c r="EO91" s="20" t="str">
        <f t="shared" ca="1" si="304"/>
        <v/>
      </c>
      <c r="EP91" s="20" t="str">
        <f t="shared" ca="1" si="305"/>
        <v/>
      </c>
      <c r="EQ91" s="20" t="str">
        <f t="shared" ca="1" si="306"/>
        <v/>
      </c>
      <c r="ER91" s="20" t="str">
        <f t="shared" ca="1" si="306"/>
        <v/>
      </c>
      <c r="ES91" s="20" t="str">
        <f t="shared" ca="1" si="306"/>
        <v/>
      </c>
      <c r="ET91" s="20" t="str">
        <f t="shared" ca="1" si="306"/>
        <v/>
      </c>
      <c r="EU91" s="34"/>
      <c r="EV91" s="20" t="str">
        <f t="shared" ca="1" si="325"/>
        <v/>
      </c>
      <c r="EW91" s="20" t="str">
        <f t="shared" ca="1" si="325"/>
        <v/>
      </c>
      <c r="EX91" s="20" t="str">
        <f t="shared" ca="1" si="325"/>
        <v/>
      </c>
      <c r="EY91" s="20" t="str">
        <f t="shared" ca="1" si="325"/>
        <v/>
      </c>
      <c r="EZ91" s="20" t="str">
        <f t="shared" ca="1" si="325"/>
        <v/>
      </c>
      <c r="FA91" s="20" t="str">
        <f t="shared" ca="1" si="325"/>
        <v/>
      </c>
      <c r="FB91" s="20" t="str">
        <f t="shared" ca="1" si="325"/>
        <v/>
      </c>
      <c r="FC91" s="20" t="str">
        <f t="shared" ca="1" si="325"/>
        <v/>
      </c>
      <c r="FD91" s="20" t="str">
        <f t="shared" ca="1" si="325"/>
        <v/>
      </c>
      <c r="FE91" s="20" t="str">
        <f t="shared" ca="1" si="325"/>
        <v/>
      </c>
      <c r="FF91" s="20" t="str">
        <f t="shared" ca="1" si="325"/>
        <v/>
      </c>
      <c r="FG91" s="20" t="str">
        <f t="shared" ca="1" si="325"/>
        <v/>
      </c>
      <c r="FH91" s="20" t="str">
        <f t="shared" ca="1" si="325"/>
        <v/>
      </c>
      <c r="FI91" s="20" t="str">
        <f t="shared" ca="1" si="325"/>
        <v/>
      </c>
      <c r="FJ91" s="20" t="str">
        <f t="shared" ca="1" si="325"/>
        <v/>
      </c>
      <c r="FK91" s="20" t="str">
        <f t="shared" ca="1" si="325"/>
        <v/>
      </c>
      <c r="FL91" s="20" t="str">
        <f t="shared" ca="1" si="326"/>
        <v/>
      </c>
      <c r="FM91" s="20" t="str">
        <f t="shared" ca="1" si="326"/>
        <v/>
      </c>
      <c r="FN91" s="20" t="str">
        <f t="shared" ca="1" si="326"/>
        <v/>
      </c>
      <c r="FO91" s="34"/>
      <c r="FP91" s="20" t="str">
        <f t="shared" ca="1" si="327"/>
        <v/>
      </c>
      <c r="FQ91" s="20" t="str">
        <f t="shared" ca="1" si="327"/>
        <v/>
      </c>
      <c r="FR91" s="20" t="str">
        <f t="shared" ca="1" si="327"/>
        <v/>
      </c>
      <c r="FS91" s="20" t="str">
        <f t="shared" ca="1" si="327"/>
        <v/>
      </c>
      <c r="FT91" s="20" t="str">
        <f t="shared" ca="1" si="327"/>
        <v/>
      </c>
      <c r="FU91" s="20" t="str">
        <f t="shared" ca="1" si="327"/>
        <v/>
      </c>
      <c r="FV91" s="20" t="str">
        <f t="shared" ca="1" si="327"/>
        <v/>
      </c>
      <c r="FW91" s="20" t="str">
        <f t="shared" ca="1" si="327"/>
        <v/>
      </c>
      <c r="FX91" s="20" t="str">
        <f t="shared" ca="1" si="327"/>
        <v/>
      </c>
      <c r="FY91" s="20" t="str">
        <f t="shared" ca="1" si="327"/>
        <v/>
      </c>
      <c r="FZ91" s="20" t="str">
        <f t="shared" ca="1" si="327"/>
        <v>Metheads</v>
      </c>
      <c r="GA91" s="20" t="str">
        <f t="shared" ca="1" si="327"/>
        <v/>
      </c>
      <c r="GB91" s="20" t="str">
        <f t="shared" ca="1" si="327"/>
        <v/>
      </c>
      <c r="GC91" s="20" t="str">
        <f t="shared" ca="1" si="327"/>
        <v/>
      </c>
      <c r="GD91" s="20" t="str">
        <f t="shared" ca="1" si="327"/>
        <v/>
      </c>
      <c r="GE91" s="20" t="str">
        <f t="shared" ca="1" si="327"/>
        <v/>
      </c>
      <c r="GF91" s="20" t="str">
        <f t="shared" ca="1" si="328"/>
        <v/>
      </c>
      <c r="GG91" s="20" t="str">
        <f t="shared" ca="1" si="328"/>
        <v/>
      </c>
      <c r="GH91" s="20" t="str">
        <f t="shared" ca="1" si="328"/>
        <v/>
      </c>
      <c r="GI91" s="34"/>
      <c r="HE91" s="34"/>
      <c r="HZ91" s="34"/>
      <c r="IA91" s="19" t="str">
        <f t="shared" ca="1" si="330"/>
        <v>No Hdcp</v>
      </c>
      <c r="IB91" s="19" t="str">
        <f t="shared" ca="1" si="232"/>
        <v>Low of score &amp; 52</v>
      </c>
      <c r="IC91" s="19" t="str">
        <f t="shared" ca="1" si="233"/>
        <v>Low of score &amp; 52</v>
      </c>
      <c r="ID91" s="18" t="str">
        <f t="shared" ca="1" si="234"/>
        <v>Low of score &amp; 52</v>
      </c>
      <c r="IE91" s="18" t="str">
        <f t="shared" ca="1" si="235"/>
        <v>Low of score &amp; 52</v>
      </c>
      <c r="IF91" s="18">
        <f t="shared" ca="1" si="236"/>
        <v>15.36</v>
      </c>
      <c r="IG91" s="353" t="e">
        <f t="shared" ca="1" si="237"/>
        <v>#NUM!</v>
      </c>
      <c r="IH91" s="18" t="e">
        <f t="shared" ca="1" si="238"/>
        <v>#NUM!</v>
      </c>
      <c r="II91" s="18" t="e">
        <f t="shared" ca="1" si="239"/>
        <v>#NUM!</v>
      </c>
      <c r="IJ91" s="18" t="e">
        <f t="shared" ca="1" si="240"/>
        <v>#NUM!</v>
      </c>
      <c r="IK91" s="18" t="e">
        <f t="shared" ca="1" si="241"/>
        <v>#NUM!</v>
      </c>
      <c r="IL91" s="34"/>
    </row>
    <row r="92" spans="1:271" x14ac:dyDescent="0.2">
      <c r="A92" s="18" t="s">
        <v>76</v>
      </c>
      <c r="B92" s="19">
        <f t="shared" si="311"/>
        <v>229</v>
      </c>
      <c r="C92" s="22">
        <f t="shared" ca="1" si="206"/>
        <v>1.03E-2</v>
      </c>
      <c r="D92" s="18" t="str">
        <f t="shared" ca="1" si="265"/>
        <v>Yackley, Jeff</v>
      </c>
      <c r="E92" s="19">
        <f t="shared" ca="1" si="207"/>
        <v>12</v>
      </c>
      <c r="F92" s="19">
        <f t="shared" ca="1" si="329"/>
        <v>10</v>
      </c>
      <c r="G92" s="21">
        <f t="shared" ca="1" si="209"/>
        <v>9.6</v>
      </c>
      <c r="H92" s="337" cm="1">
        <f t="array" aca="1" ref="H92" ca="1">IFERROR(_xlfn.SINGLE(INDEX($AF92:$BH92, , SUMPRODUCT(LARGE((($AF92:$BH92&lt;&gt;0)*($BJ92:$CL92&lt;&gt;1)*($AF$5:$BH$5)), H$6)))), "")</f>
        <v>46</v>
      </c>
      <c r="I92" s="338" cm="1">
        <f t="array" aca="1" ref="I92" ca="1">IFERROR(_xlfn.SINGLE(INDEX($AF92:$BH92, , SUMPRODUCT(LARGE((($AF92:$BH92&lt;&gt;0)*($BJ92:$CL92&lt;&gt;1)*($AF$5:$BH$5)), I$6)))), "")</f>
        <v>48</v>
      </c>
      <c r="J92" s="338" cm="1">
        <f t="array" aca="1" ref="J92" ca="1">IFERROR(_xlfn.SINGLE(INDEX($AF92:$BH92, , SUMPRODUCT(LARGE((($AF92:$BH92&lt;&gt;0)*($BJ92:$CL92&lt;&gt;1)*($AF$5:$BH$5)), J$6)))), "")</f>
        <v>51</v>
      </c>
      <c r="K92" s="338" cm="1">
        <f t="array" aca="1" ref="K92" ca="1">IFERROR(_xlfn.SINGLE(INDEX($AF92:$BH92, , SUMPRODUCT(LARGE((($AF92:$BH92&lt;&gt;0)*($BJ92:$CL92&lt;&gt;1)*($AF$5:$BH$5)), K$6)))), "")</f>
        <v>45</v>
      </c>
      <c r="L92" s="338" cm="1">
        <f t="array" aca="1" ref="L92" ca="1">IFERROR(_xlfn.SINGLE(INDEX($AF92:$BH92, , SUMPRODUCT(LARGE((($AF92:$BH92&lt;&gt;0)*($BJ92:$CL92&lt;&gt;1)*($AF$5:$BH$5)), L$6)))), "")</f>
        <v>49</v>
      </c>
      <c r="M92" s="338" cm="1">
        <f t="array" aca="1" ref="M92" ca="1">IFERROR(_xlfn.SINGLE(INDEX($AF92:$BH92, , SUMPRODUCT(LARGE((($AF92:$BH92&lt;&gt;0)*($BJ92:$CL92&lt;&gt;1)*($AF$5:$BH$5)), M$6)))), "")</f>
        <v>47</v>
      </c>
      <c r="N92" s="338" cm="1">
        <f t="array" aca="1" ref="N92" ca="1">IFERROR(_xlfn.SINGLE(INDEX($AF92:$BH92, , SUMPRODUCT(LARGE((($AF92:$BH92&lt;&gt;0)*($BJ92:$CL92&lt;&gt;1)*($AF$5:$BH$5)), N$6)))), "")</f>
        <v>46</v>
      </c>
      <c r="O92" s="338" cm="1">
        <f t="array" aca="1" ref="O92" ca="1">IFERROR(_xlfn.SINGLE(INDEX($AF92:$BH92, , SUMPRODUCT(LARGE((($AF92:$BH92&lt;&gt;0)*($BJ92:$CL92&lt;&gt;1)*($AF$5:$BH$5)), O$6)))), "")</f>
        <v>46</v>
      </c>
      <c r="P92" s="338" cm="1">
        <f t="array" aca="1" ref="P92" ca="1">IFERROR(_xlfn.SINGLE(INDEX($AF92:$BH92, , SUMPRODUCT(LARGE((($AF92:$BH92&lt;&gt;0)*($BJ92:$CL92&lt;&gt;1)*($AF$5:$BH$5)), P$6)))), "")</f>
        <v>54</v>
      </c>
      <c r="Q92" s="339" cm="1">
        <f t="array" aca="1" ref="Q92" ca="1">IFERROR(_xlfn.SINGLE(INDEX($AF92:$BH92, , SUMPRODUCT(LARGE((($AF92:$BH92&lt;&gt;0)*($BJ92:$CL92&lt;&gt;1)*($AF$5:$BH$5)), Q$6)))), "")</f>
        <v>53</v>
      </c>
      <c r="R92" s="116">
        <v>53.22</v>
      </c>
      <c r="S92" s="47">
        <f t="shared" ca="1" si="210"/>
        <v>46</v>
      </c>
      <c r="T92" s="21">
        <f t="shared" ca="1" si="211"/>
        <v>48.333333333333336</v>
      </c>
      <c r="U92" s="21">
        <f t="shared" ca="1" si="212"/>
        <v>40.416666666666664</v>
      </c>
      <c r="V92" s="46">
        <f t="shared" ca="1" si="213"/>
        <v>45</v>
      </c>
      <c r="W92" s="19">
        <f t="shared" ca="1" si="214"/>
        <v>36</v>
      </c>
      <c r="X92" s="46">
        <f t="shared" ca="1" si="215"/>
        <v>130</v>
      </c>
      <c r="Y92" s="21">
        <f t="shared" ca="1" si="216"/>
        <v>10</v>
      </c>
      <c r="Z92" s="19">
        <f t="shared" ca="1" si="217"/>
        <v>3</v>
      </c>
      <c r="AA92" s="19">
        <f t="shared" ca="1" si="218"/>
        <v>0</v>
      </c>
      <c r="AB92" s="46" t="str">
        <f t="shared" ca="1" si="219"/>
        <v>0-0-0</v>
      </c>
      <c r="AC92" s="218">
        <f t="shared" ca="1" si="273"/>
        <v>3304139314</v>
      </c>
      <c r="AD92" s="57" t="str">
        <f t="shared" ca="1" si="274"/>
        <v>yackley@ameritech.net</v>
      </c>
      <c r="AE92" s="34"/>
      <c r="AF92" s="341">
        <f ca="1">INDEX(PriorScores[],MATCH($D92,PriorScores[Team / Player],0),2)</f>
        <v>0</v>
      </c>
      <c r="AG92" s="341"/>
      <c r="AH92" s="341"/>
      <c r="AI92" s="341"/>
      <c r="AJ92" s="341"/>
      <c r="AK92" s="341"/>
      <c r="AL92" s="341"/>
      <c r="AM92" s="341"/>
      <c r="AN92" s="341"/>
      <c r="AO92" s="341"/>
      <c r="AP92" s="20">
        <f t="shared" ca="1" si="316"/>
        <v>46</v>
      </c>
      <c r="AQ92" s="20">
        <f t="shared" ca="1" si="316"/>
        <v>49</v>
      </c>
      <c r="AR92" s="20">
        <f t="shared" ca="1" si="316"/>
        <v>53</v>
      </c>
      <c r="AS92" s="20">
        <f t="shared" ca="1" si="316"/>
        <v>54</v>
      </c>
      <c r="AT92" s="20">
        <f t="shared" ca="1" si="316"/>
        <v>0</v>
      </c>
      <c r="AU92" s="20">
        <f t="shared" ca="1" si="316"/>
        <v>0</v>
      </c>
      <c r="AV92" s="20">
        <f t="shared" ca="1" si="316"/>
        <v>46</v>
      </c>
      <c r="AW92" s="20">
        <f t="shared" ca="1" si="316"/>
        <v>0</v>
      </c>
      <c r="AX92" s="20">
        <f t="shared" ca="1" si="316"/>
        <v>0</v>
      </c>
      <c r="AY92" s="20">
        <f t="shared" ca="1" si="316"/>
        <v>46</v>
      </c>
      <c r="AZ92" s="20">
        <f t="shared" ca="1" si="316"/>
        <v>47</v>
      </c>
      <c r="BA92" s="20">
        <f t="shared" ca="1" si="317"/>
        <v>0</v>
      </c>
      <c r="BB92" s="20">
        <f t="shared" ca="1" si="317"/>
        <v>49</v>
      </c>
      <c r="BC92" s="20">
        <f t="shared" ca="1" si="317"/>
        <v>45</v>
      </c>
      <c r="BD92" s="20">
        <f t="shared" ca="1" si="317"/>
        <v>0</v>
      </c>
      <c r="BE92" s="20">
        <f t="shared" ca="1" si="317"/>
        <v>51</v>
      </c>
      <c r="BF92" s="20">
        <f t="shared" ca="1" si="317"/>
        <v>48</v>
      </c>
      <c r="BG92" s="20">
        <f t="shared" ca="1" si="317"/>
        <v>0</v>
      </c>
      <c r="BH92" s="20">
        <f t="shared" ca="1" si="317"/>
        <v>46</v>
      </c>
      <c r="BI92" s="34"/>
      <c r="BJ92" s="341">
        <v>0</v>
      </c>
      <c r="BK92" s="341">
        <v>0</v>
      </c>
      <c r="BL92" s="341">
        <v>0</v>
      </c>
      <c r="BM92" s="341">
        <v>0</v>
      </c>
      <c r="BN92" s="341">
        <v>0</v>
      </c>
      <c r="BO92" s="341">
        <v>0</v>
      </c>
      <c r="BP92" s="341">
        <v>0</v>
      </c>
      <c r="BQ92" s="341">
        <v>0</v>
      </c>
      <c r="BR92" s="341">
        <v>0</v>
      </c>
      <c r="BS92" s="341">
        <v>0</v>
      </c>
      <c r="BT92" s="20">
        <f t="shared" ca="1" si="323"/>
        <v>0</v>
      </c>
      <c r="BU92" s="20">
        <f t="shared" ca="1" si="323"/>
        <v>0</v>
      </c>
      <c r="BV92" s="20">
        <f t="shared" ca="1" si="323"/>
        <v>0</v>
      </c>
      <c r="BW92" s="20">
        <f t="shared" ca="1" si="323"/>
        <v>0</v>
      </c>
      <c r="BX92" s="20">
        <f t="shared" ca="1" si="323"/>
        <v>0</v>
      </c>
      <c r="BY92" s="20">
        <f t="shared" ca="1" si="323"/>
        <v>0</v>
      </c>
      <c r="BZ92" s="20">
        <f t="shared" ca="1" si="323"/>
        <v>0</v>
      </c>
      <c r="CA92" s="20">
        <f t="shared" ca="1" si="323"/>
        <v>0</v>
      </c>
      <c r="CB92" s="20">
        <f t="shared" ca="1" si="323"/>
        <v>0</v>
      </c>
      <c r="CC92" s="20">
        <f t="shared" ca="1" si="323"/>
        <v>0</v>
      </c>
      <c r="CD92" s="20">
        <f t="shared" ca="1" si="323"/>
        <v>0</v>
      </c>
      <c r="CE92" s="20">
        <f t="shared" ca="1" si="323"/>
        <v>0</v>
      </c>
      <c r="CF92" s="20">
        <f t="shared" ca="1" si="323"/>
        <v>0</v>
      </c>
      <c r="CG92" s="20">
        <f t="shared" ca="1" si="323"/>
        <v>0</v>
      </c>
      <c r="CH92" s="20">
        <f t="shared" ca="1" si="323"/>
        <v>1</v>
      </c>
      <c r="CI92" s="20">
        <f t="shared" ca="1" si="323"/>
        <v>0</v>
      </c>
      <c r="CJ92" s="20">
        <f t="shared" ca="1" si="318"/>
        <v>0</v>
      </c>
      <c r="CK92" s="20">
        <f t="shared" ca="1" si="318"/>
        <v>1</v>
      </c>
      <c r="CL92" s="20">
        <f t="shared" ca="1" si="318"/>
        <v>0</v>
      </c>
      <c r="CM92" s="34"/>
      <c r="CN92" s="20">
        <f t="shared" ca="1" si="319"/>
        <v>39</v>
      </c>
      <c r="CO92" s="20">
        <f t="shared" ca="1" si="319"/>
        <v>42</v>
      </c>
      <c r="CP92" s="20">
        <f t="shared" ca="1" si="319"/>
        <v>46</v>
      </c>
      <c r="CQ92" s="20">
        <f t="shared" ca="1" si="319"/>
        <v>47</v>
      </c>
      <c r="CR92" s="20" t="str">
        <f t="shared" ca="1" si="319"/>
        <v/>
      </c>
      <c r="CS92" s="20" t="str">
        <f t="shared" ca="1" si="319"/>
        <v/>
      </c>
      <c r="CT92" s="20">
        <f t="shared" ca="1" si="319"/>
        <v>39</v>
      </c>
      <c r="CU92" s="20" t="str">
        <f t="shared" ca="1" si="319"/>
        <v/>
      </c>
      <c r="CV92" s="20" t="str">
        <f t="shared" ca="1" si="319"/>
        <v/>
      </c>
      <c r="CW92" s="20">
        <f t="shared" ca="1" si="319"/>
        <v>39</v>
      </c>
      <c r="CX92" s="20">
        <f t="shared" ca="1" si="319"/>
        <v>40</v>
      </c>
      <c r="CY92" s="20" t="str">
        <f t="shared" ca="1" si="319"/>
        <v/>
      </c>
      <c r="CZ92" s="20">
        <f t="shared" ca="1" si="319"/>
        <v>41</v>
      </c>
      <c r="DA92" s="20">
        <f t="shared" ca="1" si="319"/>
        <v>36</v>
      </c>
      <c r="DB92" s="20" t="str">
        <f t="shared" ca="1" si="319"/>
        <v/>
      </c>
      <c r="DC92" s="20">
        <f t="shared" ca="1" si="319"/>
        <v>42</v>
      </c>
      <c r="DD92" s="20">
        <f t="shared" ca="1" si="320"/>
        <v>38</v>
      </c>
      <c r="DE92" s="20" t="str">
        <f t="shared" ca="1" si="320"/>
        <v/>
      </c>
      <c r="DF92" s="20">
        <f t="shared" ca="1" si="320"/>
        <v>36</v>
      </c>
      <c r="DG92" s="34"/>
      <c r="DH92" s="20">
        <f t="shared" ca="1" si="321"/>
        <v>14</v>
      </c>
      <c r="DI92" s="20">
        <f t="shared" ca="1" si="276"/>
        <v>12</v>
      </c>
      <c r="DJ92" s="20">
        <f t="shared" ca="1" si="277"/>
        <v>4</v>
      </c>
      <c r="DK92" s="20">
        <f t="shared" ca="1" si="278"/>
        <v>9</v>
      </c>
      <c r="DL92" s="20" t="str">
        <f t="shared" ca="1" si="279"/>
        <v/>
      </c>
      <c r="DM92" s="20" t="str">
        <f t="shared" ca="1" si="280"/>
        <v/>
      </c>
      <c r="DN92" s="20">
        <f t="shared" ca="1" si="281"/>
        <v>8</v>
      </c>
      <c r="DO92" s="20" t="str">
        <f t="shared" ca="1" si="282"/>
        <v/>
      </c>
      <c r="DP92" s="20" t="str">
        <f t="shared" ca="1" si="283"/>
        <v/>
      </c>
      <c r="DQ92" s="20">
        <f t="shared" ca="1" si="284"/>
        <v>9</v>
      </c>
      <c r="DR92" s="20">
        <f t="shared" ca="1" si="285"/>
        <v>13</v>
      </c>
      <c r="DS92" s="20" t="str">
        <f t="shared" ca="1" si="286"/>
        <v/>
      </c>
      <c r="DT92" s="20">
        <f t="shared" ca="1" si="287"/>
        <v>5</v>
      </c>
      <c r="DU92" s="20">
        <f t="shared" ca="1" si="288"/>
        <v>12</v>
      </c>
      <c r="DV92" s="20">
        <f t="shared" ca="1" si="289"/>
        <v>12</v>
      </c>
      <c r="DW92" s="20">
        <f t="shared" ca="1" si="290"/>
        <v>13</v>
      </c>
      <c r="DX92" s="20">
        <f t="shared" ca="1" si="290"/>
        <v>10</v>
      </c>
      <c r="DY92" s="20">
        <f t="shared" ca="1" si="290"/>
        <v>9</v>
      </c>
      <c r="DZ92" s="20" t="str">
        <f t="shared" ca="1" si="290"/>
        <v/>
      </c>
      <c r="EA92" s="34"/>
      <c r="EB92" s="20" t="str">
        <f t="shared" ca="1" si="322"/>
        <v/>
      </c>
      <c r="EC92" s="20" t="str">
        <f t="shared" ca="1" si="292"/>
        <v/>
      </c>
      <c r="ED92" s="20" t="str">
        <f t="shared" ca="1" si="293"/>
        <v/>
      </c>
      <c r="EE92" s="20" t="str">
        <f t="shared" ca="1" si="294"/>
        <v/>
      </c>
      <c r="EF92" s="20" t="str">
        <f t="shared" ca="1" si="295"/>
        <v/>
      </c>
      <c r="EG92" s="20" t="str">
        <f t="shared" ca="1" si="296"/>
        <v/>
      </c>
      <c r="EH92" s="20" t="str">
        <f t="shared" ca="1" si="297"/>
        <v/>
      </c>
      <c r="EI92" s="20" t="str">
        <f t="shared" ca="1" si="298"/>
        <v/>
      </c>
      <c r="EJ92" s="20" t="str">
        <f t="shared" ca="1" si="299"/>
        <v/>
      </c>
      <c r="EK92" s="20">
        <f t="shared" ca="1" si="300"/>
        <v>1</v>
      </c>
      <c r="EL92" s="20" t="str">
        <f t="shared" ca="1" si="301"/>
        <v/>
      </c>
      <c r="EM92" s="20" t="str">
        <f t="shared" ca="1" si="302"/>
        <v/>
      </c>
      <c r="EN92" s="20" t="str">
        <f t="shared" ca="1" si="303"/>
        <v/>
      </c>
      <c r="EO92" s="20" t="str">
        <f t="shared" ca="1" si="304"/>
        <v/>
      </c>
      <c r="EP92" s="20">
        <f t="shared" ca="1" si="305"/>
        <v>1</v>
      </c>
      <c r="EQ92" s="20" t="str">
        <f t="shared" ca="1" si="306"/>
        <v/>
      </c>
      <c r="ER92" s="20" t="str">
        <f t="shared" ca="1" si="306"/>
        <v/>
      </c>
      <c r="ES92" s="20" t="str">
        <f t="shared" ca="1" si="306"/>
        <v/>
      </c>
      <c r="ET92" s="20">
        <f t="shared" ca="1" si="306"/>
        <v>1</v>
      </c>
      <c r="EU92" s="34"/>
      <c r="EV92" s="20" t="str">
        <f t="shared" ca="1" si="325"/>
        <v/>
      </c>
      <c r="EW92" s="20" t="str">
        <f t="shared" ca="1" si="325"/>
        <v/>
      </c>
      <c r="EX92" s="20" t="str">
        <f t="shared" ca="1" si="325"/>
        <v/>
      </c>
      <c r="EY92" s="20" t="str">
        <f t="shared" ca="1" si="325"/>
        <v/>
      </c>
      <c r="EZ92" s="20" t="str">
        <f t="shared" ca="1" si="325"/>
        <v/>
      </c>
      <c r="FA92" s="20" t="str">
        <f t="shared" ca="1" si="325"/>
        <v/>
      </c>
      <c r="FB92" s="20" t="str">
        <f t="shared" ca="1" si="325"/>
        <v/>
      </c>
      <c r="FC92" s="20" t="str">
        <f t="shared" ca="1" si="325"/>
        <v/>
      </c>
      <c r="FD92" s="20" t="str">
        <f t="shared" ca="1" si="325"/>
        <v/>
      </c>
      <c r="FE92" s="20" t="str">
        <f t="shared" ca="1" si="325"/>
        <v/>
      </c>
      <c r="FF92" s="20" t="str">
        <f t="shared" ca="1" si="325"/>
        <v/>
      </c>
      <c r="FG92" s="20" t="str">
        <f t="shared" ca="1" si="325"/>
        <v/>
      </c>
      <c r="FH92" s="20" t="str">
        <f t="shared" ca="1" si="325"/>
        <v/>
      </c>
      <c r="FI92" s="20" t="str">
        <f t="shared" ca="1" si="325"/>
        <v/>
      </c>
      <c r="FJ92" s="20" t="str">
        <f t="shared" ca="1" si="325"/>
        <v/>
      </c>
      <c r="FK92" s="20" t="str">
        <f t="shared" ca="1" si="325"/>
        <v/>
      </c>
      <c r="FL92" s="20" t="str">
        <f t="shared" ca="1" si="326"/>
        <v/>
      </c>
      <c r="FM92" s="20" t="str">
        <f t="shared" ca="1" si="326"/>
        <v/>
      </c>
      <c r="FN92" s="20" t="str">
        <f t="shared" ca="1" si="326"/>
        <v/>
      </c>
      <c r="FO92" s="34"/>
      <c r="FP92" s="20" t="str">
        <f t="shared" ca="1" si="327"/>
        <v>Metheads</v>
      </c>
      <c r="FQ92" s="20" t="str">
        <f t="shared" ca="1" si="327"/>
        <v>Aceholes</v>
      </c>
      <c r="FR92" s="20" t="str">
        <f t="shared" ca="1" si="327"/>
        <v>Aceholes</v>
      </c>
      <c r="FS92" s="20" t="str">
        <f t="shared" ca="1" si="327"/>
        <v>Who's Your Caddy?</v>
      </c>
      <c r="FT92" s="20" t="str">
        <f t="shared" ca="1" si="327"/>
        <v/>
      </c>
      <c r="FU92" s="20" t="str">
        <f t="shared" ca="1" si="327"/>
        <v/>
      </c>
      <c r="FV92" s="20" t="str">
        <f t="shared" ca="1" si="327"/>
        <v>Stymies</v>
      </c>
      <c r="FW92" s="20" t="str">
        <f t="shared" ca="1" si="327"/>
        <v/>
      </c>
      <c r="FX92" s="20" t="str">
        <f t="shared" ca="1" si="327"/>
        <v/>
      </c>
      <c r="FY92" s="20" t="str">
        <f t="shared" ca="1" si="327"/>
        <v>Stymies</v>
      </c>
      <c r="FZ92" s="20" t="str">
        <f t="shared" ca="1" si="327"/>
        <v>Who's Your Caddy?</v>
      </c>
      <c r="GA92" s="20" t="str">
        <f t="shared" ca="1" si="327"/>
        <v/>
      </c>
      <c r="GB92" s="20" t="str">
        <f t="shared" ca="1" si="327"/>
        <v>Who's Your Caddy?</v>
      </c>
      <c r="GC92" s="20" t="str">
        <f t="shared" ca="1" si="327"/>
        <v>Who's Your Caddy?</v>
      </c>
      <c r="GD92" s="20" t="str">
        <f t="shared" ca="1" si="327"/>
        <v>Stymies</v>
      </c>
      <c r="GE92" s="20" t="str">
        <f t="shared" ca="1" si="327"/>
        <v>Stymies</v>
      </c>
      <c r="GF92" s="20" t="str">
        <f t="shared" ca="1" si="328"/>
        <v>Stymies</v>
      </c>
      <c r="GG92" s="20" t="str">
        <f t="shared" ca="1" si="328"/>
        <v>Stymies</v>
      </c>
      <c r="GH92" s="20" t="str">
        <f t="shared" ca="1" si="328"/>
        <v/>
      </c>
      <c r="GI92" s="34"/>
      <c r="HE92" s="34"/>
      <c r="HZ92" s="34"/>
      <c r="IA92" s="19" t="str">
        <f t="shared" ca="1" si="330"/>
        <v>No Hdcp</v>
      </c>
      <c r="IB92" s="19" t="str">
        <f t="shared" ca="1" si="232"/>
        <v>Low of score &amp; 46</v>
      </c>
      <c r="IC92" s="19" t="str">
        <f t="shared" ca="1" si="233"/>
        <v>Low of score &amp; 46</v>
      </c>
      <c r="ID92" s="18" t="str">
        <f t="shared" ca="1" si="234"/>
        <v>Low of score &amp; 46</v>
      </c>
      <c r="IE92" s="18" t="str">
        <f t="shared" ca="1" si="235"/>
        <v>Low of score &amp; 45</v>
      </c>
      <c r="IF92" s="18">
        <f t="shared" ca="1" si="236"/>
        <v>8.64</v>
      </c>
      <c r="IG92" s="353">
        <f t="shared" ca="1" si="237"/>
        <v>9.1199999999999992</v>
      </c>
      <c r="IH92" s="18">
        <f t="shared" ca="1" si="238"/>
        <v>9.2799999999999994</v>
      </c>
      <c r="II92" s="18">
        <f t="shared" ca="1" si="239"/>
        <v>9.36</v>
      </c>
      <c r="IJ92" s="18">
        <f t="shared" ca="1" si="240"/>
        <v>9.36</v>
      </c>
      <c r="IK92" s="18">
        <f t="shared" ca="1" si="241"/>
        <v>9.6</v>
      </c>
      <c r="IL92" s="34"/>
    </row>
    <row r="97" spans="132:150" x14ac:dyDescent="0.2">
      <c r="EB97" s="30" t="s">
        <v>497</v>
      </c>
    </row>
    <row r="99" spans="132:150" x14ac:dyDescent="0.2">
      <c r="EB99" s="30" cm="1">
        <f t="array" aca="1" ref="EB99:ET184" ca="1">OFFSET(Summary!$EB$7,0,0,COUNTA(Summary[range]),19)</f>
        <v>0</v>
      </c>
      <c r="EC99" s="19">
        <f ca="1"/>
        <v>0</v>
      </c>
      <c r="ED99" s="19">
        <f ca="1"/>
        <v>0</v>
      </c>
      <c r="EE99" s="19">
        <f ca="1"/>
        <v>0</v>
      </c>
      <c r="EF99" s="19">
        <f ca="1"/>
        <v>0</v>
      </c>
      <c r="EG99" s="19">
        <f ca="1"/>
        <v>0</v>
      </c>
      <c r="EH99" s="19">
        <f ca="1"/>
        <v>0</v>
      </c>
      <c r="EI99" s="19">
        <f ca="1"/>
        <v>0</v>
      </c>
      <c r="EJ99" s="19">
        <f ca="1"/>
        <v>0</v>
      </c>
      <c r="EK99" s="19">
        <f ca="1"/>
        <v>0</v>
      </c>
      <c r="EL99" s="19">
        <f ca="1"/>
        <v>0</v>
      </c>
      <c r="EM99" s="19">
        <f ca="1"/>
        <v>0</v>
      </c>
      <c r="EN99" s="19">
        <f ca="1"/>
        <v>0</v>
      </c>
      <c r="EO99" s="19">
        <f ca="1"/>
        <v>0</v>
      </c>
      <c r="EP99" s="19">
        <f ca="1"/>
        <v>0</v>
      </c>
      <c r="EQ99" s="19">
        <f ca="1"/>
        <v>0</v>
      </c>
      <c r="ER99" s="19">
        <f ca="1"/>
        <v>0</v>
      </c>
      <c r="ES99" s="19">
        <f ca="1"/>
        <v>0</v>
      </c>
      <c r="ET99" s="19">
        <f ca="1"/>
        <v>0</v>
      </c>
    </row>
    <row r="100" spans="132:150" x14ac:dyDescent="0.2">
      <c r="EB100" s="19" t="str">
        <f ca="1"/>
        <v/>
      </c>
      <c r="EC100" s="19" t="str">
        <f ca="1"/>
        <v/>
      </c>
      <c r="ED100" s="19" t="str">
        <f ca="1"/>
        <v/>
      </c>
      <c r="EE100" s="19" t="str">
        <f ca="1"/>
        <v/>
      </c>
      <c r="EF100" s="19">
        <f ca="1"/>
        <v>2</v>
      </c>
      <c r="EG100" s="19" t="str">
        <f ca="1"/>
        <v/>
      </c>
      <c r="EH100" s="19">
        <f ca="1"/>
        <v>1</v>
      </c>
      <c r="EI100" s="19" t="str">
        <f ca="1"/>
        <v/>
      </c>
      <c r="EJ100" s="19" t="str">
        <f ca="1"/>
        <v/>
      </c>
      <c r="EK100" s="19" t="str">
        <f ca="1"/>
        <v/>
      </c>
      <c r="EL100" s="19" t="str">
        <f ca="1"/>
        <v/>
      </c>
      <c r="EM100" s="19" t="str">
        <f ca="1"/>
        <v/>
      </c>
      <c r="EN100" s="19" t="str">
        <f ca="1"/>
        <v/>
      </c>
      <c r="EO100" s="19" t="str">
        <f ca="1"/>
        <v/>
      </c>
      <c r="EP100" s="19" t="str">
        <f ca="1"/>
        <v/>
      </c>
      <c r="EQ100" s="19">
        <f ca="1"/>
        <v>2</v>
      </c>
      <c r="ER100" s="19" t="str">
        <f ca="1"/>
        <v/>
      </c>
      <c r="ES100" s="19" t="str">
        <f ca="1"/>
        <v/>
      </c>
      <c r="ET100" s="19" t="str">
        <f ca="1"/>
        <v/>
      </c>
    </row>
    <row r="101" spans="132:150" x14ac:dyDescent="0.2">
      <c r="EB101" s="19" t="str">
        <f ca="1"/>
        <v/>
      </c>
      <c r="EC101" s="19" t="str">
        <f ca="1"/>
        <v/>
      </c>
      <c r="ED101" s="19" t="str">
        <f ca="1"/>
        <v/>
      </c>
      <c r="EE101" s="19" t="str">
        <f ca="1"/>
        <v/>
      </c>
      <c r="EF101" s="19" t="str">
        <f ca="1"/>
        <v/>
      </c>
      <c r="EG101" s="19" t="str">
        <f ca="1"/>
        <v/>
      </c>
      <c r="EH101" s="19" t="str">
        <f ca="1"/>
        <v/>
      </c>
      <c r="EI101" s="19" t="str">
        <f ca="1"/>
        <v/>
      </c>
      <c r="EJ101" s="19" t="str">
        <f ca="1"/>
        <v/>
      </c>
      <c r="EK101" s="19">
        <f ca="1"/>
        <v>2</v>
      </c>
      <c r="EL101" s="19" t="str">
        <f ca="1"/>
        <v/>
      </c>
      <c r="EM101" s="19" t="str">
        <f ca="1"/>
        <v/>
      </c>
      <c r="EN101" s="19" t="str">
        <f ca="1"/>
        <v/>
      </c>
      <c r="EO101" s="19" t="str">
        <f ca="1"/>
        <v/>
      </c>
      <c r="EP101" s="19">
        <f ca="1"/>
        <v>1</v>
      </c>
      <c r="EQ101" s="19" t="str">
        <f ca="1"/>
        <v/>
      </c>
      <c r="ER101" s="19">
        <f ca="1"/>
        <v>1</v>
      </c>
      <c r="ES101" s="19" t="str">
        <f ca="1"/>
        <v/>
      </c>
      <c r="ET101" s="19">
        <f ca="1"/>
        <v>1</v>
      </c>
    </row>
    <row r="102" spans="132:150" x14ac:dyDescent="0.2">
      <c r="EB102" s="19" t="str">
        <f ca="1"/>
        <v/>
      </c>
      <c r="EC102" s="19" t="str">
        <f ca="1"/>
        <v/>
      </c>
      <c r="ED102" s="19" t="str">
        <f ca="1"/>
        <v/>
      </c>
      <c r="EE102" s="19" t="str">
        <f ca="1"/>
        <v/>
      </c>
      <c r="EF102" s="19" t="str">
        <f ca="1"/>
        <v/>
      </c>
      <c r="EG102" s="19" t="str">
        <f ca="1"/>
        <v/>
      </c>
      <c r="EH102" s="19" t="str">
        <f ca="1"/>
        <v/>
      </c>
      <c r="EI102" s="19" t="str">
        <f ca="1"/>
        <v/>
      </c>
      <c r="EJ102" s="19" t="str">
        <f ca="1"/>
        <v/>
      </c>
      <c r="EK102" s="19" t="str">
        <f ca="1"/>
        <v/>
      </c>
      <c r="EL102" s="19" t="str">
        <f ca="1"/>
        <v/>
      </c>
      <c r="EM102" s="19" t="str">
        <f ca="1"/>
        <v/>
      </c>
      <c r="EN102" s="19">
        <f ca="1"/>
        <v>1</v>
      </c>
      <c r="EO102" s="19" t="str">
        <f ca="1"/>
        <v/>
      </c>
      <c r="EP102" s="19" t="str">
        <f ca="1"/>
        <v/>
      </c>
      <c r="EQ102" s="19" t="str">
        <f ca="1"/>
        <v/>
      </c>
      <c r="ER102" s="19" t="str">
        <f ca="1"/>
        <v/>
      </c>
      <c r="ES102" s="19" t="str">
        <f ca="1"/>
        <v/>
      </c>
      <c r="ET102" s="19" t="str">
        <f ca="1"/>
        <v/>
      </c>
    </row>
    <row r="103" spans="132:150" x14ac:dyDescent="0.2">
      <c r="EB103" s="19" t="str">
        <f ca="1"/>
        <v/>
      </c>
      <c r="EC103" s="19" t="str">
        <f ca="1"/>
        <v/>
      </c>
      <c r="ED103" s="19">
        <f ca="1"/>
        <v>1</v>
      </c>
      <c r="EE103" s="19" t="str">
        <f ca="1"/>
        <v/>
      </c>
      <c r="EF103" s="19">
        <f ca="1"/>
        <v>1</v>
      </c>
      <c r="EG103" s="19" t="str">
        <f ca="1"/>
        <v/>
      </c>
      <c r="EH103" s="19">
        <f ca="1"/>
        <v>1</v>
      </c>
      <c r="EI103" s="19" t="str">
        <f ca="1"/>
        <v/>
      </c>
      <c r="EJ103" s="19">
        <f ca="1"/>
        <v>1</v>
      </c>
      <c r="EK103" s="19">
        <f ca="1"/>
        <v>1</v>
      </c>
      <c r="EL103" s="19" t="str">
        <f ca="1"/>
        <v/>
      </c>
      <c r="EM103" s="19" t="str">
        <f ca="1"/>
        <v/>
      </c>
      <c r="EN103" s="19">
        <f ca="1"/>
        <v>1</v>
      </c>
      <c r="EO103" s="19" t="str">
        <f ca="1"/>
        <v/>
      </c>
      <c r="EP103" s="19" t="str">
        <f ca="1"/>
        <v/>
      </c>
      <c r="EQ103" s="19" t="str">
        <f ca="1"/>
        <v/>
      </c>
      <c r="ER103" s="19">
        <f ca="1"/>
        <v>1</v>
      </c>
      <c r="ES103" s="19" t="str">
        <f ca="1"/>
        <v/>
      </c>
      <c r="ET103" s="19">
        <f ca="1"/>
        <v>1</v>
      </c>
    </row>
    <row r="104" spans="132:150" x14ac:dyDescent="0.2">
      <c r="EB104" s="19" t="str">
        <f ca="1"/>
        <v/>
      </c>
      <c r="EC104" s="19" t="str">
        <f ca="1"/>
        <v/>
      </c>
      <c r="ED104" s="19" t="str">
        <f ca="1"/>
        <v/>
      </c>
      <c r="EE104" s="19" t="str">
        <f ca="1"/>
        <v/>
      </c>
      <c r="EF104" s="19" t="str">
        <f ca="1"/>
        <v/>
      </c>
      <c r="EG104" s="19" t="str">
        <f ca="1"/>
        <v/>
      </c>
      <c r="EH104" s="19" t="str">
        <f ca="1"/>
        <v/>
      </c>
      <c r="EI104" s="19" t="str">
        <f ca="1"/>
        <v/>
      </c>
      <c r="EJ104" s="19" t="str">
        <f ca="1"/>
        <v/>
      </c>
      <c r="EK104" s="19" t="str">
        <f ca="1"/>
        <v/>
      </c>
      <c r="EL104" s="19" t="str">
        <f ca="1"/>
        <v/>
      </c>
      <c r="EM104" s="19" t="str">
        <f ca="1"/>
        <v/>
      </c>
      <c r="EN104" s="19" t="str">
        <f ca="1"/>
        <v/>
      </c>
      <c r="EO104" s="19" t="str">
        <f ca="1"/>
        <v/>
      </c>
      <c r="EP104" s="19" t="str">
        <f ca="1"/>
        <v/>
      </c>
      <c r="EQ104" s="19" t="str">
        <f ca="1"/>
        <v/>
      </c>
      <c r="ER104" s="19" t="str">
        <f ca="1"/>
        <v/>
      </c>
      <c r="ES104" s="19" t="str">
        <f ca="1"/>
        <v/>
      </c>
      <c r="ET104" s="19" t="str">
        <f ca="1"/>
        <v/>
      </c>
    </row>
    <row r="105" spans="132:150" x14ac:dyDescent="0.2">
      <c r="EB105" s="19" t="str">
        <f ca="1"/>
        <v/>
      </c>
      <c r="EC105" s="19" t="str">
        <f ca="1"/>
        <v/>
      </c>
      <c r="ED105" s="19" t="str">
        <f ca="1"/>
        <v/>
      </c>
      <c r="EE105" s="19" t="str">
        <f ca="1"/>
        <v/>
      </c>
      <c r="EF105" s="19" t="str">
        <f ca="1"/>
        <v/>
      </c>
      <c r="EG105" s="19" t="str">
        <f ca="1"/>
        <v/>
      </c>
      <c r="EH105" s="19" t="str">
        <f ca="1"/>
        <v/>
      </c>
      <c r="EI105" s="19" t="str">
        <f ca="1"/>
        <v/>
      </c>
      <c r="EJ105" s="19" t="str">
        <f ca="1"/>
        <v/>
      </c>
      <c r="EK105" s="19" t="str">
        <f ca="1"/>
        <v/>
      </c>
      <c r="EL105" s="19" t="str">
        <f ca="1"/>
        <v/>
      </c>
      <c r="EM105" s="19" t="str">
        <f ca="1"/>
        <v/>
      </c>
      <c r="EN105" s="19" t="str">
        <f ca="1"/>
        <v/>
      </c>
      <c r="EO105" s="19" t="str">
        <f ca="1"/>
        <v/>
      </c>
      <c r="EP105" s="19" t="str">
        <f ca="1"/>
        <v/>
      </c>
      <c r="EQ105" s="19" t="str">
        <f ca="1"/>
        <v/>
      </c>
      <c r="ER105" s="19" t="str">
        <f ca="1"/>
        <v/>
      </c>
      <c r="ES105" s="19" t="str">
        <f ca="1"/>
        <v/>
      </c>
      <c r="ET105" s="19" t="str">
        <f ca="1"/>
        <v/>
      </c>
    </row>
    <row r="106" spans="132:150" x14ac:dyDescent="0.2">
      <c r="EB106" s="19">
        <f ca="1"/>
        <v>0</v>
      </c>
      <c r="EC106" s="19">
        <f ca="1"/>
        <v>0</v>
      </c>
      <c r="ED106" s="19">
        <f ca="1"/>
        <v>0</v>
      </c>
      <c r="EE106" s="19">
        <f ca="1"/>
        <v>0</v>
      </c>
      <c r="EF106" s="19">
        <f ca="1"/>
        <v>0</v>
      </c>
      <c r="EG106" s="19">
        <f ca="1"/>
        <v>0</v>
      </c>
      <c r="EH106" s="19">
        <f ca="1"/>
        <v>0</v>
      </c>
      <c r="EI106" s="19">
        <f ca="1"/>
        <v>0</v>
      </c>
      <c r="EJ106" s="19">
        <f ca="1"/>
        <v>0</v>
      </c>
      <c r="EK106" s="19">
        <f ca="1"/>
        <v>0</v>
      </c>
      <c r="EL106" s="19">
        <f ca="1"/>
        <v>0</v>
      </c>
      <c r="EM106" s="19">
        <f ca="1"/>
        <v>0</v>
      </c>
      <c r="EN106" s="19">
        <f ca="1"/>
        <v>0</v>
      </c>
      <c r="EO106" s="19">
        <f ca="1"/>
        <v>0</v>
      </c>
      <c r="EP106" s="19">
        <f ca="1"/>
        <v>0</v>
      </c>
      <c r="EQ106" s="19">
        <f ca="1"/>
        <v>0</v>
      </c>
      <c r="ER106" s="19">
        <f ca="1"/>
        <v>0</v>
      </c>
      <c r="ES106" s="19">
        <f ca="1"/>
        <v>0</v>
      </c>
      <c r="ET106" s="19">
        <f ca="1"/>
        <v>0</v>
      </c>
    </row>
    <row r="107" spans="132:150" x14ac:dyDescent="0.2">
      <c r="EB107" s="19" t="str">
        <f ca="1"/>
        <v/>
      </c>
      <c r="EC107" s="19" t="str">
        <f ca="1"/>
        <v/>
      </c>
      <c r="ED107" s="19" t="str">
        <f ca="1"/>
        <v/>
      </c>
      <c r="EE107" s="19" t="str">
        <f ca="1"/>
        <v/>
      </c>
      <c r="EF107" s="19" t="str">
        <f ca="1"/>
        <v/>
      </c>
      <c r="EG107" s="19" t="str">
        <f ca="1"/>
        <v/>
      </c>
      <c r="EH107" s="19">
        <f ca="1"/>
        <v>1</v>
      </c>
      <c r="EI107" s="19" t="str">
        <f ca="1"/>
        <v/>
      </c>
      <c r="EJ107" s="19" t="str">
        <f ca="1"/>
        <v/>
      </c>
      <c r="EK107" s="19" t="str">
        <f ca="1"/>
        <v/>
      </c>
      <c r="EL107" s="19" t="str">
        <f ca="1"/>
        <v/>
      </c>
      <c r="EM107" s="19" t="str">
        <f ca="1"/>
        <v/>
      </c>
      <c r="EN107" s="19" t="str">
        <f ca="1"/>
        <v/>
      </c>
      <c r="EO107" s="19" t="str">
        <f ca="1"/>
        <v/>
      </c>
      <c r="EP107" s="19" t="str">
        <f ca="1"/>
        <v/>
      </c>
      <c r="EQ107" s="19" t="str">
        <f ca="1"/>
        <v/>
      </c>
      <c r="ER107" s="19" t="str">
        <f ca="1"/>
        <v/>
      </c>
      <c r="ES107" s="19" t="str">
        <f ca="1"/>
        <v/>
      </c>
      <c r="ET107" s="19" t="str">
        <f ca="1"/>
        <v/>
      </c>
    </row>
    <row r="108" spans="132:150" x14ac:dyDescent="0.2">
      <c r="EB108" s="19" t="str">
        <f ca="1"/>
        <v/>
      </c>
      <c r="EC108" s="19" t="str">
        <f ca="1"/>
        <v/>
      </c>
      <c r="ED108" s="19" t="str">
        <f ca="1"/>
        <v/>
      </c>
      <c r="EE108" s="19" t="str">
        <f ca="1"/>
        <v/>
      </c>
      <c r="EF108" s="19" t="str">
        <f ca="1"/>
        <v/>
      </c>
      <c r="EG108" s="19" t="str">
        <f ca="1"/>
        <v/>
      </c>
      <c r="EH108" s="19" t="str">
        <f ca="1"/>
        <v/>
      </c>
      <c r="EI108" s="19" t="str">
        <f ca="1"/>
        <v/>
      </c>
      <c r="EJ108" s="19" t="str">
        <f ca="1"/>
        <v/>
      </c>
      <c r="EK108" s="19" t="str">
        <f ca="1"/>
        <v/>
      </c>
      <c r="EL108" s="19" t="str">
        <f ca="1"/>
        <v/>
      </c>
      <c r="EM108" s="19" t="str">
        <f ca="1"/>
        <v/>
      </c>
      <c r="EN108" s="19" t="str">
        <f ca="1"/>
        <v/>
      </c>
      <c r="EO108" s="19" t="str">
        <f ca="1"/>
        <v/>
      </c>
      <c r="EP108" s="19" t="str">
        <f ca="1"/>
        <v/>
      </c>
      <c r="EQ108" s="19" t="str">
        <f ca="1"/>
        <v/>
      </c>
      <c r="ER108" s="19" t="str">
        <f ca="1"/>
        <v/>
      </c>
      <c r="ES108" s="19" t="str">
        <f ca="1"/>
        <v/>
      </c>
      <c r="ET108" s="19">
        <f ca="1"/>
        <v>1</v>
      </c>
    </row>
    <row r="109" spans="132:150" x14ac:dyDescent="0.2">
      <c r="EB109" s="19">
        <f ca="1"/>
        <v>1</v>
      </c>
      <c r="EC109" s="19" t="str">
        <f ca="1"/>
        <v/>
      </c>
      <c r="ED109" s="19" t="str">
        <f ca="1"/>
        <v/>
      </c>
      <c r="EE109" s="19">
        <f ca="1"/>
        <v>1</v>
      </c>
      <c r="EF109" s="19" t="str">
        <f ca="1"/>
        <v/>
      </c>
      <c r="EG109" s="19" t="str">
        <f ca="1"/>
        <v/>
      </c>
      <c r="EH109" s="19" t="str">
        <f ca="1"/>
        <v/>
      </c>
      <c r="EI109" s="19" t="str">
        <f ca="1"/>
        <v/>
      </c>
      <c r="EJ109" s="19" t="str">
        <f ca="1"/>
        <v/>
      </c>
      <c r="EK109" s="19" t="str">
        <f ca="1"/>
        <v/>
      </c>
      <c r="EL109" s="19" t="str">
        <f ca="1"/>
        <v/>
      </c>
      <c r="EM109" s="19" t="str">
        <f ca="1"/>
        <v/>
      </c>
      <c r="EN109" s="19" t="str">
        <f ca="1"/>
        <v/>
      </c>
      <c r="EO109" s="19" t="str">
        <f ca="1"/>
        <v/>
      </c>
      <c r="EP109" s="19">
        <f ca="1"/>
        <v>1</v>
      </c>
      <c r="EQ109" s="19" t="str">
        <f ca="1"/>
        <v/>
      </c>
      <c r="ER109" s="19" t="str">
        <f ca="1"/>
        <v/>
      </c>
      <c r="ES109" s="19" t="str">
        <f ca="1"/>
        <v/>
      </c>
      <c r="ET109" s="19" t="str">
        <f ca="1"/>
        <v/>
      </c>
    </row>
    <row r="110" spans="132:150" x14ac:dyDescent="0.2">
      <c r="EB110" s="19" t="str">
        <f ca="1"/>
        <v/>
      </c>
      <c r="EC110" s="19" t="str">
        <f ca="1"/>
        <v/>
      </c>
      <c r="ED110" s="19" t="str">
        <f ca="1"/>
        <v/>
      </c>
      <c r="EE110" s="19" t="str">
        <f ca="1"/>
        <v/>
      </c>
      <c r="EF110" s="19" t="str">
        <f ca="1"/>
        <v/>
      </c>
      <c r="EG110" s="19" t="str">
        <f ca="1"/>
        <v/>
      </c>
      <c r="EH110" s="19" t="str">
        <f ca="1"/>
        <v/>
      </c>
      <c r="EI110" s="19" t="str">
        <f ca="1"/>
        <v/>
      </c>
      <c r="EJ110" s="19" t="str">
        <f ca="1"/>
        <v/>
      </c>
      <c r="EK110" s="19" t="str">
        <f ca="1"/>
        <v/>
      </c>
      <c r="EL110" s="19" t="str">
        <f ca="1"/>
        <v/>
      </c>
      <c r="EM110" s="19" t="str">
        <f ca="1"/>
        <v/>
      </c>
      <c r="EN110" s="19" t="str">
        <f ca="1"/>
        <v/>
      </c>
      <c r="EO110" s="19" t="str">
        <f ca="1"/>
        <v/>
      </c>
      <c r="EP110" s="19" t="str">
        <f ca="1"/>
        <v/>
      </c>
      <c r="EQ110" s="19" t="str">
        <f ca="1"/>
        <v/>
      </c>
      <c r="ER110" s="19" t="str">
        <f ca="1"/>
        <v/>
      </c>
      <c r="ES110" s="19" t="str">
        <f ca="1"/>
        <v/>
      </c>
      <c r="ET110" s="19" t="str">
        <f ca="1"/>
        <v/>
      </c>
    </row>
    <row r="111" spans="132:150" x14ac:dyDescent="0.2">
      <c r="EB111" s="19" t="str">
        <f ca="1"/>
        <v/>
      </c>
      <c r="EC111" s="19" t="str">
        <f ca="1"/>
        <v/>
      </c>
      <c r="ED111" s="19" t="str">
        <f ca="1"/>
        <v/>
      </c>
      <c r="EE111" s="19" t="str">
        <f ca="1"/>
        <v/>
      </c>
      <c r="EF111" s="19" t="str">
        <f ca="1"/>
        <v/>
      </c>
      <c r="EG111" s="19" t="str">
        <f ca="1"/>
        <v/>
      </c>
      <c r="EH111" s="19" t="str">
        <f ca="1"/>
        <v/>
      </c>
      <c r="EI111" s="19" t="str">
        <f ca="1"/>
        <v/>
      </c>
      <c r="EJ111" s="19">
        <f ca="1"/>
        <v>1</v>
      </c>
      <c r="EK111" s="19">
        <f ca="1"/>
        <v>1</v>
      </c>
      <c r="EL111" s="19" t="str">
        <f ca="1"/>
        <v/>
      </c>
      <c r="EM111" s="19" t="str">
        <f ca="1"/>
        <v/>
      </c>
      <c r="EN111" s="19" t="str">
        <f ca="1"/>
        <v/>
      </c>
      <c r="EO111" s="19" t="str">
        <f ca="1"/>
        <v/>
      </c>
      <c r="EP111" s="19" t="str">
        <f ca="1"/>
        <v/>
      </c>
      <c r="EQ111" s="19" t="str">
        <f ca="1"/>
        <v/>
      </c>
      <c r="ER111" s="19" t="str">
        <f ca="1"/>
        <v/>
      </c>
      <c r="ES111" s="19" t="str">
        <f ca="1"/>
        <v/>
      </c>
      <c r="ET111" s="19" t="str">
        <f ca="1"/>
        <v/>
      </c>
    </row>
    <row r="112" spans="132:150" x14ac:dyDescent="0.2">
      <c r="EB112" s="19" t="str">
        <f ca="1"/>
        <v/>
      </c>
      <c r="EC112" s="19" t="str">
        <f ca="1"/>
        <v/>
      </c>
      <c r="ED112" s="19" t="str">
        <f ca="1"/>
        <v/>
      </c>
      <c r="EE112" s="19" t="str">
        <f ca="1"/>
        <v/>
      </c>
      <c r="EF112" s="19" t="str">
        <f ca="1"/>
        <v/>
      </c>
      <c r="EG112" s="19" t="str">
        <f ca="1"/>
        <v/>
      </c>
      <c r="EH112" s="19" t="str">
        <f ca="1"/>
        <v/>
      </c>
      <c r="EI112" s="19" t="str">
        <f ca="1"/>
        <v/>
      </c>
      <c r="EJ112" s="19" t="str">
        <f ca="1"/>
        <v/>
      </c>
      <c r="EK112" s="19" t="str">
        <f ca="1"/>
        <v/>
      </c>
      <c r="EL112" s="19" t="str">
        <f ca="1"/>
        <v/>
      </c>
      <c r="EM112" s="19" t="str">
        <f ca="1"/>
        <v/>
      </c>
      <c r="EN112" s="19" t="str">
        <f ca="1"/>
        <v/>
      </c>
      <c r="EO112" s="19" t="str">
        <f ca="1"/>
        <v/>
      </c>
      <c r="EP112" s="19" t="str">
        <f ca="1"/>
        <v/>
      </c>
      <c r="EQ112" s="19" t="str">
        <f ca="1"/>
        <v/>
      </c>
      <c r="ER112" s="19" t="str">
        <f ca="1"/>
        <v/>
      </c>
      <c r="ES112" s="19" t="str">
        <f ca="1"/>
        <v/>
      </c>
      <c r="ET112" s="19" t="str">
        <f ca="1"/>
        <v/>
      </c>
    </row>
    <row r="113" spans="132:150" x14ac:dyDescent="0.2">
      <c r="EB113" s="19">
        <f ca="1"/>
        <v>0</v>
      </c>
      <c r="EC113" s="19">
        <f ca="1"/>
        <v>0</v>
      </c>
      <c r="ED113" s="19">
        <f ca="1"/>
        <v>0</v>
      </c>
      <c r="EE113" s="19">
        <f ca="1"/>
        <v>0</v>
      </c>
      <c r="EF113" s="19">
        <f ca="1"/>
        <v>0</v>
      </c>
      <c r="EG113" s="19">
        <f ca="1"/>
        <v>0</v>
      </c>
      <c r="EH113" s="19">
        <f ca="1"/>
        <v>0</v>
      </c>
      <c r="EI113" s="19">
        <f ca="1"/>
        <v>0</v>
      </c>
      <c r="EJ113" s="19">
        <f ca="1"/>
        <v>0</v>
      </c>
      <c r="EK113" s="19">
        <f ca="1"/>
        <v>0</v>
      </c>
      <c r="EL113" s="19">
        <f ca="1"/>
        <v>0</v>
      </c>
      <c r="EM113" s="19">
        <f ca="1"/>
        <v>0</v>
      </c>
      <c r="EN113" s="19">
        <f ca="1"/>
        <v>0</v>
      </c>
      <c r="EO113" s="19">
        <f ca="1"/>
        <v>0</v>
      </c>
      <c r="EP113" s="19">
        <f ca="1"/>
        <v>0</v>
      </c>
      <c r="EQ113" s="19">
        <f ca="1"/>
        <v>0</v>
      </c>
      <c r="ER113" s="19">
        <f ca="1"/>
        <v>0</v>
      </c>
      <c r="ES113" s="19">
        <f ca="1"/>
        <v>0</v>
      </c>
      <c r="ET113" s="19">
        <f ca="1"/>
        <v>0</v>
      </c>
    </row>
    <row r="114" spans="132:150" x14ac:dyDescent="0.2">
      <c r="EB114" s="19" t="str">
        <f ca="1"/>
        <v/>
      </c>
      <c r="EC114" s="19" t="str">
        <f ca="1"/>
        <v/>
      </c>
      <c r="ED114" s="19" t="str">
        <f ca="1"/>
        <v/>
      </c>
      <c r="EE114" s="19" t="str">
        <f ca="1"/>
        <v/>
      </c>
      <c r="EF114" s="19" t="str">
        <f ca="1"/>
        <v/>
      </c>
      <c r="EG114" s="19" t="str">
        <f ca="1"/>
        <v/>
      </c>
      <c r="EH114" s="19" t="str">
        <f ca="1"/>
        <v/>
      </c>
      <c r="EI114" s="19" t="str">
        <f ca="1"/>
        <v/>
      </c>
      <c r="EJ114" s="19" t="str">
        <f ca="1"/>
        <v/>
      </c>
      <c r="EK114" s="19" t="str">
        <f ca="1"/>
        <v/>
      </c>
      <c r="EL114" s="19" t="str">
        <f ca="1"/>
        <v/>
      </c>
      <c r="EM114" s="19" t="str">
        <f ca="1"/>
        <v/>
      </c>
      <c r="EN114" s="19" t="str">
        <f ca="1"/>
        <v/>
      </c>
      <c r="EO114" s="19" t="str">
        <f ca="1"/>
        <v/>
      </c>
      <c r="EP114" s="19" t="str">
        <f ca="1"/>
        <v/>
      </c>
      <c r="EQ114" s="19" t="str">
        <f ca="1"/>
        <v/>
      </c>
      <c r="ER114" s="19" t="str">
        <f ca="1"/>
        <v/>
      </c>
      <c r="ES114" s="19" t="str">
        <f ca="1"/>
        <v/>
      </c>
      <c r="ET114" s="19" t="str">
        <f ca="1"/>
        <v/>
      </c>
    </row>
    <row r="115" spans="132:150" x14ac:dyDescent="0.2">
      <c r="EB115" s="19">
        <f ca="1"/>
        <v>1</v>
      </c>
      <c r="EC115" s="19" t="str">
        <f ca="1"/>
        <v/>
      </c>
      <c r="ED115" s="19" t="str">
        <f ca="1"/>
        <v/>
      </c>
      <c r="EE115" s="19" t="str">
        <f ca="1"/>
        <v/>
      </c>
      <c r="EF115" s="19" t="str">
        <f ca="1"/>
        <v/>
      </c>
      <c r="EG115" s="19" t="str">
        <f ca="1"/>
        <v/>
      </c>
      <c r="EH115" s="19" t="str">
        <f ca="1"/>
        <v/>
      </c>
      <c r="EI115" s="19" t="str">
        <f ca="1"/>
        <v/>
      </c>
      <c r="EJ115" s="19" t="str">
        <f ca="1"/>
        <v/>
      </c>
      <c r="EK115" s="19" t="str">
        <f ca="1"/>
        <v/>
      </c>
      <c r="EL115" s="19" t="str">
        <f ca="1"/>
        <v/>
      </c>
      <c r="EM115" s="19" t="str">
        <f ca="1"/>
        <v/>
      </c>
      <c r="EN115" s="19" t="str">
        <f ca="1"/>
        <v/>
      </c>
      <c r="EO115" s="19" t="str">
        <f ca="1"/>
        <v/>
      </c>
      <c r="EP115" s="19" t="str">
        <f ca="1"/>
        <v/>
      </c>
      <c r="EQ115" s="19" t="str">
        <f ca="1"/>
        <v/>
      </c>
      <c r="ER115" s="19" t="str">
        <f ca="1"/>
        <v/>
      </c>
      <c r="ES115" s="19" t="str">
        <f ca="1"/>
        <v/>
      </c>
      <c r="ET115" s="19" t="str">
        <f ca="1"/>
        <v/>
      </c>
    </row>
    <row r="116" spans="132:150" x14ac:dyDescent="0.2">
      <c r="EB116" s="19" t="str">
        <f ca="1"/>
        <v/>
      </c>
      <c r="EC116" s="19" t="str">
        <f ca="1"/>
        <v/>
      </c>
      <c r="ED116" s="19" t="str">
        <f ca="1"/>
        <v/>
      </c>
      <c r="EE116" s="19" t="str">
        <f ca="1"/>
        <v/>
      </c>
      <c r="EF116" s="19" t="str">
        <f ca="1"/>
        <v/>
      </c>
      <c r="EG116" s="19" t="str">
        <f ca="1"/>
        <v/>
      </c>
      <c r="EH116" s="19" t="str">
        <f ca="1"/>
        <v/>
      </c>
      <c r="EI116" s="19" t="str">
        <f ca="1"/>
        <v/>
      </c>
      <c r="EJ116" s="19" t="str">
        <f ca="1"/>
        <v/>
      </c>
      <c r="EK116" s="19" t="str">
        <f ca="1"/>
        <v/>
      </c>
      <c r="EL116" s="19" t="str">
        <f ca="1"/>
        <v/>
      </c>
      <c r="EM116" s="19" t="str">
        <f ca="1"/>
        <v/>
      </c>
      <c r="EN116" s="19" t="str">
        <f ca="1"/>
        <v/>
      </c>
      <c r="EO116" s="19" t="str">
        <f ca="1"/>
        <v/>
      </c>
      <c r="EP116" s="19" t="str">
        <f ca="1"/>
        <v/>
      </c>
      <c r="EQ116" s="19" t="str">
        <f ca="1"/>
        <v/>
      </c>
      <c r="ER116" s="19" t="str">
        <f ca="1"/>
        <v/>
      </c>
      <c r="ES116" s="19" t="str">
        <f ca="1"/>
        <v/>
      </c>
      <c r="ET116" s="19" t="str">
        <f ca="1"/>
        <v/>
      </c>
    </row>
    <row r="117" spans="132:150" x14ac:dyDescent="0.2">
      <c r="EB117" s="19" t="str">
        <f ca="1"/>
        <v/>
      </c>
      <c r="EC117" s="19" t="str">
        <f ca="1"/>
        <v/>
      </c>
      <c r="ED117" s="19" t="str">
        <f ca="1"/>
        <v/>
      </c>
      <c r="EE117" s="19" t="str">
        <f ca="1"/>
        <v/>
      </c>
      <c r="EF117" s="19" t="str">
        <f ca="1"/>
        <v/>
      </c>
      <c r="EG117" s="19" t="str">
        <f ca="1"/>
        <v/>
      </c>
      <c r="EH117" s="19" t="str">
        <f ca="1"/>
        <v/>
      </c>
      <c r="EI117" s="19" t="str">
        <f ca="1"/>
        <v/>
      </c>
      <c r="EJ117" s="19" t="str">
        <f ca="1"/>
        <v/>
      </c>
      <c r="EK117" s="19">
        <f ca="1"/>
        <v>1</v>
      </c>
      <c r="EL117" s="19" t="str">
        <f ca="1"/>
        <v/>
      </c>
      <c r="EM117" s="19" t="str">
        <f ca="1"/>
        <v/>
      </c>
      <c r="EN117" s="19" t="str">
        <f ca="1"/>
        <v/>
      </c>
      <c r="EO117" s="19" t="str">
        <f ca="1"/>
        <v/>
      </c>
      <c r="EP117" s="19" t="str">
        <f ca="1"/>
        <v/>
      </c>
      <c r="EQ117" s="19" t="str">
        <f ca="1"/>
        <v/>
      </c>
      <c r="ER117" s="19" t="str">
        <f ca="1"/>
        <v/>
      </c>
      <c r="ES117" s="19" t="str">
        <f ca="1"/>
        <v/>
      </c>
      <c r="ET117" s="19" t="str">
        <f ca="1"/>
        <v/>
      </c>
    </row>
    <row r="118" spans="132:150" x14ac:dyDescent="0.2">
      <c r="EB118" s="19" t="str">
        <f ca="1"/>
        <v/>
      </c>
      <c r="EC118" s="19" t="str">
        <f ca="1"/>
        <v/>
      </c>
      <c r="ED118" s="19" t="str">
        <f ca="1"/>
        <v/>
      </c>
      <c r="EE118" s="19" t="str">
        <f ca="1"/>
        <v/>
      </c>
      <c r="EF118" s="19" t="str">
        <f ca="1"/>
        <v/>
      </c>
      <c r="EG118" s="19" t="str">
        <f ca="1"/>
        <v/>
      </c>
      <c r="EH118" s="19" t="str">
        <f ca="1"/>
        <v/>
      </c>
      <c r="EI118" s="19" t="str">
        <f ca="1"/>
        <v/>
      </c>
      <c r="EJ118" s="19" t="str">
        <f ca="1"/>
        <v/>
      </c>
      <c r="EK118" s="19" t="str">
        <f ca="1"/>
        <v/>
      </c>
      <c r="EL118" s="19" t="str">
        <f ca="1"/>
        <v/>
      </c>
      <c r="EM118" s="19" t="str">
        <f ca="1"/>
        <v/>
      </c>
      <c r="EN118" s="19" t="str">
        <f ca="1"/>
        <v/>
      </c>
      <c r="EO118" s="19" t="str">
        <f ca="1"/>
        <v/>
      </c>
      <c r="EP118" s="19" t="str">
        <f ca="1"/>
        <v/>
      </c>
      <c r="EQ118" s="19" t="str">
        <f ca="1"/>
        <v/>
      </c>
      <c r="ER118" s="19" t="str">
        <f ca="1"/>
        <v/>
      </c>
      <c r="ES118" s="19" t="str">
        <f ca="1"/>
        <v/>
      </c>
      <c r="ET118" s="19" t="str">
        <f ca="1"/>
        <v/>
      </c>
    </row>
    <row r="119" spans="132:150" x14ac:dyDescent="0.2">
      <c r="EB119" s="19" t="str">
        <f ca="1"/>
        <v/>
      </c>
      <c r="EC119" s="19" t="str">
        <f ca="1"/>
        <v/>
      </c>
      <c r="ED119" s="19" t="str">
        <f ca="1"/>
        <v/>
      </c>
      <c r="EE119" s="19" t="str">
        <f ca="1"/>
        <v/>
      </c>
      <c r="EF119" s="19" t="str">
        <f ca="1"/>
        <v/>
      </c>
      <c r="EG119" s="19" t="str">
        <f ca="1"/>
        <v/>
      </c>
      <c r="EH119" s="19" t="str">
        <f ca="1"/>
        <v/>
      </c>
      <c r="EI119" s="19" t="str">
        <f ca="1"/>
        <v/>
      </c>
      <c r="EJ119" s="19" t="str">
        <f ca="1"/>
        <v/>
      </c>
      <c r="EK119" s="19" t="str">
        <f ca="1"/>
        <v/>
      </c>
      <c r="EL119" s="19" t="str">
        <f ca="1"/>
        <v/>
      </c>
      <c r="EM119" s="19" t="str">
        <f ca="1"/>
        <v/>
      </c>
      <c r="EN119" s="19" t="str">
        <f ca="1"/>
        <v/>
      </c>
      <c r="EO119" s="19" t="str">
        <f ca="1"/>
        <v/>
      </c>
      <c r="EP119" s="19" t="str">
        <f ca="1"/>
        <v/>
      </c>
      <c r="EQ119" s="19" t="str">
        <f ca="1"/>
        <v/>
      </c>
      <c r="ER119" s="19" t="str">
        <f ca="1"/>
        <v/>
      </c>
      <c r="ES119" s="19" t="str">
        <f ca="1"/>
        <v/>
      </c>
      <c r="ET119" s="19" t="str">
        <f ca="1"/>
        <v/>
      </c>
    </row>
    <row r="120" spans="132:150" x14ac:dyDescent="0.2">
      <c r="EB120" s="19">
        <f ca="1"/>
        <v>0</v>
      </c>
      <c r="EC120" s="19">
        <f ca="1"/>
        <v>0</v>
      </c>
      <c r="ED120" s="19">
        <f ca="1"/>
        <v>0</v>
      </c>
      <c r="EE120" s="19">
        <f ca="1"/>
        <v>0</v>
      </c>
      <c r="EF120" s="19">
        <f ca="1"/>
        <v>0</v>
      </c>
      <c r="EG120" s="19">
        <f ca="1"/>
        <v>0</v>
      </c>
      <c r="EH120" s="19">
        <f ca="1"/>
        <v>0</v>
      </c>
      <c r="EI120" s="19">
        <f ca="1"/>
        <v>0</v>
      </c>
      <c r="EJ120" s="19">
        <f ca="1"/>
        <v>0</v>
      </c>
      <c r="EK120" s="19">
        <f ca="1"/>
        <v>0</v>
      </c>
      <c r="EL120" s="19">
        <f ca="1"/>
        <v>0</v>
      </c>
      <c r="EM120" s="19">
        <f ca="1"/>
        <v>0</v>
      </c>
      <c r="EN120" s="19">
        <f ca="1"/>
        <v>0</v>
      </c>
      <c r="EO120" s="19">
        <f ca="1"/>
        <v>0</v>
      </c>
      <c r="EP120" s="19">
        <f ca="1"/>
        <v>0</v>
      </c>
      <c r="EQ120" s="19">
        <f ca="1"/>
        <v>0</v>
      </c>
      <c r="ER120" s="19">
        <f ca="1"/>
        <v>0</v>
      </c>
      <c r="ES120" s="19">
        <f ca="1"/>
        <v>0</v>
      </c>
      <c r="ET120" s="19">
        <f ca="1"/>
        <v>0</v>
      </c>
    </row>
    <row r="121" spans="132:150" x14ac:dyDescent="0.2">
      <c r="EB121" s="19" t="str">
        <f ca="1"/>
        <v/>
      </c>
      <c r="EC121" s="19" t="str">
        <f ca="1"/>
        <v/>
      </c>
      <c r="ED121" s="19" t="str">
        <f ca="1"/>
        <v/>
      </c>
      <c r="EE121" s="19" t="str">
        <f ca="1"/>
        <v/>
      </c>
      <c r="EF121" s="19" t="str">
        <f ca="1"/>
        <v/>
      </c>
      <c r="EG121" s="19" t="str">
        <f ca="1"/>
        <v/>
      </c>
      <c r="EH121" s="19" t="str">
        <f ca="1"/>
        <v/>
      </c>
      <c r="EI121" s="19" t="str">
        <f ca="1"/>
        <v/>
      </c>
      <c r="EJ121" s="19" t="str">
        <f ca="1"/>
        <v/>
      </c>
      <c r="EK121" s="19" t="str">
        <f ca="1"/>
        <v/>
      </c>
      <c r="EL121" s="19" t="str">
        <f ca="1"/>
        <v/>
      </c>
      <c r="EM121" s="19" t="str">
        <f ca="1"/>
        <v/>
      </c>
      <c r="EN121" s="19" t="str">
        <f ca="1"/>
        <v/>
      </c>
      <c r="EO121" s="19" t="str">
        <f ca="1"/>
        <v/>
      </c>
      <c r="EP121" s="19" t="str">
        <f ca="1"/>
        <v/>
      </c>
      <c r="EQ121" s="19" t="str">
        <f ca="1"/>
        <v/>
      </c>
      <c r="ER121" s="19" t="str">
        <f ca="1"/>
        <v/>
      </c>
      <c r="ES121" s="19" t="str">
        <f ca="1"/>
        <v/>
      </c>
      <c r="ET121" s="19" t="str">
        <f ca="1"/>
        <v/>
      </c>
    </row>
    <row r="122" spans="132:150" x14ac:dyDescent="0.2">
      <c r="EB122" s="19" t="str">
        <f ca="1"/>
        <v/>
      </c>
      <c r="EC122" s="19" t="str">
        <f ca="1"/>
        <v/>
      </c>
      <c r="ED122" s="19" t="str">
        <f ca="1"/>
        <v/>
      </c>
      <c r="EE122" s="19">
        <f ca="1"/>
        <v>1</v>
      </c>
      <c r="EF122" s="19" t="str">
        <f ca="1"/>
        <v/>
      </c>
      <c r="EG122" s="19" t="str">
        <f ca="1"/>
        <v/>
      </c>
      <c r="EH122" s="19" t="str">
        <f ca="1"/>
        <v/>
      </c>
      <c r="EI122" s="19" t="str">
        <f ca="1"/>
        <v/>
      </c>
      <c r="EJ122" s="19" t="str">
        <f ca="1"/>
        <v/>
      </c>
      <c r="EK122" s="19" t="str">
        <f ca="1"/>
        <v/>
      </c>
      <c r="EL122" s="19" t="str">
        <f ca="1"/>
        <v/>
      </c>
      <c r="EM122" s="19" t="str">
        <f ca="1"/>
        <v/>
      </c>
      <c r="EN122" s="19">
        <f ca="1"/>
        <v>1</v>
      </c>
      <c r="EO122" s="19" t="str">
        <f ca="1"/>
        <v/>
      </c>
      <c r="EP122" s="19" t="str">
        <f ca="1"/>
        <v/>
      </c>
      <c r="EQ122" s="19" t="str">
        <f ca="1"/>
        <v/>
      </c>
      <c r="ER122" s="19">
        <f ca="1"/>
        <v>1</v>
      </c>
      <c r="ES122" s="19" t="str">
        <f ca="1"/>
        <v/>
      </c>
      <c r="ET122" s="19" t="str">
        <f ca="1"/>
        <v/>
      </c>
    </row>
    <row r="123" spans="132:150" x14ac:dyDescent="0.2">
      <c r="EB123" s="19" t="str">
        <f ca="1"/>
        <v/>
      </c>
      <c r="EC123" s="19" t="str">
        <f ca="1"/>
        <v/>
      </c>
      <c r="ED123" s="19" t="str">
        <f ca="1"/>
        <v/>
      </c>
      <c r="EE123" s="19" t="str">
        <f ca="1"/>
        <v/>
      </c>
      <c r="EF123" s="19" t="str">
        <f ca="1"/>
        <v/>
      </c>
      <c r="EG123" s="19" t="str">
        <f ca="1"/>
        <v/>
      </c>
      <c r="EH123" s="19" t="str">
        <f ca="1"/>
        <v/>
      </c>
      <c r="EI123" s="19" t="str">
        <f ca="1"/>
        <v/>
      </c>
      <c r="EJ123" s="19" t="str">
        <f ca="1"/>
        <v/>
      </c>
      <c r="EK123" s="19" t="str">
        <f ca="1"/>
        <v/>
      </c>
      <c r="EL123" s="19" t="str">
        <f ca="1"/>
        <v/>
      </c>
      <c r="EM123" s="19" t="str">
        <f ca="1"/>
        <v/>
      </c>
      <c r="EN123" s="19" t="str">
        <f ca="1"/>
        <v/>
      </c>
      <c r="EO123" s="19" t="str">
        <f ca="1"/>
        <v/>
      </c>
      <c r="EP123" s="19" t="str">
        <f ca="1"/>
        <v/>
      </c>
      <c r="EQ123" s="19" t="str">
        <f ca="1"/>
        <v/>
      </c>
      <c r="ER123" s="19" t="str">
        <f ca="1"/>
        <v/>
      </c>
      <c r="ES123" s="19" t="str">
        <f ca="1"/>
        <v/>
      </c>
      <c r="ET123" s="19">
        <f ca="1"/>
        <v>1</v>
      </c>
    </row>
    <row r="124" spans="132:150" x14ac:dyDescent="0.2">
      <c r="EB124" s="19" t="str">
        <f ca="1"/>
        <v/>
      </c>
      <c r="EC124" s="19" t="str">
        <f ca="1"/>
        <v/>
      </c>
      <c r="ED124" s="19" t="str">
        <f ca="1"/>
        <v/>
      </c>
      <c r="EE124" s="19" t="str">
        <f ca="1"/>
        <v/>
      </c>
      <c r="EF124" s="19" t="str">
        <f ca="1"/>
        <v/>
      </c>
      <c r="EG124" s="19" t="str">
        <f ca="1"/>
        <v/>
      </c>
      <c r="EH124" s="19" t="str">
        <f ca="1"/>
        <v/>
      </c>
      <c r="EI124" s="19" t="str">
        <f ca="1"/>
        <v/>
      </c>
      <c r="EJ124" s="19" t="str">
        <f ca="1"/>
        <v/>
      </c>
      <c r="EK124" s="19" t="str">
        <f ca="1"/>
        <v/>
      </c>
      <c r="EL124" s="19" t="str">
        <f ca="1"/>
        <v/>
      </c>
      <c r="EM124" s="19" t="str">
        <f ca="1"/>
        <v/>
      </c>
      <c r="EN124" s="19" t="str">
        <f ca="1"/>
        <v/>
      </c>
      <c r="EO124" s="19" t="str">
        <f ca="1"/>
        <v/>
      </c>
      <c r="EP124" s="19" t="str">
        <f ca="1"/>
        <v/>
      </c>
      <c r="EQ124" s="19" t="str">
        <f ca="1"/>
        <v/>
      </c>
      <c r="ER124" s="19" t="str">
        <f ca="1"/>
        <v/>
      </c>
      <c r="ES124" s="19" t="str">
        <f ca="1"/>
        <v/>
      </c>
      <c r="ET124" s="19" t="str">
        <f ca="1"/>
        <v/>
      </c>
    </row>
    <row r="125" spans="132:150" x14ac:dyDescent="0.2">
      <c r="EB125" s="19" t="str">
        <f ca="1"/>
        <v/>
      </c>
      <c r="EC125" s="19" t="str">
        <f ca="1"/>
        <v/>
      </c>
      <c r="ED125" s="19" t="str">
        <f ca="1"/>
        <v/>
      </c>
      <c r="EE125" s="19" t="str">
        <f ca="1"/>
        <v/>
      </c>
      <c r="EF125" s="19" t="str">
        <f ca="1"/>
        <v/>
      </c>
      <c r="EG125" s="19" t="str">
        <f ca="1"/>
        <v/>
      </c>
      <c r="EH125" s="19" t="str">
        <f ca="1"/>
        <v/>
      </c>
      <c r="EI125" s="19" t="str">
        <f ca="1"/>
        <v/>
      </c>
      <c r="EJ125" s="19" t="str">
        <f ca="1"/>
        <v/>
      </c>
      <c r="EK125" s="19" t="str">
        <f ca="1"/>
        <v/>
      </c>
      <c r="EL125" s="19" t="str">
        <f ca="1"/>
        <v/>
      </c>
      <c r="EM125" s="19" t="str">
        <f ca="1"/>
        <v/>
      </c>
      <c r="EN125" s="19" t="str">
        <f ca="1"/>
        <v/>
      </c>
      <c r="EO125" s="19" t="str">
        <f ca="1"/>
        <v/>
      </c>
      <c r="EP125" s="19" t="str">
        <f ca="1"/>
        <v/>
      </c>
      <c r="EQ125" s="19" t="str">
        <f ca="1"/>
        <v/>
      </c>
      <c r="ER125" s="19" t="str">
        <f ca="1"/>
        <v/>
      </c>
      <c r="ES125" s="19" t="str">
        <f ca="1"/>
        <v/>
      </c>
      <c r="ET125" s="19" t="str">
        <f ca="1"/>
        <v/>
      </c>
    </row>
    <row r="126" spans="132:150" x14ac:dyDescent="0.2">
      <c r="EB126" s="19" t="str">
        <f ca="1"/>
        <v/>
      </c>
      <c r="EC126" s="19" t="str">
        <f ca="1"/>
        <v/>
      </c>
      <c r="ED126" s="19" t="str">
        <f ca="1"/>
        <v/>
      </c>
      <c r="EE126" s="19" t="str">
        <f ca="1"/>
        <v/>
      </c>
      <c r="EF126" s="19" t="str">
        <f ca="1"/>
        <v/>
      </c>
      <c r="EG126" s="19" t="str">
        <f ca="1"/>
        <v/>
      </c>
      <c r="EH126" s="19" t="str">
        <f ca="1"/>
        <v/>
      </c>
      <c r="EI126" s="19" t="str">
        <f ca="1"/>
        <v/>
      </c>
      <c r="EJ126" s="19" t="str">
        <f ca="1"/>
        <v/>
      </c>
      <c r="EK126" s="19" t="str">
        <f ca="1"/>
        <v/>
      </c>
      <c r="EL126" s="19" t="str">
        <f ca="1"/>
        <v/>
      </c>
      <c r="EM126" s="19" t="str">
        <f ca="1"/>
        <v/>
      </c>
      <c r="EN126" s="19" t="str">
        <f ca="1"/>
        <v/>
      </c>
      <c r="EO126" s="19" t="str">
        <f ca="1"/>
        <v/>
      </c>
      <c r="EP126" s="19" t="str">
        <f ca="1"/>
        <v/>
      </c>
      <c r="EQ126" s="19" t="str">
        <f ca="1"/>
        <v/>
      </c>
      <c r="ER126" s="19" t="str">
        <f ca="1"/>
        <v/>
      </c>
      <c r="ES126" s="19" t="str">
        <f ca="1"/>
        <v/>
      </c>
      <c r="ET126" s="19" t="str">
        <f ca="1"/>
        <v/>
      </c>
    </row>
    <row r="127" spans="132:150" x14ac:dyDescent="0.2">
      <c r="EB127" s="19">
        <f ca="1"/>
        <v>0</v>
      </c>
      <c r="EC127" s="19">
        <f ca="1"/>
        <v>0</v>
      </c>
      <c r="ED127" s="19">
        <f ca="1"/>
        <v>0</v>
      </c>
      <c r="EE127" s="19">
        <f ca="1"/>
        <v>0</v>
      </c>
      <c r="EF127" s="19">
        <f ca="1"/>
        <v>0</v>
      </c>
      <c r="EG127" s="19">
        <f ca="1"/>
        <v>0</v>
      </c>
      <c r="EH127" s="19">
        <f ca="1"/>
        <v>0</v>
      </c>
      <c r="EI127" s="19">
        <f ca="1"/>
        <v>0</v>
      </c>
      <c r="EJ127" s="19">
        <f ca="1"/>
        <v>0</v>
      </c>
      <c r="EK127" s="19">
        <f ca="1"/>
        <v>0</v>
      </c>
      <c r="EL127" s="19">
        <f ca="1"/>
        <v>0</v>
      </c>
      <c r="EM127" s="19">
        <f ca="1"/>
        <v>0</v>
      </c>
      <c r="EN127" s="19">
        <f ca="1"/>
        <v>0</v>
      </c>
      <c r="EO127" s="19">
        <f ca="1"/>
        <v>0</v>
      </c>
      <c r="EP127" s="19">
        <f ca="1"/>
        <v>0</v>
      </c>
      <c r="EQ127" s="19">
        <f ca="1"/>
        <v>0</v>
      </c>
      <c r="ER127" s="19">
        <f ca="1"/>
        <v>0</v>
      </c>
      <c r="ES127" s="19">
        <f ca="1"/>
        <v>0</v>
      </c>
      <c r="ET127" s="19">
        <f ca="1"/>
        <v>0</v>
      </c>
    </row>
    <row r="128" spans="132:150" x14ac:dyDescent="0.2">
      <c r="EB128" s="19">
        <f ca="1"/>
        <v>2</v>
      </c>
      <c r="EC128" s="19" t="str">
        <f ca="1"/>
        <v/>
      </c>
      <c r="ED128" s="19" t="str">
        <f ca="1"/>
        <v/>
      </c>
      <c r="EE128" s="19" t="str">
        <f ca="1"/>
        <v/>
      </c>
      <c r="EF128" s="19">
        <f ca="1"/>
        <v>1</v>
      </c>
      <c r="EG128" s="19" t="str">
        <f ca="1"/>
        <v/>
      </c>
      <c r="EH128" s="19" t="str">
        <f ca="1"/>
        <v/>
      </c>
      <c r="EI128" s="19" t="str">
        <f ca="1"/>
        <v/>
      </c>
      <c r="EJ128" s="19" t="str">
        <f ca="1"/>
        <v/>
      </c>
      <c r="EK128" s="19" t="str">
        <f ca="1"/>
        <v/>
      </c>
      <c r="EL128" s="19" t="str">
        <f ca="1"/>
        <v/>
      </c>
      <c r="EM128" s="19" t="str">
        <f ca="1"/>
        <v/>
      </c>
      <c r="EN128" s="19" t="str">
        <f ca="1"/>
        <v/>
      </c>
      <c r="EO128" s="19">
        <f ca="1"/>
        <v>2</v>
      </c>
      <c r="EP128" s="19" t="str">
        <f ca="1"/>
        <v/>
      </c>
      <c r="EQ128" s="19" t="str">
        <f ca="1"/>
        <v/>
      </c>
      <c r="ER128" s="19">
        <f ca="1"/>
        <v>1</v>
      </c>
      <c r="ES128" s="19">
        <f ca="1"/>
        <v>1</v>
      </c>
      <c r="ET128" s="19" t="str">
        <f ca="1"/>
        <v/>
      </c>
    </row>
    <row r="129" spans="132:150" x14ac:dyDescent="0.2">
      <c r="EB129" s="19" t="str">
        <f ca="1"/>
        <v/>
      </c>
      <c r="EC129" s="19" t="str">
        <f ca="1"/>
        <v/>
      </c>
      <c r="ED129" s="19" t="str">
        <f ca="1"/>
        <v/>
      </c>
      <c r="EE129" s="19">
        <f ca="1"/>
        <v>1</v>
      </c>
      <c r="EF129" s="19" t="str">
        <f ca="1"/>
        <v/>
      </c>
      <c r="EG129" s="19" t="str">
        <f ca="1"/>
        <v/>
      </c>
      <c r="EH129" s="19" t="str">
        <f ca="1"/>
        <v/>
      </c>
      <c r="EI129" s="19" t="str">
        <f ca="1"/>
        <v/>
      </c>
      <c r="EJ129" s="19" t="str">
        <f ca="1"/>
        <v/>
      </c>
      <c r="EK129" s="19" t="str">
        <f ca="1"/>
        <v/>
      </c>
      <c r="EL129" s="19" t="str">
        <f ca="1"/>
        <v/>
      </c>
      <c r="EM129" s="19" t="str">
        <f ca="1"/>
        <v/>
      </c>
      <c r="EN129" s="19" t="str">
        <f ca="1"/>
        <v/>
      </c>
      <c r="EO129" s="19" t="str">
        <f ca="1"/>
        <v/>
      </c>
      <c r="EP129" s="19" t="str">
        <f ca="1"/>
        <v/>
      </c>
      <c r="EQ129" s="19" t="str">
        <f ca="1"/>
        <v/>
      </c>
      <c r="ER129" s="19" t="str">
        <f ca="1"/>
        <v/>
      </c>
      <c r="ES129" s="19" t="str">
        <f ca="1"/>
        <v/>
      </c>
      <c r="ET129" s="19" t="str">
        <f ca="1"/>
        <v/>
      </c>
    </row>
    <row r="130" spans="132:150" x14ac:dyDescent="0.2">
      <c r="EB130" s="19" t="str">
        <f ca="1"/>
        <v/>
      </c>
      <c r="EC130" s="19" t="str">
        <f ca="1"/>
        <v/>
      </c>
      <c r="ED130" s="19" t="str">
        <f ca="1"/>
        <v/>
      </c>
      <c r="EE130" s="19" t="str">
        <f ca="1"/>
        <v/>
      </c>
      <c r="EF130" s="19" t="str">
        <f ca="1"/>
        <v/>
      </c>
      <c r="EG130" s="19" t="str">
        <f ca="1"/>
        <v/>
      </c>
      <c r="EH130" s="19" t="str">
        <f ca="1"/>
        <v/>
      </c>
      <c r="EI130" s="19" t="str">
        <f ca="1"/>
        <v/>
      </c>
      <c r="EJ130" s="19" t="str">
        <f ca="1"/>
        <v/>
      </c>
      <c r="EK130" s="19" t="str">
        <f ca="1"/>
        <v/>
      </c>
      <c r="EL130" s="19" t="str">
        <f ca="1"/>
        <v/>
      </c>
      <c r="EM130" s="19" t="str">
        <f ca="1"/>
        <v/>
      </c>
      <c r="EN130" s="19">
        <f ca="1"/>
        <v>1</v>
      </c>
      <c r="EO130" s="19" t="str">
        <f ca="1"/>
        <v/>
      </c>
      <c r="EP130" s="19" t="str">
        <f ca="1"/>
        <v/>
      </c>
      <c r="EQ130" s="19" t="str">
        <f ca="1"/>
        <v/>
      </c>
      <c r="ER130" s="19" t="str">
        <f ca="1"/>
        <v/>
      </c>
      <c r="ES130" s="19" t="str">
        <f ca="1"/>
        <v/>
      </c>
      <c r="ET130" s="19" t="str">
        <f ca="1"/>
        <v/>
      </c>
    </row>
    <row r="131" spans="132:150" x14ac:dyDescent="0.2">
      <c r="EB131" s="19" t="str">
        <f ca="1"/>
        <v/>
      </c>
      <c r="EC131" s="19" t="str">
        <f ca="1"/>
        <v/>
      </c>
      <c r="ED131" s="19" t="str">
        <f ca="1"/>
        <v/>
      </c>
      <c r="EE131" s="19" t="str">
        <f ca="1"/>
        <v/>
      </c>
      <c r="EF131" s="19" t="str">
        <f ca="1"/>
        <v/>
      </c>
      <c r="EG131" s="19" t="str">
        <f ca="1"/>
        <v/>
      </c>
      <c r="EH131" s="19">
        <f ca="1"/>
        <v>1</v>
      </c>
      <c r="EI131" s="19" t="str">
        <f ca="1"/>
        <v/>
      </c>
      <c r="EJ131" s="19" t="str">
        <f ca="1"/>
        <v/>
      </c>
      <c r="EK131" s="19" t="str">
        <f ca="1"/>
        <v/>
      </c>
      <c r="EL131" s="19" t="str">
        <f ca="1"/>
        <v/>
      </c>
      <c r="EM131" s="19" t="str">
        <f ca="1"/>
        <v/>
      </c>
      <c r="EN131" s="19" t="str">
        <f ca="1"/>
        <v/>
      </c>
      <c r="EO131" s="19" t="str">
        <f ca="1"/>
        <v/>
      </c>
      <c r="EP131" s="19" t="str">
        <f ca="1"/>
        <v/>
      </c>
      <c r="EQ131" s="19" t="str">
        <f ca="1"/>
        <v/>
      </c>
      <c r="ER131" s="19" t="str">
        <f ca="1"/>
        <v/>
      </c>
      <c r="ES131" s="19" t="str">
        <f ca="1"/>
        <v/>
      </c>
      <c r="ET131" s="19" t="str">
        <f ca="1"/>
        <v/>
      </c>
    </row>
    <row r="132" spans="132:150" x14ac:dyDescent="0.2">
      <c r="EB132" s="19" t="str">
        <f ca="1"/>
        <v/>
      </c>
      <c r="EC132" s="19" t="str">
        <f ca="1"/>
        <v/>
      </c>
      <c r="ED132" s="19" t="str">
        <f ca="1"/>
        <v/>
      </c>
      <c r="EE132" s="19" t="str">
        <f ca="1"/>
        <v/>
      </c>
      <c r="EF132" s="19" t="str">
        <f ca="1"/>
        <v/>
      </c>
      <c r="EG132" s="19" t="str">
        <f ca="1"/>
        <v/>
      </c>
      <c r="EH132" s="19" t="str">
        <f ca="1"/>
        <v/>
      </c>
      <c r="EI132" s="19" t="str">
        <f ca="1"/>
        <v/>
      </c>
      <c r="EJ132" s="19" t="str">
        <f ca="1"/>
        <v/>
      </c>
      <c r="EK132" s="19" t="str">
        <f ca="1"/>
        <v/>
      </c>
      <c r="EL132" s="19" t="str">
        <f ca="1"/>
        <v/>
      </c>
      <c r="EM132" s="19" t="str">
        <f ca="1"/>
        <v/>
      </c>
      <c r="EN132" s="19" t="str">
        <f ca="1"/>
        <v/>
      </c>
      <c r="EO132" s="19" t="str">
        <f ca="1"/>
        <v/>
      </c>
      <c r="EP132" s="19" t="str">
        <f ca="1"/>
        <v/>
      </c>
      <c r="EQ132" s="19" t="str">
        <f ca="1"/>
        <v/>
      </c>
      <c r="ER132" s="19" t="str">
        <f ca="1"/>
        <v/>
      </c>
      <c r="ES132" s="19" t="str">
        <f ca="1"/>
        <v/>
      </c>
      <c r="ET132" s="19" t="str">
        <f ca="1"/>
        <v/>
      </c>
    </row>
    <row r="133" spans="132:150" x14ac:dyDescent="0.2">
      <c r="EB133" s="19" t="str">
        <f ca="1"/>
        <v/>
      </c>
      <c r="EC133" s="19" t="str">
        <f ca="1"/>
        <v/>
      </c>
      <c r="ED133" s="19" t="str">
        <f ca="1"/>
        <v/>
      </c>
      <c r="EE133" s="19" t="str">
        <f ca="1"/>
        <v/>
      </c>
      <c r="EF133" s="19" t="str">
        <f ca="1"/>
        <v/>
      </c>
      <c r="EG133" s="19" t="str">
        <f ca="1"/>
        <v/>
      </c>
      <c r="EH133" s="19" t="str">
        <f ca="1"/>
        <v/>
      </c>
      <c r="EI133" s="19" t="str">
        <f ca="1"/>
        <v/>
      </c>
      <c r="EJ133" s="19" t="str">
        <f ca="1"/>
        <v/>
      </c>
      <c r="EK133" s="19" t="str">
        <f ca="1"/>
        <v/>
      </c>
      <c r="EL133" s="19" t="str">
        <f ca="1"/>
        <v/>
      </c>
      <c r="EM133" s="19" t="str">
        <f ca="1"/>
        <v/>
      </c>
      <c r="EN133" s="19" t="str">
        <f ca="1"/>
        <v/>
      </c>
      <c r="EO133" s="19" t="str">
        <f ca="1"/>
        <v/>
      </c>
      <c r="EP133" s="19" t="str">
        <f ca="1"/>
        <v/>
      </c>
      <c r="EQ133" s="19" t="str">
        <f ca="1"/>
        <v/>
      </c>
      <c r="ER133" s="19" t="str">
        <f ca="1"/>
        <v/>
      </c>
      <c r="ES133" s="19" t="str">
        <f ca="1"/>
        <v/>
      </c>
      <c r="ET133" s="19" t="str">
        <f ca="1"/>
        <v/>
      </c>
    </row>
    <row r="134" spans="132:150" x14ac:dyDescent="0.2">
      <c r="EB134" s="19">
        <f ca="1"/>
        <v>0</v>
      </c>
      <c r="EC134" s="19">
        <f ca="1"/>
        <v>0</v>
      </c>
      <c r="ED134" s="19">
        <f ca="1"/>
        <v>0</v>
      </c>
      <c r="EE134" s="19">
        <f ca="1"/>
        <v>0</v>
      </c>
      <c r="EF134" s="19">
        <f ca="1"/>
        <v>0</v>
      </c>
      <c r="EG134" s="19">
        <f ca="1"/>
        <v>0</v>
      </c>
      <c r="EH134" s="19">
        <f ca="1"/>
        <v>0</v>
      </c>
      <c r="EI134" s="19">
        <f ca="1"/>
        <v>0</v>
      </c>
      <c r="EJ134" s="19">
        <f ca="1"/>
        <v>0</v>
      </c>
      <c r="EK134" s="19">
        <f ca="1"/>
        <v>0</v>
      </c>
      <c r="EL134" s="19">
        <f ca="1"/>
        <v>0</v>
      </c>
      <c r="EM134" s="19">
        <f ca="1"/>
        <v>0</v>
      </c>
      <c r="EN134" s="19">
        <f ca="1"/>
        <v>0</v>
      </c>
      <c r="EO134" s="19">
        <f ca="1"/>
        <v>0</v>
      </c>
      <c r="EP134" s="19">
        <f ca="1"/>
        <v>0</v>
      </c>
      <c r="EQ134" s="19">
        <f ca="1"/>
        <v>0</v>
      </c>
      <c r="ER134" s="19">
        <f ca="1"/>
        <v>0</v>
      </c>
      <c r="ES134" s="19">
        <f ca="1"/>
        <v>0</v>
      </c>
      <c r="ET134" s="19">
        <f ca="1"/>
        <v>0</v>
      </c>
    </row>
    <row r="135" spans="132:150" x14ac:dyDescent="0.2">
      <c r="EB135" s="19" t="str">
        <f ca="1"/>
        <v/>
      </c>
      <c r="EC135" s="19" t="str">
        <f ca="1"/>
        <v/>
      </c>
      <c r="ED135" s="19" t="str">
        <f ca="1"/>
        <v/>
      </c>
      <c r="EE135" s="19" t="str">
        <f ca="1"/>
        <v/>
      </c>
      <c r="EF135" s="19" t="str">
        <f ca="1"/>
        <v/>
      </c>
      <c r="EG135" s="19" t="str">
        <f ca="1"/>
        <v/>
      </c>
      <c r="EH135" s="19" t="str">
        <f ca="1"/>
        <v/>
      </c>
      <c r="EI135" s="19" t="str">
        <f ca="1"/>
        <v/>
      </c>
      <c r="EJ135" s="19" t="str">
        <f ca="1"/>
        <v/>
      </c>
      <c r="EK135" s="19" t="str">
        <f ca="1"/>
        <v/>
      </c>
      <c r="EL135" s="19" t="str">
        <f ca="1"/>
        <v/>
      </c>
      <c r="EM135" s="19" t="str">
        <f ca="1"/>
        <v/>
      </c>
      <c r="EN135" s="19" t="str">
        <f ca="1"/>
        <v/>
      </c>
      <c r="EO135" s="19" t="str">
        <f ca="1"/>
        <v/>
      </c>
      <c r="EP135" s="19" t="str">
        <f ca="1"/>
        <v/>
      </c>
      <c r="EQ135" s="19" t="str">
        <f ca="1"/>
        <v/>
      </c>
      <c r="ER135" s="19" t="str">
        <f ca="1"/>
        <v/>
      </c>
      <c r="ES135" s="19" t="str">
        <f ca="1"/>
        <v/>
      </c>
      <c r="ET135" s="19" t="str">
        <f ca="1"/>
        <v/>
      </c>
    </row>
    <row r="136" spans="132:150" x14ac:dyDescent="0.2">
      <c r="EB136" s="19" t="str">
        <f ca="1"/>
        <v/>
      </c>
      <c r="EC136" s="19" t="str">
        <f ca="1"/>
        <v/>
      </c>
      <c r="ED136" s="19" t="str">
        <f ca="1"/>
        <v/>
      </c>
      <c r="EE136" s="19" t="str">
        <f ca="1"/>
        <v/>
      </c>
      <c r="EF136" s="19" t="str">
        <f ca="1"/>
        <v/>
      </c>
      <c r="EG136" s="19" t="str">
        <f ca="1"/>
        <v/>
      </c>
      <c r="EH136" s="19" t="str">
        <f ca="1"/>
        <v/>
      </c>
      <c r="EI136" s="19" t="str">
        <f ca="1"/>
        <v/>
      </c>
      <c r="EJ136" s="19" t="str">
        <f ca="1"/>
        <v/>
      </c>
      <c r="EK136" s="19" t="str">
        <f ca="1"/>
        <v/>
      </c>
      <c r="EL136" s="19" t="str">
        <f ca="1"/>
        <v/>
      </c>
      <c r="EM136" s="19" t="str">
        <f ca="1"/>
        <v/>
      </c>
      <c r="EN136" s="19" t="str">
        <f ca="1"/>
        <v/>
      </c>
      <c r="EO136" s="19" t="str">
        <f ca="1"/>
        <v/>
      </c>
      <c r="EP136" s="19" t="str">
        <f ca="1"/>
        <v/>
      </c>
      <c r="EQ136" s="19" t="str">
        <f ca="1"/>
        <v/>
      </c>
      <c r="ER136" s="19" t="str">
        <f ca="1"/>
        <v/>
      </c>
      <c r="ES136" s="19" t="str">
        <f ca="1"/>
        <v/>
      </c>
      <c r="ET136" s="19" t="str">
        <f ca="1"/>
        <v/>
      </c>
    </row>
    <row r="137" spans="132:150" x14ac:dyDescent="0.2">
      <c r="EB137" s="19" t="str">
        <f ca="1"/>
        <v/>
      </c>
      <c r="EC137" s="19" t="str">
        <f ca="1"/>
        <v/>
      </c>
      <c r="ED137" s="19" t="str">
        <f ca="1"/>
        <v/>
      </c>
      <c r="EE137" s="19" t="str">
        <f ca="1"/>
        <v/>
      </c>
      <c r="EF137" s="19">
        <f ca="1"/>
        <v>2</v>
      </c>
      <c r="EG137" s="19" t="str">
        <f ca="1"/>
        <v/>
      </c>
      <c r="EH137" s="19" t="str">
        <f ca="1"/>
        <v/>
      </c>
      <c r="EI137" s="19" t="str">
        <f ca="1"/>
        <v/>
      </c>
      <c r="EJ137" s="19" t="str">
        <f ca="1"/>
        <v/>
      </c>
      <c r="EK137" s="19" t="str">
        <f ca="1"/>
        <v/>
      </c>
      <c r="EL137" s="19" t="str">
        <f ca="1"/>
        <v/>
      </c>
      <c r="EM137" s="19" t="str">
        <f ca="1"/>
        <v/>
      </c>
      <c r="EN137" s="19" t="str">
        <f ca="1"/>
        <v/>
      </c>
      <c r="EO137" s="19" t="str">
        <f ca="1"/>
        <v/>
      </c>
      <c r="EP137" s="19" t="str">
        <f ca="1"/>
        <v/>
      </c>
      <c r="EQ137" s="19" t="str">
        <f ca="1"/>
        <v/>
      </c>
      <c r="ER137" s="19">
        <f ca="1"/>
        <v>1</v>
      </c>
      <c r="ES137" s="19" t="str">
        <f ca="1"/>
        <v/>
      </c>
      <c r="ET137" s="19" t="str">
        <f ca="1"/>
        <v/>
      </c>
    </row>
    <row r="138" spans="132:150" x14ac:dyDescent="0.2">
      <c r="EB138" s="19" t="str">
        <f ca="1"/>
        <v/>
      </c>
      <c r="EC138" s="19" t="str">
        <f ca="1"/>
        <v/>
      </c>
      <c r="ED138" s="19" t="str">
        <f ca="1"/>
        <v/>
      </c>
      <c r="EE138" s="19" t="str">
        <f ca="1"/>
        <v/>
      </c>
      <c r="EF138" s="19" t="str">
        <f ca="1"/>
        <v/>
      </c>
      <c r="EG138" s="19" t="str">
        <f ca="1"/>
        <v/>
      </c>
      <c r="EH138" s="19" t="str">
        <f ca="1"/>
        <v/>
      </c>
      <c r="EI138" s="19" t="str">
        <f ca="1"/>
        <v/>
      </c>
      <c r="EJ138" s="19" t="str">
        <f ca="1"/>
        <v/>
      </c>
      <c r="EK138" s="19" t="str">
        <f ca="1"/>
        <v/>
      </c>
      <c r="EL138" s="19" t="str">
        <f ca="1"/>
        <v/>
      </c>
      <c r="EM138" s="19" t="str">
        <f ca="1"/>
        <v/>
      </c>
      <c r="EN138" s="19" t="str">
        <f ca="1"/>
        <v/>
      </c>
      <c r="EO138" s="19" t="str">
        <f ca="1"/>
        <v/>
      </c>
      <c r="EP138" s="19" t="str">
        <f ca="1"/>
        <v/>
      </c>
      <c r="EQ138" s="19" t="str">
        <f ca="1"/>
        <v/>
      </c>
      <c r="ER138" s="19" t="str">
        <f ca="1"/>
        <v/>
      </c>
      <c r="ES138" s="19" t="str">
        <f ca="1"/>
        <v/>
      </c>
      <c r="ET138" s="19" t="str">
        <f ca="1"/>
        <v/>
      </c>
    </row>
    <row r="139" spans="132:150" x14ac:dyDescent="0.2">
      <c r="EB139" s="19" t="str">
        <f ca="1"/>
        <v/>
      </c>
      <c r="EC139" s="19" t="str">
        <f ca="1"/>
        <v/>
      </c>
      <c r="ED139" s="19" t="str">
        <f ca="1"/>
        <v/>
      </c>
      <c r="EE139" s="19" t="str">
        <f ca="1"/>
        <v/>
      </c>
      <c r="EF139" s="19" t="str">
        <f ca="1"/>
        <v/>
      </c>
      <c r="EG139" s="19" t="str">
        <f ca="1"/>
        <v/>
      </c>
      <c r="EH139" s="19" t="str">
        <f ca="1"/>
        <v/>
      </c>
      <c r="EI139" s="19" t="str">
        <f ca="1"/>
        <v/>
      </c>
      <c r="EJ139" s="19" t="str">
        <f ca="1"/>
        <v/>
      </c>
      <c r="EK139" s="19" t="str">
        <f ca="1"/>
        <v/>
      </c>
      <c r="EL139" s="19" t="str">
        <f ca="1"/>
        <v/>
      </c>
      <c r="EM139" s="19" t="str">
        <f ca="1"/>
        <v/>
      </c>
      <c r="EN139" s="19" t="str">
        <f ca="1"/>
        <v/>
      </c>
      <c r="EO139" s="19" t="str">
        <f ca="1"/>
        <v/>
      </c>
      <c r="EP139" s="19" t="str">
        <f ca="1"/>
        <v/>
      </c>
      <c r="EQ139" s="19" t="str">
        <f ca="1"/>
        <v/>
      </c>
      <c r="ER139" s="19" t="str">
        <f ca="1"/>
        <v/>
      </c>
      <c r="ES139" s="19" t="str">
        <f ca="1"/>
        <v/>
      </c>
      <c r="ET139" s="19" t="str">
        <f ca="1"/>
        <v/>
      </c>
    </row>
    <row r="140" spans="132:150" x14ac:dyDescent="0.2">
      <c r="EB140" s="19" t="str">
        <f ca="1"/>
        <v/>
      </c>
      <c r="EC140" s="19" t="str">
        <f ca="1"/>
        <v/>
      </c>
      <c r="ED140" s="19" t="str">
        <f ca="1"/>
        <v/>
      </c>
      <c r="EE140" s="19" t="str">
        <f ca="1"/>
        <v/>
      </c>
      <c r="EF140" s="19" t="str">
        <f ca="1"/>
        <v/>
      </c>
      <c r="EG140" s="19" t="str">
        <f ca="1"/>
        <v/>
      </c>
      <c r="EH140" s="19" t="str">
        <f ca="1"/>
        <v/>
      </c>
      <c r="EI140" s="19" t="str">
        <f ca="1"/>
        <v/>
      </c>
      <c r="EJ140" s="19" t="str">
        <f ca="1"/>
        <v/>
      </c>
      <c r="EK140" s="19" t="str">
        <f ca="1"/>
        <v/>
      </c>
      <c r="EL140" s="19" t="str">
        <f ca="1"/>
        <v/>
      </c>
      <c r="EM140" s="19" t="str">
        <f ca="1"/>
        <v/>
      </c>
      <c r="EN140" s="19" t="str">
        <f ca="1"/>
        <v/>
      </c>
      <c r="EO140" s="19" t="str">
        <f ca="1"/>
        <v/>
      </c>
      <c r="EP140" s="19" t="str">
        <f ca="1"/>
        <v/>
      </c>
      <c r="EQ140" s="19" t="str">
        <f ca="1"/>
        <v/>
      </c>
      <c r="ER140" s="19" t="str">
        <f ca="1"/>
        <v/>
      </c>
      <c r="ES140" s="19" t="str">
        <f ca="1"/>
        <v/>
      </c>
      <c r="ET140" s="19" t="str">
        <f ca="1"/>
        <v/>
      </c>
    </row>
    <row r="141" spans="132:150" x14ac:dyDescent="0.2">
      <c r="EB141" s="19">
        <f ca="1"/>
        <v>0</v>
      </c>
      <c r="EC141" s="19">
        <f ca="1"/>
        <v>0</v>
      </c>
      <c r="ED141" s="19">
        <f ca="1"/>
        <v>0</v>
      </c>
      <c r="EE141" s="19">
        <f ca="1"/>
        <v>0</v>
      </c>
      <c r="EF141" s="19">
        <f ca="1"/>
        <v>0</v>
      </c>
      <c r="EG141" s="19">
        <f ca="1"/>
        <v>0</v>
      </c>
      <c r="EH141" s="19">
        <f ca="1"/>
        <v>0</v>
      </c>
      <c r="EI141" s="19">
        <f ca="1"/>
        <v>0</v>
      </c>
      <c r="EJ141" s="19">
        <f ca="1"/>
        <v>0</v>
      </c>
      <c r="EK141" s="19">
        <f ca="1"/>
        <v>0</v>
      </c>
      <c r="EL141" s="19">
        <f ca="1"/>
        <v>0</v>
      </c>
      <c r="EM141" s="19">
        <f ca="1"/>
        <v>0</v>
      </c>
      <c r="EN141" s="19">
        <f ca="1"/>
        <v>0</v>
      </c>
      <c r="EO141" s="19">
        <f ca="1"/>
        <v>0</v>
      </c>
      <c r="EP141" s="19">
        <f ca="1"/>
        <v>0</v>
      </c>
      <c r="EQ141" s="19">
        <f ca="1"/>
        <v>0</v>
      </c>
      <c r="ER141" s="19">
        <f ca="1"/>
        <v>0</v>
      </c>
      <c r="ES141" s="19">
        <f ca="1"/>
        <v>0</v>
      </c>
      <c r="ET141" s="19">
        <f ca="1"/>
        <v>0</v>
      </c>
    </row>
    <row r="142" spans="132:150" x14ac:dyDescent="0.2">
      <c r="EB142" s="19" t="str">
        <f ca="1"/>
        <v/>
      </c>
      <c r="EC142" s="19" t="str">
        <f ca="1"/>
        <v/>
      </c>
      <c r="ED142" s="19" t="str">
        <f ca="1"/>
        <v/>
      </c>
      <c r="EE142" s="19" t="str">
        <f ca="1"/>
        <v/>
      </c>
      <c r="EF142" s="19" t="str">
        <f ca="1"/>
        <v/>
      </c>
      <c r="EG142" s="19" t="str">
        <f ca="1"/>
        <v/>
      </c>
      <c r="EH142" s="19" t="str">
        <f ca="1"/>
        <v/>
      </c>
      <c r="EI142" s="19" t="str">
        <f ca="1"/>
        <v/>
      </c>
      <c r="EJ142" s="19" t="str">
        <f ca="1"/>
        <v/>
      </c>
      <c r="EK142" s="19" t="str">
        <f ca="1"/>
        <v/>
      </c>
      <c r="EL142" s="19" t="str">
        <f ca="1"/>
        <v/>
      </c>
      <c r="EM142" s="19" t="str">
        <f ca="1"/>
        <v/>
      </c>
      <c r="EN142" s="19" t="str">
        <f ca="1"/>
        <v/>
      </c>
      <c r="EO142" s="19" t="str">
        <f ca="1"/>
        <v/>
      </c>
      <c r="EP142" s="19" t="str">
        <f ca="1"/>
        <v/>
      </c>
      <c r="EQ142" s="19" t="str">
        <f ca="1"/>
        <v/>
      </c>
      <c r="ER142" s="19" t="str">
        <f ca="1"/>
        <v/>
      </c>
      <c r="ES142" s="19" t="str">
        <f ca="1"/>
        <v/>
      </c>
      <c r="ET142" s="19" t="str">
        <f ca="1"/>
        <v/>
      </c>
    </row>
    <row r="143" spans="132:150" x14ac:dyDescent="0.2">
      <c r="EB143" s="19" t="str">
        <f ca="1"/>
        <v/>
      </c>
      <c r="EC143" s="19" t="str">
        <f ca="1"/>
        <v/>
      </c>
      <c r="ED143" s="19" t="str">
        <f ca="1"/>
        <v/>
      </c>
      <c r="EE143" s="19" t="str">
        <f ca="1"/>
        <v/>
      </c>
      <c r="EF143" s="19" t="str">
        <f ca="1"/>
        <v/>
      </c>
      <c r="EG143" s="19" t="str">
        <f ca="1"/>
        <v/>
      </c>
      <c r="EH143" s="19" t="str">
        <f ca="1"/>
        <v/>
      </c>
      <c r="EI143" s="19" t="str">
        <f ca="1"/>
        <v/>
      </c>
      <c r="EJ143" s="19" t="str">
        <f ca="1"/>
        <v/>
      </c>
      <c r="EK143" s="19" t="str">
        <f ca="1"/>
        <v/>
      </c>
      <c r="EL143" s="19" t="str">
        <f ca="1"/>
        <v/>
      </c>
      <c r="EM143" s="19" t="str">
        <f ca="1"/>
        <v/>
      </c>
      <c r="EN143" s="19" t="str">
        <f ca="1"/>
        <v/>
      </c>
      <c r="EO143" s="19">
        <f ca="1"/>
        <v>1</v>
      </c>
      <c r="EP143" s="19">
        <f ca="1"/>
        <v>1</v>
      </c>
      <c r="EQ143" s="19" t="str">
        <f ca="1"/>
        <v/>
      </c>
      <c r="ER143" s="19" t="str">
        <f ca="1"/>
        <v/>
      </c>
      <c r="ES143" s="19" t="str">
        <f ca="1"/>
        <v/>
      </c>
      <c r="ET143" s="19" t="str">
        <f ca="1"/>
        <v/>
      </c>
    </row>
    <row r="144" spans="132:150" x14ac:dyDescent="0.2">
      <c r="EB144" s="19" t="str">
        <f ca="1"/>
        <v/>
      </c>
      <c r="EC144" s="19" t="str">
        <f ca="1"/>
        <v/>
      </c>
      <c r="ED144" s="19" t="str">
        <f ca="1"/>
        <v/>
      </c>
      <c r="EE144" s="19" t="str">
        <f ca="1"/>
        <v/>
      </c>
      <c r="EF144" s="19" t="str">
        <f ca="1"/>
        <v/>
      </c>
      <c r="EG144" s="19" t="str">
        <f ca="1"/>
        <v/>
      </c>
      <c r="EH144" s="19" t="str">
        <f ca="1"/>
        <v/>
      </c>
      <c r="EI144" s="19" t="str">
        <f ca="1"/>
        <v/>
      </c>
      <c r="EJ144" s="19" t="str">
        <f ca="1"/>
        <v/>
      </c>
      <c r="EK144" s="19" t="str">
        <f ca="1"/>
        <v/>
      </c>
      <c r="EL144" s="19">
        <f ca="1"/>
        <v>1</v>
      </c>
      <c r="EM144" s="19" t="str">
        <f ca="1"/>
        <v/>
      </c>
      <c r="EN144" s="19" t="str">
        <f ca="1"/>
        <v/>
      </c>
      <c r="EO144" s="19" t="str">
        <f ca="1"/>
        <v/>
      </c>
      <c r="EP144" s="19" t="str">
        <f ca="1"/>
        <v/>
      </c>
      <c r="EQ144" s="19" t="str">
        <f ca="1"/>
        <v/>
      </c>
      <c r="ER144" s="19" t="str">
        <f ca="1"/>
        <v/>
      </c>
      <c r="ES144" s="19" t="str">
        <f ca="1"/>
        <v/>
      </c>
      <c r="ET144" s="19" t="str">
        <f ca="1"/>
        <v/>
      </c>
    </row>
    <row r="145" spans="132:150" x14ac:dyDescent="0.2">
      <c r="EB145" s="19" t="str">
        <f ca="1"/>
        <v/>
      </c>
      <c r="EC145" s="19" t="str">
        <f ca="1"/>
        <v/>
      </c>
      <c r="ED145" s="19" t="str">
        <f ca="1"/>
        <v/>
      </c>
      <c r="EE145" s="19" t="str">
        <f ca="1"/>
        <v/>
      </c>
      <c r="EF145" s="19" t="str">
        <f ca="1"/>
        <v/>
      </c>
      <c r="EG145" s="19" t="str">
        <f ca="1"/>
        <v/>
      </c>
      <c r="EH145" s="19" t="str">
        <f ca="1"/>
        <v/>
      </c>
      <c r="EI145" s="19" t="str">
        <f ca="1"/>
        <v/>
      </c>
      <c r="EJ145" s="19" t="str">
        <f ca="1"/>
        <v/>
      </c>
      <c r="EK145" s="19" t="str">
        <f ca="1"/>
        <v/>
      </c>
      <c r="EL145" s="19" t="str">
        <f ca="1"/>
        <v/>
      </c>
      <c r="EM145" s="19" t="str">
        <f ca="1"/>
        <v/>
      </c>
      <c r="EN145" s="19" t="str">
        <f ca="1"/>
        <v/>
      </c>
      <c r="EO145" s="19" t="str">
        <f ca="1"/>
        <v/>
      </c>
      <c r="EP145" s="19" t="str">
        <f ca="1"/>
        <v/>
      </c>
      <c r="EQ145" s="19">
        <f ca="1"/>
        <v>1</v>
      </c>
      <c r="ER145" s="19" t="str">
        <f ca="1"/>
        <v/>
      </c>
      <c r="ES145" s="19" t="str">
        <f ca="1"/>
        <v/>
      </c>
      <c r="ET145" s="19" t="str">
        <f ca="1"/>
        <v/>
      </c>
    </row>
    <row r="146" spans="132:150" x14ac:dyDescent="0.2">
      <c r="EB146" s="19" t="str">
        <f ca="1"/>
        <v/>
      </c>
      <c r="EC146" s="19" t="str">
        <f ca="1"/>
        <v/>
      </c>
      <c r="ED146" s="19" t="str">
        <f ca="1"/>
        <v/>
      </c>
      <c r="EE146" s="19" t="str">
        <f ca="1"/>
        <v/>
      </c>
      <c r="EF146" s="19" t="str">
        <f ca="1"/>
        <v/>
      </c>
      <c r="EG146" s="19" t="str">
        <f ca="1"/>
        <v/>
      </c>
      <c r="EH146" s="19" t="str">
        <f ca="1"/>
        <v/>
      </c>
      <c r="EI146" s="19" t="str">
        <f ca="1"/>
        <v/>
      </c>
      <c r="EJ146" s="19" t="str">
        <f ca="1"/>
        <v/>
      </c>
      <c r="EK146" s="19" t="str">
        <f ca="1"/>
        <v/>
      </c>
      <c r="EL146" s="19" t="str">
        <f ca="1"/>
        <v/>
      </c>
      <c r="EM146" s="19" t="str">
        <f ca="1"/>
        <v/>
      </c>
      <c r="EN146" s="19" t="str">
        <f ca="1"/>
        <v/>
      </c>
      <c r="EO146" s="19" t="str">
        <f ca="1"/>
        <v/>
      </c>
      <c r="EP146" s="19" t="str">
        <f ca="1"/>
        <v/>
      </c>
      <c r="EQ146" s="19" t="str">
        <f ca="1"/>
        <v/>
      </c>
      <c r="ER146" s="19" t="str">
        <f ca="1"/>
        <v/>
      </c>
      <c r="ES146" s="19" t="str">
        <f ca="1"/>
        <v/>
      </c>
      <c r="ET146" s="19" t="str">
        <f ca="1"/>
        <v/>
      </c>
    </row>
    <row r="147" spans="132:150" x14ac:dyDescent="0.2">
      <c r="EB147" s="19" t="str">
        <f ca="1"/>
        <v/>
      </c>
      <c r="EC147" s="19" t="str">
        <f ca="1"/>
        <v/>
      </c>
      <c r="ED147" s="19" t="str">
        <f ca="1"/>
        <v/>
      </c>
      <c r="EE147" s="19" t="str">
        <f ca="1"/>
        <v/>
      </c>
      <c r="EF147" s="19" t="str">
        <f ca="1"/>
        <v/>
      </c>
      <c r="EG147" s="19" t="str">
        <f ca="1"/>
        <v/>
      </c>
      <c r="EH147" s="19" t="str">
        <f ca="1"/>
        <v/>
      </c>
      <c r="EI147" s="19" t="str">
        <f ca="1"/>
        <v/>
      </c>
      <c r="EJ147" s="19" t="str">
        <f ca="1"/>
        <v/>
      </c>
      <c r="EK147" s="19" t="str">
        <f ca="1"/>
        <v/>
      </c>
      <c r="EL147" s="19" t="str">
        <f ca="1"/>
        <v/>
      </c>
      <c r="EM147" s="19" t="str">
        <f ca="1"/>
        <v/>
      </c>
      <c r="EN147" s="19" t="str">
        <f ca="1"/>
        <v/>
      </c>
      <c r="EO147" s="19" t="str">
        <f ca="1"/>
        <v/>
      </c>
      <c r="EP147" s="19" t="str">
        <f ca="1"/>
        <v/>
      </c>
      <c r="EQ147" s="19" t="str">
        <f ca="1"/>
        <v/>
      </c>
      <c r="ER147" s="19" t="str">
        <f ca="1"/>
        <v/>
      </c>
      <c r="ES147" s="19" t="str">
        <f ca="1"/>
        <v/>
      </c>
      <c r="ET147" s="19" t="str">
        <f ca="1"/>
        <v/>
      </c>
    </row>
    <row r="148" spans="132:150" x14ac:dyDescent="0.2">
      <c r="EB148" s="19">
        <f ca="1"/>
        <v>0</v>
      </c>
      <c r="EC148" s="19">
        <f ca="1"/>
        <v>0</v>
      </c>
      <c r="ED148" s="19">
        <f ca="1"/>
        <v>0</v>
      </c>
      <c r="EE148" s="19">
        <f ca="1"/>
        <v>0</v>
      </c>
      <c r="EF148" s="19">
        <f ca="1"/>
        <v>0</v>
      </c>
      <c r="EG148" s="19">
        <f ca="1"/>
        <v>0</v>
      </c>
      <c r="EH148" s="19">
        <f ca="1"/>
        <v>0</v>
      </c>
      <c r="EI148" s="19">
        <f ca="1"/>
        <v>0</v>
      </c>
      <c r="EJ148" s="19">
        <f ca="1"/>
        <v>0</v>
      </c>
      <c r="EK148" s="19">
        <f ca="1"/>
        <v>0</v>
      </c>
      <c r="EL148" s="19">
        <f ca="1"/>
        <v>0</v>
      </c>
      <c r="EM148" s="19">
        <f ca="1"/>
        <v>0</v>
      </c>
      <c r="EN148" s="19">
        <f ca="1"/>
        <v>0</v>
      </c>
      <c r="EO148" s="19">
        <f ca="1"/>
        <v>0</v>
      </c>
      <c r="EP148" s="19">
        <f ca="1"/>
        <v>0</v>
      </c>
      <c r="EQ148" s="19">
        <f ca="1"/>
        <v>0</v>
      </c>
      <c r="ER148" s="19">
        <f ca="1"/>
        <v>0</v>
      </c>
      <c r="ES148" s="19">
        <f ca="1"/>
        <v>0</v>
      </c>
      <c r="ET148" s="19">
        <f ca="1"/>
        <v>0</v>
      </c>
    </row>
    <row r="149" spans="132:150" x14ac:dyDescent="0.2">
      <c r="EB149" s="19" t="str">
        <f ca="1"/>
        <v/>
      </c>
      <c r="EC149" s="19" t="str">
        <f ca="1"/>
        <v/>
      </c>
      <c r="ED149" s="19" t="str">
        <f ca="1"/>
        <v/>
      </c>
      <c r="EE149" s="19" t="str">
        <f ca="1"/>
        <v/>
      </c>
      <c r="EF149" s="19" t="str">
        <f ca="1"/>
        <v/>
      </c>
      <c r="EG149" s="19" t="str">
        <f ca="1"/>
        <v/>
      </c>
      <c r="EH149" s="19" t="str">
        <f ca="1"/>
        <v/>
      </c>
      <c r="EI149" s="19" t="str">
        <f ca="1"/>
        <v/>
      </c>
      <c r="EJ149" s="19" t="str">
        <f ca="1"/>
        <v/>
      </c>
      <c r="EK149" s="19" t="str">
        <f ca="1"/>
        <v/>
      </c>
      <c r="EL149" s="19" t="str">
        <f ca="1"/>
        <v/>
      </c>
      <c r="EM149" s="19" t="str">
        <f ca="1"/>
        <v/>
      </c>
      <c r="EN149" s="19" t="str">
        <f ca="1"/>
        <v/>
      </c>
      <c r="EO149" s="19" t="str">
        <f ca="1"/>
        <v/>
      </c>
      <c r="EP149" s="19" t="str">
        <f ca="1"/>
        <v/>
      </c>
      <c r="EQ149" s="19" t="str">
        <f ca="1"/>
        <v/>
      </c>
      <c r="ER149" s="19" t="str">
        <f ca="1"/>
        <v/>
      </c>
      <c r="ES149" s="19" t="str">
        <f ca="1"/>
        <v/>
      </c>
      <c r="ET149" s="19" t="str">
        <f ca="1"/>
        <v/>
      </c>
    </row>
    <row r="150" spans="132:150" x14ac:dyDescent="0.2">
      <c r="EB150" s="19" t="str">
        <f ca="1"/>
        <v/>
      </c>
      <c r="EC150" s="19" t="str">
        <f ca="1"/>
        <v/>
      </c>
      <c r="ED150" s="19" t="str">
        <f ca="1"/>
        <v/>
      </c>
      <c r="EE150" s="19" t="str">
        <f ca="1"/>
        <v/>
      </c>
      <c r="EF150" s="19" t="str">
        <f ca="1"/>
        <v/>
      </c>
      <c r="EG150" s="19" t="str">
        <f ca="1"/>
        <v/>
      </c>
      <c r="EH150" s="19" t="str">
        <f ca="1"/>
        <v/>
      </c>
      <c r="EI150" s="19" t="str">
        <f ca="1"/>
        <v/>
      </c>
      <c r="EJ150" s="19" t="str">
        <f ca="1"/>
        <v/>
      </c>
      <c r="EK150" s="19" t="str">
        <f ca="1"/>
        <v/>
      </c>
      <c r="EL150" s="19" t="str">
        <f ca="1"/>
        <v/>
      </c>
      <c r="EM150" s="19" t="str">
        <f ca="1"/>
        <v/>
      </c>
      <c r="EN150" s="19" t="str">
        <f ca="1"/>
        <v/>
      </c>
      <c r="EO150" s="19" t="str">
        <f ca="1"/>
        <v/>
      </c>
      <c r="EP150" s="19" t="str">
        <f ca="1"/>
        <v/>
      </c>
      <c r="EQ150" s="19" t="str">
        <f ca="1"/>
        <v/>
      </c>
      <c r="ER150" s="19" t="str">
        <f ca="1"/>
        <v/>
      </c>
      <c r="ES150" s="19" t="str">
        <f ca="1"/>
        <v/>
      </c>
      <c r="ET150" s="19" t="str">
        <f ca="1"/>
        <v/>
      </c>
    </row>
    <row r="151" spans="132:150" x14ac:dyDescent="0.2">
      <c r="EB151" s="19" t="str">
        <f ca="1"/>
        <v/>
      </c>
      <c r="EC151" s="19" t="str">
        <f ca="1"/>
        <v/>
      </c>
      <c r="ED151" s="19" t="str">
        <f ca="1"/>
        <v/>
      </c>
      <c r="EE151" s="19" t="str">
        <f ca="1"/>
        <v/>
      </c>
      <c r="EF151" s="19" t="str">
        <f ca="1"/>
        <v/>
      </c>
      <c r="EG151" s="19" t="str">
        <f ca="1"/>
        <v/>
      </c>
      <c r="EH151" s="19" t="str">
        <f ca="1"/>
        <v/>
      </c>
      <c r="EI151" s="19" t="str">
        <f ca="1"/>
        <v/>
      </c>
      <c r="EJ151" s="19" t="str">
        <f ca="1"/>
        <v/>
      </c>
      <c r="EK151" s="19" t="str">
        <f ca="1"/>
        <v/>
      </c>
      <c r="EL151" s="19" t="str">
        <f ca="1"/>
        <v/>
      </c>
      <c r="EM151" s="19" t="str">
        <f ca="1"/>
        <v/>
      </c>
      <c r="EN151" s="19" t="str">
        <f ca="1"/>
        <v/>
      </c>
      <c r="EO151" s="19" t="str">
        <f ca="1"/>
        <v/>
      </c>
      <c r="EP151" s="19" t="str">
        <f ca="1"/>
        <v/>
      </c>
      <c r="EQ151" s="19" t="str">
        <f ca="1"/>
        <v/>
      </c>
      <c r="ER151" s="19" t="str">
        <f ca="1"/>
        <v/>
      </c>
      <c r="ES151" s="19" t="str">
        <f ca="1"/>
        <v/>
      </c>
      <c r="ET151" s="19" t="str">
        <f ca="1"/>
        <v/>
      </c>
    </row>
    <row r="152" spans="132:150" x14ac:dyDescent="0.2">
      <c r="EB152" s="19" t="str">
        <f ca="1"/>
        <v/>
      </c>
      <c r="EC152" s="19" t="str">
        <f ca="1"/>
        <v/>
      </c>
      <c r="ED152" s="19" t="str">
        <f ca="1"/>
        <v/>
      </c>
      <c r="EE152" s="19" t="str">
        <f ca="1"/>
        <v/>
      </c>
      <c r="EF152" s="19" t="str">
        <f ca="1"/>
        <v/>
      </c>
      <c r="EG152" s="19" t="str">
        <f ca="1"/>
        <v/>
      </c>
      <c r="EH152" s="19" t="str">
        <f ca="1"/>
        <v/>
      </c>
      <c r="EI152" s="19" t="str">
        <f ca="1"/>
        <v/>
      </c>
      <c r="EJ152" s="19" t="str">
        <f ca="1"/>
        <v/>
      </c>
      <c r="EK152" s="19" t="str">
        <f ca="1"/>
        <v/>
      </c>
      <c r="EL152" s="19" t="str">
        <f ca="1"/>
        <v/>
      </c>
      <c r="EM152" s="19" t="str">
        <f ca="1"/>
        <v/>
      </c>
      <c r="EN152" s="19" t="str">
        <f ca="1"/>
        <v/>
      </c>
      <c r="EO152" s="19" t="str">
        <f ca="1"/>
        <v/>
      </c>
      <c r="EP152" s="19" t="str">
        <f ca="1"/>
        <v/>
      </c>
      <c r="EQ152" s="19" t="str">
        <f ca="1"/>
        <v/>
      </c>
      <c r="ER152" s="19" t="str">
        <f ca="1"/>
        <v/>
      </c>
      <c r="ES152" s="19" t="str">
        <f ca="1"/>
        <v/>
      </c>
      <c r="ET152" s="19" t="str">
        <f ca="1"/>
        <v/>
      </c>
    </row>
    <row r="153" spans="132:150" x14ac:dyDescent="0.2">
      <c r="EB153" s="19" t="str">
        <f ca="1"/>
        <v/>
      </c>
      <c r="EC153" s="19" t="str">
        <f ca="1"/>
        <v/>
      </c>
      <c r="ED153" s="19" t="str">
        <f ca="1"/>
        <v/>
      </c>
      <c r="EE153" s="19" t="str">
        <f ca="1"/>
        <v/>
      </c>
      <c r="EF153" s="19" t="str">
        <f ca="1"/>
        <v/>
      </c>
      <c r="EG153" s="19" t="str">
        <f ca="1"/>
        <v/>
      </c>
      <c r="EH153" s="19" t="str">
        <f ca="1"/>
        <v/>
      </c>
      <c r="EI153" s="19" t="str">
        <f ca="1"/>
        <v/>
      </c>
      <c r="EJ153" s="19" t="str">
        <f ca="1"/>
        <v/>
      </c>
      <c r="EK153" s="19" t="str">
        <f ca="1"/>
        <v/>
      </c>
      <c r="EL153" s="19" t="str">
        <f ca="1"/>
        <v/>
      </c>
      <c r="EM153" s="19" t="str">
        <f ca="1"/>
        <v/>
      </c>
      <c r="EN153" s="19" t="str">
        <f ca="1"/>
        <v/>
      </c>
      <c r="EO153" s="19" t="str">
        <f ca="1"/>
        <v/>
      </c>
      <c r="EP153" s="19" t="str">
        <f ca="1"/>
        <v/>
      </c>
      <c r="EQ153" s="19" t="str">
        <f ca="1"/>
        <v/>
      </c>
      <c r="ER153" s="19" t="str">
        <f ca="1"/>
        <v/>
      </c>
      <c r="ES153" s="19" t="str">
        <f ca="1"/>
        <v/>
      </c>
      <c r="ET153" s="19" t="str">
        <f ca="1"/>
        <v/>
      </c>
    </row>
    <row r="154" spans="132:150" x14ac:dyDescent="0.2">
      <c r="EB154" s="19" t="str">
        <f ca="1"/>
        <v/>
      </c>
      <c r="EC154" s="19" t="str">
        <f ca="1"/>
        <v/>
      </c>
      <c r="ED154" s="19" t="str">
        <f ca="1"/>
        <v/>
      </c>
      <c r="EE154" s="19" t="str">
        <f ca="1"/>
        <v/>
      </c>
      <c r="EF154" s="19" t="str">
        <f ca="1"/>
        <v/>
      </c>
      <c r="EG154" s="19" t="str">
        <f ca="1"/>
        <v/>
      </c>
      <c r="EH154" s="19" t="str">
        <f ca="1"/>
        <v/>
      </c>
      <c r="EI154" s="19" t="str">
        <f ca="1"/>
        <v/>
      </c>
      <c r="EJ154" s="19" t="str">
        <f ca="1"/>
        <v/>
      </c>
      <c r="EK154" s="19" t="str">
        <f ca="1"/>
        <v/>
      </c>
      <c r="EL154" s="19" t="str">
        <f ca="1"/>
        <v/>
      </c>
      <c r="EM154" s="19" t="str">
        <f ca="1"/>
        <v/>
      </c>
      <c r="EN154" s="19" t="str">
        <f ca="1"/>
        <v/>
      </c>
      <c r="EO154" s="19" t="str">
        <f ca="1"/>
        <v/>
      </c>
      <c r="EP154" s="19" t="str">
        <f ca="1"/>
        <v/>
      </c>
      <c r="EQ154" s="19" t="str">
        <f ca="1"/>
        <v/>
      </c>
      <c r="ER154" s="19" t="str">
        <f ca="1"/>
        <v/>
      </c>
      <c r="ES154" s="19" t="str">
        <f ca="1"/>
        <v/>
      </c>
      <c r="ET154" s="19" t="str">
        <f ca="1"/>
        <v/>
      </c>
    </row>
    <row r="155" spans="132:150" x14ac:dyDescent="0.2">
      <c r="EB155" s="19">
        <f ca="1"/>
        <v>0</v>
      </c>
      <c r="EC155" s="19">
        <f ca="1"/>
        <v>0</v>
      </c>
      <c r="ED155" s="19">
        <f ca="1"/>
        <v>0</v>
      </c>
      <c r="EE155" s="19">
        <f ca="1"/>
        <v>0</v>
      </c>
      <c r="EF155" s="19">
        <f ca="1"/>
        <v>0</v>
      </c>
      <c r="EG155" s="19">
        <f ca="1"/>
        <v>0</v>
      </c>
      <c r="EH155" s="19">
        <f ca="1"/>
        <v>0</v>
      </c>
      <c r="EI155" s="19">
        <f ca="1"/>
        <v>0</v>
      </c>
      <c r="EJ155" s="19">
        <f ca="1"/>
        <v>0</v>
      </c>
      <c r="EK155" s="19">
        <f ca="1"/>
        <v>0</v>
      </c>
      <c r="EL155" s="19">
        <f ca="1"/>
        <v>0</v>
      </c>
      <c r="EM155" s="19">
        <f ca="1"/>
        <v>0</v>
      </c>
      <c r="EN155" s="19">
        <f ca="1"/>
        <v>0</v>
      </c>
      <c r="EO155" s="19">
        <f ca="1"/>
        <v>0</v>
      </c>
      <c r="EP155" s="19">
        <f ca="1"/>
        <v>0</v>
      </c>
      <c r="EQ155" s="19">
        <f ca="1"/>
        <v>0</v>
      </c>
      <c r="ER155" s="19">
        <f ca="1"/>
        <v>0</v>
      </c>
      <c r="ES155" s="19">
        <f ca="1"/>
        <v>0</v>
      </c>
      <c r="ET155" s="19">
        <f ca="1"/>
        <v>0</v>
      </c>
    </row>
    <row r="156" spans="132:150" x14ac:dyDescent="0.2">
      <c r="EB156" s="19" t="str">
        <f ca="1"/>
        <v/>
      </c>
      <c r="EC156" s="19" t="str">
        <f ca="1"/>
        <v/>
      </c>
      <c r="ED156" s="19" t="str">
        <f ca="1"/>
        <v/>
      </c>
      <c r="EE156" s="19" t="str">
        <f ca="1"/>
        <v/>
      </c>
      <c r="EF156" s="19" t="str">
        <f ca="1"/>
        <v/>
      </c>
      <c r="EG156" s="19" t="str">
        <f ca="1"/>
        <v/>
      </c>
      <c r="EH156" s="19" t="str">
        <f ca="1"/>
        <v/>
      </c>
      <c r="EI156" s="19" t="str">
        <f ca="1"/>
        <v/>
      </c>
      <c r="EJ156" s="19" t="str">
        <f ca="1"/>
        <v/>
      </c>
      <c r="EK156" s="19" t="str">
        <f ca="1"/>
        <v/>
      </c>
      <c r="EL156" s="19" t="str">
        <f ca="1"/>
        <v/>
      </c>
      <c r="EM156" s="19" t="str">
        <f ca="1"/>
        <v/>
      </c>
      <c r="EN156" s="19" t="str">
        <f ca="1"/>
        <v/>
      </c>
      <c r="EO156" s="19" t="str">
        <f ca="1"/>
        <v/>
      </c>
      <c r="EP156" s="19" t="str">
        <f ca="1"/>
        <v/>
      </c>
      <c r="EQ156" s="19" t="str">
        <f ca="1"/>
        <v/>
      </c>
      <c r="ER156" s="19" t="str">
        <f ca="1"/>
        <v/>
      </c>
      <c r="ES156" s="19" t="str">
        <f ca="1"/>
        <v/>
      </c>
      <c r="ET156" s="19" t="str">
        <f ca="1"/>
        <v/>
      </c>
    </row>
    <row r="157" spans="132:150" x14ac:dyDescent="0.2">
      <c r="EB157" s="19" t="str">
        <f ca="1"/>
        <v/>
      </c>
      <c r="EC157" s="19" t="str">
        <f ca="1"/>
        <v/>
      </c>
      <c r="ED157" s="19" t="str">
        <f ca="1"/>
        <v/>
      </c>
      <c r="EE157" s="19" t="str">
        <f ca="1"/>
        <v/>
      </c>
      <c r="EF157" s="19" t="str">
        <f ca="1"/>
        <v/>
      </c>
      <c r="EG157" s="19" t="str">
        <f ca="1"/>
        <v/>
      </c>
      <c r="EH157" s="19" t="str">
        <f ca="1"/>
        <v/>
      </c>
      <c r="EI157" s="19" t="str">
        <f ca="1"/>
        <v/>
      </c>
      <c r="EJ157" s="19" t="str">
        <f ca="1"/>
        <v/>
      </c>
      <c r="EK157" s="19" t="str">
        <f ca="1"/>
        <v/>
      </c>
      <c r="EL157" s="19" t="str">
        <f ca="1"/>
        <v/>
      </c>
      <c r="EM157" s="19" t="str">
        <f ca="1"/>
        <v/>
      </c>
      <c r="EN157" s="19" t="str">
        <f ca="1"/>
        <v/>
      </c>
      <c r="EO157" s="19" t="str">
        <f ca="1"/>
        <v/>
      </c>
      <c r="EP157" s="19" t="str">
        <f ca="1"/>
        <v/>
      </c>
      <c r="EQ157" s="19" t="str">
        <f ca="1"/>
        <v/>
      </c>
      <c r="ER157" s="19" t="str">
        <f ca="1"/>
        <v/>
      </c>
      <c r="ES157" s="19" t="str">
        <f ca="1"/>
        <v/>
      </c>
      <c r="ET157" s="19" t="str">
        <f ca="1"/>
        <v/>
      </c>
    </row>
    <row r="158" spans="132:150" x14ac:dyDescent="0.2">
      <c r="EB158" s="19" t="str">
        <f ca="1"/>
        <v/>
      </c>
      <c r="EC158" s="19" t="str">
        <f ca="1"/>
        <v/>
      </c>
      <c r="ED158" s="19" t="str">
        <f ca="1"/>
        <v/>
      </c>
      <c r="EE158" s="19" t="str">
        <f ca="1"/>
        <v/>
      </c>
      <c r="EF158" s="19" t="str">
        <f ca="1"/>
        <v/>
      </c>
      <c r="EG158" s="19" t="str">
        <f ca="1"/>
        <v/>
      </c>
      <c r="EH158" s="19" t="str">
        <f ca="1"/>
        <v/>
      </c>
      <c r="EI158" s="19" t="str">
        <f ca="1"/>
        <v/>
      </c>
      <c r="EJ158" s="19" t="str">
        <f ca="1"/>
        <v/>
      </c>
      <c r="EK158" s="19" t="str">
        <f ca="1"/>
        <v/>
      </c>
      <c r="EL158" s="19" t="str">
        <f ca="1"/>
        <v/>
      </c>
      <c r="EM158" s="19" t="str">
        <f ca="1"/>
        <v/>
      </c>
      <c r="EN158" s="19" t="str">
        <f ca="1"/>
        <v/>
      </c>
      <c r="EO158" s="19" t="str">
        <f ca="1"/>
        <v/>
      </c>
      <c r="EP158" s="19" t="str">
        <f ca="1"/>
        <v/>
      </c>
      <c r="EQ158" s="19" t="str">
        <f ca="1"/>
        <v/>
      </c>
      <c r="ER158" s="19" t="str">
        <f ca="1"/>
        <v/>
      </c>
      <c r="ES158" s="19" t="str">
        <f ca="1"/>
        <v/>
      </c>
      <c r="ET158" s="19" t="str">
        <f ca="1"/>
        <v/>
      </c>
    </row>
    <row r="159" spans="132:150" x14ac:dyDescent="0.2">
      <c r="EB159" s="19" t="str">
        <f ca="1"/>
        <v/>
      </c>
      <c r="EC159" s="19" t="str">
        <f ca="1"/>
        <v/>
      </c>
      <c r="ED159" s="19" t="str">
        <f ca="1"/>
        <v/>
      </c>
      <c r="EE159" s="19" t="str">
        <f ca="1"/>
        <v/>
      </c>
      <c r="EF159" s="19">
        <f ca="1"/>
        <v>1</v>
      </c>
      <c r="EG159" s="19" t="str">
        <f ca="1"/>
        <v/>
      </c>
      <c r="EH159" s="19" t="str">
        <f ca="1"/>
        <v/>
      </c>
      <c r="EI159" s="19" t="str">
        <f ca="1"/>
        <v/>
      </c>
      <c r="EJ159" s="19" t="str">
        <f ca="1"/>
        <v/>
      </c>
      <c r="EK159" s="19">
        <f ca="1"/>
        <v>1</v>
      </c>
      <c r="EL159" s="19">
        <f ca="1"/>
        <v>1</v>
      </c>
      <c r="EM159" s="19" t="str">
        <f ca="1"/>
        <v/>
      </c>
      <c r="EN159" s="19" t="str">
        <f ca="1"/>
        <v/>
      </c>
      <c r="EO159" s="19" t="str">
        <f ca="1"/>
        <v/>
      </c>
      <c r="EP159" s="19" t="str">
        <f ca="1"/>
        <v/>
      </c>
      <c r="EQ159" s="19" t="str">
        <f ca="1"/>
        <v/>
      </c>
      <c r="ER159" s="19" t="str">
        <f ca="1"/>
        <v/>
      </c>
      <c r="ES159" s="19" t="str">
        <f ca="1"/>
        <v/>
      </c>
      <c r="ET159" s="19" t="str">
        <f ca="1"/>
        <v/>
      </c>
    </row>
    <row r="160" spans="132:150" x14ac:dyDescent="0.2">
      <c r="EB160" s="19" t="str">
        <f ca="1"/>
        <v/>
      </c>
      <c r="EC160" s="19" t="str">
        <f ca="1"/>
        <v/>
      </c>
      <c r="ED160" s="19" t="str">
        <f ca="1"/>
        <v/>
      </c>
      <c r="EE160" s="19" t="str">
        <f ca="1"/>
        <v/>
      </c>
      <c r="EF160" s="19" t="str">
        <f ca="1"/>
        <v/>
      </c>
      <c r="EG160" s="19" t="str">
        <f ca="1"/>
        <v/>
      </c>
      <c r="EH160" s="19" t="str">
        <f ca="1"/>
        <v/>
      </c>
      <c r="EI160" s="19" t="str">
        <f ca="1"/>
        <v/>
      </c>
      <c r="EJ160" s="19" t="str">
        <f ca="1"/>
        <v/>
      </c>
      <c r="EK160" s="19" t="str">
        <f ca="1"/>
        <v/>
      </c>
      <c r="EL160" s="19" t="str">
        <f ca="1"/>
        <v/>
      </c>
      <c r="EM160" s="19" t="str">
        <f ca="1"/>
        <v/>
      </c>
      <c r="EN160" s="19" t="str">
        <f ca="1"/>
        <v/>
      </c>
      <c r="EO160" s="19" t="str">
        <f ca="1"/>
        <v/>
      </c>
      <c r="EP160" s="19" t="str">
        <f ca="1"/>
        <v/>
      </c>
      <c r="EQ160" s="19" t="str">
        <f ca="1"/>
        <v/>
      </c>
      <c r="ER160" s="19" t="str">
        <f ca="1"/>
        <v/>
      </c>
      <c r="ES160" s="19" t="str">
        <f ca="1"/>
        <v/>
      </c>
      <c r="ET160" s="19" t="str">
        <f ca="1"/>
        <v/>
      </c>
    </row>
    <row r="161" spans="132:150" x14ac:dyDescent="0.2">
      <c r="EB161" s="19" t="str">
        <f ca="1"/>
        <v/>
      </c>
      <c r="EC161" s="19" t="str">
        <f ca="1"/>
        <v/>
      </c>
      <c r="ED161" s="19" t="str">
        <f ca="1"/>
        <v/>
      </c>
      <c r="EE161" s="19" t="str">
        <f ca="1"/>
        <v/>
      </c>
      <c r="EF161" s="19" t="str">
        <f ca="1"/>
        <v/>
      </c>
      <c r="EG161" s="19" t="str">
        <f ca="1"/>
        <v/>
      </c>
      <c r="EH161" s="19" t="str">
        <f ca="1"/>
        <v/>
      </c>
      <c r="EI161" s="19" t="str">
        <f ca="1"/>
        <v/>
      </c>
      <c r="EJ161" s="19" t="str">
        <f ca="1"/>
        <v/>
      </c>
      <c r="EK161" s="19" t="str">
        <f ca="1"/>
        <v/>
      </c>
      <c r="EL161" s="19" t="str">
        <f ca="1"/>
        <v/>
      </c>
      <c r="EM161" s="19" t="str">
        <f ca="1"/>
        <v/>
      </c>
      <c r="EN161" s="19" t="str">
        <f ca="1"/>
        <v/>
      </c>
      <c r="EO161" s="19" t="str">
        <f ca="1"/>
        <v/>
      </c>
      <c r="EP161" s="19" t="str">
        <f ca="1"/>
        <v/>
      </c>
      <c r="EQ161" s="19" t="str">
        <f ca="1"/>
        <v/>
      </c>
      <c r="ER161" s="19" t="str">
        <f ca="1"/>
        <v/>
      </c>
      <c r="ES161" s="19" t="str">
        <f ca="1"/>
        <v/>
      </c>
      <c r="ET161" s="19" t="str">
        <f ca="1"/>
        <v/>
      </c>
    </row>
    <row r="162" spans="132:150" x14ac:dyDescent="0.2">
      <c r="EB162" s="19" t="str">
        <f ca="1"/>
        <v/>
      </c>
      <c r="EC162" s="19" t="str">
        <f ca="1"/>
        <v/>
      </c>
      <c r="ED162" s="19" t="str">
        <f ca="1"/>
        <v/>
      </c>
      <c r="EE162" s="19" t="str">
        <f ca="1"/>
        <v/>
      </c>
      <c r="EF162" s="19" t="str">
        <f ca="1"/>
        <v/>
      </c>
      <c r="EG162" s="19" t="str">
        <f ca="1"/>
        <v/>
      </c>
      <c r="EH162" s="19" t="str">
        <f ca="1"/>
        <v/>
      </c>
      <c r="EI162" s="19" t="str">
        <f ca="1"/>
        <v/>
      </c>
      <c r="EJ162" s="19" t="str">
        <f ca="1"/>
        <v/>
      </c>
      <c r="EK162" s="19" t="str">
        <f ca="1"/>
        <v/>
      </c>
      <c r="EL162" s="19" t="str">
        <f ca="1"/>
        <v/>
      </c>
      <c r="EM162" s="19" t="str">
        <f ca="1"/>
        <v/>
      </c>
      <c r="EN162" s="19" t="str">
        <f ca="1"/>
        <v/>
      </c>
      <c r="EO162" s="19" t="str">
        <f ca="1"/>
        <v/>
      </c>
      <c r="EP162" s="19" t="str">
        <f ca="1"/>
        <v/>
      </c>
      <c r="EQ162" s="19" t="str">
        <f ca="1"/>
        <v/>
      </c>
      <c r="ER162" s="19" t="str">
        <f ca="1"/>
        <v/>
      </c>
      <c r="ES162" s="19" t="str">
        <f ca="1"/>
        <v/>
      </c>
      <c r="ET162" s="19" t="str">
        <f ca="1"/>
        <v/>
      </c>
    </row>
    <row r="163" spans="132:150" x14ac:dyDescent="0.2">
      <c r="EB163" s="19" t="str">
        <f ca="1"/>
        <v/>
      </c>
      <c r="EC163" s="19">
        <f ca="1"/>
        <v>1</v>
      </c>
      <c r="ED163" s="19" t="str">
        <f ca="1"/>
        <v/>
      </c>
      <c r="EE163" s="19" t="str">
        <f ca="1"/>
        <v/>
      </c>
      <c r="EF163" s="19" t="str">
        <f ca="1"/>
        <v/>
      </c>
      <c r="EG163" s="19">
        <f ca="1"/>
        <v>1</v>
      </c>
      <c r="EH163" s="19" t="str">
        <f ca="1"/>
        <v/>
      </c>
      <c r="EI163" s="19" t="str">
        <f ca="1"/>
        <v/>
      </c>
      <c r="EJ163" s="19" t="str">
        <f ca="1"/>
        <v/>
      </c>
      <c r="EK163" s="19" t="str">
        <f ca="1"/>
        <v/>
      </c>
      <c r="EL163" s="19" t="str">
        <f ca="1"/>
        <v/>
      </c>
      <c r="EM163" s="19" t="str">
        <f ca="1"/>
        <v/>
      </c>
      <c r="EN163" s="19" t="str">
        <f ca="1"/>
        <v/>
      </c>
      <c r="EO163" s="19" t="str">
        <f ca="1"/>
        <v/>
      </c>
      <c r="EP163" s="19" t="str">
        <f ca="1"/>
        <v/>
      </c>
      <c r="EQ163" s="19" t="str">
        <f ca="1"/>
        <v/>
      </c>
      <c r="ER163" s="19" t="str">
        <f ca="1"/>
        <v/>
      </c>
      <c r="ES163" s="19" t="str">
        <f ca="1"/>
        <v/>
      </c>
      <c r="ET163" s="19" t="str">
        <f ca="1"/>
        <v/>
      </c>
    </row>
    <row r="164" spans="132:150" x14ac:dyDescent="0.2">
      <c r="EB164" s="19" t="str">
        <f ca="1"/>
        <v/>
      </c>
      <c r="EC164" s="19" t="str">
        <f ca="1"/>
        <v/>
      </c>
      <c r="ED164" s="19" t="str">
        <f ca="1"/>
        <v/>
      </c>
      <c r="EE164" s="19" t="str">
        <f ca="1"/>
        <v/>
      </c>
      <c r="EF164" s="19" t="str">
        <f ca="1"/>
        <v/>
      </c>
      <c r="EG164" s="19" t="str">
        <f ca="1"/>
        <v/>
      </c>
      <c r="EH164" s="19" t="str">
        <f ca="1"/>
        <v/>
      </c>
      <c r="EI164" s="19" t="str">
        <f ca="1"/>
        <v/>
      </c>
      <c r="EJ164" s="19" t="str">
        <f ca="1"/>
        <v/>
      </c>
      <c r="EK164" s="19" t="str">
        <f ca="1"/>
        <v/>
      </c>
      <c r="EL164" s="19" t="str">
        <f ca="1"/>
        <v/>
      </c>
      <c r="EM164" s="19" t="str">
        <f ca="1"/>
        <v/>
      </c>
      <c r="EN164" s="19" t="str">
        <f ca="1"/>
        <v/>
      </c>
      <c r="EO164" s="19" t="str">
        <f ca="1"/>
        <v/>
      </c>
      <c r="EP164" s="19" t="str">
        <f ca="1"/>
        <v/>
      </c>
      <c r="EQ164" s="19" t="str">
        <f ca="1"/>
        <v/>
      </c>
      <c r="ER164" s="19" t="str">
        <f ca="1"/>
        <v/>
      </c>
      <c r="ES164" s="19" t="str">
        <f ca="1"/>
        <v/>
      </c>
      <c r="ET164" s="19" t="str">
        <f ca="1"/>
        <v/>
      </c>
    </row>
    <row r="165" spans="132:150" x14ac:dyDescent="0.2">
      <c r="EB165" s="19" t="str">
        <f ca="1"/>
        <v/>
      </c>
      <c r="EC165" s="19" t="str">
        <f ca="1"/>
        <v/>
      </c>
      <c r="ED165" s="19" t="str">
        <f ca="1"/>
        <v/>
      </c>
      <c r="EE165" s="19" t="str">
        <f ca="1"/>
        <v/>
      </c>
      <c r="EF165" s="19" t="str">
        <f ca="1"/>
        <v/>
      </c>
      <c r="EG165" s="19" t="str">
        <f ca="1"/>
        <v/>
      </c>
      <c r="EH165" s="19" t="str">
        <f ca="1"/>
        <v/>
      </c>
      <c r="EI165" s="19" t="str">
        <f ca="1"/>
        <v/>
      </c>
      <c r="EJ165" s="19" t="str">
        <f ca="1"/>
        <v/>
      </c>
      <c r="EK165" s="19" t="str">
        <f ca="1"/>
        <v/>
      </c>
      <c r="EL165" s="19" t="str">
        <f ca="1"/>
        <v/>
      </c>
      <c r="EM165" s="19" t="str">
        <f ca="1"/>
        <v/>
      </c>
      <c r="EN165" s="19" t="str">
        <f ca="1"/>
        <v/>
      </c>
      <c r="EO165" s="19" t="str">
        <f ca="1"/>
        <v/>
      </c>
      <c r="EP165" s="19" t="str">
        <f ca="1"/>
        <v/>
      </c>
      <c r="EQ165" s="19" t="str">
        <f ca="1"/>
        <v/>
      </c>
      <c r="ER165" s="19" t="str">
        <f ca="1"/>
        <v/>
      </c>
      <c r="ES165" s="19" t="str">
        <f ca="1"/>
        <v/>
      </c>
      <c r="ET165" s="19" t="str">
        <f ca="1"/>
        <v/>
      </c>
    </row>
    <row r="166" spans="132:150" x14ac:dyDescent="0.2">
      <c r="EB166" s="19" t="str">
        <f ca="1"/>
        <v/>
      </c>
      <c r="EC166" s="19" t="str">
        <f ca="1"/>
        <v/>
      </c>
      <c r="ED166" s="19" t="str">
        <f ca="1"/>
        <v/>
      </c>
      <c r="EE166" s="19" t="str">
        <f ca="1"/>
        <v/>
      </c>
      <c r="EF166" s="19" t="str">
        <f ca="1"/>
        <v/>
      </c>
      <c r="EG166" s="19" t="str">
        <f ca="1"/>
        <v/>
      </c>
      <c r="EH166" s="19" t="str">
        <f ca="1"/>
        <v/>
      </c>
      <c r="EI166" s="19" t="str">
        <f ca="1"/>
        <v/>
      </c>
      <c r="EJ166" s="19" t="str">
        <f ca="1"/>
        <v/>
      </c>
      <c r="EK166" s="19" t="str">
        <f ca="1"/>
        <v/>
      </c>
      <c r="EL166" s="19" t="str">
        <f ca="1"/>
        <v/>
      </c>
      <c r="EM166" s="19" t="str">
        <f ca="1"/>
        <v/>
      </c>
      <c r="EN166" s="19" t="str">
        <f ca="1"/>
        <v/>
      </c>
      <c r="EO166" s="19" t="str">
        <f ca="1"/>
        <v/>
      </c>
      <c r="EP166" s="19" t="str">
        <f ca="1"/>
        <v/>
      </c>
      <c r="EQ166" s="19" t="str">
        <f ca="1"/>
        <v/>
      </c>
      <c r="ER166" s="19" t="str">
        <f ca="1"/>
        <v/>
      </c>
      <c r="ES166" s="19" t="str">
        <f ca="1"/>
        <v/>
      </c>
      <c r="ET166" s="19" t="str">
        <f ca="1"/>
        <v/>
      </c>
    </row>
    <row r="167" spans="132:150" x14ac:dyDescent="0.2">
      <c r="EB167" s="19" t="str">
        <f ca="1"/>
        <v/>
      </c>
      <c r="EC167" s="19" t="str">
        <f ca="1"/>
        <v/>
      </c>
      <c r="ED167" s="19" t="str">
        <f ca="1"/>
        <v/>
      </c>
      <c r="EE167" s="19" t="str">
        <f ca="1"/>
        <v/>
      </c>
      <c r="EF167" s="19" t="str">
        <f ca="1"/>
        <v/>
      </c>
      <c r="EG167" s="19" t="str">
        <f ca="1"/>
        <v/>
      </c>
      <c r="EH167" s="19" t="str">
        <f ca="1"/>
        <v/>
      </c>
      <c r="EI167" s="19" t="str">
        <f ca="1"/>
        <v/>
      </c>
      <c r="EJ167" s="19" t="str">
        <f ca="1"/>
        <v/>
      </c>
      <c r="EK167" s="19" t="str">
        <f ca="1"/>
        <v/>
      </c>
      <c r="EL167" s="19" t="str">
        <f ca="1"/>
        <v/>
      </c>
      <c r="EM167" s="19" t="str">
        <f ca="1"/>
        <v/>
      </c>
      <c r="EN167" s="19" t="str">
        <f ca="1"/>
        <v/>
      </c>
      <c r="EO167" s="19" t="str">
        <f ca="1"/>
        <v/>
      </c>
      <c r="EP167" s="19" t="str">
        <f ca="1"/>
        <v/>
      </c>
      <c r="EQ167" s="19" t="str">
        <f ca="1"/>
        <v/>
      </c>
      <c r="ER167" s="19" t="str">
        <f ca="1"/>
        <v/>
      </c>
      <c r="ES167" s="19" t="str">
        <f ca="1"/>
        <v/>
      </c>
      <c r="ET167" s="19" t="str">
        <f ca="1"/>
        <v/>
      </c>
    </row>
    <row r="168" spans="132:150" x14ac:dyDescent="0.2">
      <c r="EB168" s="19" t="str">
        <f ca="1"/>
        <v/>
      </c>
      <c r="EC168" s="19" t="str">
        <f ca="1"/>
        <v/>
      </c>
      <c r="ED168" s="19" t="str">
        <f ca="1"/>
        <v/>
      </c>
      <c r="EE168" s="19" t="str">
        <f ca="1"/>
        <v/>
      </c>
      <c r="EF168" s="19" t="str">
        <f ca="1"/>
        <v/>
      </c>
      <c r="EG168" s="19" t="str">
        <f ca="1"/>
        <v/>
      </c>
      <c r="EH168" s="19" t="str">
        <f ca="1"/>
        <v/>
      </c>
      <c r="EI168" s="19" t="str">
        <f ca="1"/>
        <v/>
      </c>
      <c r="EJ168" s="19" t="str">
        <f ca="1"/>
        <v/>
      </c>
      <c r="EK168" s="19" t="str">
        <f ca="1"/>
        <v/>
      </c>
      <c r="EL168" s="19" t="str">
        <f ca="1"/>
        <v/>
      </c>
      <c r="EM168" s="19" t="str">
        <f ca="1"/>
        <v/>
      </c>
      <c r="EN168" s="19" t="str">
        <f ca="1"/>
        <v/>
      </c>
      <c r="EO168" s="19" t="str">
        <f ca="1"/>
        <v/>
      </c>
      <c r="EP168" s="19" t="str">
        <f ca="1"/>
        <v/>
      </c>
      <c r="EQ168" s="19" t="str">
        <f ca="1"/>
        <v/>
      </c>
      <c r="ER168" s="19" t="str">
        <f ca="1"/>
        <v/>
      </c>
      <c r="ES168" s="19" t="str">
        <f ca="1"/>
        <v/>
      </c>
      <c r="ET168" s="19" t="str">
        <f ca="1"/>
        <v/>
      </c>
    </row>
    <row r="169" spans="132:150" x14ac:dyDescent="0.2">
      <c r="EB169" s="19" t="str">
        <f ca="1"/>
        <v/>
      </c>
      <c r="EC169" s="19" t="str">
        <f ca="1"/>
        <v/>
      </c>
      <c r="ED169" s="19" t="str">
        <f ca="1"/>
        <v/>
      </c>
      <c r="EE169" s="19" t="str">
        <f ca="1"/>
        <v/>
      </c>
      <c r="EF169" s="19" t="str">
        <f ca="1"/>
        <v/>
      </c>
      <c r="EG169" s="19" t="str">
        <f ca="1"/>
        <v/>
      </c>
      <c r="EH169" s="19" t="str">
        <f ca="1"/>
        <v/>
      </c>
      <c r="EI169" s="19" t="str">
        <f ca="1"/>
        <v/>
      </c>
      <c r="EJ169" s="19" t="str">
        <f ca="1"/>
        <v/>
      </c>
      <c r="EK169" s="19" t="str">
        <f ca="1"/>
        <v/>
      </c>
      <c r="EL169" s="19" t="str">
        <f ca="1"/>
        <v/>
      </c>
      <c r="EM169" s="19" t="str">
        <f ca="1"/>
        <v/>
      </c>
      <c r="EN169" s="19" t="str">
        <f ca="1"/>
        <v/>
      </c>
      <c r="EO169" s="19" t="str">
        <f ca="1"/>
        <v/>
      </c>
      <c r="EP169" s="19" t="str">
        <f ca="1"/>
        <v/>
      </c>
      <c r="EQ169" s="19" t="str">
        <f ca="1"/>
        <v/>
      </c>
      <c r="ER169" s="19" t="str">
        <f ca="1"/>
        <v/>
      </c>
      <c r="ES169" s="19" t="str">
        <f ca="1"/>
        <v/>
      </c>
      <c r="ET169" s="19" t="str">
        <f ca="1"/>
        <v/>
      </c>
    </row>
    <row r="170" spans="132:150" x14ac:dyDescent="0.2">
      <c r="EB170" s="19" t="str">
        <f ca="1"/>
        <v/>
      </c>
      <c r="EC170" s="19" t="str">
        <f ca="1"/>
        <v/>
      </c>
      <c r="ED170" s="19" t="str">
        <f ca="1"/>
        <v/>
      </c>
      <c r="EE170" s="19" t="str">
        <f ca="1"/>
        <v/>
      </c>
      <c r="EF170" s="19" t="str">
        <f ca="1"/>
        <v/>
      </c>
      <c r="EG170" s="19" t="str">
        <f ca="1"/>
        <v/>
      </c>
      <c r="EH170" s="19" t="str">
        <f ca="1"/>
        <v/>
      </c>
      <c r="EI170" s="19" t="str">
        <f ca="1"/>
        <v/>
      </c>
      <c r="EJ170" s="19" t="str">
        <f ca="1"/>
        <v/>
      </c>
      <c r="EK170" s="19" t="str">
        <f ca="1"/>
        <v/>
      </c>
      <c r="EL170" s="19" t="str">
        <f ca="1"/>
        <v/>
      </c>
      <c r="EM170" s="19" t="str">
        <f ca="1"/>
        <v/>
      </c>
      <c r="EN170" s="19" t="str">
        <f ca="1"/>
        <v/>
      </c>
      <c r="EO170" s="19" t="str">
        <f ca="1"/>
        <v/>
      </c>
      <c r="EP170" s="19" t="str">
        <f ca="1"/>
        <v/>
      </c>
      <c r="EQ170" s="19" t="str">
        <f ca="1"/>
        <v/>
      </c>
      <c r="ER170" s="19" t="str">
        <f ca="1"/>
        <v/>
      </c>
      <c r="ES170" s="19" t="str">
        <f ca="1"/>
        <v/>
      </c>
      <c r="ET170" s="19" t="str">
        <f ca="1"/>
        <v/>
      </c>
    </row>
    <row r="171" spans="132:150" x14ac:dyDescent="0.2">
      <c r="EB171" s="19" t="str">
        <f ca="1"/>
        <v/>
      </c>
      <c r="EC171" s="19" t="str">
        <f ca="1"/>
        <v/>
      </c>
      <c r="ED171" s="19" t="str">
        <f ca="1"/>
        <v/>
      </c>
      <c r="EE171" s="19" t="str">
        <f ca="1"/>
        <v/>
      </c>
      <c r="EF171" s="19" t="str">
        <f ca="1"/>
        <v/>
      </c>
      <c r="EG171" s="19" t="str">
        <f ca="1"/>
        <v/>
      </c>
      <c r="EH171" s="19" t="str">
        <f ca="1"/>
        <v/>
      </c>
      <c r="EI171" s="19" t="str">
        <f ca="1"/>
        <v/>
      </c>
      <c r="EJ171" s="19" t="str">
        <f ca="1"/>
        <v/>
      </c>
      <c r="EK171" s="19" t="str">
        <f ca="1"/>
        <v/>
      </c>
      <c r="EL171" s="19" t="str">
        <f ca="1"/>
        <v/>
      </c>
      <c r="EM171" s="19" t="str">
        <f ca="1"/>
        <v/>
      </c>
      <c r="EN171" s="19" t="str">
        <f ca="1"/>
        <v/>
      </c>
      <c r="EO171" s="19" t="str">
        <f ca="1"/>
        <v/>
      </c>
      <c r="EP171" s="19" t="str">
        <f ca="1"/>
        <v/>
      </c>
      <c r="EQ171" s="19" t="str">
        <f ca="1"/>
        <v/>
      </c>
      <c r="ER171" s="19" t="str">
        <f ca="1"/>
        <v/>
      </c>
      <c r="ES171" s="19" t="str">
        <f ca="1"/>
        <v/>
      </c>
      <c r="ET171" s="19" t="str">
        <f ca="1"/>
        <v/>
      </c>
    </row>
    <row r="172" spans="132:150" x14ac:dyDescent="0.2">
      <c r="EB172" s="19" t="str">
        <f ca="1"/>
        <v/>
      </c>
      <c r="EC172" s="19" t="str">
        <f ca="1"/>
        <v/>
      </c>
      <c r="ED172" s="19" t="str">
        <f ca="1"/>
        <v/>
      </c>
      <c r="EE172" s="19" t="str">
        <f ca="1"/>
        <v/>
      </c>
      <c r="EF172" s="19" t="str">
        <f ca="1"/>
        <v/>
      </c>
      <c r="EG172" s="19" t="str">
        <f ca="1"/>
        <v/>
      </c>
      <c r="EH172" s="19" t="str">
        <f ca="1"/>
        <v/>
      </c>
      <c r="EI172" s="19" t="str">
        <f ca="1"/>
        <v/>
      </c>
      <c r="EJ172" s="19" t="str">
        <f ca="1"/>
        <v/>
      </c>
      <c r="EK172" s="19" t="str">
        <f ca="1"/>
        <v/>
      </c>
      <c r="EL172" s="19" t="str">
        <f ca="1"/>
        <v/>
      </c>
      <c r="EM172" s="19" t="str">
        <f ca="1"/>
        <v/>
      </c>
      <c r="EN172" s="19" t="str">
        <f ca="1"/>
        <v/>
      </c>
      <c r="EO172" s="19" t="str">
        <f ca="1"/>
        <v/>
      </c>
      <c r="EP172" s="19" t="str">
        <f ca="1"/>
        <v/>
      </c>
      <c r="EQ172" s="19" t="str">
        <f ca="1"/>
        <v/>
      </c>
      <c r="ER172" s="19" t="str">
        <f ca="1"/>
        <v/>
      </c>
      <c r="ES172" s="19" t="str">
        <f ca="1"/>
        <v/>
      </c>
      <c r="ET172" s="19" t="str">
        <f ca="1"/>
        <v/>
      </c>
    </row>
    <row r="173" spans="132:150" x14ac:dyDescent="0.2">
      <c r="EB173" s="19" t="str">
        <f ca="1"/>
        <v/>
      </c>
      <c r="EC173" s="19" t="str">
        <f ca="1"/>
        <v/>
      </c>
      <c r="ED173" s="19" t="str">
        <f ca="1"/>
        <v/>
      </c>
      <c r="EE173" s="19" t="str">
        <f ca="1"/>
        <v/>
      </c>
      <c r="EF173" s="19" t="str">
        <f ca="1"/>
        <v/>
      </c>
      <c r="EG173" s="19" t="str">
        <f ca="1"/>
        <v/>
      </c>
      <c r="EH173" s="19" t="str">
        <f ca="1"/>
        <v/>
      </c>
      <c r="EI173" s="19" t="str">
        <f ca="1"/>
        <v/>
      </c>
      <c r="EJ173" s="19" t="str">
        <f ca="1"/>
        <v/>
      </c>
      <c r="EK173" s="19" t="str">
        <f ca="1"/>
        <v/>
      </c>
      <c r="EL173" s="19" t="str">
        <f ca="1"/>
        <v/>
      </c>
      <c r="EM173" s="19" t="str">
        <f ca="1"/>
        <v/>
      </c>
      <c r="EN173" s="19" t="str">
        <f ca="1"/>
        <v/>
      </c>
      <c r="EO173" s="19" t="str">
        <f ca="1"/>
        <v/>
      </c>
      <c r="EP173" s="19" t="str">
        <f ca="1"/>
        <v/>
      </c>
      <c r="EQ173" s="19" t="str">
        <f ca="1"/>
        <v/>
      </c>
      <c r="ER173" s="19" t="str">
        <f ca="1"/>
        <v/>
      </c>
      <c r="ES173" s="19" t="str">
        <f ca="1"/>
        <v/>
      </c>
      <c r="ET173" s="19" t="str">
        <f ca="1"/>
        <v/>
      </c>
    </row>
    <row r="174" spans="132:150" x14ac:dyDescent="0.2">
      <c r="EB174" s="19" t="str">
        <f ca="1"/>
        <v/>
      </c>
      <c r="EC174" s="19" t="str">
        <f ca="1"/>
        <v/>
      </c>
      <c r="ED174" s="19" t="str">
        <f ca="1"/>
        <v/>
      </c>
      <c r="EE174" s="19" t="str">
        <f ca="1"/>
        <v/>
      </c>
      <c r="EF174" s="19" t="str">
        <f ca="1"/>
        <v/>
      </c>
      <c r="EG174" s="19" t="str">
        <f ca="1"/>
        <v/>
      </c>
      <c r="EH174" s="19" t="str">
        <f ca="1"/>
        <v/>
      </c>
      <c r="EI174" s="19" t="str">
        <f ca="1"/>
        <v/>
      </c>
      <c r="EJ174" s="19" t="str">
        <f ca="1"/>
        <v/>
      </c>
      <c r="EK174" s="19" t="str">
        <f ca="1"/>
        <v/>
      </c>
      <c r="EL174" s="19" t="str">
        <f ca="1"/>
        <v/>
      </c>
      <c r="EM174" s="19" t="str">
        <f ca="1"/>
        <v/>
      </c>
      <c r="EN174" s="19" t="str">
        <f ca="1"/>
        <v/>
      </c>
      <c r="EO174" s="19" t="str">
        <f ca="1"/>
        <v/>
      </c>
      <c r="EP174" s="19" t="str">
        <f ca="1"/>
        <v/>
      </c>
      <c r="EQ174" s="19" t="str">
        <f ca="1"/>
        <v/>
      </c>
      <c r="ER174" s="19" t="str">
        <f ca="1"/>
        <v/>
      </c>
      <c r="ES174" s="19" t="str">
        <f ca="1"/>
        <v/>
      </c>
      <c r="ET174" s="19" t="str">
        <f ca="1"/>
        <v/>
      </c>
    </row>
    <row r="175" spans="132:150" x14ac:dyDescent="0.2">
      <c r="EB175" s="19" t="str">
        <f ca="1"/>
        <v/>
      </c>
      <c r="EC175" s="19" t="str">
        <f ca="1"/>
        <v/>
      </c>
      <c r="ED175" s="19" t="str">
        <f ca="1"/>
        <v/>
      </c>
      <c r="EE175" s="19" t="str">
        <f ca="1"/>
        <v/>
      </c>
      <c r="EF175" s="19" t="str">
        <f ca="1"/>
        <v/>
      </c>
      <c r="EG175" s="19" t="str">
        <f ca="1"/>
        <v/>
      </c>
      <c r="EH175" s="19" t="str">
        <f ca="1"/>
        <v/>
      </c>
      <c r="EI175" s="19" t="str">
        <f ca="1"/>
        <v/>
      </c>
      <c r="EJ175" s="19" t="str">
        <f ca="1"/>
        <v/>
      </c>
      <c r="EK175" s="19" t="str">
        <f ca="1"/>
        <v/>
      </c>
      <c r="EL175" s="19" t="str">
        <f ca="1"/>
        <v/>
      </c>
      <c r="EM175" s="19" t="str">
        <f ca="1"/>
        <v/>
      </c>
      <c r="EN175" s="19" t="str">
        <f ca="1"/>
        <v/>
      </c>
      <c r="EO175" s="19" t="str">
        <f ca="1"/>
        <v/>
      </c>
      <c r="EP175" s="19" t="str">
        <f ca="1"/>
        <v/>
      </c>
      <c r="EQ175" s="19" t="str">
        <f ca="1"/>
        <v/>
      </c>
      <c r="ER175" s="19" t="str">
        <f ca="1"/>
        <v/>
      </c>
      <c r="ES175" s="19" t="str">
        <f ca="1"/>
        <v/>
      </c>
      <c r="ET175" s="19" t="str">
        <f ca="1"/>
        <v/>
      </c>
    </row>
    <row r="176" spans="132:150" x14ac:dyDescent="0.2">
      <c r="EB176" s="19" t="str">
        <f ca="1"/>
        <v/>
      </c>
      <c r="EC176" s="19" t="str">
        <f ca="1"/>
        <v/>
      </c>
      <c r="ED176" s="19" t="str">
        <f ca="1"/>
        <v/>
      </c>
      <c r="EE176" s="19" t="str">
        <f ca="1"/>
        <v/>
      </c>
      <c r="EF176" s="19" t="str">
        <f ca="1"/>
        <v/>
      </c>
      <c r="EG176" s="19" t="str">
        <f ca="1"/>
        <v/>
      </c>
      <c r="EH176" s="19" t="str">
        <f ca="1"/>
        <v/>
      </c>
      <c r="EI176" s="19" t="str">
        <f ca="1"/>
        <v/>
      </c>
      <c r="EJ176" s="19" t="str">
        <f ca="1"/>
        <v/>
      </c>
      <c r="EK176" s="19" t="str">
        <f ca="1"/>
        <v/>
      </c>
      <c r="EL176" s="19" t="str">
        <f ca="1"/>
        <v/>
      </c>
      <c r="EM176" s="19" t="str">
        <f ca="1"/>
        <v/>
      </c>
      <c r="EN176" s="19" t="str">
        <f ca="1"/>
        <v/>
      </c>
      <c r="EO176" s="19" t="str">
        <f ca="1"/>
        <v/>
      </c>
      <c r="EP176" s="19" t="str">
        <f ca="1"/>
        <v/>
      </c>
      <c r="EQ176" s="19" t="str">
        <f ca="1"/>
        <v/>
      </c>
      <c r="ER176" s="19" t="str">
        <f ca="1"/>
        <v/>
      </c>
      <c r="ES176" s="19" t="str">
        <f ca="1"/>
        <v/>
      </c>
      <c r="ET176" s="19" t="str">
        <f ca="1"/>
        <v/>
      </c>
    </row>
    <row r="177" spans="132:150" x14ac:dyDescent="0.2">
      <c r="EB177" s="19" t="str">
        <f ca="1"/>
        <v/>
      </c>
      <c r="EC177" s="19" t="str">
        <f ca="1"/>
        <v/>
      </c>
      <c r="ED177" s="19" t="str">
        <f ca="1"/>
        <v/>
      </c>
      <c r="EE177" s="19" t="str">
        <f ca="1"/>
        <v/>
      </c>
      <c r="EF177" s="19" t="str">
        <f ca="1"/>
        <v/>
      </c>
      <c r="EG177" s="19" t="str">
        <f ca="1"/>
        <v/>
      </c>
      <c r="EH177" s="19" t="str">
        <f ca="1"/>
        <v/>
      </c>
      <c r="EI177" s="19" t="str">
        <f ca="1"/>
        <v/>
      </c>
      <c r="EJ177" s="19" t="str">
        <f ca="1"/>
        <v/>
      </c>
      <c r="EK177" s="19" t="str">
        <f ca="1"/>
        <v/>
      </c>
      <c r="EL177" s="19" t="str">
        <f ca="1"/>
        <v/>
      </c>
      <c r="EM177" s="19" t="str">
        <f ca="1"/>
        <v/>
      </c>
      <c r="EN177" s="19" t="str">
        <f ca="1"/>
        <v/>
      </c>
      <c r="EO177" s="19" t="str">
        <f ca="1"/>
        <v/>
      </c>
      <c r="EP177" s="19" t="str">
        <f ca="1"/>
        <v/>
      </c>
      <c r="EQ177" s="19" t="str">
        <f ca="1"/>
        <v/>
      </c>
      <c r="ER177" s="19" t="str">
        <f ca="1"/>
        <v/>
      </c>
      <c r="ES177" s="19" t="str">
        <f ca="1"/>
        <v/>
      </c>
      <c r="ET177" s="19" t="str">
        <f ca="1"/>
        <v/>
      </c>
    </row>
    <row r="178" spans="132:150" x14ac:dyDescent="0.2">
      <c r="EB178" s="19" t="str">
        <f ca="1"/>
        <v/>
      </c>
      <c r="EC178" s="19" t="str">
        <f ca="1"/>
        <v/>
      </c>
      <c r="ED178" s="19" t="str">
        <f ca="1"/>
        <v/>
      </c>
      <c r="EE178" s="19" t="str">
        <f ca="1"/>
        <v/>
      </c>
      <c r="EF178" s="19" t="str">
        <f ca="1"/>
        <v/>
      </c>
      <c r="EG178" s="19" t="str">
        <f ca="1"/>
        <v/>
      </c>
      <c r="EH178" s="19" t="str">
        <f ca="1"/>
        <v/>
      </c>
      <c r="EI178" s="19" t="str">
        <f ca="1"/>
        <v/>
      </c>
      <c r="EJ178" s="19" t="str">
        <f ca="1"/>
        <v/>
      </c>
      <c r="EK178" s="19" t="str">
        <f ca="1"/>
        <v/>
      </c>
      <c r="EL178" s="19" t="str">
        <f ca="1"/>
        <v/>
      </c>
      <c r="EM178" s="19" t="str">
        <f ca="1"/>
        <v/>
      </c>
      <c r="EN178" s="19" t="str">
        <f ca="1"/>
        <v/>
      </c>
      <c r="EO178" s="19" t="str">
        <f ca="1"/>
        <v/>
      </c>
      <c r="EP178" s="19" t="str">
        <f ca="1"/>
        <v/>
      </c>
      <c r="EQ178" s="19" t="str">
        <f ca="1"/>
        <v/>
      </c>
      <c r="ER178" s="19" t="str">
        <f ca="1"/>
        <v/>
      </c>
      <c r="ES178" s="19" t="str">
        <f ca="1"/>
        <v/>
      </c>
      <c r="ET178" s="19" t="str">
        <f ca="1"/>
        <v/>
      </c>
    </row>
    <row r="179" spans="132:150" x14ac:dyDescent="0.2">
      <c r="EB179" s="19" t="str">
        <f ca="1"/>
        <v/>
      </c>
      <c r="EC179" s="19" t="str">
        <f ca="1"/>
        <v/>
      </c>
      <c r="ED179" s="19" t="str">
        <f ca="1"/>
        <v/>
      </c>
      <c r="EE179" s="19" t="str">
        <f ca="1"/>
        <v/>
      </c>
      <c r="EF179" s="19" t="str">
        <f ca="1"/>
        <v/>
      </c>
      <c r="EG179" s="19" t="str">
        <f ca="1"/>
        <v/>
      </c>
      <c r="EH179" s="19" t="str">
        <f ca="1"/>
        <v/>
      </c>
      <c r="EI179" s="19" t="str">
        <f ca="1"/>
        <v/>
      </c>
      <c r="EJ179" s="19" t="str">
        <f ca="1"/>
        <v/>
      </c>
      <c r="EK179" s="19" t="str">
        <f ca="1"/>
        <v/>
      </c>
      <c r="EL179" s="19" t="str">
        <f ca="1"/>
        <v/>
      </c>
      <c r="EM179" s="19" t="str">
        <f ca="1"/>
        <v/>
      </c>
      <c r="EN179" s="19" t="str">
        <f ca="1"/>
        <v/>
      </c>
      <c r="EO179" s="19" t="str">
        <f ca="1"/>
        <v/>
      </c>
      <c r="EP179" s="19" t="str">
        <f ca="1"/>
        <v/>
      </c>
      <c r="EQ179" s="19" t="str">
        <f ca="1"/>
        <v/>
      </c>
      <c r="ER179" s="19" t="str">
        <f ca="1"/>
        <v/>
      </c>
      <c r="ES179" s="19" t="str">
        <f ca="1"/>
        <v/>
      </c>
      <c r="ET179" s="19" t="str">
        <f ca="1"/>
        <v/>
      </c>
    </row>
    <row r="180" spans="132:150" x14ac:dyDescent="0.2">
      <c r="EB180" s="19" t="str">
        <f ca="1"/>
        <v/>
      </c>
      <c r="EC180" s="19" t="str">
        <f ca="1"/>
        <v/>
      </c>
      <c r="ED180" s="19" t="str">
        <f ca="1"/>
        <v/>
      </c>
      <c r="EE180" s="19" t="str">
        <f ca="1"/>
        <v/>
      </c>
      <c r="EF180" s="19" t="str">
        <f ca="1"/>
        <v/>
      </c>
      <c r="EG180" s="19" t="str">
        <f ca="1"/>
        <v/>
      </c>
      <c r="EH180" s="19" t="str">
        <f ca="1"/>
        <v/>
      </c>
      <c r="EI180" s="19" t="str">
        <f ca="1"/>
        <v/>
      </c>
      <c r="EJ180" s="19" t="str">
        <f ca="1"/>
        <v/>
      </c>
      <c r="EK180" s="19" t="str">
        <f ca="1"/>
        <v/>
      </c>
      <c r="EL180" s="19" t="str">
        <f ca="1"/>
        <v/>
      </c>
      <c r="EM180" s="19" t="str">
        <f ca="1"/>
        <v/>
      </c>
      <c r="EN180" s="19" t="str">
        <f ca="1"/>
        <v/>
      </c>
      <c r="EO180" s="19" t="str">
        <f ca="1"/>
        <v/>
      </c>
      <c r="EP180" s="19" t="str">
        <f ca="1"/>
        <v/>
      </c>
      <c r="EQ180" s="19" t="str">
        <f ca="1"/>
        <v/>
      </c>
      <c r="ER180" s="19" t="str">
        <f ca="1"/>
        <v/>
      </c>
      <c r="ES180" s="19" t="str">
        <f ca="1"/>
        <v/>
      </c>
      <c r="ET180" s="19" t="str">
        <f ca="1"/>
        <v/>
      </c>
    </row>
    <row r="181" spans="132:150" x14ac:dyDescent="0.2">
      <c r="EB181" s="19" t="str">
        <f ca="1"/>
        <v/>
      </c>
      <c r="EC181" s="19" t="str">
        <f ca="1"/>
        <v/>
      </c>
      <c r="ED181" s="19" t="str">
        <f ca="1"/>
        <v/>
      </c>
      <c r="EE181" s="19" t="str">
        <f ca="1"/>
        <v/>
      </c>
      <c r="EF181" s="19" t="str">
        <f ca="1"/>
        <v/>
      </c>
      <c r="EG181" s="19" t="str">
        <f ca="1"/>
        <v/>
      </c>
      <c r="EH181" s="19" t="str">
        <f ca="1"/>
        <v/>
      </c>
      <c r="EI181" s="19" t="str">
        <f ca="1"/>
        <v/>
      </c>
      <c r="EJ181" s="19" t="str">
        <f ca="1"/>
        <v/>
      </c>
      <c r="EK181" s="19" t="str">
        <f ca="1"/>
        <v/>
      </c>
      <c r="EL181" s="19" t="str">
        <f ca="1"/>
        <v/>
      </c>
      <c r="EM181" s="19" t="str">
        <f ca="1"/>
        <v/>
      </c>
      <c r="EN181" s="19" t="str">
        <f ca="1"/>
        <v/>
      </c>
      <c r="EO181" s="19" t="str">
        <f ca="1"/>
        <v/>
      </c>
      <c r="EP181" s="19" t="str">
        <f ca="1"/>
        <v/>
      </c>
      <c r="EQ181" s="19" t="str">
        <f ca="1"/>
        <v/>
      </c>
      <c r="ER181" s="19" t="str">
        <f ca="1"/>
        <v/>
      </c>
      <c r="ES181" s="19" t="str">
        <f ca="1"/>
        <v/>
      </c>
      <c r="ET181" s="19" t="str">
        <f ca="1"/>
        <v/>
      </c>
    </row>
    <row r="182" spans="132:150" x14ac:dyDescent="0.2">
      <c r="EB182" s="19" t="str">
        <f ca="1"/>
        <v/>
      </c>
      <c r="EC182" s="19" t="str">
        <f ca="1"/>
        <v/>
      </c>
      <c r="ED182" s="19" t="str">
        <f ca="1"/>
        <v/>
      </c>
      <c r="EE182" s="19" t="str">
        <f ca="1"/>
        <v/>
      </c>
      <c r="EF182" s="19" t="str">
        <f ca="1"/>
        <v/>
      </c>
      <c r="EG182" s="19" t="str">
        <f ca="1"/>
        <v/>
      </c>
      <c r="EH182" s="19" t="str">
        <f ca="1"/>
        <v/>
      </c>
      <c r="EI182" s="19" t="str">
        <f ca="1"/>
        <v/>
      </c>
      <c r="EJ182" s="19" t="str">
        <f ca="1"/>
        <v/>
      </c>
      <c r="EK182" s="19" t="str">
        <f ca="1"/>
        <v/>
      </c>
      <c r="EL182" s="19" t="str">
        <f ca="1"/>
        <v/>
      </c>
      <c r="EM182" s="19" t="str">
        <f ca="1"/>
        <v/>
      </c>
      <c r="EN182" s="19" t="str">
        <f ca="1"/>
        <v/>
      </c>
      <c r="EO182" s="19" t="str">
        <f ca="1"/>
        <v/>
      </c>
      <c r="EP182" s="19" t="str">
        <f ca="1"/>
        <v/>
      </c>
      <c r="EQ182" s="19" t="str">
        <f ca="1"/>
        <v/>
      </c>
      <c r="ER182" s="19" t="str">
        <f ca="1"/>
        <v/>
      </c>
      <c r="ES182" s="19" t="str">
        <f ca="1"/>
        <v/>
      </c>
      <c r="ET182" s="19" t="str">
        <f ca="1"/>
        <v/>
      </c>
    </row>
    <row r="183" spans="132:150" x14ac:dyDescent="0.2">
      <c r="EB183" s="19" t="str">
        <f ca="1"/>
        <v/>
      </c>
      <c r="EC183" s="19" t="str">
        <f ca="1"/>
        <v/>
      </c>
      <c r="ED183" s="19" t="str">
        <f ca="1"/>
        <v/>
      </c>
      <c r="EE183" s="19" t="str">
        <f ca="1"/>
        <v/>
      </c>
      <c r="EF183" s="19" t="str">
        <f ca="1"/>
        <v/>
      </c>
      <c r="EG183" s="19" t="str">
        <f ca="1"/>
        <v/>
      </c>
      <c r="EH183" s="19" t="str">
        <f ca="1"/>
        <v/>
      </c>
      <c r="EI183" s="19" t="str">
        <f ca="1"/>
        <v/>
      </c>
      <c r="EJ183" s="19" t="str">
        <f ca="1"/>
        <v/>
      </c>
      <c r="EK183" s="19" t="str">
        <f ca="1"/>
        <v/>
      </c>
      <c r="EL183" s="19" t="str">
        <f ca="1"/>
        <v/>
      </c>
      <c r="EM183" s="19" t="str">
        <f ca="1"/>
        <v/>
      </c>
      <c r="EN183" s="19" t="str">
        <f ca="1"/>
        <v/>
      </c>
      <c r="EO183" s="19" t="str">
        <f ca="1"/>
        <v/>
      </c>
      <c r="EP183" s="19" t="str">
        <f ca="1"/>
        <v/>
      </c>
      <c r="EQ183" s="19" t="str">
        <f ca="1"/>
        <v/>
      </c>
      <c r="ER183" s="19" t="str">
        <f ca="1"/>
        <v/>
      </c>
      <c r="ES183" s="19" t="str">
        <f ca="1"/>
        <v/>
      </c>
      <c r="ET183" s="19" t="str">
        <f ca="1"/>
        <v/>
      </c>
    </row>
    <row r="184" spans="132:150" x14ac:dyDescent="0.2">
      <c r="EB184" s="19" t="str">
        <f ca="1"/>
        <v/>
      </c>
      <c r="EC184" s="19" t="str">
        <f ca="1"/>
        <v/>
      </c>
      <c r="ED184" s="19" t="str">
        <f ca="1"/>
        <v/>
      </c>
      <c r="EE184" s="19" t="str">
        <f ca="1"/>
        <v/>
      </c>
      <c r="EF184" s="19" t="str">
        <f ca="1"/>
        <v/>
      </c>
      <c r="EG184" s="19" t="str">
        <f ca="1"/>
        <v/>
      </c>
      <c r="EH184" s="19" t="str">
        <f ca="1"/>
        <v/>
      </c>
      <c r="EI184" s="19" t="str">
        <f ca="1"/>
        <v/>
      </c>
      <c r="EJ184" s="19" t="str">
        <f ca="1"/>
        <v/>
      </c>
      <c r="EK184" s="19">
        <f ca="1"/>
        <v>1</v>
      </c>
      <c r="EL184" s="19" t="str">
        <f ca="1"/>
        <v/>
      </c>
      <c r="EM184" s="19" t="str">
        <f ca="1"/>
        <v/>
      </c>
      <c r="EN184" s="19" t="str">
        <f ca="1"/>
        <v/>
      </c>
      <c r="EO184" s="19" t="str">
        <f ca="1"/>
        <v/>
      </c>
      <c r="EP184" s="19">
        <f ca="1"/>
        <v>1</v>
      </c>
      <c r="EQ184" s="19" t="str">
        <f ca="1"/>
        <v/>
      </c>
      <c r="ER184" s="19" t="str">
        <f ca="1"/>
        <v/>
      </c>
      <c r="ES184" s="19" t="str">
        <f ca="1"/>
        <v/>
      </c>
      <c r="ET184" s="19">
        <f ca="1"/>
        <v>1</v>
      </c>
    </row>
  </sheetData>
  <mergeCells count="13">
    <mergeCell ref="GI1:GI4"/>
    <mergeCell ref="HE1:HE4"/>
    <mergeCell ref="HZ1:HZ4"/>
    <mergeCell ref="IL1:IL4"/>
    <mergeCell ref="IA5:IK5"/>
    <mergeCell ref="EU1:EU4"/>
    <mergeCell ref="FO1:FO4"/>
    <mergeCell ref="S4:AB4"/>
    <mergeCell ref="AE1:AE4"/>
    <mergeCell ref="BI1:BI4"/>
    <mergeCell ref="CM1:CM4"/>
    <mergeCell ref="DG1:DG4"/>
    <mergeCell ref="EA1:EA4"/>
  </mergeCells>
  <phoneticPr fontId="32" type="noConversion"/>
  <conditionalFormatting sqref="IN8:IW12">
    <cfRule type="top10" dxfId="372" priority="352" bottom="1" rank="5"/>
  </conditionalFormatting>
  <conditionalFormatting sqref="IN15:IW15">
    <cfRule type="top10" dxfId="371" priority="347" bottom="1" rank="5"/>
  </conditionalFormatting>
  <conditionalFormatting sqref="IN16:IW16">
    <cfRule type="top10" dxfId="370" priority="346" bottom="1" rank="5"/>
  </conditionalFormatting>
  <conditionalFormatting sqref="IN17:IW17">
    <cfRule type="top10" dxfId="369" priority="345" bottom="1" rank="5"/>
  </conditionalFormatting>
  <conditionalFormatting sqref="IN18:IW18">
    <cfRule type="top10" dxfId="368" priority="344" bottom="1" rank="5"/>
  </conditionalFormatting>
  <conditionalFormatting sqref="IN19:IW19">
    <cfRule type="top10" dxfId="367" priority="343" bottom="1" rank="5"/>
  </conditionalFormatting>
  <conditionalFormatting sqref="IN22:IW22">
    <cfRule type="top10" dxfId="366" priority="342" bottom="1" rank="5"/>
  </conditionalFormatting>
  <conditionalFormatting sqref="IN23:IW23">
    <cfRule type="top10" dxfId="365" priority="341" bottom="1" rank="5"/>
  </conditionalFormatting>
  <conditionalFormatting sqref="IN24:IW24">
    <cfRule type="top10" dxfId="364" priority="340" bottom="1" rank="5"/>
  </conditionalFormatting>
  <conditionalFormatting sqref="IN25:IW25">
    <cfRule type="top10" dxfId="363" priority="339" bottom="1" rank="5"/>
  </conditionalFormatting>
  <conditionalFormatting sqref="IN26:IW26">
    <cfRule type="top10" dxfId="362" priority="338" bottom="1" rank="5"/>
  </conditionalFormatting>
  <conditionalFormatting sqref="IN29:IW29">
    <cfRule type="top10" dxfId="361" priority="337" bottom="1" rank="5"/>
  </conditionalFormatting>
  <conditionalFormatting sqref="IN30:IW30">
    <cfRule type="top10" dxfId="360" priority="336" bottom="1" rank="5"/>
  </conditionalFormatting>
  <conditionalFormatting sqref="IN31:IW31">
    <cfRule type="top10" dxfId="359" priority="335" bottom="1" rank="5"/>
  </conditionalFormatting>
  <conditionalFormatting sqref="IN32:IW32">
    <cfRule type="top10" dxfId="358" priority="334" bottom="1" rank="5"/>
  </conditionalFormatting>
  <conditionalFormatting sqref="IN33:IW33">
    <cfRule type="top10" dxfId="357" priority="333" bottom="1" rank="5"/>
  </conditionalFormatting>
  <conditionalFormatting sqref="IN36:IW36">
    <cfRule type="top10" dxfId="356" priority="332" bottom="1" rank="5"/>
  </conditionalFormatting>
  <conditionalFormatting sqref="IN37:IW37">
    <cfRule type="top10" dxfId="355" priority="331" bottom="1" rank="5"/>
  </conditionalFormatting>
  <conditionalFormatting sqref="IN38:IW38">
    <cfRule type="top10" dxfId="354" priority="330" bottom="1" rank="5"/>
  </conditionalFormatting>
  <conditionalFormatting sqref="IN39:IW39">
    <cfRule type="top10" dxfId="353" priority="329" bottom="1" rank="5"/>
  </conditionalFormatting>
  <conditionalFormatting sqref="IN40:IW40">
    <cfRule type="top10" dxfId="352" priority="328" bottom="1" rank="5"/>
  </conditionalFormatting>
  <conditionalFormatting sqref="IN43:IW43">
    <cfRule type="top10" dxfId="351" priority="327" bottom="1" rank="5"/>
  </conditionalFormatting>
  <conditionalFormatting sqref="IN44:IW44">
    <cfRule type="top10" dxfId="350" priority="326" bottom="1" rank="5"/>
  </conditionalFormatting>
  <conditionalFormatting sqref="IN45:IW45">
    <cfRule type="top10" dxfId="349" priority="325" bottom="1" rank="5"/>
  </conditionalFormatting>
  <conditionalFormatting sqref="IN46:IW46">
    <cfRule type="top10" dxfId="348" priority="324" bottom="1" rank="5"/>
  </conditionalFormatting>
  <conditionalFormatting sqref="IN47:IW47">
    <cfRule type="top10" dxfId="347" priority="323" bottom="1" rank="5"/>
  </conditionalFormatting>
  <conditionalFormatting sqref="IN50:IW50">
    <cfRule type="top10" dxfId="346" priority="322" bottom="1" rank="5"/>
  </conditionalFormatting>
  <conditionalFormatting sqref="IN51:IW51">
    <cfRule type="top10" dxfId="345" priority="321" bottom="1" rank="5"/>
  </conditionalFormatting>
  <conditionalFormatting sqref="IN52:IW52">
    <cfRule type="top10" dxfId="344" priority="320" bottom="1" rank="5"/>
  </conditionalFormatting>
  <conditionalFormatting sqref="IN53:IW53">
    <cfRule type="top10" dxfId="343" priority="319" bottom="1" rank="5"/>
  </conditionalFormatting>
  <conditionalFormatting sqref="IN54:IW54">
    <cfRule type="top10" dxfId="342" priority="318" bottom="1" rank="5"/>
  </conditionalFormatting>
  <conditionalFormatting sqref="IN64:IW64">
    <cfRule type="top10" dxfId="341" priority="317" bottom="1" rank="5"/>
  </conditionalFormatting>
  <conditionalFormatting sqref="IN65:IW65">
    <cfRule type="top10" dxfId="340" priority="316" bottom="1" rank="5"/>
  </conditionalFormatting>
  <conditionalFormatting sqref="IN66:IW66">
    <cfRule type="top10" dxfId="339" priority="315" bottom="1" rank="5"/>
  </conditionalFormatting>
  <conditionalFormatting sqref="IN67:IW67">
    <cfRule type="top10" dxfId="338" priority="314" bottom="1" rank="5"/>
  </conditionalFormatting>
  <conditionalFormatting sqref="IN68:IW68">
    <cfRule type="top10" dxfId="337" priority="313" bottom="1" rank="5"/>
  </conditionalFormatting>
  <conditionalFormatting sqref="IN69:IW69">
    <cfRule type="top10" dxfId="336" priority="312" bottom="1" rank="5"/>
  </conditionalFormatting>
  <conditionalFormatting sqref="IN70:IW70">
    <cfRule type="top10" dxfId="335" priority="311" bottom="1" rank="5"/>
  </conditionalFormatting>
  <conditionalFormatting sqref="IN71:IW71">
    <cfRule type="top10" dxfId="334" priority="310" bottom="1" rank="5"/>
  </conditionalFormatting>
  <conditionalFormatting sqref="IN72:IW72">
    <cfRule type="top10" dxfId="333" priority="309" bottom="1" rank="5"/>
  </conditionalFormatting>
  <conditionalFormatting sqref="IN73:IW73">
    <cfRule type="top10" dxfId="332" priority="308" bottom="1" rank="5"/>
  </conditionalFormatting>
  <conditionalFormatting sqref="IN74:IW74">
    <cfRule type="top10" dxfId="331" priority="307" bottom="1" rank="5"/>
  </conditionalFormatting>
  <conditionalFormatting sqref="IN75:IW75">
    <cfRule type="top10" dxfId="330" priority="306" bottom="1" rank="5"/>
  </conditionalFormatting>
  <conditionalFormatting sqref="IN76:IW76">
    <cfRule type="top10" dxfId="329" priority="305" bottom="1" rank="5"/>
  </conditionalFormatting>
  <conditionalFormatting sqref="IN77:IW77">
    <cfRule type="top10" dxfId="328" priority="304" bottom="1" rank="5"/>
  </conditionalFormatting>
  <conditionalFormatting sqref="IN78:IW78">
    <cfRule type="top10" dxfId="327" priority="303" bottom="1" rank="5"/>
  </conditionalFormatting>
  <conditionalFormatting sqref="IN79:IW79">
    <cfRule type="top10" dxfId="326" priority="302" bottom="1" rank="5"/>
  </conditionalFormatting>
  <conditionalFormatting sqref="IN80:IW80">
    <cfRule type="top10" dxfId="325" priority="301" bottom="1" rank="5"/>
  </conditionalFormatting>
  <conditionalFormatting sqref="IN81:IW81">
    <cfRule type="top10" dxfId="324" priority="300" bottom="1" rank="5"/>
  </conditionalFormatting>
  <conditionalFormatting sqref="IN82:IW82">
    <cfRule type="top10" dxfId="323" priority="299" bottom="1" rank="5"/>
  </conditionalFormatting>
  <conditionalFormatting sqref="IN83:IW83">
    <cfRule type="top10" dxfId="322" priority="298" bottom="1" rank="5"/>
  </conditionalFormatting>
  <conditionalFormatting sqref="IN84:IW84">
    <cfRule type="top10" dxfId="321" priority="297" bottom="1" rank="5"/>
  </conditionalFormatting>
  <conditionalFormatting sqref="IN85:IW85">
    <cfRule type="top10" dxfId="320" priority="296" bottom="1" rank="5"/>
  </conditionalFormatting>
  <conditionalFormatting sqref="IN86:IW86">
    <cfRule type="top10" dxfId="319" priority="295" bottom="1" rank="5"/>
  </conditionalFormatting>
  <conditionalFormatting sqref="H8:Q8">
    <cfRule type="top10" dxfId="318" priority="262" bottom="1" rank="5"/>
  </conditionalFormatting>
  <conditionalFormatting sqref="H47:Q47 H33:Q33">
    <cfRule type="top10" dxfId="317" priority="152" bottom="1" rank="5"/>
  </conditionalFormatting>
  <conditionalFormatting sqref="H54:Q54">
    <cfRule type="top10" dxfId="316" priority="147" bottom="1" rank="5"/>
  </conditionalFormatting>
  <conditionalFormatting sqref="H9:Q9">
    <cfRule type="top10" dxfId="315" priority="91" bottom="1" rank="5"/>
  </conditionalFormatting>
  <conditionalFormatting sqref="H10:Q10">
    <cfRule type="top10" dxfId="314" priority="90" bottom="1" rank="5"/>
  </conditionalFormatting>
  <conditionalFormatting sqref="H11:Q11">
    <cfRule type="top10" dxfId="313" priority="89" bottom="1" rank="5"/>
  </conditionalFormatting>
  <conditionalFormatting sqref="H12:Q12">
    <cfRule type="top10" dxfId="312" priority="88" bottom="1" rank="5"/>
  </conditionalFormatting>
  <conditionalFormatting sqref="H15:Q15">
    <cfRule type="top10" dxfId="311" priority="87" bottom="1" rank="5"/>
  </conditionalFormatting>
  <conditionalFormatting sqref="H16:Q16">
    <cfRule type="top10" dxfId="310" priority="86" bottom="1" rank="5"/>
  </conditionalFormatting>
  <conditionalFormatting sqref="H17:Q17">
    <cfRule type="top10" dxfId="309" priority="85" bottom="1" rank="5"/>
  </conditionalFormatting>
  <conditionalFormatting sqref="H18:Q18">
    <cfRule type="top10" dxfId="308" priority="84" bottom="1" rank="5"/>
  </conditionalFormatting>
  <conditionalFormatting sqref="H19:Q19">
    <cfRule type="top10" dxfId="307" priority="83" bottom="1" rank="5"/>
  </conditionalFormatting>
  <conditionalFormatting sqref="H22:Q22">
    <cfRule type="top10" dxfId="306" priority="82" bottom="1" rank="5"/>
  </conditionalFormatting>
  <conditionalFormatting sqref="H23:Q23">
    <cfRule type="top10" dxfId="305" priority="81" bottom="1" rank="5"/>
  </conditionalFormatting>
  <conditionalFormatting sqref="H24:Q24">
    <cfRule type="top10" dxfId="304" priority="80" bottom="1" rank="5"/>
  </conditionalFormatting>
  <conditionalFormatting sqref="H25:Q25">
    <cfRule type="top10" dxfId="303" priority="79" bottom="1" rank="5"/>
  </conditionalFormatting>
  <conditionalFormatting sqref="H26:Q26">
    <cfRule type="top10" dxfId="302" priority="78" bottom="1" rank="5"/>
  </conditionalFormatting>
  <conditionalFormatting sqref="H29:Q29">
    <cfRule type="top10" dxfId="301" priority="77" bottom="1" rank="5"/>
  </conditionalFormatting>
  <conditionalFormatting sqref="H30:Q30">
    <cfRule type="top10" dxfId="300" priority="76" bottom="1" rank="5"/>
  </conditionalFormatting>
  <conditionalFormatting sqref="H31:Q31">
    <cfRule type="top10" dxfId="299" priority="75" bottom="1" rank="5"/>
  </conditionalFormatting>
  <conditionalFormatting sqref="H32:Q32">
    <cfRule type="top10" dxfId="298" priority="74" bottom="1" rank="5"/>
  </conditionalFormatting>
  <conditionalFormatting sqref="H36:Q36">
    <cfRule type="top10" dxfId="297" priority="73" bottom="1" rank="5"/>
  </conditionalFormatting>
  <conditionalFormatting sqref="H37:Q37">
    <cfRule type="top10" dxfId="296" priority="72" bottom="1" rank="5"/>
  </conditionalFormatting>
  <conditionalFormatting sqref="H38:Q38">
    <cfRule type="top10" dxfId="295" priority="71" bottom="1" rank="5"/>
  </conditionalFormatting>
  <conditionalFormatting sqref="H39:Q39">
    <cfRule type="top10" dxfId="294" priority="70" bottom="1" rank="5"/>
  </conditionalFormatting>
  <conditionalFormatting sqref="H40:Q40">
    <cfRule type="top10" dxfId="293" priority="69" bottom="1" rank="5"/>
  </conditionalFormatting>
  <conditionalFormatting sqref="H43:Q43">
    <cfRule type="top10" dxfId="292" priority="68" bottom="1" rank="5"/>
  </conditionalFormatting>
  <conditionalFormatting sqref="H44:Q44">
    <cfRule type="top10" dxfId="291" priority="67" bottom="1" rank="5"/>
  </conditionalFormatting>
  <conditionalFormatting sqref="H45:Q45">
    <cfRule type="top10" dxfId="290" priority="66" bottom="1" rank="5"/>
  </conditionalFormatting>
  <conditionalFormatting sqref="H46:Q46">
    <cfRule type="top10" dxfId="289" priority="65" bottom="1" rank="5"/>
  </conditionalFormatting>
  <conditionalFormatting sqref="H50:Q50">
    <cfRule type="top10" dxfId="288" priority="64" bottom="1" rank="5"/>
  </conditionalFormatting>
  <conditionalFormatting sqref="H51:Q51">
    <cfRule type="top10" dxfId="287" priority="63" bottom="1" rank="5"/>
  </conditionalFormatting>
  <conditionalFormatting sqref="H52:Q52">
    <cfRule type="top10" dxfId="286" priority="62" bottom="1" rank="5"/>
  </conditionalFormatting>
  <conditionalFormatting sqref="H53:Q53">
    <cfRule type="top10" dxfId="285" priority="61" bottom="1" rank="5"/>
  </conditionalFormatting>
  <conditionalFormatting sqref="H64:Q64">
    <cfRule type="top10" dxfId="284" priority="60" bottom="1" rank="5"/>
  </conditionalFormatting>
  <conditionalFormatting sqref="H65:Q65">
    <cfRule type="top10" dxfId="283" priority="59" bottom="1" rank="5"/>
  </conditionalFormatting>
  <conditionalFormatting sqref="H66:Q66">
    <cfRule type="top10" dxfId="282" priority="58" bottom="1" rank="5"/>
  </conditionalFormatting>
  <conditionalFormatting sqref="H67:Q67">
    <cfRule type="top10" dxfId="281" priority="57" bottom="1" rank="5"/>
  </conditionalFormatting>
  <conditionalFormatting sqref="H68:Q68">
    <cfRule type="top10" dxfId="280" priority="56" bottom="1" rank="5"/>
  </conditionalFormatting>
  <conditionalFormatting sqref="H69:Q69">
    <cfRule type="top10" dxfId="279" priority="55" bottom="1" rank="5"/>
  </conditionalFormatting>
  <conditionalFormatting sqref="H70:Q70">
    <cfRule type="top10" dxfId="278" priority="54" bottom="1" rank="5"/>
  </conditionalFormatting>
  <conditionalFormatting sqref="H71:Q71">
    <cfRule type="top10" dxfId="277" priority="53" bottom="1" rank="5"/>
  </conditionalFormatting>
  <conditionalFormatting sqref="H72:Q72">
    <cfRule type="top10" dxfId="276" priority="52" bottom="1" rank="5"/>
  </conditionalFormatting>
  <conditionalFormatting sqref="H73:Q73">
    <cfRule type="top10" dxfId="275" priority="51" bottom="1" rank="5"/>
  </conditionalFormatting>
  <conditionalFormatting sqref="H74:Q74">
    <cfRule type="top10" dxfId="274" priority="50" bottom="1" rank="5"/>
  </conditionalFormatting>
  <conditionalFormatting sqref="H75:Q75">
    <cfRule type="top10" dxfId="273" priority="49" bottom="1" rank="5"/>
  </conditionalFormatting>
  <conditionalFormatting sqref="H76:Q76">
    <cfRule type="top10" dxfId="272" priority="48" bottom="1" rank="5"/>
  </conditionalFormatting>
  <conditionalFormatting sqref="H77:Q77">
    <cfRule type="top10" dxfId="271" priority="47" bottom="1" rank="5"/>
  </conditionalFormatting>
  <conditionalFormatting sqref="H78:Q78">
    <cfRule type="top10" dxfId="270" priority="46" bottom="1" rank="5"/>
  </conditionalFormatting>
  <conditionalFormatting sqref="H79:Q79">
    <cfRule type="top10" dxfId="269" priority="45" bottom="1" rank="5"/>
  </conditionalFormatting>
  <conditionalFormatting sqref="H80:Q80">
    <cfRule type="top10" dxfId="268" priority="44" bottom="1" rank="5"/>
  </conditionalFormatting>
  <conditionalFormatting sqref="H81:Q81">
    <cfRule type="top10" dxfId="267" priority="43" bottom="1" rank="5"/>
  </conditionalFormatting>
  <conditionalFormatting sqref="H82:Q82">
    <cfRule type="top10" dxfId="266" priority="42" bottom="1" rank="5"/>
  </conditionalFormatting>
  <conditionalFormatting sqref="H83:Q83">
    <cfRule type="top10" dxfId="265" priority="41" bottom="1" rank="5"/>
  </conditionalFormatting>
  <conditionalFormatting sqref="H84:Q84">
    <cfRule type="top10" dxfId="264" priority="40" bottom="1" rank="5"/>
  </conditionalFormatting>
  <conditionalFormatting sqref="H85:Q85">
    <cfRule type="top10" dxfId="263" priority="39" bottom="1" rank="5"/>
  </conditionalFormatting>
  <conditionalFormatting sqref="H86:Q86">
    <cfRule type="top10" dxfId="262" priority="6" bottom="1" rank="5"/>
  </conditionalFormatting>
  <conditionalFormatting sqref="H87:Q87">
    <cfRule type="top10" dxfId="261" priority="5" bottom="1" rank="5"/>
  </conditionalFormatting>
  <conditionalFormatting sqref="H88:Q88">
    <cfRule type="top10" dxfId="260" priority="4" bottom="1" rank="5"/>
  </conditionalFormatting>
  <conditionalFormatting sqref="AP8:BH92">
    <cfRule type="expression" dxfId="259" priority="3">
      <formula>AP8&lt;&gt;0</formula>
    </cfRule>
  </conditionalFormatting>
  <conditionalFormatting sqref="H89:Q89">
    <cfRule type="top10" dxfId="258" priority="2" bottom="1" rank="5"/>
  </conditionalFormatting>
  <conditionalFormatting sqref="H90:Q92">
    <cfRule type="top10" dxfId="257" priority="1" bottom="1" rank="5"/>
  </conditionalFormatting>
  <pageMargins left="0.25" right="0.25" top="0.75" bottom="0.75" header="0.3" footer="0.3"/>
  <pageSetup scale="67" fitToHeight="0" orientation="landscape" r:id="rId1"/>
  <rowBreaks count="1" manualBreakCount="1">
    <brk id="62" max="24" man="1"/>
  </rowBreaks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BW75"/>
  <sheetViews>
    <sheetView workbookViewId="0">
      <selection sqref="A1:AG1"/>
    </sheetView>
  </sheetViews>
  <sheetFormatPr defaultColWidth="9.109375" defaultRowHeight="10.199999999999999" x14ac:dyDescent="0.2"/>
  <cols>
    <col min="1" max="1" width="3.5546875" style="19" customWidth="1"/>
    <col min="2" max="2" width="18.21875" style="18" bestFit="1" customWidth="1"/>
    <col min="3" max="3" width="5" style="18" customWidth="1"/>
    <col min="4" max="4" width="5" style="19" customWidth="1"/>
    <col min="5" max="5" width="1.44140625" style="18" customWidth="1"/>
    <col min="6" max="6" width="3.5546875" style="18" customWidth="1"/>
    <col min="7" max="7" width="18.21875" style="18" bestFit="1" customWidth="1"/>
    <col min="8" max="9" width="5" style="18" customWidth="1"/>
    <col min="10" max="10" width="1.44140625" style="18" customWidth="1"/>
    <col min="11" max="11" width="3.5546875" style="18" customWidth="1"/>
    <col min="12" max="12" width="18.21875" style="18" bestFit="1" customWidth="1"/>
    <col min="13" max="14" width="5" style="18" customWidth="1"/>
    <col min="15" max="15" width="1.44140625" style="18" customWidth="1"/>
    <col min="16" max="16" width="3.5546875" style="18" customWidth="1"/>
    <col min="17" max="17" width="15.77734375" style="18" customWidth="1"/>
    <col min="18" max="19" width="5" style="18" customWidth="1"/>
    <col min="20" max="20" width="1.44140625" style="18" customWidth="1"/>
    <col min="21" max="21" width="3.5546875" style="18" customWidth="1"/>
    <col min="22" max="22" width="15.77734375" style="18" customWidth="1"/>
    <col min="23" max="24" width="5" style="18" customWidth="1"/>
    <col min="25" max="25" width="1.44140625" style="18" customWidth="1"/>
    <col min="26" max="26" width="3.5546875" style="18" customWidth="1"/>
    <col min="27" max="27" width="15" style="18" customWidth="1"/>
    <col min="28" max="28" width="5.77734375" style="18" customWidth="1"/>
    <col min="29" max="29" width="1.44140625" style="18" customWidth="1"/>
    <col min="30" max="30" width="3.5546875" style="18" customWidth="1"/>
    <col min="31" max="31" width="15" style="18" customWidth="1"/>
    <col min="32" max="32" width="5" style="18" customWidth="1"/>
    <col min="33" max="33" width="1.44140625" style="18" customWidth="1"/>
    <col min="34" max="34" width="9.109375" style="18" customWidth="1"/>
    <col min="35" max="75" width="9.109375" style="52"/>
    <col min="76" max="16384" width="9.109375" style="18"/>
  </cols>
  <sheetData>
    <row r="1" spans="1:33" ht="15.6" x14ac:dyDescent="0.3">
      <c r="A1" s="445" t="s">
        <v>78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E1" s="445"/>
      <c r="AF1" s="445"/>
      <c r="AG1" s="445"/>
    </row>
    <row r="2" spans="1:33" ht="15.6" x14ac:dyDescent="0.3">
      <c r="A2" s="445" t="s">
        <v>1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</row>
    <row r="3" spans="1:33" ht="15.6" x14ac:dyDescent="0.3">
      <c r="A3" s="445">
        <v>2025</v>
      </c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  <c r="X3" s="445"/>
      <c r="Y3" s="445"/>
      <c r="Z3" s="445"/>
      <c r="AA3" s="445"/>
      <c r="AB3" s="445"/>
      <c r="AC3" s="445"/>
      <c r="AD3" s="445"/>
      <c r="AE3" s="445"/>
      <c r="AF3" s="445"/>
      <c r="AG3" s="445"/>
    </row>
    <row r="4" spans="1:33" ht="30" customHeight="1" x14ac:dyDescent="0.2">
      <c r="A4" s="444" t="s">
        <v>79</v>
      </c>
      <c r="B4" s="444"/>
      <c r="C4" s="444"/>
      <c r="D4" s="444"/>
      <c r="E4" s="444"/>
      <c r="F4" s="444"/>
      <c r="G4" s="444"/>
      <c r="H4" s="444"/>
      <c r="I4" s="444"/>
      <c r="J4" s="444"/>
      <c r="K4" s="444"/>
      <c r="L4" s="444"/>
      <c r="M4" s="444"/>
      <c r="N4" s="444"/>
      <c r="O4" s="444"/>
      <c r="P4" s="444"/>
      <c r="Q4" s="444"/>
      <c r="R4" s="444"/>
      <c r="S4" s="444"/>
      <c r="T4" s="444"/>
      <c r="U4" s="444"/>
      <c r="V4" s="444"/>
      <c r="W4" s="444"/>
      <c r="X4" s="444"/>
      <c r="Y4" s="444"/>
      <c r="Z4" s="444"/>
      <c r="AA4" s="444"/>
      <c r="AB4" s="444"/>
      <c r="AC4" s="444"/>
      <c r="AD4" s="444"/>
      <c r="AE4" s="444"/>
      <c r="AF4" s="444"/>
      <c r="AG4" s="444"/>
    </row>
    <row r="5" spans="1:33" x14ac:dyDescent="0.2">
      <c r="A5" s="35">
        <v>19</v>
      </c>
      <c r="B5" s="30" t="s">
        <v>80</v>
      </c>
      <c r="C5" s="30"/>
      <c r="D5" s="18"/>
      <c r="G5" s="375" t="s">
        <v>554</v>
      </c>
      <c r="H5" s="30"/>
      <c r="M5" s="30"/>
      <c r="Q5" s="30"/>
      <c r="R5" s="30"/>
      <c r="V5" s="30"/>
      <c r="W5" s="30"/>
    </row>
    <row r="6" spans="1:33" x14ac:dyDescent="0.2">
      <c r="A6" s="19" cm="1">
        <f t="array" aca="1" ref="A6" ca="1">COUNTIF(INDEX(scores,,$A$5),"&gt;0")</f>
        <v>16</v>
      </c>
      <c r="B6" s="30" t="s">
        <v>81</v>
      </c>
      <c r="C6" s="30"/>
      <c r="D6" s="18"/>
      <c r="H6" s="30"/>
      <c r="M6" s="30"/>
      <c r="P6" s="19">
        <f ca="1">COUNT(INDEX(birdies, , A5))</f>
        <v>5</v>
      </c>
      <c r="R6" s="30"/>
      <c r="U6" s="19">
        <f ca="1">COUNT(INDEX(eagles, , A5))</f>
        <v>0</v>
      </c>
      <c r="W6" s="30"/>
      <c r="Z6" s="19">
        <f ca="1">COUNT(INDEX(teamnet, , A5))</f>
        <v>0</v>
      </c>
      <c r="AD6" s="19">
        <f ca="1">COUNT(INDEX(teampts, , A5))</f>
        <v>0</v>
      </c>
    </row>
    <row r="7" spans="1:33" ht="21" customHeight="1" x14ac:dyDescent="0.2">
      <c r="A7" s="31" t="s">
        <v>82</v>
      </c>
      <c r="B7" s="31" t="s">
        <v>83</v>
      </c>
      <c r="C7" s="31" t="s">
        <v>8</v>
      </c>
      <c r="D7" s="60" t="s">
        <v>84</v>
      </c>
      <c r="E7" s="51"/>
      <c r="F7" s="31" t="s">
        <v>82</v>
      </c>
      <c r="G7" s="31" t="s">
        <v>83</v>
      </c>
      <c r="H7" s="31" t="s">
        <v>8</v>
      </c>
      <c r="I7" s="60" t="s">
        <v>85</v>
      </c>
      <c r="J7" s="51"/>
      <c r="K7" s="31" t="s">
        <v>82</v>
      </c>
      <c r="L7" s="31" t="s">
        <v>83</v>
      </c>
      <c r="M7" s="31" t="s">
        <v>8</v>
      </c>
      <c r="N7" s="31" t="s">
        <v>86</v>
      </c>
      <c r="O7" s="51"/>
      <c r="P7" s="31" t="s">
        <v>82</v>
      </c>
      <c r="Q7" s="31" t="s">
        <v>83</v>
      </c>
      <c r="R7" s="31" t="s">
        <v>8</v>
      </c>
      <c r="S7" s="31" t="s">
        <v>87</v>
      </c>
      <c r="T7" s="51"/>
      <c r="U7" s="31" t="s">
        <v>82</v>
      </c>
      <c r="V7" s="31" t="s">
        <v>83</v>
      </c>
      <c r="W7" s="31" t="s">
        <v>8</v>
      </c>
      <c r="X7" s="31" t="s">
        <v>88</v>
      </c>
      <c r="Y7" s="51"/>
      <c r="Z7" s="31" t="s">
        <v>82</v>
      </c>
      <c r="AA7" s="31" t="s">
        <v>8</v>
      </c>
      <c r="AB7" s="60" t="s">
        <v>85</v>
      </c>
      <c r="AC7" s="51"/>
      <c r="AD7" s="31" t="s">
        <v>82</v>
      </c>
      <c r="AE7" s="31" t="s">
        <v>8</v>
      </c>
      <c r="AF7" s="31" t="s">
        <v>86</v>
      </c>
      <c r="AG7" s="51"/>
    </row>
    <row r="8" spans="1:33" x14ac:dyDescent="0.2">
      <c r="A8" s="29">
        <f ca="1">IF(B8="", "", IF(D8&lt;&gt;D7, ROWS(A$7:A7), ""))</f>
        <v>1</v>
      </c>
      <c r="B8" s="18" t="str">
        <f ca="1">IF(D8="","",INDEX(leagueroster, MATCH(SUMPRODUCT(LARGE((INDEX(scores,,$A$5)=D8)*(ids),COUNTIF(INDEX(scores, , $A$5), D8)-COUNTIF(D$8:D8,D8)+1)), INDEX(leagueroster, , 2), 0), 1))</f>
        <v>Kish, Jeff - C</v>
      </c>
      <c r="C8" s="19" t="str">
        <f t="shared" ref="C8:C36" ca="1" si="0">IF(B8="", "", VLOOKUP(B8, leagueroster, 3, FALSE))</f>
        <v>ACE</v>
      </c>
      <c r="D8" s="19">
        <f ca="1">IFERROR(IF(ROWS(D$8:D8)&lt;=$A$6, SMALL(INDEX(scores, , $A$5), COUNTIF(INDEX(scores,,$A$5),0)+ROWS(D8:D$8)), ""),"")</f>
        <v>37</v>
      </c>
      <c r="E8" s="51"/>
      <c r="F8" s="29">
        <f ca="1">IF(G8="", "", IF(I8&lt;&gt;I7, ROWS(F$7:F7), ""))</f>
        <v>1</v>
      </c>
      <c r="G8" s="18" t="str">
        <f ca="1">IF(I8="","",INDEX(leagueroster, MATCH(SUMPRODUCT(LARGE((INDEX(netscores,,$A$5)=I8)*(ids),COUNTIF(INDEX(netscores, , $A$5), I8)-COUNTIF(I$8:I8,I8)+1)), INDEX(leagueroster, , 2), 0), 1))</f>
        <v>Hyde, Scott</v>
      </c>
      <c r="H8" s="19" t="str">
        <f t="shared" ref="H8:H39" ca="1" si="1">IF(G8="", "", VLOOKUP(G8, leagueroster, 3, FALSE))</f>
        <v>MET</v>
      </c>
      <c r="I8" s="19">
        <f ca="1">IFERROR(IF(ROWS(I$8:I8)&lt;=$A$6, SMALL(INDEX(netscores, , $A$5), ROWS(I$8:I8)), ""),"")</f>
        <v>31</v>
      </c>
      <c r="J8" s="51"/>
      <c r="K8" s="29" t="str">
        <f ca="1">IF(L8="", "", IF(N8&lt;&gt;N7, ROWS(K$7:K7), ""))</f>
        <v/>
      </c>
      <c r="L8" s="18" t="str">
        <f ca="1">IF(N8="","",INDEX(leagueroster, MATCH(SUMPRODUCT(LARGE((INDEX(points,,$A$5)=N8)*(ids),COUNTIF(INDEX(points, , $A$5), N8)-COUNTIF(N$8:N8,N8)+1)), INDEX(leagueroster, , 2), 0), 1))</f>
        <v/>
      </c>
      <c r="M8" s="19" t="str">
        <f t="shared" ref="M8:M39" ca="1" si="2">IF(L8="", "", VLOOKUP(L8, leagueroster, 3, FALSE))</f>
        <v/>
      </c>
      <c r="N8" s="19" t="str">
        <f ca="1">IFERROR(IF(ROWS(N$8:N8)&lt;=$A$6+4, LARGE(INDEX(points, , $A$5), ROWS(N$8:N8)), ""),"")</f>
        <v/>
      </c>
      <c r="O8" s="51"/>
      <c r="P8" s="29">
        <f ca="1">IF(Q8="", "", IF(S8&lt;&gt;S7, ROWS(P$7:P7), ""))</f>
        <v>1</v>
      </c>
      <c r="Q8" s="18" t="str">
        <f ca="1">IF(S8="","",INDEX(leagueroster, MATCH(SUMPRODUCT(LARGE((INDEX(birdies,,$A$5)=S8)*(ids),COUNTIF(INDEX(birdies, , $A$5), S8)-COUNTIF(S$8:S8,S8)+1)), INDEX(leagueroster, , 2), 0), 1))</f>
        <v>Bates, Jim</v>
      </c>
      <c r="R8" s="19" t="str">
        <f t="shared" ref="R8:R15" ca="1" si="3">IF(Q8="", "", VLOOKUP(Q8, leagueroster, 3, FALSE))</f>
        <v>ACE</v>
      </c>
      <c r="S8" s="19">
        <f ca="1">IF(ROWS(S$8:S8)&lt;=$P$6, LARGE(INDEX(birdies, , $A$5), ROWS(S$8:S8)), "")</f>
        <v>1</v>
      </c>
      <c r="T8" s="51"/>
      <c r="U8" s="29" t="str">
        <f ca="1">IF(V8="", "", IF(X8&lt;&gt;X7, ROWS(U$7:U7), ""))</f>
        <v/>
      </c>
      <c r="V8" s="18" t="str" cm="1">
        <f t="array" aca="1" ref="V8" ca="1">IF(X8="","",INDEX(leagueroster, MATCH(SUMPRODUCT(LARGE((INDEX(eagles,,$A$5)=X8)*(ids),COUNTIF(INDEX(eagles, , $A$5), X8)-COUNTIF(X$8:X8,X8)+1)), INDEX(leagueroster, , 2), 0), 1))</f>
        <v/>
      </c>
      <c r="W8" s="19" t="str">
        <f ca="1">IF(V8="", "", VLOOKUP(V8, leagueroster, 3, FALSE))</f>
        <v/>
      </c>
      <c r="X8" s="19" t="str">
        <f ca="1">IF(ROWS(X$8:X8)&lt;=$U$6, LARGE(INDEX(eagles, , $A$5), ROWS(X$8:X8)), "")</f>
        <v/>
      </c>
      <c r="Y8" s="51"/>
      <c r="Z8" s="29" t="str">
        <f ca="1">IF(AA8="", "", IF(AB8&lt;&gt;AB7, ROWS(Z$7:Z7), ""))</f>
        <v/>
      </c>
      <c r="AA8" s="18" t="str" cm="1">
        <f t="array" aca="1" ref="AA8" ca="1">IF(AB8="","",INDEX(leagueroster, MATCH(SUMPRODUCT(LARGE((INDEX(teamnet,,$A$5)=AB8)*(ids),COUNTIF(INDEX(teamnet, , $A$5), AB8)-COUNTIF(AB$8:AB8,AB8)+1)), INDEX(leagueroster, , 2), 0), 1))</f>
        <v/>
      </c>
      <c r="AB8" s="59" t="str">
        <f ca="1">IF(ROWS(AB$8:AB8)&lt;=$Z$6, SMALL(INDEX(teamnet, , $A$5), ROWS(AB$8:AB8)), "")</f>
        <v/>
      </c>
      <c r="AC8" s="51"/>
      <c r="AD8" s="29" t="str">
        <f ca="1">IF(AE8="", "", IF(AF8&lt;&gt;AF7, ROWS(AD$7:AD7), ""))</f>
        <v/>
      </c>
      <c r="AE8" s="18" t="str">
        <f ca="1">IF(AF8="","",INDEX(leagueroster, MATCH(SUMPRODUCT(LARGE((INDEX(teampts,,$A$5)=AF8)*(ids),COUNTIF(INDEX(teampts, , $A$5), AF8)-COUNTIF(AF$8:AF8,AF8)+1)), INDEX(leagueroster, , 2), 0), 1))</f>
        <v/>
      </c>
      <c r="AF8" s="19" t="str">
        <f ca="1">IF(ROWS(AF$8:AF8)&lt;=$AD$6, LARGE(INDEX(teampts, , $A$5), ROWS(AF$8:AF8)), "")</f>
        <v/>
      </c>
      <c r="AG8" s="51"/>
    </row>
    <row r="9" spans="1:33" x14ac:dyDescent="0.2">
      <c r="A9" s="29">
        <f ca="1">IF(B9="", "", IF(D9&lt;&gt;D8, ROWS(A$7:A8), ""))</f>
        <v>2</v>
      </c>
      <c r="B9" s="18" t="str">
        <f ca="1">IF(D9="","",INDEX(leagueroster, MATCH(SUMPRODUCT(LARGE((INDEX(scores,,$A$5)=D9)*(ids),COUNTIF(INDEX(scores, , $A$5), D9)-COUNTIF(D$8:D9,D9)+1)), INDEX(leagueroster, , 2), 0), 1))</f>
        <v>Bates, Jim</v>
      </c>
      <c r="C9" s="19" t="str">
        <f t="shared" ca="1" si="0"/>
        <v>ACE</v>
      </c>
      <c r="D9" s="19">
        <f ca="1">IFERROR(IF(ROWS(D$8:D9)&lt;=$A$6, SMALL(INDEX(scores, , $A$5), COUNTIF(INDEX(scores,,$A$5),0)+ROWS(D$8:D9)), ""),"")</f>
        <v>38</v>
      </c>
      <c r="E9" s="51"/>
      <c r="F9" s="29">
        <f ca="1">IF(G9="", "", IF(I9&lt;&gt;I8, ROWS(F$7:F8), ""))</f>
        <v>2</v>
      </c>
      <c r="G9" s="18" t="str">
        <f ca="1">IF(I9="","",INDEX(leagueroster, MATCH(SUMPRODUCT(LARGE((INDEX(netscores,,$A$5)=I9)*(ids),COUNTIF(INDEX(netscores, , $A$5), I9)-COUNTIF(I$8:I9,I9)+1)), INDEX(leagueroster, , 2), 0), 1))</f>
        <v>Lapole, Chris - C - gold tees</v>
      </c>
      <c r="H9" s="19" t="str">
        <f t="shared" ca="1" si="1"/>
        <v>STY</v>
      </c>
      <c r="I9" s="19">
        <f ca="1">IFERROR(IF(ROWS(I$8:I9)&lt;=$A$6, SMALL(INDEX(netscores, , $A$5), ROWS(I$8:I9)), ""),"")</f>
        <v>32</v>
      </c>
      <c r="J9" s="51"/>
      <c r="K9" s="29" t="str">
        <f ca="1">IF(L9="", "", IF(N9&lt;&gt;N8, ROWS(K$7:K8), ""))</f>
        <v/>
      </c>
      <c r="L9" s="18" t="str">
        <f ca="1">IF(N9="","",INDEX(leagueroster, MATCH(SUMPRODUCT(LARGE((INDEX(points,,$A$5)=N9)*(ids),COUNTIF(INDEX(points, , $A$5), N9)-COUNTIF(N$8:N9,N9)+1)), INDEX(leagueroster, , 2), 0), 1))</f>
        <v/>
      </c>
      <c r="M9" s="19" t="str">
        <f t="shared" ca="1" si="2"/>
        <v/>
      </c>
      <c r="N9" s="19" t="str">
        <f ca="1">IFERROR(IF(ROWS(N$8:N9)&lt;=$A$6+4, LARGE(INDEX(points, , $A$5), ROWS(N$8:N9)), ""),"")</f>
        <v/>
      </c>
      <c r="O9" s="51"/>
      <c r="P9" s="29" t="str">
        <f ca="1">IF(Q9="", "", IF(S9&lt;&gt;S8, ROWS(P$7:P8), ""))</f>
        <v/>
      </c>
      <c r="Q9" s="18" t="str">
        <f ca="1">IF(S9="","",INDEX(leagueroster, MATCH(SUMPRODUCT(LARGE((INDEX(birdies,,$A$5)=S9)*(ids),COUNTIF(INDEX(birdies, , $A$5), S9)-COUNTIF(S$8:S9,S9)+1)), INDEX(leagueroster, , 2), 0), 1))</f>
        <v>Hyde, Scott</v>
      </c>
      <c r="R9" s="19" t="str">
        <f t="shared" ca="1" si="3"/>
        <v>MET</v>
      </c>
      <c r="S9" s="19">
        <f ca="1">IF(ROWS(S$8:S9)&lt;=$P$6, LARGE(INDEX(birdies, , $A$5), ROWS(S$8:S9)), "")</f>
        <v>1</v>
      </c>
      <c r="T9" s="51"/>
      <c r="U9" s="29" t="str">
        <f ca="1">IF(V9="", "", IF(X9&lt;&gt;X8, ROWS(U$7:U8), ""))</f>
        <v/>
      </c>
      <c r="V9" s="18" t="str" cm="1">
        <f t="array" aca="1" ref="V9" ca="1">IF(X9="","",INDEX(leagueroster, MATCH(SUMPRODUCT(LARGE((INDEX(eagles,,$A$5)=X9)*(ids),COUNTIF(INDEX(eagles, , $A$5), X9)-COUNTIF(X$8:X9,X9)+1)), INDEX(leagueroster, , 2), 0), 1))</f>
        <v/>
      </c>
      <c r="W9" s="19" t="str">
        <f t="shared" ref="W9:W16" ca="1" si="4">IF(V9="", "", VLOOKUP(V9, leagueroster, 3, FALSE))</f>
        <v/>
      </c>
      <c r="X9" s="19" t="str">
        <f ca="1">IF(ROWS(X$8:X9)&lt;=$U$6, LARGE(INDEX(eagles, , $A$5), ROWS(X$8:X9)), "")</f>
        <v/>
      </c>
      <c r="Y9" s="51"/>
      <c r="Z9" s="29" t="str">
        <f ca="1">IF(AA9="", "", IF(AB9&lt;&gt;AB8, ROWS(Z$7:Z8), ""))</f>
        <v/>
      </c>
      <c r="AA9" s="18" t="str">
        <f ca="1">IF(AB9="","",INDEX(leagueroster, MATCH(SUMPRODUCT(LARGE((INDEX(teamnet,,$A$5)=AB9)*(ids),COUNTIF(INDEX(teamnet, , $A$5), AB9)-COUNTIF(AB$8:AB9,AB9)+1)), INDEX(leagueroster, , 2), 0), 1))</f>
        <v/>
      </c>
      <c r="AB9" s="59" t="str">
        <f ca="1">IF(ROWS(AB$8:AB9)&lt;=$Z$6, SMALL(INDEX(teamnet, , $A$5), ROWS(AB$8:AB9)), "")</f>
        <v/>
      </c>
      <c r="AC9" s="51"/>
      <c r="AD9" s="29" t="str">
        <f ca="1">IF(AE9="", "", IF(AF9&lt;&gt;AF8, ROWS(AD$7:AD8), ""))</f>
        <v/>
      </c>
      <c r="AE9" s="18" t="str">
        <f ca="1">IF(AF9="","",INDEX(leagueroster, MATCH(SUMPRODUCT(LARGE((INDEX(teampts,,$A$5)=AF9)*(ids),COUNTIF(INDEX(teampts, , $A$5), AF9)-COUNTIF(AF$8:AF9,AF9)+1)), INDEX(leagueroster, , 2), 0), 1))</f>
        <v/>
      </c>
      <c r="AF9" s="19" t="str">
        <f ca="1">IF(ROWS(AF$8:AF9)&lt;=$AD$6, LARGE(INDEX(teampts, , $A$5), ROWS(AF$8:AF9)), "")</f>
        <v/>
      </c>
      <c r="AG9" s="51"/>
    </row>
    <row r="10" spans="1:33" x14ac:dyDescent="0.2">
      <c r="A10" s="29">
        <f ca="1">IF(B10="", "", IF(D10&lt;&gt;D9, ROWS(A$7:A9), ""))</f>
        <v>3</v>
      </c>
      <c r="B10" s="18" t="str">
        <f ca="1">IF(D10="","",INDEX(leagueroster, MATCH(SUMPRODUCT(LARGE((INDEX(scores,,$A$5)=D10)*(ids),COUNTIF(INDEX(scores, , $A$5), D10)-COUNTIF(D$8:D10,D10)+1)), INDEX(leagueroster, , 2), 0), 1))</f>
        <v>Hyde, Scott</v>
      </c>
      <c r="C10" s="19" t="str">
        <f t="shared" ca="1" si="0"/>
        <v>MET</v>
      </c>
      <c r="D10" s="19">
        <f ca="1">IFERROR(IF(ROWS(D$8:D10)&lt;=$A$6, SMALL(INDEX(scores, , $A$5), COUNTIF(INDEX(scores,,$A$5),0)+ROWS(D$8:D10)), ""),"")</f>
        <v>39</v>
      </c>
      <c r="E10" s="51"/>
      <c r="F10" s="29">
        <f ca="1">IF(G10="", "", IF(I10&lt;&gt;I9, ROWS(F$7:F9), ""))</f>
        <v>3</v>
      </c>
      <c r="G10" s="18" t="str">
        <f ca="1">IF(I10="","",INDEX(leagueroster, MATCH(SUMPRODUCT(LARGE((INDEX(netscores,,$A$5)=I10)*(ids),COUNTIF(INDEX(netscores, , $A$5), I10)-COUNTIF(I$8:I10,I10)+1)), INDEX(leagueroster, , 2), 0), 1))</f>
        <v>Bates, Jim</v>
      </c>
      <c r="H10" s="19" t="str">
        <f t="shared" ca="1" si="1"/>
        <v>ACE</v>
      </c>
      <c r="I10" s="19">
        <f ca="1">IFERROR(IF(ROWS(I$8:I10)&lt;=$A$6, SMALL(INDEX(netscores, , $A$5), ROWS(I$8:I10)), ""),"")</f>
        <v>33</v>
      </c>
      <c r="J10" s="51"/>
      <c r="K10" s="29" t="str">
        <f ca="1">IF(L10="", "", IF(N10&lt;&gt;N9, ROWS(K$7:K9), ""))</f>
        <v/>
      </c>
      <c r="L10" s="18" t="str">
        <f ca="1">IF(N10="","",INDEX(leagueroster, MATCH(SUMPRODUCT(LARGE((INDEX(points,,$A$5)=N10)*(ids),COUNTIF(INDEX(points, , $A$5), N10)-COUNTIF(N$8:N10,N10)+1)), INDEX(leagueroster, , 2), 0), 1))</f>
        <v/>
      </c>
      <c r="M10" s="19" t="str">
        <f t="shared" ca="1" si="2"/>
        <v/>
      </c>
      <c r="N10" s="19" t="str">
        <f ca="1">IFERROR(IF(ROWS(N$8:N10)&lt;=$A$6+4, LARGE(INDEX(points, , $A$5), ROWS(N$8:N10)), ""),"")</f>
        <v/>
      </c>
      <c r="O10" s="51"/>
      <c r="P10" s="29" t="str">
        <f ca="1">IF(Q10="", "", IF(S10&lt;&gt;S9, ROWS(P$7:P9), ""))</f>
        <v/>
      </c>
      <c r="Q10" s="18" t="str">
        <f ca="1">IF(S10="","",INDEX(leagueroster, MATCH(SUMPRODUCT(LARGE((INDEX(birdies,,$A$5)=S10)*(ids),COUNTIF(INDEX(birdies, , $A$5), S10)-COUNTIF(S$8:S10,S10)+1)), INDEX(leagueroster, , 2), 0), 1))</f>
        <v>Kirkpatrick, Tom - gold tees</v>
      </c>
      <c r="R10" s="19" t="str">
        <f t="shared" ca="1" si="3"/>
        <v>STY</v>
      </c>
      <c r="S10" s="19">
        <f ca="1">IF(ROWS(S$8:S10)&lt;=$P$6, LARGE(INDEX(birdies, , $A$5), ROWS(S$8:S10)), "")</f>
        <v>1</v>
      </c>
      <c r="T10" s="51"/>
      <c r="U10" s="29" t="str">
        <f ca="1">IF(V10="", "", IF(X10&lt;&gt;X9, ROWS(U$7:U9), ""))</f>
        <v/>
      </c>
      <c r="V10" s="18" t="str" cm="1">
        <f t="array" aca="1" ref="V10" ca="1">IF(X10="","",INDEX(leagueroster, MATCH(SUMPRODUCT(LARGE((INDEX(eagles,,$A$5)=X10)*(ids),COUNTIF(INDEX(eagles, , $A$5), X10)-COUNTIF(X$8:X10,X10)+1)), INDEX(leagueroster, , 2), 0), 1))</f>
        <v/>
      </c>
      <c r="W10" s="19" t="str">
        <f t="shared" ca="1" si="4"/>
        <v/>
      </c>
      <c r="X10" s="19" t="str">
        <f ca="1">IF(ROWS(X$8:X10)&lt;=$U$6, LARGE(INDEX(eagles, , $A$5), ROWS(X$8:X10)), "")</f>
        <v/>
      </c>
      <c r="Y10" s="51"/>
      <c r="Z10" s="29" t="str">
        <f ca="1">IF(AA10="", "", IF(AB10&lt;&gt;AB9, ROWS(Z$7:Z9), ""))</f>
        <v/>
      </c>
      <c r="AA10" s="18" t="str">
        <f ca="1">IF(AB10="","",INDEX(leagueroster, MATCH(SUMPRODUCT(LARGE((INDEX(teamnet,,$A$5)=AB10)*(ids),COUNTIF(INDEX(teamnet, , $A$5), AB10)-COUNTIF(AB$8:AB10,AB10)+1)), INDEX(leagueroster, , 2), 0), 1))</f>
        <v/>
      </c>
      <c r="AB10" s="59" t="str">
        <f ca="1">IF(ROWS(AB$8:AB10)&lt;=$Z$6, SMALL(INDEX(teamnet, , $A$5), ROWS(AB$8:AB10)), "")</f>
        <v/>
      </c>
      <c r="AC10" s="51"/>
      <c r="AD10" s="29" t="str">
        <f ca="1">IF(AE10="", "", IF(AF10&lt;&gt;AF9, ROWS(AD$7:AD9), ""))</f>
        <v/>
      </c>
      <c r="AE10" s="18" t="str">
        <f ca="1">IF(AF10="","",INDEX(leagueroster, MATCH(SUMPRODUCT(LARGE((INDEX(teampts,,$A$5)=AF10)*(ids),COUNTIF(INDEX(teampts, , $A$5), AF10)-COUNTIF(AF$8:AF10,AF10)+1)), INDEX(leagueroster, , 2), 0), 1))</f>
        <v/>
      </c>
      <c r="AF10" s="19" t="str">
        <f ca="1">IF(ROWS(AF$8:AF10)&lt;=$AD$6, LARGE(INDEX(teampts, , $A$5), ROWS(AF$8:AF10)), "")</f>
        <v/>
      </c>
      <c r="AG10" s="51"/>
    </row>
    <row r="11" spans="1:33" x14ac:dyDescent="0.2">
      <c r="A11" s="29">
        <f ca="1">IF(B11="", "", IF(D11&lt;&gt;D10, ROWS(A$7:A10), ""))</f>
        <v>4</v>
      </c>
      <c r="B11" s="18" t="str">
        <f ca="1">IF(D11="","",INDEX(leagueroster, MATCH(SUMPRODUCT(LARGE((INDEX(scores,,$A$5)=D11)*(ids),COUNTIF(INDEX(scores, , $A$5), D11)-COUNTIF(D$8:D11,D11)+1)), INDEX(leagueroster, , 2), 0), 1))</f>
        <v>Boyd, Steve</v>
      </c>
      <c r="C11" s="19" t="str">
        <f t="shared" ca="1" si="0"/>
        <v>MET</v>
      </c>
      <c r="D11" s="19">
        <f ca="1">IFERROR(IF(ROWS(D$8:D11)&lt;=$A$6, SMALL(INDEX(scores, , $A$5), COUNTIF(INDEX(scores,,$A$5),0)+ROWS(D$8:D11)), ""),"")</f>
        <v>41</v>
      </c>
      <c r="E11" s="51"/>
      <c r="F11" s="29" t="str">
        <f ca="1">IF(G11="", "", IF(I11&lt;&gt;I10, ROWS(F$7:F10), ""))</f>
        <v/>
      </c>
      <c r="G11" s="18" t="str">
        <f ca="1">IF(I11="","",INDEX(leagueroster, MATCH(SUMPRODUCT(LARGE((INDEX(netscores,,$A$5)=I11)*(ids),COUNTIF(INDEX(netscores, , $A$5), I11)-COUNTIF(I$8:I11,I11)+1)), INDEX(leagueroster, , 2), 0), 1))</f>
        <v>Boyd, Steve</v>
      </c>
      <c r="H11" s="19" t="str">
        <f t="shared" ca="1" si="1"/>
        <v>MET</v>
      </c>
      <c r="I11" s="19">
        <f ca="1">IFERROR(IF(ROWS(I$8:I11)&lt;=$A$6, SMALL(INDEX(netscores, , $A$5), ROWS(I$8:I11)), ""),"")</f>
        <v>33</v>
      </c>
      <c r="J11" s="51"/>
      <c r="K11" s="29" t="str">
        <f ca="1">IF(L11="", "", IF(N11&lt;&gt;N10, ROWS(K$7:K10), ""))</f>
        <v/>
      </c>
      <c r="L11" s="18" t="str">
        <f ca="1">IF(N11="","",INDEX(leagueroster, MATCH(SUMPRODUCT(LARGE((INDEX(points,,$A$5)=N11)*(ids),COUNTIF(INDEX(points, , $A$5), N11)-COUNTIF(N$8:N11,N11)+1)), INDEX(leagueroster, , 2), 0), 1))</f>
        <v/>
      </c>
      <c r="M11" s="19" t="str">
        <f t="shared" ca="1" si="2"/>
        <v/>
      </c>
      <c r="N11" s="19" t="str">
        <f ca="1">IFERROR(IF(ROWS(N$8:N11)&lt;=$A$6+4, LARGE(INDEX(points, , $A$5), ROWS(N$8:N11)), ""),"")</f>
        <v/>
      </c>
      <c r="O11" s="51"/>
      <c r="P11" s="29" t="str">
        <f ca="1">IF(Q11="", "", IF(S11&lt;&gt;S10, ROWS(P$7:P10), ""))</f>
        <v/>
      </c>
      <c r="Q11" s="18" t="str">
        <f ca="1">IF(S11="","",INDEX(leagueroster, MATCH(SUMPRODUCT(LARGE((INDEX(birdies,,$A$5)=S11)*(ids),COUNTIF(INDEX(birdies, , $A$5), S11)-COUNTIF(S$8:S11,S11)+1)), INDEX(leagueroster, , 2), 0), 1))</f>
        <v>Parrish, Charlie</v>
      </c>
      <c r="R11" s="19" t="str">
        <f t="shared" ca="1" si="3"/>
        <v>ACE</v>
      </c>
      <c r="S11" s="19">
        <f ca="1">IF(ROWS(S$8:S11)&lt;=$P$6, LARGE(INDEX(birdies, , $A$5), ROWS(S$8:S11)), "")</f>
        <v>1</v>
      </c>
      <c r="T11" s="51"/>
      <c r="U11" s="29" t="str">
        <f ca="1">IF(V11="", "", IF(X11&lt;&gt;X10, ROWS(U$7:U10), ""))</f>
        <v/>
      </c>
      <c r="V11" s="18" t="str" cm="1">
        <f t="array" aca="1" ref="V11" ca="1">IF(X11="","",INDEX(leagueroster, MATCH(SUMPRODUCT(LARGE((INDEX(eagles,,$A$5)=X11)*(ids),COUNTIF(INDEX(eagles, , $A$5), X11)-COUNTIF(X$8:X11,X11)+1)), INDEX(leagueroster, , 2), 0), 1))</f>
        <v/>
      </c>
      <c r="W11" s="19" t="str">
        <f t="shared" ca="1" si="4"/>
        <v/>
      </c>
      <c r="X11" s="19" t="str">
        <f ca="1">IF(ROWS(X$8:X11)&lt;=$U$6, LARGE(INDEX(eagles, , $A$5), ROWS(X$8:X11)), "")</f>
        <v/>
      </c>
      <c r="Y11" s="51"/>
      <c r="Z11" s="29" t="str">
        <f ca="1">IF(AA11="", "", IF(AB11&lt;&gt;AB10, ROWS(Z$7:Z10), ""))</f>
        <v/>
      </c>
      <c r="AA11" s="18" t="str">
        <f ca="1">IF(AB11="","",INDEX(leagueroster, MATCH(SUMPRODUCT(LARGE((INDEX(teamnet,,$A$5)=AB11)*(ids),COUNTIF(INDEX(teamnet, , $A$5), AB11)-COUNTIF(AB$8:AB11,AB11)+1)), INDEX(leagueroster, , 2), 0), 1))</f>
        <v/>
      </c>
      <c r="AB11" s="59" t="str">
        <f ca="1">IF(ROWS(AB$8:AB11)&lt;=$Z$6, SMALL(INDEX(teamnet, , $A$5), ROWS(AB$8:AB11)), "")</f>
        <v/>
      </c>
      <c r="AC11" s="51"/>
      <c r="AD11" s="29" t="str">
        <f ca="1">IF(AE11="", "", IF(AF11&lt;&gt;AF10, ROWS(AD$7:AD10), ""))</f>
        <v/>
      </c>
      <c r="AE11" s="18" t="str">
        <f ca="1">IF(AF11="","",INDEX(leagueroster, MATCH(SUMPRODUCT(LARGE((INDEX(teampts,,$A$5)=AF11)*(ids),COUNTIF(INDEX(teampts, , $A$5), AF11)-COUNTIF(AF$8:AF11,AF11)+1)), INDEX(leagueroster, , 2), 0), 1))</f>
        <v/>
      </c>
      <c r="AF11" s="19" t="str">
        <f ca="1">IF(ROWS(AF$8:AF11)&lt;=$AD$6, LARGE(INDEX(teampts, , $A$5), ROWS(AF$8:AF11)), "")</f>
        <v/>
      </c>
      <c r="AG11" s="51"/>
    </row>
    <row r="12" spans="1:33" x14ac:dyDescent="0.2">
      <c r="A12" s="29" t="str">
        <f ca="1">IF(B12="", "", IF(D12&lt;&gt;D11, ROWS(A$7:A11), ""))</f>
        <v/>
      </c>
      <c r="B12" s="18" t="str">
        <f ca="1">IF(D12="","",INDEX(leagueroster, MATCH(SUMPRODUCT(LARGE((INDEX(scores,,$A$5)=D12)*(ids),COUNTIF(INDEX(scores, , $A$5), D12)-COUNTIF(D$8:D12,D12)+1)), INDEX(leagueroster, , 2), 0), 1))</f>
        <v>Parrish, Charlie</v>
      </c>
      <c r="C12" s="19" t="str">
        <f t="shared" ca="1" si="0"/>
        <v>ACE</v>
      </c>
      <c r="D12" s="19">
        <f ca="1">IFERROR(IF(ROWS(D$8:D12)&lt;=$A$6, SMALL(INDEX(scores, , $A$5), COUNTIF(INDEX(scores,,$A$5),0)+ROWS(D$8:D12)), ""),"")</f>
        <v>41</v>
      </c>
      <c r="E12" s="51"/>
      <c r="F12" s="29">
        <f ca="1">IF(G12="", "", IF(I12&lt;&gt;I11, ROWS(F$7:F11), ""))</f>
        <v>5</v>
      </c>
      <c r="G12" s="18" t="str">
        <f ca="1">IF(I12="","",INDEX(leagueroster, MATCH(SUMPRODUCT(LARGE((INDEX(netscores,,$A$5)=I12)*(ids),COUNTIF(INDEX(netscores, , $A$5), I12)-COUNTIF(I$8:I12,I12)+1)), INDEX(leagueroster, , 2), 0), 1))</f>
        <v>Kirkpatrick, Tom - gold tees</v>
      </c>
      <c r="H12" s="19" t="str">
        <f t="shared" ca="1" si="1"/>
        <v>STY</v>
      </c>
      <c r="I12" s="19">
        <f ca="1">IFERROR(IF(ROWS(I$8:I12)&lt;=$A$6, SMALL(INDEX(netscores, , $A$5), ROWS(I$8:I12)), ""),"")</f>
        <v>34</v>
      </c>
      <c r="J12" s="51"/>
      <c r="K12" s="29" t="str">
        <f ca="1">IF(L12="", "", IF(N12&lt;&gt;N11, ROWS(K$7:K11), ""))</f>
        <v/>
      </c>
      <c r="L12" s="18" t="str">
        <f ca="1">IF(N12="","",INDEX(leagueroster, MATCH(SUMPRODUCT(LARGE((INDEX(points,,$A$5)=N12)*(ids),COUNTIF(INDEX(points, , $A$5), N12)-COUNTIF(N$8:N12,N12)+1)), INDEX(leagueroster, , 2), 0), 1))</f>
        <v/>
      </c>
      <c r="M12" s="19" t="str">
        <f t="shared" ca="1" si="2"/>
        <v/>
      </c>
      <c r="N12" s="19" t="str">
        <f ca="1">IFERROR(IF(ROWS(N$8:N12)&lt;=$A$6+4, LARGE(INDEX(points, , $A$5), ROWS(N$8:N12)), ""),"")</f>
        <v/>
      </c>
      <c r="O12" s="51"/>
      <c r="P12" s="29" t="str">
        <f ca="1">IF(Q12="", "", IF(S12&lt;&gt;S11, ROWS(P$7:P11), ""))</f>
        <v/>
      </c>
      <c r="Q12" s="18" t="str">
        <f ca="1">IF(S12="","",INDEX(leagueroster, MATCH(SUMPRODUCT(LARGE((INDEX(birdies,,$A$5)=S12)*(ids),COUNTIF(INDEX(birdies, , $A$5), S12)-COUNTIF(S$8:S12,S12)+1)), INDEX(leagueroster, , 2), 0), 1))</f>
        <v>Yackley, Jeff</v>
      </c>
      <c r="R12" s="19" t="str">
        <f t="shared" ca="1" si="3"/>
        <v>SUBS</v>
      </c>
      <c r="S12" s="19">
        <f ca="1">IF(ROWS(S$8:S12)&lt;=$P$6, LARGE(INDEX(birdies, , $A$5), ROWS(S$8:S12)), "")</f>
        <v>1</v>
      </c>
      <c r="T12" s="51"/>
      <c r="U12" s="29" t="str">
        <f ca="1">IF(V12="", "", IF(X12&lt;&gt;X11, ROWS(U$7:U11), ""))</f>
        <v/>
      </c>
      <c r="V12" s="18" t="str" cm="1">
        <f t="array" aca="1" ref="V12" ca="1">IF(X12="","",INDEX(leagueroster, MATCH(SUMPRODUCT(LARGE((INDEX(eagles,,$A$5)=X12)*(ids),COUNTIF(INDEX(eagles, , $A$5), X12)-COUNTIF(X$8:X12,X12)+1)), INDEX(leagueroster, , 2), 0), 1))</f>
        <v/>
      </c>
      <c r="W12" s="19" t="str">
        <f t="shared" ca="1" si="4"/>
        <v/>
      </c>
      <c r="X12" s="19" t="str">
        <f ca="1">IF(ROWS(X$8:X12)&lt;=$U$6, LARGE(INDEX(eagles, , $A$5), ROWS(X$8:X12)), "")</f>
        <v/>
      </c>
      <c r="Y12" s="51"/>
      <c r="Z12" s="29" t="str">
        <f ca="1">IF(AA12="", "", IF(AB12&lt;&gt;AB11, ROWS(Z$7:Z11), ""))</f>
        <v/>
      </c>
      <c r="AA12" s="18" t="str">
        <f ca="1">IF(AB12="","",INDEX(leagueroster, MATCH(SUMPRODUCT(LARGE((INDEX(teamnet,,$A$5)=AB12)*(ids),COUNTIF(INDEX(teamnet, , $A$5), AB12)-COUNTIF(AB$8:AB12,AB12)+1)), INDEX(leagueroster, , 2), 0), 1))</f>
        <v/>
      </c>
      <c r="AB12" s="59" t="str">
        <f ca="1">IF(ROWS(AB$8:AB12)&lt;=$Z$6, SMALL(INDEX(teamnet, , $A$5), ROWS(AB$8:AB12)), "")</f>
        <v/>
      </c>
      <c r="AC12" s="51"/>
      <c r="AD12" s="29" t="str">
        <f ca="1">IF(AE12="", "", IF(AF12&lt;&gt;AF11, ROWS(AD$7:AD11), ""))</f>
        <v/>
      </c>
      <c r="AE12" s="18" t="str">
        <f ca="1">IF(AF12="","",INDEX(leagueroster, MATCH(SUMPRODUCT(LARGE((INDEX(teampts,,$A$5)=AF12)*(ids),COUNTIF(INDEX(teampts, , $A$5), AF12)-COUNTIF(AF$8:AF12,AF12)+1)), INDEX(leagueroster, , 2), 0), 1))</f>
        <v/>
      </c>
      <c r="AF12" s="19" t="str">
        <f ca="1">IF(ROWS(AF$8:AF12)&lt;=$AD$6, LARGE(INDEX(teampts, , $A$5), ROWS(AF$8:AF12)), "")</f>
        <v/>
      </c>
      <c r="AG12" s="51"/>
    </row>
    <row r="13" spans="1:33" x14ac:dyDescent="0.2">
      <c r="A13" s="29">
        <f ca="1">IF(B13="", "", IF(D13&lt;&gt;D12, ROWS(A$7:A12), ""))</f>
        <v>6</v>
      </c>
      <c r="B13" s="18" t="str">
        <f ca="1">IF(D13="","",INDEX(leagueroster, MATCH(SUMPRODUCT(LARGE((INDEX(scores,,$A$5)=D13)*(ids),COUNTIF(INDEX(scores, , $A$5), D13)-COUNTIF(D$8:D13,D13)+1)), INDEX(leagueroster, , 2), 0), 1))</f>
        <v>Culver, Chuck</v>
      </c>
      <c r="C13" s="19" t="str">
        <f t="shared" ca="1" si="0"/>
        <v>MET</v>
      </c>
      <c r="D13" s="19">
        <f ca="1">IFERROR(IF(ROWS(D$8:D13)&lt;=$A$6, SMALL(INDEX(scores, , $A$5), COUNTIF(INDEX(scores,,$A$5),0)+ROWS(D$8:D13)), ""),"")</f>
        <v>43</v>
      </c>
      <c r="E13" s="51"/>
      <c r="F13" s="29" t="str">
        <f ca="1">IF(G13="", "", IF(I13&lt;&gt;I12, ROWS(F$7:F12), ""))</f>
        <v/>
      </c>
      <c r="G13" s="18" t="str">
        <f ca="1">IF(I13="","",INDEX(leagueroster, MATCH(SUMPRODUCT(LARGE((INDEX(netscores,,$A$5)=I13)*(ids),COUNTIF(INDEX(netscores, , $A$5), I13)-COUNTIF(I$8:I13,I13)+1)), INDEX(leagueroster, , 2), 0), 1))</f>
        <v>Kish, Jeff - C</v>
      </c>
      <c r="H13" s="19" t="str">
        <f t="shared" ca="1" si="1"/>
        <v>ACE</v>
      </c>
      <c r="I13" s="19">
        <f ca="1">IFERROR(IF(ROWS(I$8:I13)&lt;=$A$6, SMALL(INDEX(netscores, , $A$5), ROWS(I$8:I13)), ""),"")</f>
        <v>34</v>
      </c>
      <c r="J13" s="51"/>
      <c r="K13" s="29" t="str">
        <f ca="1">IF(L13="", "", IF(N13&lt;&gt;N12, ROWS(K$7:K12), ""))</f>
        <v/>
      </c>
      <c r="L13" s="18" t="str">
        <f ca="1">IF(N13="","",INDEX(leagueroster, MATCH(SUMPRODUCT(LARGE((INDEX(points,,$A$5)=N13)*(ids),COUNTIF(INDEX(points, , $A$5), N13)-COUNTIF(N$8:N13,N13)+1)), INDEX(leagueroster, , 2), 0), 1))</f>
        <v/>
      </c>
      <c r="M13" s="19" t="str">
        <f t="shared" ca="1" si="2"/>
        <v/>
      </c>
      <c r="N13" s="19" t="str">
        <f ca="1">IFERROR(IF(ROWS(N$8:N13)&lt;=$A$6+4, LARGE(INDEX(points, , $A$5), ROWS(N$8:N13)), ""),"")</f>
        <v/>
      </c>
      <c r="O13" s="51"/>
      <c r="P13" s="29" t="str">
        <f ca="1">IF(Q13="", "", IF(S13&lt;&gt;S12, ROWS(P$7:P12), ""))</f>
        <v/>
      </c>
      <c r="Q13" s="18" t="str">
        <f ca="1">IF(S13="","",INDEX(leagueroster, MATCH(SUMPRODUCT(LARGE((INDEX(birdies,,$A$5)=S13)*(ids),COUNTIF(INDEX(birdies, , $A$5), S13)-COUNTIF(S$8:S13,S13)+1)), INDEX(leagueroster, , 2), 0), 1))</f>
        <v/>
      </c>
      <c r="R13" s="19" t="str">
        <f t="shared" ca="1" si="3"/>
        <v/>
      </c>
      <c r="S13" s="19" t="str">
        <f ca="1">IF(ROWS(S$8:S13)&lt;=$P$6, LARGE(INDEX(birdies, , $A$5), ROWS(S$8:S13)), "")</f>
        <v/>
      </c>
      <c r="T13" s="51"/>
      <c r="U13" s="29" t="str">
        <f ca="1">IF(V13="", "", IF(X13&lt;&gt;X12, ROWS(U$7:U12), ""))</f>
        <v/>
      </c>
      <c r="V13" s="18" t="str" cm="1">
        <f t="array" aca="1" ref="V13" ca="1">IF(X13="","",INDEX(leagueroster, MATCH(SUMPRODUCT(LARGE((INDEX(eagles,,$A$5)=X13)*(ids),COUNTIF(INDEX(eagles, , $A$5), X13)-COUNTIF(X$8:X13,X13)+1)), INDEX(leagueroster, , 2), 0), 1))</f>
        <v/>
      </c>
      <c r="W13" s="19" t="str">
        <f t="shared" ca="1" si="4"/>
        <v/>
      </c>
      <c r="X13" s="19" t="str">
        <f ca="1">IF(ROWS(X$8:X13)&lt;=$U$6, LARGE(INDEX(eagles, , $A$5), ROWS(X$8:X13)), "")</f>
        <v/>
      </c>
      <c r="Y13" s="51"/>
      <c r="Z13" s="29" t="str">
        <f ca="1">IF(AA13="", "", IF(AB13&lt;&gt;AB12, ROWS(Z$7:Z12), ""))</f>
        <v/>
      </c>
      <c r="AA13" s="18" t="str">
        <f ca="1">IF(AB13="","",INDEX(leagueroster, MATCH(SUMPRODUCT(LARGE((INDEX(teamnet,,$A$5)=AB13)*(ids),COUNTIF(INDEX(teamnet, , $A$5), AB13)-COUNTIF(AB$8:AB13,AB13)+1)), INDEX(leagueroster, , 2), 0), 1))</f>
        <v/>
      </c>
      <c r="AB13" s="59" t="str">
        <f ca="1">IF(ROWS(AB$8:AB13)&lt;=$Z$6, SMALL(INDEX(teamnet, , $A$5), ROWS(AB$8:AB13)), "")</f>
        <v/>
      </c>
      <c r="AC13" s="51"/>
      <c r="AD13" s="29" t="str">
        <f ca="1">IF(AE13="", "", IF(AF13&lt;&gt;AF12, ROWS(AD$7:AD12), ""))</f>
        <v/>
      </c>
      <c r="AE13" s="18" t="str">
        <f ca="1">IF(AF13="","",INDEX(leagueroster, MATCH(SUMPRODUCT(LARGE((INDEX(teampts,,$A$5)=AF13)*(ids),COUNTIF(INDEX(teampts, , $A$5), AF13)-COUNTIF(AF$8:AF13,AF13)+1)), INDEX(leagueroster, , 2), 0), 1))</f>
        <v/>
      </c>
      <c r="AF13" s="19" t="str">
        <f ca="1">IF(ROWS(AF$8:AF13)&lt;=$AD$6, LARGE(INDEX(teampts, , $A$5), ROWS(AF$8:AF13)), "")</f>
        <v/>
      </c>
      <c r="AG13" s="51"/>
    </row>
    <row r="14" spans="1:33" x14ac:dyDescent="0.2">
      <c r="A14" s="29">
        <f ca="1">IF(B14="", "", IF(D14&lt;&gt;D13, ROWS(A$7:A13), ""))</f>
        <v>7</v>
      </c>
      <c r="B14" s="18" t="str">
        <f ca="1">IF(D14="","",INDEX(leagueroster, MATCH(SUMPRODUCT(LARGE((INDEX(scores,,$A$5)=D14)*(ids),COUNTIF(INDEX(scores, , $A$5), D14)-COUNTIF(D$8:D14,D14)+1)), INDEX(leagueroster, , 2), 0), 1))</f>
        <v>Yackley, Jeff</v>
      </c>
      <c r="C14" s="19" t="str">
        <f t="shared" ca="1" si="0"/>
        <v>SUBS</v>
      </c>
      <c r="D14" s="19">
        <f ca="1">IFERROR(IF(ROWS(D$8:D14)&lt;=$A$6, SMALL(INDEX(scores, , $A$5), COUNTIF(INDEX(scores,,$A$5),0)+ROWS(D$8:D14)), ""),"")</f>
        <v>46</v>
      </c>
      <c r="E14" s="51"/>
      <c r="F14" s="29">
        <f ca="1">IF(G14="", "", IF(I14&lt;&gt;I13, ROWS(F$7:F13), ""))</f>
        <v>7</v>
      </c>
      <c r="G14" s="18" t="str">
        <f ca="1">IF(I14="","",INDEX(leagueroster, MATCH(SUMPRODUCT(LARGE((INDEX(netscores,,$A$5)=I14)*(ids),COUNTIF(INDEX(netscores, , $A$5), I14)-COUNTIF(I$8:I14,I14)+1)), INDEX(leagueroster, , 2), 0), 1))</f>
        <v>Hawkins, Rick - C</v>
      </c>
      <c r="H14" s="19" t="str">
        <f t="shared" ca="1" si="1"/>
        <v>MMC</v>
      </c>
      <c r="I14" s="19">
        <f ca="1">IFERROR(IF(ROWS(I$8:I14)&lt;=$A$6, SMALL(INDEX(netscores, , $A$5), ROWS(I$8:I14)), ""),"")</f>
        <v>35</v>
      </c>
      <c r="J14" s="51"/>
      <c r="K14" s="29" t="str">
        <f ca="1">IF(L14="", "", IF(N14&lt;&gt;N13, ROWS(K$7:K13), ""))</f>
        <v/>
      </c>
      <c r="L14" s="18" t="str">
        <f ca="1">IF(N14="","",INDEX(leagueroster, MATCH(SUMPRODUCT(LARGE((INDEX(points,,$A$5)=N14)*(ids),COUNTIF(INDEX(points, , $A$5), N14)-COUNTIF(N$8:N14,N14)+1)), INDEX(leagueroster, , 2), 0), 1))</f>
        <v/>
      </c>
      <c r="M14" s="19" t="str">
        <f t="shared" ca="1" si="2"/>
        <v/>
      </c>
      <c r="N14" s="19" t="str">
        <f ca="1">IFERROR(IF(ROWS(N$8:N14)&lt;=$A$6+4, LARGE(INDEX(points, , $A$5), ROWS(N$8:N14)), ""),"")</f>
        <v/>
      </c>
      <c r="O14" s="51"/>
      <c r="P14" s="29" t="str">
        <f ca="1">IF(Q14="", "", IF(S14&lt;&gt;S13, ROWS(P$7:P13), ""))</f>
        <v/>
      </c>
      <c r="Q14" s="18" t="str">
        <f ca="1">IF(S14="","",INDEX(leagueroster, MATCH(SUMPRODUCT(LARGE((INDEX(birdies,,$A$5)=S14)*(ids),COUNTIF(INDEX(birdies, , $A$5), S14)-COUNTIF(S$8:S14,S14)+1)), INDEX(leagueroster, , 2), 0), 1))</f>
        <v/>
      </c>
      <c r="R14" s="19" t="str">
        <f t="shared" ca="1" si="3"/>
        <v/>
      </c>
      <c r="S14" s="19" t="str">
        <f ca="1">IF(ROWS(S$8:S14)&lt;=$P$6, LARGE(INDEX(birdies, , $A$5), ROWS(S$8:S14)), "")</f>
        <v/>
      </c>
      <c r="T14" s="51"/>
      <c r="U14" s="29" t="str">
        <f ca="1">IF(V14="", "", IF(X14&lt;&gt;X13, ROWS(U$7:U13), ""))</f>
        <v/>
      </c>
      <c r="V14" s="18" t="str" cm="1">
        <f t="array" aca="1" ref="V14" ca="1">IF(X14="","",INDEX(leagueroster, MATCH(SUMPRODUCT(LARGE((INDEX(eagles,,$A$5)=X14)*(ids),COUNTIF(INDEX(eagles, , $A$5), X14)-COUNTIF(X$8:X14,X14)+1)), INDEX(leagueroster, , 2), 0), 1))</f>
        <v/>
      </c>
      <c r="W14" s="19" t="str">
        <f t="shared" ca="1" si="4"/>
        <v/>
      </c>
      <c r="X14" s="19" t="str">
        <f ca="1">IF(ROWS(X$8:X14)&lt;=$U$6, LARGE(INDEX(eagles, , $A$5), ROWS(X$8:X14)), "")</f>
        <v/>
      </c>
      <c r="Y14" s="51"/>
      <c r="Z14" s="29" t="str">
        <f ca="1">IF(AA14="", "", IF(AB14&lt;&gt;AB13, ROWS(Z$7:Z13), ""))</f>
        <v/>
      </c>
      <c r="AA14" s="18" t="str">
        <f ca="1">IF(AB14="","",INDEX(leagueroster, MATCH(SUMPRODUCT(LARGE((INDEX(teamnet,,$A$5)=AB14)*(ids),COUNTIF(INDEX(teamnet, , $A$5), AB14)-COUNTIF(AB$8:AB14,AB14)+1)), INDEX(leagueroster, , 2), 0), 1))</f>
        <v/>
      </c>
      <c r="AB14" s="59" t="str">
        <f ca="1">IF(ROWS(AB$8:AB14)&lt;=$Z$6, SMALL(INDEX(teamnet, , $A$5), ROWS(AB$8:AB14)), "")</f>
        <v/>
      </c>
      <c r="AC14" s="51"/>
      <c r="AD14" s="29" t="str">
        <f ca="1">IF(AE14="", "", IF(AF14&lt;&gt;AF13, ROWS(AD$7:AD13), ""))</f>
        <v/>
      </c>
      <c r="AE14" s="18" t="str">
        <f ca="1">IF(AF14="","",INDEX(leagueroster, MATCH(SUMPRODUCT(LARGE((INDEX(teampts,,$A$5)=AF14)*(ids),COUNTIF(INDEX(teampts, , $A$5), AF14)-COUNTIF(AF$8:AF14,AF14)+1)), INDEX(leagueroster, , 2), 0), 1))</f>
        <v/>
      </c>
      <c r="AF14" s="19" t="str">
        <f ca="1">IF(ROWS(AF$8:AF14)&lt;=$AD$6, LARGE(INDEX(teampts, , $A$5), ROWS(AF$8:AF14)), "")</f>
        <v/>
      </c>
      <c r="AG14" s="51"/>
    </row>
    <row r="15" spans="1:33" x14ac:dyDescent="0.2">
      <c r="A15" s="29">
        <f ca="1">IF(B15="", "", IF(D15&lt;&gt;D14, ROWS(A$7:A14), ""))</f>
        <v>8</v>
      </c>
      <c r="B15" s="18" t="str">
        <f ca="1">IF(D15="","",INDEX(leagueroster, MATCH(SUMPRODUCT(LARGE((INDEX(scores,,$A$5)=D15)*(ids),COUNTIF(INDEX(scores, , $A$5), D15)-COUNTIF(D$8:D15,D15)+1)), INDEX(leagueroster, , 2), 0), 1))</f>
        <v>Kirkpatrick, Tom - gold tees</v>
      </c>
      <c r="C15" s="19" t="str">
        <f t="shared" ca="1" si="0"/>
        <v>STY</v>
      </c>
      <c r="D15" s="19">
        <f ca="1">IFERROR(IF(ROWS(D$8:D15)&lt;=$A$6, SMALL(INDEX(scores, , $A$5), COUNTIF(INDEX(scores,,$A$5),0)+ROWS(D$8:D15)), ""),"")</f>
        <v>49</v>
      </c>
      <c r="E15" s="51"/>
      <c r="F15" s="29">
        <f ca="1">IF(G15="", "", IF(I15&lt;&gt;I14, ROWS(F$7:F14), ""))</f>
        <v>8</v>
      </c>
      <c r="G15" s="18" t="str">
        <f ca="1">IF(I15="","",INDEX(leagueroster, MATCH(SUMPRODUCT(LARGE((INDEX(netscores,,$A$5)=I15)*(ids),COUNTIF(INDEX(netscores, , $A$5), I15)-COUNTIF(I$8:I15,I15)+1)), INDEX(leagueroster, , 2), 0), 1))</f>
        <v>Avery, Mike - gold tees</v>
      </c>
      <c r="H15" s="19" t="str">
        <f t="shared" ca="1" si="1"/>
        <v>ACE</v>
      </c>
      <c r="I15" s="19">
        <f ca="1">IFERROR(IF(ROWS(I$8:I15)&lt;=$A$6, SMALL(INDEX(netscores, , $A$5), ROWS(I$8:I15)), ""),"")</f>
        <v>36</v>
      </c>
      <c r="J15" s="51"/>
      <c r="K15" s="29" t="str">
        <f ca="1">IF(L15="", "", IF(N15&lt;&gt;N14, ROWS(K$7:K14), ""))</f>
        <v/>
      </c>
      <c r="L15" s="18" t="str">
        <f ca="1">IF(N15="","",INDEX(leagueroster, MATCH(SUMPRODUCT(LARGE((INDEX(points,,$A$5)=N15)*(ids),COUNTIF(INDEX(points, , $A$5), N15)-COUNTIF(N$8:N15,N15)+1)), INDEX(leagueroster, , 2), 0), 1))</f>
        <v/>
      </c>
      <c r="M15" s="19" t="str">
        <f t="shared" ca="1" si="2"/>
        <v/>
      </c>
      <c r="N15" s="19" t="str">
        <f ca="1">IFERROR(IF(ROWS(N$8:N15)&lt;=$A$6+4, LARGE(INDEX(points, , $A$5), ROWS(N$8:N15)), ""),"")</f>
        <v/>
      </c>
      <c r="O15" s="51"/>
      <c r="P15" s="29" t="str">
        <f ca="1">IF(Q15="", "", IF(S15&lt;&gt;S14, ROWS(P$7:P14), ""))</f>
        <v/>
      </c>
      <c r="Q15" s="18" t="str">
        <f ca="1">IF(S15="","",INDEX(leagueroster, MATCH(SUMPRODUCT(LARGE((INDEX(birdies,,$A$5)=S15)*(ids),COUNTIF(INDEX(birdies, , $A$5), S15)-COUNTIF(S$8:S15,S15)+1)), INDEX(leagueroster, , 2), 0), 1))</f>
        <v/>
      </c>
      <c r="R15" s="19" t="str">
        <f t="shared" ca="1" si="3"/>
        <v/>
      </c>
      <c r="S15" s="19" t="str">
        <f ca="1">IF(ROWS(S$8:S15)&lt;=$P$6, LARGE(INDEX(birdies, , $A$5), ROWS(S$8:S15)), "")</f>
        <v/>
      </c>
      <c r="T15" s="51"/>
      <c r="U15" s="29" t="str">
        <f ca="1">IF(V15="", "", IF(X15&lt;&gt;X14, ROWS(U$7:U14), ""))</f>
        <v/>
      </c>
      <c r="V15" s="18" t="str" cm="1">
        <f t="array" aca="1" ref="V15" ca="1">IF(X15="","",INDEX(leagueroster, MATCH(SUMPRODUCT(LARGE((INDEX(eagles,,$A$5)=X15)*(ids),COUNTIF(INDEX(eagles, , $A$5), X15)-COUNTIF(X$8:X15,X15)+1)), INDEX(leagueroster, , 2), 0), 1))</f>
        <v/>
      </c>
      <c r="W15" s="19" t="str">
        <f t="shared" ca="1" si="4"/>
        <v/>
      </c>
      <c r="X15" s="19" t="str">
        <f ca="1">IF(ROWS(X$8:X15)&lt;=$U$6, LARGE(INDEX(eagles, , $A$5), ROWS(X$8:X15)), "")</f>
        <v/>
      </c>
      <c r="Y15" s="51"/>
      <c r="Z15" s="29" t="str">
        <f ca="1">IF(AA15="", "", IF(AB15&lt;&gt;AB14, ROWS(Z$7:Z14), ""))</f>
        <v/>
      </c>
      <c r="AA15" s="18" t="str">
        <f ca="1">IF(AB15="","",INDEX(leagueroster, MATCH(SUMPRODUCT(LARGE((INDEX(teamnet,,$A$5)=AB15)*(ids),COUNTIF(INDEX(teamnet, , $A$5), AB15)-COUNTIF(AB$8:AB15,AB15)+1)), INDEX(leagueroster, , 2), 0), 1))</f>
        <v/>
      </c>
      <c r="AB15" s="59" t="str">
        <f ca="1">IF(ROWS(AB$8:AB15)&lt;=$Z$6, SMALL(INDEX(teamnet, , $A$5), ROWS(AB$8:AB15)), "")</f>
        <v/>
      </c>
      <c r="AC15" s="51"/>
      <c r="AD15" s="29" t="str">
        <f ca="1">IF(AE15="", "", IF(AF15&lt;&gt;AF14, ROWS(AD$7:AD14), ""))</f>
        <v/>
      </c>
      <c r="AE15" s="18" t="str">
        <f ca="1">IF(AF15="","",INDEX(leagueroster, MATCH(SUMPRODUCT(LARGE((INDEX(teampts,,$A$5)=AF15)*(ids),COUNTIF(INDEX(teampts, , $A$5), AF15)-COUNTIF(AF$8:AF15,AF15)+1)), INDEX(leagueroster, , 2), 0), 1))</f>
        <v/>
      </c>
      <c r="AF15" s="19" t="str">
        <f ca="1">IF(ROWS(AF$8:AF15)&lt;=$AD$6, LARGE(INDEX(teampts, , $A$5), ROWS(AF$8:AF15)), "")</f>
        <v/>
      </c>
      <c r="AG15" s="51"/>
    </row>
    <row r="16" spans="1:33" x14ac:dyDescent="0.2">
      <c r="A16" s="29" t="str">
        <f ca="1">IF(B16="", "", IF(D16&lt;&gt;D15, ROWS(A$7:A15), ""))</f>
        <v/>
      </c>
      <c r="B16" s="18" t="str">
        <f ca="1">IF(D16="","",INDEX(leagueroster, MATCH(SUMPRODUCT(LARGE((INDEX(scores,,$A$5)=D16)*(ids),COUNTIF(INDEX(scores, , $A$5), D16)-COUNTIF(D$8:D16,D16)+1)), INDEX(leagueroster, , 2), 0), 1))</f>
        <v>Miller, Russ - green tees</v>
      </c>
      <c r="C16" s="19" t="str">
        <f t="shared" ca="1" si="0"/>
        <v>MET</v>
      </c>
      <c r="D16" s="19">
        <f ca="1">IFERROR(IF(ROWS(D$8:D16)&lt;=$A$6, SMALL(INDEX(scores, , $A$5), COUNTIF(INDEX(scores,,$A$5),0)+ROWS(D$8:D16)), ""),"")</f>
        <v>49</v>
      </c>
      <c r="E16" s="51"/>
      <c r="F16" s="29" t="str">
        <f ca="1">IF(G16="", "", IF(I16&lt;&gt;I15, ROWS(F$7:F15), ""))</f>
        <v/>
      </c>
      <c r="G16" s="18" t="str">
        <f ca="1">IF(I16="","",INDEX(leagueroster, MATCH(SUMPRODUCT(LARGE((INDEX(netscores,,$A$5)=I16)*(ids),COUNTIF(INDEX(netscores, , $A$5), I16)-COUNTIF(I$8:I16,I16)+1)), INDEX(leagueroster, , 2), 0), 1))</f>
        <v>Parrish, Charlie</v>
      </c>
      <c r="H16" s="19" t="str">
        <f t="shared" ca="1" si="1"/>
        <v>ACE</v>
      </c>
      <c r="I16" s="19">
        <f ca="1">IFERROR(IF(ROWS(I$8:I16)&lt;=$A$6, SMALL(INDEX(netscores, , $A$5), ROWS(I$8:I16)), ""),"")</f>
        <v>36</v>
      </c>
      <c r="J16" s="51"/>
      <c r="K16" s="29" t="str">
        <f ca="1">IF(L16="", "", IF(N16&lt;&gt;N15, ROWS(K$7:K15), ""))</f>
        <v/>
      </c>
      <c r="L16" s="18" t="str">
        <f ca="1">IF(N16="","",INDEX(leagueroster, MATCH(SUMPRODUCT(LARGE((INDEX(points,,$A$5)=N16)*(ids),COUNTIF(INDEX(points, , $A$5), N16)-COUNTIF(N$8:N16,N16)+1)), INDEX(leagueroster, , 2), 0), 1))</f>
        <v/>
      </c>
      <c r="M16" s="19" t="str">
        <f t="shared" ca="1" si="2"/>
        <v/>
      </c>
      <c r="N16" s="19" t="str">
        <f ca="1">IFERROR(IF(ROWS(N$8:N16)&lt;=$A$6+4, LARGE(INDEX(points, , $A$5), ROWS(N$8:N16)), ""),"")</f>
        <v/>
      </c>
      <c r="O16" s="51"/>
      <c r="P16" s="29" t="str">
        <f ca="1">IF(Q16="", "", IF(S16&lt;&gt;S15, ROWS(P$7:P15), ""))</f>
        <v/>
      </c>
      <c r="Q16" s="18" t="str">
        <f ca="1">IF(S16="","",INDEX(leagueroster, MATCH(SUMPRODUCT(LARGE((INDEX(birdies,,$A$5)=S16)*(ids),COUNTIF(INDEX(birdies, , $A$5), S16)-COUNTIF(S$8:S16,S16)+1)), INDEX(leagueroster, , 2), 0), 1))</f>
        <v/>
      </c>
      <c r="R16" s="19" t="str">
        <f t="shared" ref="R16:R40" ca="1" si="5">IF(Q16="", "", VLOOKUP(Q16, leagueroster, 3, FALSE))</f>
        <v/>
      </c>
      <c r="S16" s="19" t="str">
        <f ca="1">IF(ROWS(S$8:S16)&lt;=$P$6, LARGE(INDEX(birdies, , $A$5), ROWS(S$8:S16)), "")</f>
        <v/>
      </c>
      <c r="T16" s="51"/>
      <c r="U16" s="29" t="str">
        <f ca="1">IF(V16="", "", IF(X16&lt;&gt;X15, ROWS(U$7:U15), ""))</f>
        <v/>
      </c>
      <c r="V16" s="18" t="str" cm="1">
        <f t="array" aca="1" ref="V16" ca="1">IF(X16="","",INDEX(leagueroster, MATCH(SUMPRODUCT(LARGE((INDEX(eagles,,$A$5)=X16)*(ids),COUNTIF(INDEX(eagles, , $A$5), X16)-COUNTIF(X$8:X16,X16)+1)), INDEX(leagueroster, , 2), 0), 1))</f>
        <v/>
      </c>
      <c r="W16" s="19" t="str">
        <f t="shared" ca="1" si="4"/>
        <v/>
      </c>
      <c r="X16" s="19" t="str">
        <f ca="1">IF(ROWS(X$8:X16)&lt;=$U$6, LARGE(INDEX(eagles, , $A$5), ROWS(X$8:X16)), "")</f>
        <v/>
      </c>
      <c r="Y16" s="51"/>
      <c r="Z16" s="29" t="str">
        <f ca="1">IF(AA16="", "", IF(AB16&lt;&gt;AB15, ROWS(Z$7:Z15), ""))</f>
        <v/>
      </c>
      <c r="AA16" s="18" t="str">
        <f ca="1">IF(AB16="","",INDEX(leagueroster, MATCH(SUMPRODUCT(LARGE((INDEX(teamnet,,$A$5)=AB16)*(ids),COUNTIF(INDEX(teamnet, , $A$5), AB16)-COUNTIF(AB$8:AB16,AB16)+1)), INDEX(leagueroster, , 2), 0), 1))</f>
        <v/>
      </c>
      <c r="AB16" s="59" t="str">
        <f ca="1">IF(ROWS(AB$8:AB16)&lt;=$Z$6, SMALL(INDEX(teamnet, , $A$5), ROWS(AB$8:AB16)), "")</f>
        <v/>
      </c>
      <c r="AC16" s="51"/>
      <c r="AD16" s="29" t="str">
        <f ca="1">IF(AE16="", "", IF(AF16&lt;&gt;AF15, ROWS(AD$7:AD15), ""))</f>
        <v/>
      </c>
      <c r="AE16" s="18" t="str">
        <f ca="1">IF(AF16="","",INDEX(leagueroster, MATCH(SUMPRODUCT(LARGE((INDEX(teampts,,$A$5)=AF16)*(ids),COUNTIF(INDEX(teampts, , $A$5), AF16)-COUNTIF(AF$8:AF16,AF16)+1)), INDEX(leagueroster, , 2), 0), 1))</f>
        <v/>
      </c>
      <c r="AF16" s="19" t="str">
        <f ca="1">IF(ROWS(AF$8:AF16)&lt;=$AD$6, LARGE(INDEX(teampts, , $A$5), ROWS(AF$8:AF16)), "")</f>
        <v/>
      </c>
      <c r="AG16" s="51"/>
    </row>
    <row r="17" spans="1:33" x14ac:dyDescent="0.2">
      <c r="A17" s="29">
        <f ca="1">IF(B17="", "", IF(D17&lt;&gt;D16, ROWS(A$7:A16), ""))</f>
        <v>10</v>
      </c>
      <c r="B17" s="18" t="str">
        <f ca="1">IF(D17="","",INDEX(leagueroster, MATCH(SUMPRODUCT(LARGE((INDEX(scores,,$A$5)=D17)*(ids),COUNTIF(INDEX(scores, , $A$5), D17)-COUNTIF(D$8:D17,D17)+1)), INDEX(leagueroster, , 2), 0), 1))</f>
        <v>Avery, Mike - gold tees</v>
      </c>
      <c r="C17" s="19" t="str">
        <f t="shared" ca="1" si="0"/>
        <v>ACE</v>
      </c>
      <c r="D17" s="19">
        <f ca="1">IFERROR(IF(ROWS(D$8:D17)&lt;=$A$6, SMALL(INDEX(scores, , $A$5), COUNTIF(INDEX(scores,,$A$5),0)+ROWS(D$8:D17)), ""),"")</f>
        <v>50</v>
      </c>
      <c r="E17" s="51"/>
      <c r="F17" s="29" t="str">
        <f ca="1">IF(G17="", "", IF(I17&lt;&gt;I16, ROWS(F$7:F16), ""))</f>
        <v/>
      </c>
      <c r="G17" s="18" t="str">
        <f ca="1">IF(I17="","",INDEX(leagueroster, MATCH(SUMPRODUCT(LARGE((INDEX(netscores,,$A$5)=I17)*(ids),COUNTIF(INDEX(netscores, , $A$5), I17)-COUNTIF(I$8:I17,I17)+1)), INDEX(leagueroster, , 2), 0), 1))</f>
        <v>Yackley, Jeff</v>
      </c>
      <c r="H17" s="19" t="str">
        <f t="shared" ca="1" si="1"/>
        <v>SUBS</v>
      </c>
      <c r="I17" s="19">
        <f ca="1">IFERROR(IF(ROWS(I$8:I17)&lt;=$A$6, SMALL(INDEX(netscores, , $A$5), ROWS(I$8:I17)), ""),"")</f>
        <v>36</v>
      </c>
      <c r="J17" s="51"/>
      <c r="K17" s="29" t="str">
        <f ca="1">IF(L17="", "", IF(N17&lt;&gt;N16, ROWS(K$7:K16), ""))</f>
        <v/>
      </c>
      <c r="L17" s="18" t="str">
        <f ca="1">IF(N17="","",INDEX(leagueroster, MATCH(SUMPRODUCT(LARGE((INDEX(points,,$A$5)=N17)*(ids),COUNTIF(INDEX(points, , $A$5), N17)-COUNTIF(N$8:N17,N17)+1)), INDEX(leagueroster, , 2), 0), 1))</f>
        <v/>
      </c>
      <c r="M17" s="19" t="str">
        <f t="shared" ca="1" si="2"/>
        <v/>
      </c>
      <c r="N17" s="19" t="str">
        <f ca="1">IFERROR(IF(ROWS(N$8:N17)&lt;=$A$6+4, LARGE(INDEX(points, , $A$5), ROWS(N$8:N17)), ""),"")</f>
        <v/>
      </c>
      <c r="O17" s="51"/>
      <c r="P17" s="29" t="str">
        <f ca="1">IF(Q17="", "", IF(S17&lt;&gt;S16, ROWS(P$7:P16), ""))</f>
        <v/>
      </c>
      <c r="Q17" s="18" t="str">
        <f ca="1">IF(S17="","",INDEX(leagueroster, MATCH(SUMPRODUCT(LARGE((INDEX(birdies,,$A$5)=S17)*(ids),COUNTIF(INDEX(birdies, , $A$5), S17)-COUNTIF(S$8:S17,S17)+1)), INDEX(leagueroster, , 2), 0), 1))</f>
        <v/>
      </c>
      <c r="R17" s="19" t="str">
        <f t="shared" ca="1" si="5"/>
        <v/>
      </c>
      <c r="S17" s="19" t="str">
        <f ca="1">IF(ROWS(S$8:S17)&lt;=$P$6, LARGE(INDEX(birdies, , $A$5), ROWS(S$8:S17)), "")</f>
        <v/>
      </c>
      <c r="T17" s="51"/>
      <c r="U17" s="29" t="str">
        <f ca="1">IF(V17="", "", IF(X17&lt;&gt;X16, ROWS(U$7:U16), ""))</f>
        <v/>
      </c>
      <c r="V17" s="18" t="str" cm="1">
        <f t="array" aca="1" ref="V17" ca="1">IF(X17="","",INDEX(leagueroster, MATCH(SUMPRODUCT(LARGE((INDEX(eagles,,$A$5)=X17)*(ids),COUNTIF(INDEX(eagles, , $A$5), X17)-COUNTIF(X$8:X17,X17)+1)), INDEX(leagueroster, , 2), 0), 1))</f>
        <v/>
      </c>
      <c r="W17" s="19" t="str">
        <f t="shared" ref="W17:W40" ca="1" si="6">IF(V17="", "", VLOOKUP(V17, leagueroster, 3, FALSE))</f>
        <v/>
      </c>
      <c r="X17" s="19" t="str">
        <f ca="1">IF(ROWS(X$8:X17)&lt;=$U$6, LARGE(INDEX(eagles, , $A$5), ROWS(X$8:X17)), "")</f>
        <v/>
      </c>
      <c r="Y17" s="51"/>
      <c r="Z17" s="29" t="str">
        <f ca="1">IF(AA17="", "", IF(AB17&lt;&gt;AB16, ROWS(Z$7:Z16), ""))</f>
        <v/>
      </c>
      <c r="AA17" s="18" t="str">
        <f ca="1">IF(AB17="","",INDEX(leagueroster, MATCH(SUMPRODUCT(LARGE((INDEX(teamnet,,$A$5)=AB17)*(ids),COUNTIF(INDEX(teamnet, , $A$5), AB17)-COUNTIF(AB$8:AB17,AB17)+1)), INDEX(leagueroster, , 2), 0), 1))</f>
        <v/>
      </c>
      <c r="AB17" s="59" t="str">
        <f ca="1">IF(ROWS(AB$8:AB17)&lt;=$Z$6, SMALL(INDEX(teamnet, , $A$5), ROWS(AB$8:AB17)), "")</f>
        <v/>
      </c>
      <c r="AC17" s="51"/>
      <c r="AD17" s="29" t="str">
        <f ca="1">IF(AE17="", "", IF(AF17&lt;&gt;AF16, ROWS(AD$7:AD16), ""))</f>
        <v/>
      </c>
      <c r="AE17" s="18" t="str">
        <f ca="1">IF(AF17="","",INDEX(leagueroster, MATCH(SUMPRODUCT(LARGE((INDEX(teampts,,$A$5)=AF17)*(ids),COUNTIF(INDEX(teampts, , $A$5), AF17)-COUNTIF(AF$8:AF17,AF17)+1)), INDEX(leagueroster, , 2), 0), 1))</f>
        <v/>
      </c>
      <c r="AF17" s="19" t="str">
        <f ca="1">IF(ROWS(AF$8:AF17)&lt;=$AD$6, LARGE(INDEX(teampts, , $A$5), ROWS(AF$8:AF17)), "")</f>
        <v/>
      </c>
      <c r="AG17" s="51"/>
    </row>
    <row r="18" spans="1:33" x14ac:dyDescent="0.2">
      <c r="A18" s="29" t="str">
        <f ca="1">IF(B18="", "", IF(D18&lt;&gt;D17, ROWS(A$7:A17), ""))</f>
        <v/>
      </c>
      <c r="B18" s="18" t="str">
        <f ca="1">IF(D18="","",INDEX(leagueroster, MATCH(SUMPRODUCT(LARGE((INDEX(scores,,$A$5)=D18)*(ids),COUNTIF(INDEX(scores, , $A$5), D18)-COUNTIF(D$8:D18,D18)+1)), INDEX(leagueroster, , 2), 0), 1))</f>
        <v>Lapole, Chris - C - gold tees</v>
      </c>
      <c r="C18" s="19" t="str">
        <f t="shared" ca="1" si="0"/>
        <v>STY</v>
      </c>
      <c r="D18" s="19">
        <f ca="1">IFERROR(IF(ROWS(D$8:D18)&lt;=$A$6, SMALL(INDEX(scores, , $A$5), COUNTIF(INDEX(scores,,$A$5),0)+ROWS(D$8:D18)), ""),"")</f>
        <v>50</v>
      </c>
      <c r="E18" s="51"/>
      <c r="F18" s="29">
        <f ca="1">IF(G18="", "", IF(I18&lt;&gt;I17, ROWS(F$7:F17), ""))</f>
        <v>11</v>
      </c>
      <c r="G18" s="18" t="str">
        <f ca="1">IF(I18="","",INDEX(leagueroster, MATCH(SUMPRODUCT(LARGE((INDEX(netscores,,$A$5)=I18)*(ids),COUNTIF(INDEX(netscores, , $A$5), I18)-COUNTIF(I$8:I18,I18)+1)), INDEX(leagueroster, , 2), 0), 1))</f>
        <v>Culver, Chuck</v>
      </c>
      <c r="H18" s="19" t="str">
        <f t="shared" ca="1" si="1"/>
        <v>MET</v>
      </c>
      <c r="I18" s="19">
        <f ca="1">IFERROR(IF(ROWS(I$8:I18)&lt;=$A$6, SMALL(INDEX(netscores, , $A$5), ROWS(I$8:I18)), ""),"")</f>
        <v>37</v>
      </c>
      <c r="J18" s="51"/>
      <c r="K18" s="29" t="str">
        <f ca="1">IF(L18="", "", IF(N18&lt;&gt;N17, ROWS(K$7:K17), ""))</f>
        <v/>
      </c>
      <c r="L18" s="18" t="str">
        <f ca="1">IF(N18="","",INDEX(leagueroster, MATCH(SUMPRODUCT(LARGE((INDEX(points,,$A$5)=N18)*(ids),COUNTIF(INDEX(points, , $A$5), N18)-COUNTIF(N$8:N18,N18)+1)), INDEX(leagueroster, , 2), 0), 1))</f>
        <v/>
      </c>
      <c r="M18" s="19" t="str">
        <f t="shared" ca="1" si="2"/>
        <v/>
      </c>
      <c r="N18" s="19" t="str">
        <f ca="1">IFERROR(IF(ROWS(N$8:N18)&lt;=$A$6+4, LARGE(INDEX(points, , $A$5), ROWS(N$8:N18)), ""),"")</f>
        <v/>
      </c>
      <c r="O18" s="51"/>
      <c r="P18" s="29" t="str">
        <f ca="1">IF(Q18="", "", IF(S18&lt;&gt;S17, ROWS(P$7:P17), ""))</f>
        <v/>
      </c>
      <c r="Q18" s="18" t="str">
        <f ca="1">IF(S18="","",INDEX(leagueroster, MATCH(SUMPRODUCT(LARGE((INDEX(birdies,,$A$5)=S18)*(ids),COUNTIF(INDEX(birdies, , $A$5), S18)-COUNTIF(S$8:S18,S18)+1)), INDEX(leagueroster, , 2), 0), 1))</f>
        <v/>
      </c>
      <c r="R18" s="19" t="str">
        <f t="shared" ca="1" si="5"/>
        <v/>
      </c>
      <c r="S18" s="19" t="str">
        <f ca="1">IF(ROWS(S$8:S18)&lt;=$P$6, LARGE(INDEX(birdies, , $A$5), ROWS(S$8:S18)), "")</f>
        <v/>
      </c>
      <c r="T18" s="51"/>
      <c r="U18" s="29" t="str">
        <f ca="1">IF(V18="", "", IF(X18&lt;&gt;X17, ROWS(U$7:U17), ""))</f>
        <v/>
      </c>
      <c r="V18" s="18" t="str" cm="1">
        <f t="array" aca="1" ref="V18" ca="1">IF(X18="","",INDEX(leagueroster, MATCH(SUMPRODUCT(LARGE((INDEX(eagles,,$A$5)=X18)*(ids),COUNTIF(INDEX(eagles, , $A$5), X18)-COUNTIF(X$8:X18,X18)+1)), INDEX(leagueroster, , 2), 0), 1))</f>
        <v/>
      </c>
      <c r="W18" s="19" t="str">
        <f t="shared" ca="1" si="6"/>
        <v/>
      </c>
      <c r="X18" s="19" t="str">
        <f ca="1">IF(ROWS(X$8:X18)&lt;=$U$6, LARGE(INDEX(eagles, , $A$5), ROWS(X$8:X18)), "")</f>
        <v/>
      </c>
      <c r="Y18" s="51"/>
      <c r="Z18" s="29" t="str">
        <f ca="1">IF(AA18="", "", IF(AB18&lt;&gt;AB17, ROWS(Z$7:Z17), ""))</f>
        <v/>
      </c>
      <c r="AA18" s="18" t="str">
        <f ca="1">IF(AB18="","",INDEX(leagueroster, MATCH(SUMPRODUCT(LARGE((INDEX(teamnet,,$A$5)=AB18)*(ids),COUNTIF(INDEX(teamnet, , $A$5), AB18)-COUNTIF(AB$8:AB18,AB18)+1)), INDEX(leagueroster, , 2), 0), 1))</f>
        <v/>
      </c>
      <c r="AB18" s="59" t="str">
        <f ca="1">IF(ROWS(AB$8:AB18)&lt;=$Z$6, SMALL(INDEX(teamnet, , $A$5), ROWS(AB$8:AB18)), "")</f>
        <v/>
      </c>
      <c r="AC18" s="51"/>
      <c r="AD18" s="29" t="str">
        <f ca="1">IF(AE18="", "", IF(AF18&lt;&gt;AF17, ROWS(AD$7:AD17), ""))</f>
        <v/>
      </c>
      <c r="AE18" s="18" t="str">
        <f ca="1">IF(AF18="","",INDEX(leagueroster, MATCH(SUMPRODUCT(LARGE((INDEX(teampts,,$A$5)=AF18)*(ids),COUNTIF(INDEX(teampts, , $A$5), AF18)-COUNTIF(AF$8:AF18,AF18)+1)), INDEX(leagueroster, , 2), 0), 1))</f>
        <v/>
      </c>
      <c r="AF18" s="19" t="str">
        <f ca="1">IF(ROWS(AF$8:AF18)&lt;=$AD$6, LARGE(INDEX(teampts, , $A$5), ROWS(AF$8:AF18)), "")</f>
        <v/>
      </c>
      <c r="AG18" s="51"/>
    </row>
    <row r="19" spans="1:33" x14ac:dyDescent="0.2">
      <c r="A19" s="29">
        <f ca="1">IF(B19="", "", IF(D19&lt;&gt;D18, ROWS(A$7:A18), ""))</f>
        <v>12</v>
      </c>
      <c r="B19" s="18" t="str">
        <f ca="1">IF(D19="","",INDEX(leagueroster, MATCH(SUMPRODUCT(LARGE((INDEX(scores,,$A$5)=D19)*(ids),COUNTIF(INDEX(scores, , $A$5), D19)-COUNTIF(D$8:D19,D19)+1)), INDEX(leagueroster, , 2), 0), 1))</f>
        <v>Evans, Ryan</v>
      </c>
      <c r="C19" s="19" t="str">
        <f t="shared" ca="1" si="0"/>
        <v>STY</v>
      </c>
      <c r="D19" s="19">
        <f ca="1">IFERROR(IF(ROWS(D$8:D19)&lt;=$A$6, SMALL(INDEX(scores, , $A$5), COUNTIF(INDEX(scores,,$A$5),0)+ROWS(D$8:D19)), ""),"")</f>
        <v>51</v>
      </c>
      <c r="E19" s="51"/>
      <c r="F19" s="29" t="str">
        <f ca="1">IF(G19="", "", IF(I19&lt;&gt;I18, ROWS(F$7:F18), ""))</f>
        <v/>
      </c>
      <c r="G19" s="18" t="str">
        <f ca="1">IF(I19="","",INDEX(leagueroster, MATCH(SUMPRODUCT(LARGE((INDEX(netscores,,$A$5)=I19)*(ids),COUNTIF(INDEX(netscores, , $A$5), I19)-COUNTIF(I$8:I19,I19)+1)), INDEX(leagueroster, , 2), 0), 1))</f>
        <v>Smith, Steve - gold tees</v>
      </c>
      <c r="H19" s="19" t="str">
        <f t="shared" ca="1" si="1"/>
        <v>MMC</v>
      </c>
      <c r="I19" s="19">
        <f ca="1">IFERROR(IF(ROWS(I$8:I19)&lt;=$A$6, SMALL(INDEX(netscores, , $A$5), ROWS(I$8:I19)), ""),"")</f>
        <v>37</v>
      </c>
      <c r="J19" s="51"/>
      <c r="K19" s="29" t="str">
        <f ca="1">IF(L19="", "", IF(N19&lt;&gt;N18, ROWS(K$7:K18), ""))</f>
        <v/>
      </c>
      <c r="L19" s="18" t="str">
        <f ca="1">IF(N19="","",INDEX(leagueroster, MATCH(SUMPRODUCT(LARGE((INDEX(points,,$A$5)=N19)*(ids),COUNTIF(INDEX(points, , $A$5), N19)-COUNTIF(N$8:N19,N19)+1)), INDEX(leagueroster, , 2), 0), 1))</f>
        <v/>
      </c>
      <c r="M19" s="19" t="str">
        <f t="shared" ca="1" si="2"/>
        <v/>
      </c>
      <c r="N19" s="19" t="str">
        <f ca="1">IFERROR(IF(ROWS(N$8:N19)&lt;=$A$6+4, LARGE(INDEX(points, , $A$5), ROWS(N$8:N19)), ""),"")</f>
        <v/>
      </c>
      <c r="O19" s="51"/>
      <c r="P19" s="29" t="str">
        <f ca="1">IF(Q19="", "", IF(S19&lt;&gt;S18, ROWS(P$7:P18), ""))</f>
        <v/>
      </c>
      <c r="Q19" s="18" t="str">
        <f ca="1">IF(S19="","",INDEX(leagueroster, MATCH(SUMPRODUCT(LARGE((INDEX(birdies,,$A$5)=S19)*(ids),COUNTIF(INDEX(birdies, , $A$5), S19)-COUNTIF(S$8:S19,S19)+1)), INDEX(leagueroster, , 2), 0), 1))</f>
        <v/>
      </c>
      <c r="R19" s="19" t="str">
        <f t="shared" ca="1" si="5"/>
        <v/>
      </c>
      <c r="S19" s="19" t="str">
        <f ca="1">IF(ROWS(S$8:S19)&lt;=$P$6, LARGE(INDEX(birdies, , $A$5), ROWS(S$8:S19)), "")</f>
        <v/>
      </c>
      <c r="T19" s="51"/>
      <c r="U19" s="29" t="str">
        <f ca="1">IF(V19="", "", IF(X19&lt;&gt;X18, ROWS(U$7:U18), ""))</f>
        <v/>
      </c>
      <c r="V19" s="18" t="str" cm="1">
        <f t="array" aca="1" ref="V19" ca="1">IF(X19="","",INDEX(leagueroster, MATCH(SUMPRODUCT(LARGE((INDEX(eagles,,$A$5)=X19)*(ids),COUNTIF(INDEX(eagles, , $A$5), X19)-COUNTIF(X$8:X19,X19)+1)), INDEX(leagueroster, , 2), 0), 1))</f>
        <v/>
      </c>
      <c r="W19" s="19" t="str">
        <f t="shared" ca="1" si="6"/>
        <v/>
      </c>
      <c r="X19" s="19" t="str">
        <f ca="1">IF(ROWS(X$8:X19)&lt;=$U$6, LARGE(INDEX(eagles, , $A$5), ROWS(X$8:X19)), "")</f>
        <v/>
      </c>
      <c r="Y19" s="51"/>
      <c r="Z19" s="29" t="str">
        <f ca="1">IF(AA19="", "", IF(AB19&lt;&gt;AB18, ROWS(Z$7:Z18), ""))</f>
        <v/>
      </c>
      <c r="AA19" s="18" t="str">
        <f ca="1">IF(AB19="","",INDEX(leagueroster, MATCH(SUMPRODUCT(LARGE((INDEX(teamnet,,$A$5)=AB19)*(ids),COUNTIF(INDEX(teamnet, , $A$5), AB19)-COUNTIF(AB$8:AB19,AB19)+1)), INDEX(leagueroster, , 2), 0), 1))</f>
        <v/>
      </c>
      <c r="AB19" s="59" t="str">
        <f ca="1">IF(ROWS(AB$8:AB19)&lt;=$Z$6, SMALL(INDEX(teamnet, , $A$5), ROWS(AB$8:AB19)), "")</f>
        <v/>
      </c>
      <c r="AC19" s="51"/>
      <c r="AD19" s="29" t="str">
        <f ca="1">IF(AE19="", "", IF(AF19&lt;&gt;AF18, ROWS(AD$7:AD18), ""))</f>
        <v/>
      </c>
      <c r="AE19" s="18" t="str">
        <f ca="1">IF(AF19="","",INDEX(leagueroster, MATCH(SUMPRODUCT(LARGE((INDEX(teampts,,$A$5)=AF19)*(ids),COUNTIF(INDEX(teampts, , $A$5), AF19)-COUNTIF(AF$8:AF19,AF19)+1)), INDEX(leagueroster, , 2), 0), 1))</f>
        <v/>
      </c>
      <c r="AF19" s="19" t="str">
        <f ca="1">IF(ROWS(AF$8:AF19)&lt;=$AD$6, LARGE(INDEX(teampts, , $A$5), ROWS(AF$8:AF19)), "")</f>
        <v/>
      </c>
      <c r="AG19" s="51"/>
    </row>
    <row r="20" spans="1:33" x14ac:dyDescent="0.2">
      <c r="A20" s="29">
        <f ca="1">IF(B20="", "", IF(D20&lt;&gt;D19, ROWS(A$7:A19), ""))</f>
        <v>13</v>
      </c>
      <c r="B20" s="18" t="str">
        <f ca="1">IF(D20="","",INDEX(leagueroster, MATCH(SUMPRODUCT(LARGE((INDEX(scores,,$A$5)=D20)*(ids),COUNTIF(INDEX(scores, , $A$5), D20)-COUNTIF(D$8:D20,D20)+1)), INDEX(leagueroster, , 2), 0), 1))</f>
        <v>Hajba, Michael</v>
      </c>
      <c r="C20" s="19" t="str">
        <f t="shared" ca="1" si="0"/>
        <v>SUBS</v>
      </c>
      <c r="D20" s="19">
        <f ca="1">IFERROR(IF(ROWS(D$8:D20)&lt;=$A$6, SMALL(INDEX(scores, , $A$5), COUNTIF(INDEX(scores,,$A$5),0)+ROWS(D$8:D20)), ""),"")</f>
        <v>53</v>
      </c>
      <c r="E20" s="51"/>
      <c r="F20" s="29">
        <f ca="1">IF(G20="", "", IF(I20&lt;&gt;I19, ROWS(F$7:F19), ""))</f>
        <v>13</v>
      </c>
      <c r="G20" s="18" t="str">
        <f ca="1">IF(I20="","",INDEX(leagueroster, MATCH(SUMPRODUCT(LARGE((INDEX(netscores,,$A$5)=I20)*(ids),COUNTIF(INDEX(netscores, , $A$5), I20)-COUNTIF(I$8:I20,I20)+1)), INDEX(leagueroster, , 2), 0), 1))</f>
        <v>Miller, Russ - green tees</v>
      </c>
      <c r="H20" s="19" t="str">
        <f t="shared" ca="1" si="1"/>
        <v>MET</v>
      </c>
      <c r="I20" s="19">
        <f ca="1">IFERROR(IF(ROWS(I$8:I20)&lt;=$A$6, SMALL(INDEX(netscores, , $A$5), ROWS(I$8:I20)), ""),"")</f>
        <v>38</v>
      </c>
      <c r="J20" s="51"/>
      <c r="K20" s="29" t="str">
        <f ca="1">IF(L20="", "", IF(N20&lt;&gt;N19, ROWS(K$7:K19), ""))</f>
        <v/>
      </c>
      <c r="L20" s="18" t="str">
        <f ca="1">IF(N20="","",INDEX(leagueroster, MATCH(SUMPRODUCT(LARGE((INDEX(points,,$A$5)=N20)*(ids),COUNTIF(INDEX(points, , $A$5), N20)-COUNTIF(N$8:N20,N20)+1)), INDEX(leagueroster, , 2), 0), 1))</f>
        <v/>
      </c>
      <c r="M20" s="19" t="str">
        <f t="shared" ca="1" si="2"/>
        <v/>
      </c>
      <c r="N20" s="19" t="str">
        <f ca="1">IFERROR(IF(ROWS(N$8:N20)&lt;=$A$6+4, LARGE(INDEX(points, , $A$5), ROWS(N$8:N20)), ""),"")</f>
        <v/>
      </c>
      <c r="O20" s="51"/>
      <c r="P20" s="29" t="str">
        <f ca="1">IF(Q20="", "", IF(S20&lt;&gt;S19, ROWS(P$7:P19), ""))</f>
        <v/>
      </c>
      <c r="Q20" s="18" t="str">
        <f ca="1">IF(S20="","",INDEX(leagueroster, MATCH(SUMPRODUCT(LARGE((INDEX(birdies,,$A$5)=S20)*(ids),COUNTIF(INDEX(birdies, , $A$5), S20)-COUNTIF(S$8:S20,S20)+1)), INDEX(leagueroster, , 2), 0), 1))</f>
        <v/>
      </c>
      <c r="R20" s="19" t="str">
        <f t="shared" ca="1" si="5"/>
        <v/>
      </c>
      <c r="S20" s="19" t="str">
        <f ca="1">IF(ROWS(S$8:S20)&lt;=$P$6, LARGE(INDEX(birdies, , $A$5), ROWS(S$8:S20)), "")</f>
        <v/>
      </c>
      <c r="T20" s="51"/>
      <c r="U20" s="29" t="str">
        <f ca="1">IF(V20="", "", IF(X20&lt;&gt;X19, ROWS(U$7:U19), ""))</f>
        <v/>
      </c>
      <c r="V20" s="18" t="str" cm="1">
        <f t="array" aca="1" ref="V20" ca="1">IF(X20="","",INDEX(leagueroster, MATCH(SUMPRODUCT(LARGE((INDEX(eagles,,$A$5)=X20)*(ids),COUNTIF(INDEX(eagles, , $A$5), X20)-COUNTIF(X$8:X20,X20)+1)), INDEX(leagueroster, , 2), 0), 1))</f>
        <v/>
      </c>
      <c r="W20" s="19" t="str">
        <f t="shared" ca="1" si="6"/>
        <v/>
      </c>
      <c r="X20" s="19" t="str">
        <f ca="1">IF(ROWS(X$8:X20)&lt;=$U$6, LARGE(INDEX(eagles, , $A$5), ROWS(X$8:X20)), "")</f>
        <v/>
      </c>
      <c r="Y20" s="51"/>
      <c r="Z20" s="88"/>
      <c r="AB20" s="59" t="str">
        <f ca="1">IF(ROWS(AB$8:AB20)&lt;=$Z$6, SMALL(INDEX(teamnet, , $A$5), ROWS(AB$8:AB20)), "")</f>
        <v/>
      </c>
      <c r="AC20" s="51"/>
      <c r="AD20" s="29" t="str">
        <f ca="1">IF(AE20="", "", IF(AF20&lt;&gt;AF19, ROWS(AD$7:AD19), ""))</f>
        <v/>
      </c>
      <c r="AE20" s="18" t="str">
        <f ca="1">IF(AF20="","",INDEX(leagueroster, MATCH(SUMPRODUCT(LARGE((INDEX(teampts,,$A$5)=AF20)*(ids),COUNTIF(INDEX(teampts, , $A$5), AF20)-COUNTIF(AF$8:AF20,AF20)+1)), INDEX(leagueroster, , 2), 0), 1))</f>
        <v/>
      </c>
      <c r="AF20" s="19" t="str">
        <f ca="1">IF(ROWS(AF$8:AF20)&lt;=$AD$6, LARGE(INDEX(teampts, , $A$5), ROWS(AF$8:AF20)), "")</f>
        <v/>
      </c>
      <c r="AG20" s="51"/>
    </row>
    <row r="21" spans="1:33" x14ac:dyDescent="0.2">
      <c r="A21" s="29" t="str">
        <f ca="1">IF(B21="", "", IF(D21&lt;&gt;D20, ROWS(A$7:A20), ""))</f>
        <v/>
      </c>
      <c r="B21" s="18" t="str">
        <f ca="1">IF(D21="","",INDEX(leagueroster, MATCH(SUMPRODUCT(LARGE((INDEX(scores,,$A$5)=D21)*(ids),COUNTIF(INDEX(scores, , $A$5), D21)-COUNTIF(D$8:D21,D21)+1)), INDEX(leagueroster, , 2), 0), 1))</f>
        <v>Smith, Steve - gold tees</v>
      </c>
      <c r="C21" s="19" t="str">
        <f t="shared" ca="1" si="0"/>
        <v>MMC</v>
      </c>
      <c r="D21" s="19">
        <f ca="1">IFERROR(IF(ROWS(D$8:D21)&lt;=$A$6, SMALL(INDEX(scores, , $A$5), COUNTIF(INDEX(scores,,$A$5),0)+ROWS(D$8:D21)), ""),"")</f>
        <v>53</v>
      </c>
      <c r="E21" s="51"/>
      <c r="F21" s="29">
        <f ca="1">IF(G21="", "", IF(I21&lt;&gt;I20, ROWS(F$7:F20), ""))</f>
        <v>14</v>
      </c>
      <c r="G21" s="18" t="str">
        <f ca="1">IF(I21="","",INDEX(leagueroster, MATCH(SUMPRODUCT(LARGE((INDEX(netscores,,$A$5)=I21)*(ids),COUNTIF(INDEX(netscores, , $A$5), I21)-COUNTIF(I$8:I21,I21)+1)), INDEX(leagueroster, , 2), 0), 1))</f>
        <v>Hajba, Michael</v>
      </c>
      <c r="H21" s="19" t="str">
        <f t="shared" ca="1" si="1"/>
        <v>SUBS</v>
      </c>
      <c r="I21" s="19">
        <f ca="1">IFERROR(IF(ROWS(I$8:I21)&lt;=$A$6, SMALL(INDEX(netscores, , $A$5), ROWS(I$8:I21)), ""),"")</f>
        <v>42</v>
      </c>
      <c r="J21" s="51"/>
      <c r="K21" s="29" t="str">
        <f ca="1">IF(L21="", "", IF(N21&lt;&gt;N20, ROWS(K$7:K20), ""))</f>
        <v/>
      </c>
      <c r="L21" s="18" t="str">
        <f ca="1">IF(N21="","",INDEX(leagueroster, MATCH(SUMPRODUCT(LARGE((INDEX(points,,$A$5)=N21)*(ids),COUNTIF(INDEX(points, , $A$5), N21)-COUNTIF(N$8:N21,N21)+1)), INDEX(leagueroster, , 2), 0), 1))</f>
        <v/>
      </c>
      <c r="M21" s="19" t="str">
        <f t="shared" ca="1" si="2"/>
        <v/>
      </c>
      <c r="N21" s="19" t="str">
        <f ca="1">IFERROR(IF(ROWS(N$8:N21)&lt;=$A$6+4, LARGE(INDEX(points, , $A$5), ROWS(N$8:N21)), ""),"")</f>
        <v/>
      </c>
      <c r="O21" s="51"/>
      <c r="P21" s="29" t="str">
        <f ca="1">IF(Q21="", "", IF(S21&lt;&gt;S20, ROWS(P$7:P20), ""))</f>
        <v/>
      </c>
      <c r="Q21" s="18" t="str">
        <f ca="1">IF(S21="","",INDEX(leagueroster, MATCH(SUMPRODUCT(LARGE((INDEX(birdies,,$A$5)=S21)*(ids),COUNTIF(INDEX(birdies, , $A$5), S21)-COUNTIF(S$8:S21,S21)+1)), INDEX(leagueroster, , 2), 0), 1))</f>
        <v/>
      </c>
      <c r="R21" s="19" t="str">
        <f t="shared" ca="1" si="5"/>
        <v/>
      </c>
      <c r="S21" s="19" t="str">
        <f ca="1">IF(ROWS(S$8:S21)&lt;=$P$6, LARGE(INDEX(birdies, , $A$5), ROWS(S$8:S21)), "")</f>
        <v/>
      </c>
      <c r="T21" s="51"/>
      <c r="U21" s="29" t="str">
        <f ca="1">IF(V21="", "", IF(X21&lt;&gt;X20, ROWS(U$7:U20), ""))</f>
        <v/>
      </c>
      <c r="V21" s="18" t="str" cm="1">
        <f t="array" aca="1" ref="V21" ca="1">IF(X21="","",INDEX(leagueroster, MATCH(SUMPRODUCT(LARGE((INDEX(eagles,,$A$5)=X21)*(ids),COUNTIF(INDEX(eagles, , $A$5), X21)-COUNTIF(X$8:X21,X21)+1)), INDEX(leagueroster, , 2), 0), 1))</f>
        <v/>
      </c>
      <c r="W21" s="19" t="str">
        <f t="shared" ca="1" si="6"/>
        <v/>
      </c>
      <c r="X21" s="19" t="str">
        <f ca="1">IF(ROWS(X$8:X21)&lt;=$U$6, LARGE(INDEX(eagles, , $A$5), ROWS(X$8:X21)), "")</f>
        <v/>
      </c>
      <c r="Y21" s="51"/>
      <c r="Z21" s="29"/>
      <c r="AB21" s="19"/>
      <c r="AC21" s="51"/>
      <c r="AD21" s="29"/>
      <c r="AF21" s="19"/>
      <c r="AG21" s="51"/>
    </row>
    <row r="22" spans="1:33" x14ac:dyDescent="0.2">
      <c r="A22" s="29">
        <f ca="1">IF(B22="", "", IF(D22&lt;&gt;D21, ROWS(A$7:A21), ""))</f>
        <v>15</v>
      </c>
      <c r="B22" s="18" t="str">
        <f ca="1">IF(D22="","",INDEX(leagueroster, MATCH(SUMPRODUCT(LARGE((INDEX(scores,,$A$5)=D22)*(ids),COUNTIF(INDEX(scores, , $A$5), D22)-COUNTIF(D$8:D22,D22)+1)), INDEX(leagueroster, , 2), 0), 1))</f>
        <v>Cizek, Randy - gold tees</v>
      </c>
      <c r="C22" s="19" t="str">
        <f t="shared" ca="1" si="0"/>
        <v>MMC</v>
      </c>
      <c r="D22" s="19">
        <f ca="1">IFERROR(IF(ROWS(D$8:D22)&lt;=$A$6, SMALL(INDEX(scores, , $A$5), COUNTIF(INDEX(scores,,$A$5),0)+ROWS(D$8:D22)), ""),"")</f>
        <v>54</v>
      </c>
      <c r="E22" s="51"/>
      <c r="F22" s="29">
        <f ca="1">IF(G22="", "", IF(I22&lt;&gt;I21, ROWS(F$7:F21), ""))</f>
        <v>15</v>
      </c>
      <c r="G22" s="18" t="str">
        <f ca="1">IF(I22="","",INDEX(leagueroster, MATCH(SUMPRODUCT(LARGE((INDEX(netscores,,$A$5)=I22)*(ids),COUNTIF(INDEX(netscores, , $A$5), I22)-COUNTIF(I$8:I22,I22)+1)), INDEX(leagueroster, , 2), 0), 1))</f>
        <v>Cizek, Randy - gold tees</v>
      </c>
      <c r="H22" s="19" t="str">
        <f t="shared" ca="1" si="1"/>
        <v>MMC</v>
      </c>
      <c r="I22" s="19">
        <f ca="1">IFERROR(IF(ROWS(I$8:I22)&lt;=$A$6, SMALL(INDEX(netscores, , $A$5), ROWS(I$8:I22)), ""),"")</f>
        <v>44</v>
      </c>
      <c r="J22" s="51"/>
      <c r="K22" s="29" t="str">
        <f ca="1">IF(L22="", "", IF(N22&lt;&gt;N21, ROWS(K$7:K21), ""))</f>
        <v/>
      </c>
      <c r="L22" s="18" t="str">
        <f ca="1">IF(N22="","",INDEX(leagueroster, MATCH(SUMPRODUCT(LARGE((INDEX(points,,$A$5)=N22)*(ids),COUNTIF(INDEX(points, , $A$5), N22)-COUNTIF(N$8:N22,N22)+1)), INDEX(leagueroster, , 2), 0), 1))</f>
        <v/>
      </c>
      <c r="M22" s="19" t="str">
        <f t="shared" ca="1" si="2"/>
        <v/>
      </c>
      <c r="N22" s="19" t="str">
        <f ca="1">IFERROR(IF(ROWS(N$8:N22)&lt;=$A$6+4, LARGE(INDEX(points, , $A$5), ROWS(N$8:N22)), ""),"")</f>
        <v/>
      </c>
      <c r="O22" s="51"/>
      <c r="P22" s="29" t="str">
        <f ca="1">IF(Q22="", "", IF(S22&lt;&gt;S21, ROWS(P$7:P21), ""))</f>
        <v/>
      </c>
      <c r="Q22" s="18" t="str">
        <f ca="1">IF(S22="","",INDEX(leagueroster, MATCH(SUMPRODUCT(LARGE((INDEX(birdies,,$A$5)=S22)*(ids),COUNTIF(INDEX(birdies, , $A$5), S22)-COUNTIF(S$8:S22,S22)+1)), INDEX(leagueroster, , 2), 0), 1))</f>
        <v/>
      </c>
      <c r="R22" s="19" t="str">
        <f t="shared" ca="1" si="5"/>
        <v/>
      </c>
      <c r="S22" s="19" t="str">
        <f ca="1">IF(ROWS(S$8:S22)&lt;=$P$6, LARGE(INDEX(birdies, , $A$5), ROWS(S$8:S22)), "")</f>
        <v/>
      </c>
      <c r="T22" s="51"/>
      <c r="U22" s="29" t="str">
        <f ca="1">IF(V22="", "", IF(X22&lt;&gt;X21, ROWS(U$7:U21), ""))</f>
        <v/>
      </c>
      <c r="V22" s="18" t="str" cm="1">
        <f t="array" aca="1" ref="V22" ca="1">IF(X22="","",INDEX(leagueroster, MATCH(SUMPRODUCT(LARGE((INDEX(eagles,,$A$5)=X22)*(ids),COUNTIF(INDEX(eagles, , $A$5), X22)-COUNTIF(X$8:X22,X22)+1)), INDEX(leagueroster, , 2), 0), 1))</f>
        <v/>
      </c>
      <c r="W22" s="19" t="str">
        <f t="shared" ca="1" si="6"/>
        <v/>
      </c>
      <c r="X22" s="19" t="str">
        <f ca="1">IF(ROWS(X$8:X22)&lt;=$U$6, LARGE(INDEX(eagles, , $A$5), ROWS(X$8:X22)), "")</f>
        <v/>
      </c>
      <c r="Y22" s="51"/>
      <c r="Z22" s="29"/>
      <c r="AB22" s="19"/>
      <c r="AC22" s="51"/>
      <c r="AD22" s="29"/>
      <c r="AF22" s="19"/>
      <c r="AG22" s="51"/>
    </row>
    <row r="23" spans="1:33" x14ac:dyDescent="0.2">
      <c r="A23" s="29">
        <f ca="1">IF(B23="", "", IF(D23&lt;&gt;D22, ROWS(A$7:A22), ""))</f>
        <v>16</v>
      </c>
      <c r="B23" s="18" t="str">
        <f ca="1">IF(D23="","",INDEX(leagueroster, MATCH(SUMPRODUCT(LARGE((INDEX(scores,,$A$5)=D23)*(ids),COUNTIF(INDEX(scores, , $A$5), D23)-COUNTIF(D$8:D23,D23)+1)), INDEX(leagueroster, , 2), 0), 1))</f>
        <v>Hawkins, Rick - C</v>
      </c>
      <c r="C23" s="19" t="str">
        <f t="shared" ca="1" si="0"/>
        <v>MMC</v>
      </c>
      <c r="D23" s="19">
        <f ca="1">IFERROR(IF(ROWS(D$8:D23)&lt;=$A$6, SMALL(INDEX(scores, , $A$5), COUNTIF(INDEX(scores,,$A$5),0)+ROWS(D$8:D23)), ""),"")</f>
        <v>55</v>
      </c>
      <c r="E23" s="51"/>
      <c r="F23" s="29" t="str">
        <f ca="1">IF(G23="", "", IF(I23&lt;&gt;I22, ROWS(F$7:F22), ""))</f>
        <v/>
      </c>
      <c r="G23" s="18" t="str">
        <f ca="1">IF(I23="","",INDEX(leagueroster, MATCH(SUMPRODUCT(LARGE((INDEX(netscores,,$A$5)=I23)*(ids),COUNTIF(INDEX(netscores, , $A$5), I23)-COUNTIF(I$8:I23,I23)+1)), INDEX(leagueroster, , 2), 0), 1))</f>
        <v>Evans, Ryan</v>
      </c>
      <c r="H23" s="19" t="str">
        <f t="shared" ca="1" si="1"/>
        <v>STY</v>
      </c>
      <c r="I23" s="19">
        <f ca="1">IFERROR(IF(ROWS(I$8:I23)&lt;=$A$6, SMALL(INDEX(netscores, , $A$5), ROWS(I$8:I23)), ""),"")</f>
        <v>44</v>
      </c>
      <c r="J23" s="51"/>
      <c r="K23" s="29" t="str">
        <f ca="1">IF(L23="", "", IF(N23&lt;&gt;N22, ROWS(K$7:K22), ""))</f>
        <v/>
      </c>
      <c r="L23" s="18" t="str">
        <f ca="1">IF(N23="","",INDEX(leagueroster, MATCH(SUMPRODUCT(LARGE((INDEX(points,,$A$5)=N23)*(ids),COUNTIF(INDEX(points, , $A$5), N23)-COUNTIF(N$8:N23,N23)+1)), INDEX(leagueroster, , 2), 0), 1))</f>
        <v/>
      </c>
      <c r="M23" s="19" t="str">
        <f t="shared" ca="1" si="2"/>
        <v/>
      </c>
      <c r="N23" s="19" t="str">
        <f ca="1">IFERROR(IF(ROWS(N$8:N23)&lt;=$A$6+4, LARGE(INDEX(points, , $A$5), ROWS(N$8:N23)), ""),"")</f>
        <v/>
      </c>
      <c r="O23" s="51"/>
      <c r="P23" s="29" t="str">
        <f ca="1">IF(Q23="", "", IF(S23&lt;&gt;S22, ROWS(P$7:P22), ""))</f>
        <v/>
      </c>
      <c r="Q23" s="18" t="str">
        <f ca="1">IF(S23="","",INDEX(leagueroster, MATCH(SUMPRODUCT(LARGE((INDEX(birdies,,$A$5)=S23)*(ids),COUNTIF(INDEX(birdies, , $A$5), S23)-COUNTIF(S$8:S23,S23)+1)), INDEX(leagueroster, , 2), 0), 1))</f>
        <v/>
      </c>
      <c r="R23" s="19" t="str">
        <f t="shared" ca="1" si="5"/>
        <v/>
      </c>
      <c r="S23" s="19" t="str">
        <f ca="1">IF(ROWS(S$8:S23)&lt;=$P$6, LARGE(INDEX(birdies, , $A$5), ROWS(S$8:S23)), "")</f>
        <v/>
      </c>
      <c r="T23" s="51"/>
      <c r="U23" s="29" t="str">
        <f ca="1">IF(V23="", "", IF(X23&lt;&gt;X22, ROWS(U$7:U22), ""))</f>
        <v/>
      </c>
      <c r="V23" s="18" t="str" cm="1">
        <f t="array" aca="1" ref="V23" ca="1">IF(X23="","",INDEX(leagueroster, MATCH(SUMPRODUCT(LARGE((INDEX(eagles,,$A$5)=X23)*(ids),COUNTIF(INDEX(eagles, , $A$5), X23)-COUNTIF(X$8:X23,X23)+1)), INDEX(leagueroster, , 2), 0), 1))</f>
        <v/>
      </c>
      <c r="W23" s="19" t="str">
        <f t="shared" ca="1" si="6"/>
        <v/>
      </c>
      <c r="X23" s="19" t="str">
        <f ca="1">IF(ROWS(X$8:X23)&lt;=$U$6, LARGE(INDEX(eagles, , $A$5), ROWS(X$8:X23)), "")</f>
        <v/>
      </c>
      <c r="Y23" s="51"/>
      <c r="Z23" s="29"/>
      <c r="AB23" s="19"/>
      <c r="AC23" s="51"/>
      <c r="AD23" s="29"/>
      <c r="AF23" s="19"/>
      <c r="AG23" s="51"/>
    </row>
    <row r="24" spans="1:33" x14ac:dyDescent="0.2">
      <c r="A24" s="29" t="str">
        <f ca="1">IF(B24="", "", IF(D24&lt;&gt;D23, ROWS(A$7:A23), ""))</f>
        <v/>
      </c>
      <c r="B24" s="18" t="str">
        <f ca="1">IF(D24="","",INDEX(leagueroster, MATCH(SUMPRODUCT(LARGE((INDEX(scores,,$A$5)=D24)*(ids),COUNTIF(INDEX(scores, , $A$5), D24)-COUNTIF(D$8:D24,D24)+1)), INDEX(leagueroster, , 2), 0), 1))</f>
        <v/>
      </c>
      <c r="C24" s="19" t="str">
        <f t="shared" ca="1" si="0"/>
        <v/>
      </c>
      <c r="D24" s="19" t="str">
        <f ca="1">IFERROR(IF(ROWS(D$8:D24)&lt;=$A$6, SMALL(INDEX(scores, , $A$5), COUNTIF(INDEX(scores,,$A$5),0)+ROWS(D$8:D24)), ""),"")</f>
        <v/>
      </c>
      <c r="E24" s="51"/>
      <c r="F24" s="29" t="str">
        <f ca="1">IF(G24="", "", IF(I24&lt;&gt;I23, ROWS(F$7:F23), ""))</f>
        <v/>
      </c>
      <c r="G24" s="18" t="str">
        <f ca="1">IF(I24="","",INDEX(leagueroster, MATCH(SUMPRODUCT(LARGE((INDEX(netscores,,$A$5)=I24)*(ids),COUNTIF(INDEX(netscores, , $A$5), I24)-COUNTIF(I$8:I24,I24)+1)), INDEX(leagueroster, , 2), 0), 1))</f>
        <v/>
      </c>
      <c r="H24" s="19" t="str">
        <f t="shared" ca="1" si="1"/>
        <v/>
      </c>
      <c r="I24" s="19" t="str">
        <f ca="1">IFERROR(IF(ROWS(I$8:I24)&lt;=$A$6, SMALL(INDEX(netscores, , $A$5), ROWS(I$8:I24)), ""),"")</f>
        <v/>
      </c>
      <c r="J24" s="51"/>
      <c r="K24" s="29" t="str">
        <f ca="1">IF(L24="", "", IF(N24&lt;&gt;N23, ROWS(K$7:K23), ""))</f>
        <v/>
      </c>
      <c r="L24" s="18" t="str">
        <f ca="1">IF(N24="","",INDEX(leagueroster, MATCH(SUMPRODUCT(LARGE((INDEX(points,,$A$5)=N24)*(ids),COUNTIF(INDEX(points, , $A$5), N24)-COUNTIF(N$8:N24,N24)+1)), INDEX(leagueroster, , 2), 0), 1))</f>
        <v/>
      </c>
      <c r="M24" s="19" t="str">
        <f t="shared" ca="1" si="2"/>
        <v/>
      </c>
      <c r="N24" s="19" t="str">
        <f ca="1">IFERROR(IF(ROWS(N$8:N24)&lt;=$A$6+4, LARGE(INDEX(points, , $A$5), ROWS(N$8:N24)), ""),"")</f>
        <v/>
      </c>
      <c r="O24" s="51"/>
      <c r="P24" s="29" t="str">
        <f ca="1">IF(Q24="", "", IF(S24&lt;&gt;S23, ROWS(P$7:P23), ""))</f>
        <v/>
      </c>
      <c r="Q24" s="18" t="str">
        <f ca="1">IF(S24="","",INDEX(leagueroster, MATCH(SUMPRODUCT(LARGE((INDEX(birdies,,$A$5)=S24)*(ids),COUNTIF(INDEX(birdies, , $A$5), S24)-COUNTIF(S$8:S24,S24)+1)), INDEX(leagueroster, , 2), 0), 1))</f>
        <v/>
      </c>
      <c r="R24" s="19" t="str">
        <f t="shared" ca="1" si="5"/>
        <v/>
      </c>
      <c r="S24" s="19" t="str">
        <f ca="1">IF(ROWS(S$8:S24)&lt;=$P$6, LARGE(INDEX(birdies, , $A$5), ROWS(S$8:S24)), "")</f>
        <v/>
      </c>
      <c r="T24" s="51"/>
      <c r="U24" s="29" t="str">
        <f ca="1">IF(V24="", "", IF(X24&lt;&gt;X23, ROWS(U$7:U23), ""))</f>
        <v/>
      </c>
      <c r="V24" s="18" t="str" cm="1">
        <f t="array" aca="1" ref="V24" ca="1">IF(X24="","",INDEX(leagueroster, MATCH(SUMPRODUCT(LARGE((INDEX(eagles,,$A$5)=X24)*(ids),COUNTIF(INDEX(eagles, , $A$5), X24)-COUNTIF(X$8:X24,X24)+1)), INDEX(leagueroster, , 2), 0), 1))</f>
        <v/>
      </c>
      <c r="W24" s="19" t="str">
        <f t="shared" ca="1" si="6"/>
        <v/>
      </c>
      <c r="X24" s="19" t="str">
        <f ca="1">IF(ROWS(X$8:X24)&lt;=$U$6, LARGE(INDEX(eagles, , $A$5), ROWS(X$8:X24)), "")</f>
        <v/>
      </c>
      <c r="Y24" s="51"/>
      <c r="Z24" s="29"/>
      <c r="AB24" s="19"/>
      <c r="AC24" s="51"/>
      <c r="AD24" s="29"/>
      <c r="AF24" s="19"/>
      <c r="AG24" s="51"/>
    </row>
    <row r="25" spans="1:33" x14ac:dyDescent="0.2">
      <c r="A25" s="29" t="str">
        <f ca="1">IF(B25="", "", IF(D25&lt;&gt;D24, ROWS(A$7:A24), ""))</f>
        <v/>
      </c>
      <c r="B25" s="18" t="str">
        <f ca="1">IF(D25="","",INDEX(leagueroster, MATCH(SUMPRODUCT(LARGE((INDEX(scores,,$A$5)=D25)*(ids),COUNTIF(INDEX(scores, , $A$5), D25)-COUNTIF(D$8:D25,D25)+1)), INDEX(leagueroster, , 2), 0), 1))</f>
        <v/>
      </c>
      <c r="C25" s="19" t="str">
        <f t="shared" ca="1" si="0"/>
        <v/>
      </c>
      <c r="D25" s="19" t="str">
        <f ca="1">IFERROR(IF(ROWS(D$8:D25)&lt;=$A$6, SMALL(INDEX(scores, , $A$5), COUNTIF(INDEX(scores,,$A$5),0)+ROWS(D$8:D25)), ""),"")</f>
        <v/>
      </c>
      <c r="E25" s="51"/>
      <c r="F25" s="29" t="str">
        <f ca="1">IF(G25="", "", IF(I25&lt;&gt;I24, ROWS(F$7:F24), ""))</f>
        <v/>
      </c>
      <c r="G25" s="18" t="str">
        <f ca="1">IF(I25="","",INDEX(leagueroster, MATCH(SUMPRODUCT(LARGE((INDEX(netscores,,$A$5)=I25)*(ids),COUNTIF(INDEX(netscores, , $A$5), I25)-COUNTIF(I$8:I25,I25)+1)), INDEX(leagueroster, , 2), 0), 1))</f>
        <v/>
      </c>
      <c r="H25" s="19" t="str">
        <f t="shared" ca="1" si="1"/>
        <v/>
      </c>
      <c r="I25" s="19" t="str">
        <f ca="1">IFERROR(IF(ROWS(I$8:I25)&lt;=$A$6, SMALL(INDEX(netscores, , $A$5), ROWS(I$8:I25)), ""),"")</f>
        <v/>
      </c>
      <c r="J25" s="51"/>
      <c r="K25" s="29" t="str">
        <f ca="1">IF(L25="", "", IF(N25&lt;&gt;N24, ROWS(K$7:K24), ""))</f>
        <v/>
      </c>
      <c r="L25" s="18" t="str">
        <f ca="1">IF(N25="","",INDEX(leagueroster, MATCH(SUMPRODUCT(LARGE((INDEX(points,,$A$5)=N25)*(ids),COUNTIF(INDEX(points, , $A$5), N25)-COUNTIF(N$8:N25,N25)+1)), INDEX(leagueroster, , 2), 0), 1))</f>
        <v/>
      </c>
      <c r="M25" s="19" t="str">
        <f t="shared" ca="1" si="2"/>
        <v/>
      </c>
      <c r="N25" s="19" t="str">
        <f ca="1">IFERROR(IF(ROWS(N$8:N25)&lt;=$A$6+4, LARGE(INDEX(points, , $A$5), ROWS(N$8:N25)), ""),"")</f>
        <v/>
      </c>
      <c r="O25" s="51"/>
      <c r="P25" s="29" t="str">
        <f ca="1">IF(Q25="", "", IF(S25&lt;&gt;S24, ROWS(P$7:P24), ""))</f>
        <v/>
      </c>
      <c r="Q25" s="18" t="str">
        <f ca="1">IF(S25="","",INDEX(leagueroster, MATCH(SUMPRODUCT(LARGE((INDEX(birdies,,$A$5)=S25)*(ids),COUNTIF(INDEX(birdies, , $A$5), S25)-COUNTIF(S$8:S25,S25)+1)), INDEX(leagueroster, , 2), 0), 1))</f>
        <v/>
      </c>
      <c r="R25" s="19" t="str">
        <f t="shared" ca="1" si="5"/>
        <v/>
      </c>
      <c r="S25" s="19" t="str">
        <f ca="1">IF(ROWS(S$8:S25)&lt;=$P$6, LARGE(INDEX(birdies, , $A$5), ROWS(S$8:S25)), "")</f>
        <v/>
      </c>
      <c r="T25" s="51"/>
      <c r="U25" s="29" t="str">
        <f ca="1">IF(V25="", "", IF(X25&lt;&gt;X24, ROWS(U$7:U24), ""))</f>
        <v/>
      </c>
      <c r="V25" s="18" t="str" cm="1">
        <f t="array" aca="1" ref="V25" ca="1">IF(X25="","",INDEX(leagueroster, MATCH(SUMPRODUCT(LARGE((INDEX(eagles,,$A$5)=X25)*(ids),COUNTIF(INDEX(eagles, , $A$5), X25)-COUNTIF(X$8:X25,X25)+1)), INDEX(leagueroster, , 2), 0), 1))</f>
        <v/>
      </c>
      <c r="W25" s="19" t="str">
        <f t="shared" ca="1" si="6"/>
        <v/>
      </c>
      <c r="X25" s="19" t="str">
        <f ca="1">IF(ROWS(X$8:X25)&lt;=$U$6, LARGE(INDEX(eagles, , $A$5), ROWS(X$8:X25)), "")</f>
        <v/>
      </c>
      <c r="Y25" s="51"/>
      <c r="Z25" s="29"/>
      <c r="AB25" s="19"/>
      <c r="AC25" s="51"/>
      <c r="AD25" s="29"/>
      <c r="AF25" s="19"/>
      <c r="AG25" s="51"/>
    </row>
    <row r="26" spans="1:33" x14ac:dyDescent="0.2">
      <c r="A26" s="29" t="str">
        <f ca="1">IF(B26="", "", IF(D26&lt;&gt;D25, ROWS(A$7:A25), ""))</f>
        <v/>
      </c>
      <c r="B26" s="18" t="str">
        <f ca="1">IF(D26="","",INDEX(leagueroster, MATCH(SUMPRODUCT(LARGE((INDEX(scores,,$A$5)=D26)*(ids),COUNTIF(INDEX(scores, , $A$5), D26)-COUNTIF(D$8:D26,D26)+1)), INDEX(leagueroster, , 2), 0), 1))</f>
        <v/>
      </c>
      <c r="C26" s="19" t="str">
        <f t="shared" ca="1" si="0"/>
        <v/>
      </c>
      <c r="D26" s="19" t="str">
        <f ca="1">IFERROR(IF(ROWS(D$8:D26)&lt;=$A$6, SMALL(INDEX(scores, , $A$5), COUNTIF(INDEX(scores,,$A$5),0)+ROWS(D$8:D26)), ""),"")</f>
        <v/>
      </c>
      <c r="E26" s="51"/>
      <c r="F26" s="29" t="str">
        <f ca="1">IF(G26="", "", IF(I26&lt;&gt;I25, ROWS(F$7:F25), ""))</f>
        <v/>
      </c>
      <c r="G26" s="18" t="str">
        <f ca="1">IF(I26="","",INDEX(leagueroster, MATCH(SUMPRODUCT(LARGE((INDEX(netscores,,$A$5)=I26)*(ids),COUNTIF(INDEX(netscores, , $A$5), I26)-COUNTIF(I$8:I26,I26)+1)), INDEX(leagueroster, , 2), 0), 1))</f>
        <v/>
      </c>
      <c r="H26" s="19" t="str">
        <f t="shared" ca="1" si="1"/>
        <v/>
      </c>
      <c r="I26" s="19" t="str">
        <f ca="1">IFERROR(IF(ROWS(I$8:I26)&lt;=$A$6, SMALL(INDEX(netscores, , $A$5), ROWS(I$8:I26)), ""),"")</f>
        <v/>
      </c>
      <c r="J26" s="51"/>
      <c r="K26" s="29" t="str">
        <f ca="1">IF(L26="", "", IF(N26&lt;&gt;N25, ROWS(K$7:K25), ""))</f>
        <v/>
      </c>
      <c r="L26" s="18" t="str">
        <f ca="1">IF(N26="","",INDEX(leagueroster, MATCH(SUMPRODUCT(LARGE((INDEX(points,,$A$5)=N26)*(ids),COUNTIF(INDEX(points, , $A$5), N26)-COUNTIF(N$8:N26,N26)+1)), INDEX(leagueroster, , 2), 0), 1))</f>
        <v/>
      </c>
      <c r="M26" s="19" t="str">
        <f t="shared" ca="1" si="2"/>
        <v/>
      </c>
      <c r="N26" s="19" t="str">
        <f ca="1">IFERROR(IF(ROWS(N$8:N26)&lt;=$A$6+4, LARGE(INDEX(points, , $A$5), ROWS(N$8:N26)), ""),"")</f>
        <v/>
      </c>
      <c r="O26" s="51"/>
      <c r="P26" s="29" t="str">
        <f ca="1">IF(Q26="", "", IF(S26&lt;&gt;S25, ROWS(P$7:P25), ""))</f>
        <v/>
      </c>
      <c r="Q26" s="18" t="str">
        <f ca="1">IF(S26="","",INDEX(leagueroster, MATCH(SUMPRODUCT(LARGE((INDEX(birdies,,$A$5)=S26)*(ids),COUNTIF(INDEX(birdies, , $A$5), S26)-COUNTIF(S$8:S26,S26)+1)), INDEX(leagueroster, , 2), 0), 1))</f>
        <v/>
      </c>
      <c r="R26" s="19" t="str">
        <f t="shared" ca="1" si="5"/>
        <v/>
      </c>
      <c r="S26" s="19" t="str">
        <f ca="1">IF(ROWS(S$8:S26)&lt;=$P$6, LARGE(INDEX(birdies, , $A$5), ROWS(S$8:S26)), "")</f>
        <v/>
      </c>
      <c r="T26" s="51"/>
      <c r="U26" s="29" t="str">
        <f ca="1">IF(V26="", "", IF(X26&lt;&gt;X25, ROWS(U$7:U25), ""))</f>
        <v/>
      </c>
      <c r="V26" s="18" t="str" cm="1">
        <f t="array" aca="1" ref="V26" ca="1">IF(X26="","",INDEX(leagueroster, MATCH(SUMPRODUCT(LARGE((INDEX(eagles,,$A$5)=X26)*(ids),COUNTIF(INDEX(eagles, , $A$5), X26)-COUNTIF(X$8:X26,X26)+1)), INDEX(leagueroster, , 2), 0), 1))</f>
        <v/>
      </c>
      <c r="W26" s="19" t="str">
        <f t="shared" ca="1" si="6"/>
        <v/>
      </c>
      <c r="X26" s="19" t="str">
        <f ca="1">IF(ROWS(X$8:X26)&lt;=$U$6, LARGE(INDEX(eagles, , $A$5), ROWS(X$8:X26)), "")</f>
        <v/>
      </c>
      <c r="Y26" s="51"/>
      <c r="Z26" s="29"/>
      <c r="AB26" s="19"/>
      <c r="AC26" s="51"/>
      <c r="AD26" s="29"/>
      <c r="AF26" s="19"/>
      <c r="AG26" s="51"/>
    </row>
    <row r="27" spans="1:33" x14ac:dyDescent="0.2">
      <c r="A27" s="29" t="str">
        <f ca="1">IF(B27="", "", IF(D27&lt;&gt;D26, ROWS(A$7:A26), ""))</f>
        <v/>
      </c>
      <c r="B27" s="18" t="str">
        <f ca="1">IF(D27="","",INDEX(leagueroster, MATCH(SUMPRODUCT(LARGE((INDEX(scores,,$A$5)=D27)*(ids),COUNTIF(INDEX(scores, , $A$5), D27)-COUNTIF(D$8:D27,D27)+1)), INDEX(leagueroster, , 2), 0), 1))</f>
        <v/>
      </c>
      <c r="C27" s="19" t="str">
        <f t="shared" ca="1" si="0"/>
        <v/>
      </c>
      <c r="D27" s="19" t="str">
        <f ca="1">IFERROR(IF(ROWS(D$8:D27)&lt;=$A$6, SMALL(INDEX(scores, , $A$5), COUNTIF(INDEX(scores,,$A$5),0)+ROWS(D$8:D27)), ""),"")</f>
        <v/>
      </c>
      <c r="E27" s="51"/>
      <c r="F27" s="29" t="str">
        <f ca="1">IF(G27="", "", IF(I27&lt;&gt;I26, ROWS(F$7:F26), ""))</f>
        <v/>
      </c>
      <c r="G27" s="18" t="str">
        <f ca="1">IF(I27="","",INDEX(leagueroster, MATCH(SUMPRODUCT(LARGE((INDEX(netscores,,$A$5)=I27)*(ids),COUNTIF(INDEX(netscores, , $A$5), I27)-COUNTIF(I$8:I27,I27)+1)), INDEX(leagueroster, , 2), 0), 1))</f>
        <v/>
      </c>
      <c r="H27" s="19" t="str">
        <f t="shared" ca="1" si="1"/>
        <v/>
      </c>
      <c r="I27" s="19" t="str">
        <f ca="1">IFERROR(IF(ROWS(I$8:I27)&lt;=$A$6, SMALL(INDEX(netscores, , $A$5), ROWS(I$8:I27)), ""),"")</f>
        <v/>
      </c>
      <c r="J27" s="51"/>
      <c r="K27" s="29" t="str">
        <f ca="1">IF(L27="", "", IF(N27&lt;&gt;N26, ROWS(K$7:K26), ""))</f>
        <v/>
      </c>
      <c r="L27" s="18" t="str">
        <f ca="1">IF(N27="","",INDEX(leagueroster, MATCH(SUMPRODUCT(LARGE((INDEX(points,,$A$5)=N27)*(ids),COUNTIF(INDEX(points, , $A$5), N27)-COUNTIF(N$8:N27,N27)+1)), INDEX(leagueroster, , 2), 0), 1))</f>
        <v/>
      </c>
      <c r="M27" s="19" t="str">
        <f t="shared" ca="1" si="2"/>
        <v/>
      </c>
      <c r="N27" s="19" t="str">
        <f ca="1">IFERROR(IF(ROWS(N$8:N27)&lt;=$A$6+4, LARGE(INDEX(points, , $A$5), ROWS(N$8:N27)), ""),"")</f>
        <v/>
      </c>
      <c r="O27" s="51"/>
      <c r="P27" s="29" t="str">
        <f ca="1">IF(Q27="", "", IF(S27&lt;&gt;S26, ROWS(P$7:P26), ""))</f>
        <v/>
      </c>
      <c r="Q27" s="18" t="str">
        <f ca="1">IF(S27="","",INDEX(leagueroster, MATCH(SUMPRODUCT(LARGE((INDEX(birdies,,$A$5)=S27)*(ids),COUNTIF(INDEX(birdies, , $A$5), S27)-COUNTIF(S$8:S27,S27)+1)), INDEX(leagueroster, , 2), 0), 1))</f>
        <v/>
      </c>
      <c r="R27" s="19" t="str">
        <f t="shared" ca="1" si="5"/>
        <v/>
      </c>
      <c r="S27" s="19" t="str">
        <f ca="1">IF(ROWS(S$8:S27)&lt;=$P$6, LARGE(INDEX(birdies, , $A$5), ROWS(S$8:S27)), "")</f>
        <v/>
      </c>
      <c r="T27" s="51"/>
      <c r="U27" s="29" t="str">
        <f ca="1">IF(V27="", "", IF(X27&lt;&gt;X26, ROWS(U$7:U26), ""))</f>
        <v/>
      </c>
      <c r="V27" s="18" t="str" cm="1">
        <f t="array" aca="1" ref="V27" ca="1">IF(X27="","",INDEX(leagueroster, MATCH(SUMPRODUCT(LARGE((INDEX(eagles,,$A$5)=X27)*(ids),COUNTIF(INDEX(eagles, , $A$5), X27)-COUNTIF(X$8:X27,X27)+1)), INDEX(leagueroster, , 2), 0), 1))</f>
        <v/>
      </c>
      <c r="W27" s="19" t="str">
        <f t="shared" ca="1" si="6"/>
        <v/>
      </c>
      <c r="X27" s="19" t="str">
        <f ca="1">IF(ROWS(X$8:X27)&lt;=$U$6, LARGE(INDEX(eagles, , $A$5), ROWS(X$8:X27)), "")</f>
        <v/>
      </c>
      <c r="Y27" s="51"/>
      <c r="Z27" s="29"/>
      <c r="AB27" s="19"/>
      <c r="AC27" s="51"/>
      <c r="AD27" s="29"/>
      <c r="AF27" s="19"/>
      <c r="AG27" s="51"/>
    </row>
    <row r="28" spans="1:33" x14ac:dyDescent="0.2">
      <c r="A28" s="29" t="str">
        <f ca="1">IF(B28="", "", IF(D28&lt;&gt;D27, ROWS(A$7:A27), ""))</f>
        <v/>
      </c>
      <c r="B28" s="18" t="str">
        <f ca="1">IF(D28="","",INDEX(leagueroster, MATCH(SUMPRODUCT(LARGE((INDEX(scores,,$A$5)=D28)*(ids),COUNTIF(INDEX(scores, , $A$5), D28)-COUNTIF(D$8:D28,D28)+1)), INDEX(leagueroster, , 2), 0), 1))</f>
        <v/>
      </c>
      <c r="C28" s="19" t="str">
        <f t="shared" ca="1" si="0"/>
        <v/>
      </c>
      <c r="D28" s="19" t="str">
        <f ca="1">IFERROR(IF(ROWS(D$8:D28)&lt;=$A$6, SMALL(INDEX(scores, , $A$5), COUNTIF(INDEX(scores,,$A$5),0)+ROWS(D$8:D28)), ""),"")</f>
        <v/>
      </c>
      <c r="E28" s="51"/>
      <c r="F28" s="29" t="str">
        <f ca="1">IF(G28="", "", IF(I28&lt;&gt;I27, ROWS(F$7:F27), ""))</f>
        <v/>
      </c>
      <c r="G28" s="18" t="str">
        <f ca="1">IF(I28="","",INDEX(leagueroster, MATCH(SUMPRODUCT(LARGE((INDEX(netscores,,$A$5)=I28)*(ids),COUNTIF(INDEX(netscores, , $A$5), I28)-COUNTIF(I$8:I28,I28)+1)), INDEX(leagueroster, , 2), 0), 1))</f>
        <v/>
      </c>
      <c r="H28" s="19" t="str">
        <f t="shared" ca="1" si="1"/>
        <v/>
      </c>
      <c r="I28" s="19" t="str">
        <f ca="1">IFERROR(IF(ROWS(I$8:I28)&lt;=$A$6, SMALL(INDEX(netscores, , $A$5), ROWS(I$8:I28)), ""),"")</f>
        <v/>
      </c>
      <c r="J28" s="51"/>
      <c r="K28" s="29" t="str">
        <f ca="1">IF(L28="", "", IF(N28&lt;&gt;N27, ROWS(K$7:K27), ""))</f>
        <v/>
      </c>
      <c r="L28" s="18" t="str">
        <f ca="1">IF(N28="","",INDEX(leagueroster, MATCH(SUMPRODUCT(LARGE((INDEX(points,,$A$5)=N28)*(ids),COUNTIF(INDEX(points, , $A$5), N28)-COUNTIF(N$8:N28,N28)+1)), INDEX(leagueroster, , 2), 0), 1))</f>
        <v/>
      </c>
      <c r="M28" s="19" t="str">
        <f t="shared" ca="1" si="2"/>
        <v/>
      </c>
      <c r="N28" s="19" t="str">
        <f ca="1">IFERROR(IF(ROWS(N$8:N28)&lt;=$A$6+4, LARGE(INDEX(points, , $A$5), ROWS(N$8:N28)), ""),"")</f>
        <v/>
      </c>
      <c r="O28" s="51"/>
      <c r="P28" s="29" t="str">
        <f ca="1">IF(Q28="", "", IF(S28&lt;&gt;S27, ROWS(P$7:P27), ""))</f>
        <v/>
      </c>
      <c r="Q28" s="18" t="str">
        <f ca="1">IF(S28="","",INDEX(leagueroster, MATCH(SUMPRODUCT(LARGE((INDEX(birdies,,$A$5)=S28)*(ids),COUNTIF(INDEX(birdies, , $A$5), S28)-COUNTIF(S$8:S28,S28)+1)), INDEX(leagueroster, , 2), 0), 1))</f>
        <v/>
      </c>
      <c r="R28" s="19" t="str">
        <f t="shared" ca="1" si="5"/>
        <v/>
      </c>
      <c r="S28" s="19" t="str">
        <f ca="1">IF(ROWS(S$8:S28)&lt;=$P$6, LARGE(INDEX(birdies, , $A$5), ROWS(S$8:S28)), "")</f>
        <v/>
      </c>
      <c r="T28" s="51"/>
      <c r="U28" s="29" t="str">
        <f ca="1">IF(V28="", "", IF(X28&lt;&gt;X27, ROWS(U$7:U27), ""))</f>
        <v/>
      </c>
      <c r="V28" s="18" t="str" cm="1">
        <f t="array" aca="1" ref="V28" ca="1">IF(X28="","",INDEX(leagueroster, MATCH(SUMPRODUCT(LARGE((INDEX(eagles,,$A$5)=X28)*(ids),COUNTIF(INDEX(eagles, , $A$5), X28)-COUNTIF(X$8:X28,X28)+1)), INDEX(leagueroster, , 2), 0), 1))</f>
        <v/>
      </c>
      <c r="W28" s="19" t="str">
        <f t="shared" ca="1" si="6"/>
        <v/>
      </c>
      <c r="X28" s="19" t="str">
        <f ca="1">IF(ROWS(X$8:X28)&lt;=$U$6, LARGE(INDEX(eagles, , $A$5), ROWS(X$8:X28)), "")</f>
        <v/>
      </c>
      <c r="Y28" s="51"/>
      <c r="Z28" s="29"/>
      <c r="AB28" s="19"/>
      <c r="AC28" s="51"/>
      <c r="AD28" s="29"/>
      <c r="AF28" s="19"/>
      <c r="AG28" s="51"/>
    </row>
    <row r="29" spans="1:33" x14ac:dyDescent="0.2">
      <c r="A29" s="29" t="str">
        <f ca="1">IF(B29="", "", IF(D29&lt;&gt;D28, ROWS(A$7:A28), ""))</f>
        <v/>
      </c>
      <c r="B29" s="18" t="str">
        <f ca="1">IF(D29="","",INDEX(leagueroster, MATCH(SUMPRODUCT(LARGE((INDEX(scores,,$A$5)=D29)*(ids),COUNTIF(INDEX(scores, , $A$5), D29)-COUNTIF(D$8:D29,D29)+1)), INDEX(leagueroster, , 2), 0), 1))</f>
        <v/>
      </c>
      <c r="C29" s="19" t="str">
        <f t="shared" ca="1" si="0"/>
        <v/>
      </c>
      <c r="D29" s="19" t="str">
        <f ca="1">IFERROR(IF(ROWS(D$8:D29)&lt;=$A$6, SMALL(INDEX(scores, , $A$5), COUNTIF(INDEX(scores,,$A$5),0)+ROWS(D$8:D29)), ""),"")</f>
        <v/>
      </c>
      <c r="E29" s="51"/>
      <c r="F29" s="29" t="str">
        <f ca="1">IF(G29="", "", IF(I29&lt;&gt;I28, ROWS(F$7:F28), ""))</f>
        <v/>
      </c>
      <c r="G29" s="18" t="str">
        <f ca="1">IF(I29="","",INDEX(leagueroster, MATCH(SUMPRODUCT(LARGE((INDEX(netscores,,$A$5)=I29)*(ids),COUNTIF(INDEX(netscores, , $A$5), I29)-COUNTIF(I$8:I29,I29)+1)), INDEX(leagueroster, , 2), 0), 1))</f>
        <v/>
      </c>
      <c r="H29" s="19" t="str">
        <f t="shared" ca="1" si="1"/>
        <v/>
      </c>
      <c r="I29" s="19" t="str">
        <f ca="1">IFERROR(IF(ROWS(I$8:I29)&lt;=$A$6, SMALL(INDEX(netscores, , $A$5), ROWS(I$8:I29)), ""),"")</f>
        <v/>
      </c>
      <c r="J29" s="51"/>
      <c r="K29" s="29" t="str">
        <f ca="1">IF(L29="", "", IF(N29&lt;&gt;N28, ROWS(K$7:K28), ""))</f>
        <v/>
      </c>
      <c r="L29" s="18" t="str">
        <f ca="1">IF(N29="","",INDEX(leagueroster, MATCH(SUMPRODUCT(LARGE((INDEX(points,,$A$5)=N29)*(ids),COUNTIF(INDEX(points, , $A$5), N29)-COUNTIF(N$8:N29,N29)+1)), INDEX(leagueroster, , 2), 0), 1))</f>
        <v/>
      </c>
      <c r="M29" s="19" t="str">
        <f t="shared" ca="1" si="2"/>
        <v/>
      </c>
      <c r="N29" s="19" t="str">
        <f ca="1">IFERROR(IF(ROWS(N$8:N29)&lt;=$A$6+4, LARGE(INDEX(points, , $A$5), ROWS(N$8:N29)), ""),"")</f>
        <v/>
      </c>
      <c r="O29" s="51"/>
      <c r="P29" s="29" t="str">
        <f ca="1">IF(Q29="", "", IF(S29&lt;&gt;S28, ROWS(P$7:P28), ""))</f>
        <v/>
      </c>
      <c r="Q29" s="18" t="str">
        <f ca="1">IF(S29="","",INDEX(leagueroster, MATCH(SUMPRODUCT(LARGE((INDEX(birdies,,$A$5)=S29)*(ids),COUNTIF(INDEX(birdies, , $A$5), S29)-COUNTIF(S$8:S29,S29)+1)), INDEX(leagueroster, , 2), 0), 1))</f>
        <v/>
      </c>
      <c r="R29" s="19" t="str">
        <f t="shared" ca="1" si="5"/>
        <v/>
      </c>
      <c r="S29" s="19" t="str">
        <f ca="1">IF(ROWS(S$8:S29)&lt;=$P$6, LARGE(INDEX(birdies, , $A$5), ROWS(S$8:S29)), "")</f>
        <v/>
      </c>
      <c r="T29" s="51"/>
      <c r="U29" s="29" t="str">
        <f ca="1">IF(V29="", "", IF(X29&lt;&gt;X28, ROWS(U$7:U28), ""))</f>
        <v/>
      </c>
      <c r="V29" s="18" t="str" cm="1">
        <f t="array" aca="1" ref="V29" ca="1">IF(X29="","",INDEX(leagueroster, MATCH(SUMPRODUCT(LARGE((INDEX(eagles,,$A$5)=X29)*(ids),COUNTIF(INDEX(eagles, , $A$5), X29)-COUNTIF(X$8:X29,X29)+1)), INDEX(leagueroster, , 2), 0), 1))</f>
        <v/>
      </c>
      <c r="W29" s="19" t="str">
        <f t="shared" ca="1" si="6"/>
        <v/>
      </c>
      <c r="X29" s="19" t="str">
        <f ca="1">IF(ROWS(X$8:X29)&lt;=$U$6, LARGE(INDEX(eagles, , $A$5), ROWS(X$8:X29)), "")</f>
        <v/>
      </c>
      <c r="Y29" s="51"/>
      <c r="Z29" s="29"/>
      <c r="AB29" s="19"/>
      <c r="AC29" s="51"/>
      <c r="AD29" s="29"/>
      <c r="AF29" s="19"/>
      <c r="AG29" s="51"/>
    </row>
    <row r="30" spans="1:33" x14ac:dyDescent="0.2">
      <c r="A30" s="29" t="str">
        <f ca="1">IF(B30="", "", IF(D30&lt;&gt;D29, ROWS(A$7:A29), ""))</f>
        <v/>
      </c>
      <c r="B30" s="18" t="str">
        <f ca="1">IF(D30="","",INDEX(leagueroster, MATCH(SUMPRODUCT(LARGE((INDEX(scores,,$A$5)=D30)*(ids),COUNTIF(INDEX(scores, , $A$5), D30)-COUNTIF(D$8:D30,D30)+1)), INDEX(leagueroster, , 2), 0), 1))</f>
        <v/>
      </c>
      <c r="C30" s="19" t="str">
        <f t="shared" ca="1" si="0"/>
        <v/>
      </c>
      <c r="D30" s="19" t="str">
        <f ca="1">IFERROR(IF(ROWS(D$8:D30)&lt;=$A$6, SMALL(INDEX(scores, , $A$5), COUNTIF(INDEX(scores,,$A$5),0)+ROWS(D$8:D30)), ""),"")</f>
        <v/>
      </c>
      <c r="E30" s="51"/>
      <c r="F30" s="29" t="str">
        <f ca="1">IF(G30="", "", IF(I30&lt;&gt;I29, ROWS(F$7:F29), ""))</f>
        <v/>
      </c>
      <c r="G30" s="18" t="str">
        <f ca="1">IF(I30="","",INDEX(leagueroster, MATCH(SUMPRODUCT(LARGE((INDEX(netscores,,$A$5)=I30)*(ids),COUNTIF(INDEX(netscores, , $A$5), I30)-COUNTIF(I$8:I30,I30)+1)), INDEX(leagueroster, , 2), 0), 1))</f>
        <v/>
      </c>
      <c r="H30" s="19" t="str">
        <f t="shared" ca="1" si="1"/>
        <v/>
      </c>
      <c r="I30" s="19" t="str">
        <f ca="1">IFERROR(IF(ROWS(I$8:I30)&lt;=$A$6, SMALL(INDEX(netscores, , $A$5), ROWS(I$8:I30)), ""),"")</f>
        <v/>
      </c>
      <c r="J30" s="51"/>
      <c r="K30" s="29" t="str">
        <f ca="1">IF(L30="", "", IF(N30&lt;&gt;N29, ROWS(K$7:K29), ""))</f>
        <v/>
      </c>
      <c r="L30" s="18" t="str">
        <f ca="1">IF(N30="","",INDEX(leagueroster, MATCH(SUMPRODUCT(LARGE((INDEX(points,,$A$5)=N30)*(ids),COUNTIF(INDEX(points, , $A$5), N30)-COUNTIF(N$8:N30,N30)+1)), INDEX(leagueroster, , 2), 0), 1))</f>
        <v/>
      </c>
      <c r="M30" s="19" t="str">
        <f t="shared" ca="1" si="2"/>
        <v/>
      </c>
      <c r="N30" s="19" t="str">
        <f ca="1">IFERROR(IF(ROWS(N$8:N30)&lt;=$A$6+4, LARGE(INDEX(points, , $A$5), ROWS(N$8:N30)), ""),"")</f>
        <v/>
      </c>
      <c r="O30" s="51"/>
      <c r="P30" s="29" t="str">
        <f ca="1">IF(Q30="", "", IF(S30&lt;&gt;S29, ROWS(P$7:P29), ""))</f>
        <v/>
      </c>
      <c r="Q30" s="18" t="str">
        <f ca="1">IF(S30="","",INDEX(leagueroster, MATCH(SUMPRODUCT(LARGE((INDEX(birdies,,$A$5)=S30)*(ids),COUNTIF(INDEX(birdies, , $A$5), S30)-COUNTIF(S$8:S30,S30)+1)), INDEX(leagueroster, , 2), 0), 1))</f>
        <v/>
      </c>
      <c r="R30" s="19" t="str">
        <f t="shared" ca="1" si="5"/>
        <v/>
      </c>
      <c r="S30" s="19" t="str">
        <f ca="1">IF(ROWS(S$8:S30)&lt;=$P$6, LARGE(INDEX(birdies, , $A$5), ROWS(S$8:S30)), "")</f>
        <v/>
      </c>
      <c r="T30" s="51"/>
      <c r="U30" s="29" t="str">
        <f ca="1">IF(V30="", "", IF(X30&lt;&gt;X29, ROWS(U$7:U29), ""))</f>
        <v/>
      </c>
      <c r="V30" s="18" t="str" cm="1">
        <f t="array" aca="1" ref="V30" ca="1">IF(X30="","",INDEX(leagueroster, MATCH(SUMPRODUCT(LARGE((INDEX(eagles,,$A$5)=X30)*(ids),COUNTIF(INDEX(eagles, , $A$5), X30)-COUNTIF(X$8:X30,X30)+1)), INDEX(leagueroster, , 2), 0), 1))</f>
        <v/>
      </c>
      <c r="W30" s="19" t="str">
        <f t="shared" ca="1" si="6"/>
        <v/>
      </c>
      <c r="X30" s="19" t="str">
        <f ca="1">IF(ROWS(X$8:X30)&lt;=$U$6, LARGE(INDEX(eagles, , $A$5), ROWS(X$8:X30)), "")</f>
        <v/>
      </c>
      <c r="Y30" s="51"/>
      <c r="Z30" s="29"/>
      <c r="AB30" s="19"/>
      <c r="AC30" s="51"/>
      <c r="AD30" s="29"/>
      <c r="AF30" s="19"/>
      <c r="AG30" s="51"/>
    </row>
    <row r="31" spans="1:33" x14ac:dyDescent="0.2">
      <c r="A31" s="29" t="str">
        <f ca="1">IF(B31="", "", IF(D31&lt;&gt;D30, ROWS(A$7:A30), ""))</f>
        <v/>
      </c>
      <c r="B31" s="18" t="str">
        <f ca="1">IF(D31="","",INDEX(leagueroster, MATCH(SUMPRODUCT(LARGE((INDEX(scores,,$A$5)=D31)*(ids),COUNTIF(INDEX(scores, , $A$5), D31)-COUNTIF(D$8:D31,D31)+1)), INDEX(leagueroster, , 2), 0), 1))</f>
        <v/>
      </c>
      <c r="C31" s="19" t="str">
        <f t="shared" ca="1" si="0"/>
        <v/>
      </c>
      <c r="D31" s="19" t="str">
        <f ca="1">IFERROR(IF(ROWS(D$8:D31)&lt;=$A$6, SMALL(INDEX(scores, , $A$5), COUNTIF(INDEX(scores,,$A$5),0)+ROWS(D$8:D31)), ""),"")</f>
        <v/>
      </c>
      <c r="E31" s="51"/>
      <c r="F31" s="29" t="str">
        <f ca="1">IF(G31="", "", IF(I31&lt;&gt;I30, ROWS(F$7:F30), ""))</f>
        <v/>
      </c>
      <c r="G31" s="18" t="str">
        <f ca="1">IF(I31="","",INDEX(leagueroster, MATCH(SUMPRODUCT(LARGE((INDEX(netscores,,$A$5)=I31)*(ids),COUNTIF(INDEX(netscores, , $A$5), I31)-COUNTIF(I$8:I31,I31)+1)), INDEX(leagueroster, , 2), 0), 1))</f>
        <v/>
      </c>
      <c r="H31" s="19" t="str">
        <f t="shared" ca="1" si="1"/>
        <v/>
      </c>
      <c r="I31" s="19" t="str">
        <f ca="1">IFERROR(IF(ROWS(I$8:I31)&lt;=$A$6, SMALL(INDEX(netscores, , $A$5), ROWS(I$8:I31)), ""),"")</f>
        <v/>
      </c>
      <c r="J31" s="51"/>
      <c r="K31" s="29" t="str">
        <f ca="1">IF(L31="", "", IF(N31&lt;&gt;N30, ROWS(K$7:K30), ""))</f>
        <v/>
      </c>
      <c r="L31" s="18" t="str">
        <f ca="1">IF(N31="","",INDEX(leagueroster, MATCH(SUMPRODUCT(LARGE((INDEX(points,,$A$5)=N31)*(ids),COUNTIF(INDEX(points, , $A$5), N31)-COUNTIF(N$8:N31,N31)+1)), INDEX(leagueroster, , 2), 0), 1))</f>
        <v/>
      </c>
      <c r="M31" s="19" t="str">
        <f t="shared" ca="1" si="2"/>
        <v/>
      </c>
      <c r="N31" s="19" t="str">
        <f ca="1">IFERROR(IF(ROWS(N$8:N31)&lt;=$A$6+4, LARGE(INDEX(points, , $A$5), ROWS(N$8:N31)), ""),"")</f>
        <v/>
      </c>
      <c r="O31" s="51"/>
      <c r="P31" s="29" t="str">
        <f ca="1">IF(Q31="", "", IF(S31&lt;&gt;S30, ROWS(P$7:P30), ""))</f>
        <v/>
      </c>
      <c r="Q31" s="18" t="str">
        <f ca="1">IF(S31="","",INDEX(leagueroster, MATCH(SUMPRODUCT(LARGE((INDEX(birdies,,$A$5)=S31)*(ids),COUNTIF(INDEX(birdies, , $A$5), S31)-COUNTIF(S$8:S31,S31)+1)), INDEX(leagueroster, , 2), 0), 1))</f>
        <v/>
      </c>
      <c r="R31" s="19" t="str">
        <f t="shared" ca="1" si="5"/>
        <v/>
      </c>
      <c r="S31" s="19" t="str">
        <f ca="1">IF(ROWS(S$8:S31)&lt;=$P$6, LARGE(INDEX(birdies, , $A$5), ROWS(S$8:S31)), "")</f>
        <v/>
      </c>
      <c r="T31" s="51"/>
      <c r="U31" s="29" t="str">
        <f ca="1">IF(V31="", "", IF(X31&lt;&gt;X30, ROWS(U$7:U30), ""))</f>
        <v/>
      </c>
      <c r="V31" s="18" t="str" cm="1">
        <f t="array" aca="1" ref="V31" ca="1">IF(X31="","",INDEX(leagueroster, MATCH(SUMPRODUCT(LARGE((INDEX(eagles,,$A$5)=X31)*(ids),COUNTIF(INDEX(eagles, , $A$5), X31)-COUNTIF(X$8:X31,X31)+1)), INDEX(leagueroster, , 2), 0), 1))</f>
        <v/>
      </c>
      <c r="W31" s="19" t="str">
        <f t="shared" ca="1" si="6"/>
        <v/>
      </c>
      <c r="X31" s="19" t="str">
        <f ca="1">IF(ROWS(X$8:X31)&lt;=$U$6, LARGE(INDEX(eagles, , $A$5), ROWS(X$8:X31)), "")</f>
        <v/>
      </c>
      <c r="Y31" s="51"/>
      <c r="Z31" s="29"/>
      <c r="AB31" s="19"/>
      <c r="AC31" s="51"/>
      <c r="AD31" s="29"/>
      <c r="AF31" s="19"/>
      <c r="AG31" s="51"/>
    </row>
    <row r="32" spans="1:33" x14ac:dyDescent="0.2">
      <c r="A32" s="29" t="str">
        <f ca="1">IF(B32="", "", IF(D32&lt;&gt;D31, ROWS(A$7:A31), ""))</f>
        <v/>
      </c>
      <c r="B32" s="18" t="str">
        <f ca="1">IF(D32="","",INDEX(leagueroster, MATCH(SUMPRODUCT(LARGE((INDEX(scores,,$A$5)=D32)*(ids),COUNTIF(INDEX(scores, , $A$5), D32)-COUNTIF(D$8:D32,D32)+1)), INDEX(leagueroster, , 2), 0), 1))</f>
        <v/>
      </c>
      <c r="C32" s="19" t="str">
        <f t="shared" ca="1" si="0"/>
        <v/>
      </c>
      <c r="D32" s="19" t="str">
        <f ca="1">IFERROR(IF(ROWS(D$8:D32)&lt;=$A$6, SMALL(INDEX(scores, , $A$5), COUNTIF(INDEX(scores,,$A$5),0)+ROWS(D$8:D32)), ""),"")</f>
        <v/>
      </c>
      <c r="E32" s="51"/>
      <c r="F32" s="29" t="str">
        <f ca="1">IF(G32="", "", IF(I32&lt;&gt;I31, ROWS(F$7:F31), ""))</f>
        <v/>
      </c>
      <c r="G32" s="18" t="str">
        <f ca="1">IF(I32="","",INDEX(leagueroster, MATCH(SUMPRODUCT(LARGE((INDEX(netscores,,$A$5)=I32)*(ids),COUNTIF(INDEX(netscores, , $A$5), I32)-COUNTIF(I$8:I32,I32)+1)), INDEX(leagueroster, , 2), 0), 1))</f>
        <v/>
      </c>
      <c r="H32" s="19" t="str">
        <f t="shared" ca="1" si="1"/>
        <v/>
      </c>
      <c r="I32" s="19" t="str">
        <f ca="1">IFERROR(IF(ROWS(I$8:I32)&lt;=$A$6, SMALL(INDEX(netscores, , $A$5), ROWS(I$8:I32)), ""),"")</f>
        <v/>
      </c>
      <c r="J32" s="51"/>
      <c r="K32" s="29" t="str">
        <f ca="1">IF(L32="", "", IF(N32&lt;&gt;N31, ROWS(K$7:K31), ""))</f>
        <v/>
      </c>
      <c r="L32" s="18" t="str">
        <f ca="1">IF(N32="","",INDEX(leagueroster, MATCH(SUMPRODUCT(LARGE((INDEX(points,,$A$5)=N32)*(ids),COUNTIF(INDEX(points, , $A$5), N32)-COUNTIF(N$8:N32,N32)+1)), INDEX(leagueroster, , 2), 0), 1))</f>
        <v/>
      </c>
      <c r="M32" s="19" t="str">
        <f t="shared" ca="1" si="2"/>
        <v/>
      </c>
      <c r="N32" s="19" t="str">
        <f ca="1">IFERROR(IF(ROWS(N$8:N32)&lt;=$A$6+4, LARGE(INDEX(points, , $A$5), ROWS(N$8:N32)), ""),"")</f>
        <v/>
      </c>
      <c r="O32" s="51"/>
      <c r="P32" s="29" t="str">
        <f ca="1">IF(Q32="", "", IF(S32&lt;&gt;S31, ROWS(P$7:P31), ""))</f>
        <v/>
      </c>
      <c r="Q32" s="18" t="str">
        <f ca="1">IF(S32="","",INDEX(leagueroster, MATCH(SUMPRODUCT(LARGE((INDEX(birdies,,$A$5)=S32)*(ids),COUNTIF(INDEX(birdies, , $A$5), S32)-COUNTIF(S$8:S32,S32)+1)), INDEX(leagueroster, , 2), 0), 1))</f>
        <v/>
      </c>
      <c r="R32" s="19" t="str">
        <f t="shared" ca="1" si="5"/>
        <v/>
      </c>
      <c r="S32" s="19" t="str">
        <f ca="1">IF(ROWS(S$8:S32)&lt;=$P$6, LARGE(INDEX(birdies, , $A$5), ROWS(S$8:S32)), "")</f>
        <v/>
      </c>
      <c r="T32" s="51"/>
      <c r="U32" s="29" t="str">
        <f ca="1">IF(V32="", "", IF(X32&lt;&gt;X31, ROWS(U$7:U31), ""))</f>
        <v/>
      </c>
      <c r="V32" s="18" t="str" cm="1">
        <f t="array" aca="1" ref="V32" ca="1">IF(X32="","",INDEX(leagueroster, MATCH(SUMPRODUCT(LARGE((INDEX(eagles,,$A$5)=X32)*(ids),COUNTIF(INDEX(eagles, , $A$5), X32)-COUNTIF(X$8:X32,X32)+1)), INDEX(leagueroster, , 2), 0), 1))</f>
        <v/>
      </c>
      <c r="W32" s="19" t="str">
        <f t="shared" ca="1" si="6"/>
        <v/>
      </c>
      <c r="X32" s="19" t="str">
        <f ca="1">IF(ROWS(X$8:X32)&lt;=$U$6, LARGE(INDEX(eagles, , $A$5), ROWS(X$8:X32)), "")</f>
        <v/>
      </c>
      <c r="Y32" s="51"/>
      <c r="Z32" s="29"/>
      <c r="AB32" s="19"/>
      <c r="AC32" s="51"/>
      <c r="AD32" s="29"/>
      <c r="AF32" s="19"/>
      <c r="AG32" s="51"/>
    </row>
    <row r="33" spans="1:33" x14ac:dyDescent="0.2">
      <c r="A33" s="29" t="str">
        <f ca="1">IF(B33="", "", IF(D33&lt;&gt;D32, ROWS(A$7:A32), ""))</f>
        <v/>
      </c>
      <c r="B33" s="18" t="str">
        <f ca="1">IF(D33="","",INDEX(leagueroster, MATCH(SUMPRODUCT(LARGE((INDEX(scores,,$A$5)=D33)*(ids),COUNTIF(INDEX(scores, , $A$5), D33)-COUNTIF(D$8:D33,D33)+1)), INDEX(leagueroster, , 2), 0), 1))</f>
        <v/>
      </c>
      <c r="C33" s="19" t="str">
        <f t="shared" ca="1" si="0"/>
        <v/>
      </c>
      <c r="D33" s="19" t="str">
        <f ca="1">IFERROR(IF(ROWS(D$8:D33)&lt;=$A$6, SMALL(INDEX(scores, , $A$5), COUNTIF(INDEX(scores,,$A$5),0)+ROWS(D$8:D33)), ""),"")</f>
        <v/>
      </c>
      <c r="E33" s="51"/>
      <c r="F33" s="29" t="str">
        <f ca="1">IF(G33="", "", IF(I33&lt;&gt;I32, ROWS(F$7:F32), ""))</f>
        <v/>
      </c>
      <c r="G33" s="18" t="str">
        <f ca="1">IF(I33="","",INDEX(leagueroster, MATCH(SUMPRODUCT(LARGE((INDEX(netscores,,$A$5)=I33)*(ids),COUNTIF(INDEX(netscores, , $A$5), I33)-COUNTIF(I$8:I33,I33)+1)), INDEX(leagueroster, , 2), 0), 1))</f>
        <v/>
      </c>
      <c r="H33" s="19" t="str">
        <f t="shared" ca="1" si="1"/>
        <v/>
      </c>
      <c r="I33" s="19" t="str">
        <f ca="1">IFERROR(IF(ROWS(I$8:I33)&lt;=$A$6, SMALL(INDEX(netscores, , $A$5), ROWS(I$8:I33)), ""),"")</f>
        <v/>
      </c>
      <c r="J33" s="51"/>
      <c r="K33" s="29" t="str">
        <f ca="1">IF(L33="", "", IF(N33&lt;&gt;N32, ROWS(K$7:K32), ""))</f>
        <v/>
      </c>
      <c r="L33" s="18" t="str">
        <f ca="1">IF(N33="","",INDEX(leagueroster, MATCH(SUMPRODUCT(LARGE((INDEX(points,,$A$5)=N33)*(ids),COUNTIF(INDEX(points, , $A$5), N33)-COUNTIF(N$8:N33,N33)+1)), INDEX(leagueroster, , 2), 0), 1))</f>
        <v/>
      </c>
      <c r="M33" s="19" t="str">
        <f t="shared" ca="1" si="2"/>
        <v/>
      </c>
      <c r="N33" s="19" t="str">
        <f ca="1">IFERROR(IF(ROWS(N$8:N33)&lt;=$A$6+4, LARGE(INDEX(points, , $A$5), ROWS(N$8:N33)), ""),"")</f>
        <v/>
      </c>
      <c r="O33" s="51"/>
      <c r="P33" s="29" t="str">
        <f ca="1">IF(Q33="", "", IF(S33&lt;&gt;S32, ROWS(P$7:P32), ""))</f>
        <v/>
      </c>
      <c r="Q33" s="18" t="str">
        <f ca="1">IF(S33="","",INDEX(leagueroster, MATCH(SUMPRODUCT(LARGE((INDEX(birdies,,$A$5)=S33)*(ids),COUNTIF(INDEX(birdies, , $A$5), S33)-COUNTIF(S$8:S33,S33)+1)), INDEX(leagueroster, , 2), 0), 1))</f>
        <v/>
      </c>
      <c r="R33" s="19" t="str">
        <f t="shared" ca="1" si="5"/>
        <v/>
      </c>
      <c r="S33" s="19" t="str">
        <f ca="1">IF(ROWS(S$8:S33)&lt;=$P$6, LARGE(INDEX(birdies, , $A$5), ROWS(S$8:S33)), "")</f>
        <v/>
      </c>
      <c r="T33" s="51"/>
      <c r="U33" s="29" t="str">
        <f ca="1">IF(V33="", "", IF(X33&lt;&gt;X32, ROWS(U$7:U32), ""))</f>
        <v/>
      </c>
      <c r="V33" s="18" t="str" cm="1">
        <f t="array" aca="1" ref="V33" ca="1">IF(X33="","",INDEX(leagueroster, MATCH(SUMPRODUCT(LARGE((INDEX(eagles,,$A$5)=X33)*(ids),COUNTIF(INDEX(eagles, , $A$5), X33)-COUNTIF(X$8:X33,X33)+1)), INDEX(leagueroster, , 2), 0), 1))</f>
        <v/>
      </c>
      <c r="W33" s="19" t="str">
        <f t="shared" ca="1" si="6"/>
        <v/>
      </c>
      <c r="X33" s="19" t="str">
        <f ca="1">IF(ROWS(X$8:X33)&lt;=$U$6, LARGE(INDEX(eagles, , $A$5), ROWS(X$8:X33)), "")</f>
        <v/>
      </c>
      <c r="Y33" s="51"/>
      <c r="Z33" s="29"/>
      <c r="AB33" s="19"/>
      <c r="AC33" s="51"/>
      <c r="AD33" s="29"/>
      <c r="AF33" s="19"/>
      <c r="AG33" s="51"/>
    </row>
    <row r="34" spans="1:33" x14ac:dyDescent="0.2">
      <c r="A34" s="29" t="str">
        <f ca="1">IF(B34="", "", IF(D34&lt;&gt;D33, ROWS(A$7:A33), ""))</f>
        <v/>
      </c>
      <c r="B34" s="18" t="str">
        <f ca="1">IF(D34="","",INDEX(leagueroster, MATCH(SUMPRODUCT(LARGE((INDEX(scores,,$A$5)=D34)*(ids),COUNTIF(INDEX(scores, , $A$5), D34)-COUNTIF(D$8:D34,D34)+1)), INDEX(leagueroster, , 2), 0), 1))</f>
        <v/>
      </c>
      <c r="C34" s="19" t="str">
        <f t="shared" ca="1" si="0"/>
        <v/>
      </c>
      <c r="D34" s="19" t="str">
        <f ca="1">IFERROR(IF(ROWS(D$8:D34)&lt;=$A$6, SMALL(INDEX(scores, , $A$5), COUNTIF(INDEX(scores,,$A$5),0)+ROWS(D$8:D34)), ""),"")</f>
        <v/>
      </c>
      <c r="E34" s="51"/>
      <c r="F34" s="29" t="str">
        <f ca="1">IF(G34="", "", IF(I34&lt;&gt;I33, ROWS(F$7:F33), ""))</f>
        <v/>
      </c>
      <c r="G34" s="18" t="str">
        <f ca="1">IF(I34="","",INDEX(leagueroster, MATCH(SUMPRODUCT(LARGE((INDEX(netscores,,$A$5)=I34)*(ids),COUNTIF(INDEX(netscores, , $A$5), I34)-COUNTIF(I$8:I34,I34)+1)), INDEX(leagueroster, , 2), 0), 1))</f>
        <v/>
      </c>
      <c r="H34" s="19" t="str">
        <f t="shared" ca="1" si="1"/>
        <v/>
      </c>
      <c r="I34" s="19" t="str">
        <f ca="1">IFERROR(IF(ROWS(I$8:I34)&lt;=$A$6, SMALL(INDEX(netscores, , $A$5), ROWS(I$8:I34)), ""),"")</f>
        <v/>
      </c>
      <c r="J34" s="51"/>
      <c r="K34" s="29" t="str">
        <f ca="1">IF(L34="", "", IF(N34&lt;&gt;N33, ROWS(K$7:K33), ""))</f>
        <v/>
      </c>
      <c r="L34" s="18" t="str">
        <f ca="1">IF(N34="","",INDEX(leagueroster, MATCH(SUMPRODUCT(LARGE((INDEX(points,,$A$5)=N34)*(ids),COUNTIF(INDEX(points, , $A$5), N34)-COUNTIF(N$8:N34,N34)+1)), INDEX(leagueroster, , 2), 0), 1))</f>
        <v/>
      </c>
      <c r="M34" s="19" t="str">
        <f t="shared" ca="1" si="2"/>
        <v/>
      </c>
      <c r="N34" s="19" t="str">
        <f ca="1">IFERROR(IF(ROWS(N$8:N34)&lt;=$A$6+4, LARGE(INDEX(points, , $A$5), ROWS(N$8:N34)), ""),"")</f>
        <v/>
      </c>
      <c r="O34" s="51"/>
      <c r="P34" s="29" t="str">
        <f ca="1">IF(Q34="", "", IF(S34&lt;&gt;S33, ROWS(P$7:P33), ""))</f>
        <v/>
      </c>
      <c r="Q34" s="18" t="str">
        <f ca="1">IF(S34="","",INDEX(leagueroster, MATCH(SUMPRODUCT(LARGE((INDEX(birdies,,$A$5)=S34)*(ids),COUNTIF(INDEX(birdies, , $A$5), S34)-COUNTIF(S$8:S34,S34)+1)), INDEX(leagueroster, , 2), 0), 1))</f>
        <v/>
      </c>
      <c r="R34" s="19" t="str">
        <f t="shared" ca="1" si="5"/>
        <v/>
      </c>
      <c r="S34" s="19" t="str">
        <f ca="1">IF(ROWS(S$8:S34)&lt;=$P$6, LARGE(INDEX(birdies, , $A$5), ROWS(S$8:S34)), "")</f>
        <v/>
      </c>
      <c r="T34" s="51"/>
      <c r="U34" s="29" t="str">
        <f ca="1">IF(V34="", "", IF(X34&lt;&gt;X33, ROWS(U$7:U33), ""))</f>
        <v/>
      </c>
      <c r="V34" s="18" t="str" cm="1">
        <f t="array" aca="1" ref="V34" ca="1">IF(X34="","",INDEX(leagueroster, MATCH(SUMPRODUCT(LARGE((INDEX(eagles,,$A$5)=X34)*(ids),COUNTIF(INDEX(eagles, , $A$5), X34)-COUNTIF(X$8:X34,X34)+1)), INDEX(leagueroster, , 2), 0), 1))</f>
        <v/>
      </c>
      <c r="W34" s="19" t="str">
        <f t="shared" ca="1" si="6"/>
        <v/>
      </c>
      <c r="X34" s="19" t="str">
        <f ca="1">IF(ROWS(X$8:X34)&lt;=$U$6, LARGE(INDEX(eagles, , $A$5), ROWS(X$8:X34)), "")</f>
        <v/>
      </c>
      <c r="Y34" s="51"/>
      <c r="Z34" s="29"/>
      <c r="AB34" s="19"/>
      <c r="AC34" s="51"/>
      <c r="AD34" s="29"/>
      <c r="AF34" s="19"/>
      <c r="AG34" s="51"/>
    </row>
    <row r="35" spans="1:33" x14ac:dyDescent="0.2">
      <c r="A35" s="29" t="str">
        <f ca="1">IF(B35="", "", IF(D35&lt;&gt;D34, ROWS(A$7:A34), ""))</f>
        <v/>
      </c>
      <c r="B35" s="18" t="str">
        <f ca="1">IF(D35="","",INDEX(leagueroster, MATCH(SUMPRODUCT(LARGE((INDEX(scores,,$A$5)=D35)*(ids),COUNTIF(INDEX(scores, , $A$5), D35)-COUNTIF(D$8:D35,D35)+1)), INDEX(leagueroster, , 2), 0), 1))</f>
        <v/>
      </c>
      <c r="C35" s="19" t="str">
        <f t="shared" ca="1" si="0"/>
        <v/>
      </c>
      <c r="D35" s="19" t="str">
        <f ca="1">IFERROR(IF(ROWS(D$8:D35)&lt;=$A$6, SMALL(INDEX(scores, , $A$5), COUNTIF(INDEX(scores,,$A$5),0)+ROWS(D$8:D35)), ""),"")</f>
        <v/>
      </c>
      <c r="E35" s="51"/>
      <c r="F35" s="29" t="str">
        <f ca="1">IF(G35="", "", IF(I35&lt;&gt;I34, ROWS(F$7:F34), ""))</f>
        <v/>
      </c>
      <c r="G35" s="18" t="str">
        <f ca="1">IF(I35="","",INDEX(leagueroster, MATCH(SUMPRODUCT(LARGE((INDEX(netscores,,$A$5)=I35)*(ids),COUNTIF(INDEX(netscores, , $A$5), I35)-COUNTIF(I$8:I35,I35)+1)), INDEX(leagueroster, , 2), 0), 1))</f>
        <v/>
      </c>
      <c r="H35" s="19" t="str">
        <f t="shared" ca="1" si="1"/>
        <v/>
      </c>
      <c r="I35" s="19" t="str">
        <f ca="1">IFERROR(IF(ROWS(I$8:I35)&lt;=$A$6, SMALL(INDEX(netscores, , $A$5), ROWS(I$8:I35)), ""),"")</f>
        <v/>
      </c>
      <c r="J35" s="51"/>
      <c r="K35" s="29" t="str">
        <f ca="1">IF(L35="", "", IF(N35&lt;&gt;N34, ROWS(K$7:K34), ""))</f>
        <v/>
      </c>
      <c r="L35" s="18" t="str">
        <f ca="1">IF(N35="","",INDEX(leagueroster, MATCH(SUMPRODUCT(LARGE((INDEX(points,,$A$5)=N35)*(ids),COUNTIF(INDEX(points, , $A$5), N35)-COUNTIF(N$8:N35,N35)+1)), INDEX(leagueroster, , 2), 0), 1))</f>
        <v/>
      </c>
      <c r="M35" s="19" t="str">
        <f t="shared" ca="1" si="2"/>
        <v/>
      </c>
      <c r="N35" s="19" t="str">
        <f ca="1">IFERROR(IF(ROWS(N$8:N35)&lt;=$A$6+4, LARGE(INDEX(points, , $A$5), ROWS(N$8:N35)), ""),"")</f>
        <v/>
      </c>
      <c r="O35" s="51"/>
      <c r="P35" s="29" t="str">
        <f ca="1">IF(Q35="", "", IF(S35&lt;&gt;S34, ROWS(P$7:P34), ""))</f>
        <v/>
      </c>
      <c r="Q35" s="18" t="str">
        <f ca="1">IF(S35="","",INDEX(leagueroster, MATCH(SUMPRODUCT(LARGE((INDEX(birdies,,$A$5)=S35)*(ids),COUNTIF(INDEX(birdies, , $A$5), S35)-COUNTIF(S$8:S35,S35)+1)), INDEX(leagueroster, , 2), 0), 1))</f>
        <v/>
      </c>
      <c r="R35" s="19" t="str">
        <f t="shared" ca="1" si="5"/>
        <v/>
      </c>
      <c r="S35" s="19" t="str">
        <f ca="1">IF(ROWS(S$8:S35)&lt;=$P$6, LARGE(INDEX(birdies, , $A$5), ROWS(S$8:S35)), "")</f>
        <v/>
      </c>
      <c r="T35" s="51"/>
      <c r="U35" s="29" t="str">
        <f ca="1">IF(V35="", "", IF(X35&lt;&gt;X34, ROWS(U$7:U34), ""))</f>
        <v/>
      </c>
      <c r="V35" s="18" t="str" cm="1">
        <f t="array" aca="1" ref="V35" ca="1">IF(X35="","",INDEX(leagueroster, MATCH(SUMPRODUCT(LARGE((INDEX(eagles,,$A$5)=X35)*(ids),COUNTIF(INDEX(eagles, , $A$5), X35)-COUNTIF(X$8:X35,X35)+1)), INDEX(leagueroster, , 2), 0), 1))</f>
        <v/>
      </c>
      <c r="W35" s="19" t="str">
        <f t="shared" ca="1" si="6"/>
        <v/>
      </c>
      <c r="X35" s="19" t="str">
        <f ca="1">IF(ROWS(X$8:X35)&lt;=$U$6, LARGE(INDEX(eagles, , $A$5), ROWS(X$8:X35)), "")</f>
        <v/>
      </c>
      <c r="Y35" s="51"/>
      <c r="Z35" s="29"/>
      <c r="AB35" s="19"/>
      <c r="AC35" s="51"/>
      <c r="AD35" s="29"/>
      <c r="AF35" s="19"/>
      <c r="AG35" s="51"/>
    </row>
    <row r="36" spans="1:33" x14ac:dyDescent="0.2">
      <c r="A36" s="29" t="str">
        <f ca="1">IF(B36="", "", IF(D36&lt;&gt;D35, ROWS(A$7:A35), ""))</f>
        <v/>
      </c>
      <c r="B36" s="18" t="str">
        <f ca="1">IF(D36="","",INDEX(leagueroster, MATCH(SUMPRODUCT(LARGE((INDEX(scores,,$A$5)=D36)*(ids),COUNTIF(INDEX(scores, , $A$5), D36)-COUNTIF(D$8:D36,D36)+1)), INDEX(leagueroster, , 2), 0), 1))</f>
        <v/>
      </c>
      <c r="C36" s="19" t="str">
        <f t="shared" ca="1" si="0"/>
        <v/>
      </c>
      <c r="D36" s="19" t="str">
        <f ca="1">IFERROR(IF(ROWS(D$8:D36)&lt;=$A$6, SMALL(INDEX(scores, , $A$5), COUNTIF(INDEX(scores,,$A$5),0)+ROWS(D$8:D36)), ""),"")</f>
        <v/>
      </c>
      <c r="E36" s="51"/>
      <c r="F36" s="29" t="str">
        <f ca="1">IF(G36="", "", IF(I36&lt;&gt;I35, ROWS(F$7:F35), ""))</f>
        <v/>
      </c>
      <c r="G36" s="18" t="str">
        <f ca="1">IF(I36="","",INDEX(leagueroster, MATCH(SUMPRODUCT(LARGE((INDEX(netscores,,$A$5)=I36)*(ids),COUNTIF(INDEX(netscores, , $A$5), I36)-COUNTIF(I$8:I36,I36)+1)), INDEX(leagueroster, , 2), 0), 1))</f>
        <v/>
      </c>
      <c r="H36" s="19" t="str">
        <f t="shared" ca="1" si="1"/>
        <v/>
      </c>
      <c r="I36" s="19" t="str">
        <f ca="1">IFERROR(IF(ROWS(I$8:I36)&lt;=$A$6, SMALL(INDEX(netscores, , $A$5), ROWS(I$8:I36)), ""),"")</f>
        <v/>
      </c>
      <c r="J36" s="51"/>
      <c r="K36" s="29" t="str">
        <f ca="1">IF(L36="", "", IF(N36&lt;&gt;N35, ROWS(K$7:K35), ""))</f>
        <v/>
      </c>
      <c r="L36" s="18" t="str">
        <f ca="1">IF(N36="","",INDEX(leagueroster, MATCH(SUMPRODUCT(LARGE((INDEX(points,,$A$5)=N36)*(ids),COUNTIF(INDEX(points, , $A$5), N36)-COUNTIF(N$8:N36,N36)+1)), INDEX(leagueroster, , 2), 0), 1))</f>
        <v/>
      </c>
      <c r="M36" s="19" t="str">
        <f t="shared" ca="1" si="2"/>
        <v/>
      </c>
      <c r="N36" s="19" t="str">
        <f ca="1">IFERROR(IF(ROWS(N$8:N36)&lt;=$A$6+4, LARGE(INDEX(points, , $A$5), ROWS(N$8:N36)), ""),"")</f>
        <v/>
      </c>
      <c r="O36" s="51"/>
      <c r="P36" s="29" t="str">
        <f ca="1">IF(Q36="", "", IF(S36&lt;&gt;S35, ROWS(P$7:P35), ""))</f>
        <v/>
      </c>
      <c r="Q36" s="18" t="str">
        <f ca="1">IF(S36="","",INDEX(leagueroster, MATCH(SUMPRODUCT(LARGE((INDEX(birdies,,$A$5)=S36)*(ids),COUNTIF(INDEX(birdies, , $A$5), S36)-COUNTIF(S$8:S36,S36)+1)), INDEX(leagueroster, , 2), 0), 1))</f>
        <v/>
      </c>
      <c r="R36" s="19" t="str">
        <f t="shared" ca="1" si="5"/>
        <v/>
      </c>
      <c r="S36" s="19" t="str">
        <f ca="1">IF(ROWS(S$8:S36)&lt;=$P$6, LARGE(INDEX(birdies, , $A$5), ROWS(S$8:S36)), "")</f>
        <v/>
      </c>
      <c r="T36" s="51"/>
      <c r="U36" s="29" t="str">
        <f ca="1">IF(V36="", "", IF(X36&lt;&gt;X35, ROWS(U$7:U35), ""))</f>
        <v/>
      </c>
      <c r="V36" s="18" t="str" cm="1">
        <f t="array" aca="1" ref="V36" ca="1">IF(X36="","",INDEX(leagueroster, MATCH(SUMPRODUCT(LARGE((INDEX(eagles,,$A$5)=X36)*(ids),COUNTIF(INDEX(eagles, , $A$5), X36)-COUNTIF(X$8:X36,X36)+1)), INDEX(leagueroster, , 2), 0), 1))</f>
        <v/>
      </c>
      <c r="W36" s="19" t="str">
        <f t="shared" ca="1" si="6"/>
        <v/>
      </c>
      <c r="X36" s="19" t="str">
        <f ca="1">IF(ROWS(X$8:X36)&lt;=$U$6, LARGE(INDEX(eagles, , $A$5), ROWS(X$8:X36)), "")</f>
        <v/>
      </c>
      <c r="Y36" s="51"/>
      <c r="Z36" s="29"/>
      <c r="AB36" s="19"/>
      <c r="AC36" s="51"/>
      <c r="AD36" s="29"/>
      <c r="AF36" s="19"/>
      <c r="AG36" s="51"/>
    </row>
    <row r="37" spans="1:33" x14ac:dyDescent="0.2">
      <c r="A37" s="29" t="str">
        <f ca="1">IF(B37="", "", IF(D37&lt;&gt;D36, ROWS(A$7:A36), ""))</f>
        <v/>
      </c>
      <c r="B37" s="18" t="str">
        <f ca="1">IF(D37="","",INDEX(leagueroster, MATCH(SUMPRODUCT(LARGE((INDEX(scores,,$A$5)=D37)*(ids),COUNTIF(INDEX(scores, , $A$5), D37)-COUNTIF(D$8:D37,D37)+1)), INDEX(leagueroster, , 2), 0), 1))</f>
        <v/>
      </c>
      <c r="C37" s="19" t="str">
        <f ca="1">IF(B37="", "", VLOOKUP(B37, leagueroster, 3, FALSE))</f>
        <v/>
      </c>
      <c r="D37" s="19" t="str">
        <f ca="1">IFERROR(IF(ROWS(D$8:D37)&lt;=$A$6, SMALL(INDEX(scores, , $A$5), COUNTIF(INDEX(scores,,$A$5),0)+ROWS(D$8:D37)), ""),"")</f>
        <v/>
      </c>
      <c r="E37" s="51"/>
      <c r="F37" s="29" t="str">
        <f ca="1">IF(G37="", "", IF(I37&lt;&gt;I36, ROWS(F$7:F36), ""))</f>
        <v/>
      </c>
      <c r="G37" s="18" t="str">
        <f ca="1">IF(I37="","",INDEX(leagueroster, MATCH(SUMPRODUCT(LARGE((INDEX(netscores,,$A$5)=I37)*(ids),COUNTIF(INDEX(netscores, , $A$5), I37)-COUNTIF(I$8:I37,I37)+1)), INDEX(leagueroster, , 2), 0), 1))</f>
        <v/>
      </c>
      <c r="H37" s="19" t="str">
        <f t="shared" ca="1" si="1"/>
        <v/>
      </c>
      <c r="I37" s="19" t="str">
        <f ca="1">IFERROR(IF(ROWS(I$8:I37)&lt;=$A$6, SMALL(INDEX(netscores, , $A$5), ROWS(I$8:I37)), ""),"")</f>
        <v/>
      </c>
      <c r="J37" s="51"/>
      <c r="K37" s="29" t="str">
        <f ca="1">IF(L37="", "", IF(N37&lt;&gt;N36, ROWS(K$7:K36), ""))</f>
        <v/>
      </c>
      <c r="L37" s="18" t="str">
        <f ca="1">IF(N37="","",INDEX(leagueroster, MATCH(SUMPRODUCT(LARGE((INDEX(points,,$A$5)=N37)*(ids),COUNTIF(INDEX(points, , $A$5), N37)-COUNTIF(N$8:N37,N37)+1)), INDEX(leagueroster, , 2), 0), 1))</f>
        <v/>
      </c>
      <c r="M37" s="19" t="str">
        <f t="shared" ca="1" si="2"/>
        <v/>
      </c>
      <c r="N37" s="19" t="str">
        <f ca="1">IFERROR(IF(ROWS(N$8:N37)&lt;=$A$6+4, LARGE(INDEX(points, , $A$5), ROWS(N$8:N37)), ""),"")</f>
        <v/>
      </c>
      <c r="O37" s="51"/>
      <c r="P37" s="29" t="str">
        <f ca="1">IF(Q37="", "", IF(S37&lt;&gt;S36, ROWS(P$7:P36), ""))</f>
        <v/>
      </c>
      <c r="Q37" s="18" t="str">
        <f ca="1">IF(S37="","",INDEX(leagueroster, MATCH(SUMPRODUCT(LARGE((INDEX(birdies,,$A$5)=S37)*(ids),COUNTIF(INDEX(birdies, , $A$5), S37)-COUNTIF(S$8:S37,S37)+1)), INDEX(leagueroster, , 2), 0), 1))</f>
        <v/>
      </c>
      <c r="R37" s="19" t="str">
        <f t="shared" ca="1" si="5"/>
        <v/>
      </c>
      <c r="S37" s="19" t="str">
        <f ca="1">IF(ROWS(S$8:S37)&lt;=$P$6, LARGE(INDEX(birdies, , $A$5), ROWS(S$8:S37)), "")</f>
        <v/>
      </c>
      <c r="T37" s="51"/>
      <c r="U37" s="29" t="str">
        <f ca="1">IF(V37="", "", IF(X37&lt;&gt;X36, ROWS(U$7:U36), ""))</f>
        <v/>
      </c>
      <c r="V37" s="18" t="str" cm="1">
        <f t="array" aca="1" ref="V37" ca="1">IF(X37="","",INDEX(leagueroster, MATCH(SUMPRODUCT(LARGE((INDEX(eagles,,$A$5)=X37)*(ids),COUNTIF(INDEX(eagles, , $A$5), X37)-COUNTIF(X$8:X37,X37)+1)), INDEX(leagueroster, , 2), 0), 1))</f>
        <v/>
      </c>
      <c r="W37" s="19" t="str">
        <f t="shared" ca="1" si="6"/>
        <v/>
      </c>
      <c r="X37" s="19" t="str">
        <f ca="1">IF(ROWS(X$8:X37)&lt;=$U$6, LARGE(INDEX(eagles, , $A$5), ROWS(X$8:X37)), "")</f>
        <v/>
      </c>
      <c r="Y37" s="51"/>
      <c r="Z37" s="29"/>
      <c r="AB37" s="19"/>
      <c r="AC37" s="51"/>
      <c r="AD37" s="29"/>
      <c r="AF37" s="19"/>
      <c r="AG37" s="51"/>
    </row>
    <row r="38" spans="1:33" x14ac:dyDescent="0.2">
      <c r="A38" s="29" t="str">
        <f ca="1">IF(B38="", "", IF(D38&lt;&gt;D37, ROWS(A$7:A37), ""))</f>
        <v/>
      </c>
      <c r="B38" s="18" t="str">
        <f ca="1">IF(D38="","",INDEX(leagueroster, MATCH(SUMPRODUCT(LARGE((INDEX(scores,,$A$5)=D38)*(ids),COUNTIF(INDEX(scores, , $A$5), D38)-COUNTIF(D$8:D38,D38)+1)), INDEX(leagueroster, , 2), 0), 1))</f>
        <v/>
      </c>
      <c r="C38" s="19" t="str">
        <f ca="1">IF(B38="", "", VLOOKUP(B38, leagueroster, 3, FALSE))</f>
        <v/>
      </c>
      <c r="D38" s="19" t="str">
        <f ca="1">IFERROR(IF(ROWS(D$8:D38)&lt;=$A$6, SMALL(INDEX(scores, , $A$5), COUNTIF(INDEX(scores,,$A$5),0)+ROWS(D$8:D38)), ""),"")</f>
        <v/>
      </c>
      <c r="E38" s="51"/>
      <c r="F38" s="29" t="str">
        <f ca="1">IF(G38="", "", IF(I38&lt;&gt;I37, ROWS(F$7:F37), ""))</f>
        <v/>
      </c>
      <c r="G38" s="18" t="str">
        <f ca="1">IF(I38="","",INDEX(leagueroster, MATCH(SUMPRODUCT(LARGE((INDEX(netscores,,$A$5)=I38)*(ids),COUNTIF(INDEX(netscores, , $A$5), I38)-COUNTIF(I$8:I38,I38)+1)), INDEX(leagueroster, , 2), 0), 1))</f>
        <v/>
      </c>
      <c r="H38" s="19" t="str">
        <f t="shared" ca="1" si="1"/>
        <v/>
      </c>
      <c r="I38" s="19" t="str">
        <f ca="1">IFERROR(IF(ROWS(I$8:I38)&lt;=$A$6, SMALL(INDEX(netscores, , $A$5), ROWS(I$8:I38)), ""),"")</f>
        <v/>
      </c>
      <c r="J38" s="51"/>
      <c r="K38" s="29" t="str">
        <f ca="1">IF(L38="", "", IF(N38&lt;&gt;N37, ROWS(K$7:K37), ""))</f>
        <v/>
      </c>
      <c r="L38" s="18" t="str">
        <f ca="1">IF(N38="","",INDEX(leagueroster, MATCH(SUMPRODUCT(LARGE((INDEX(points,,$A$5)=N38)*(ids),COUNTIF(INDEX(points, , $A$5), N38)-COUNTIF(N$8:N38,N38)+1)), INDEX(leagueroster, , 2), 0), 1))</f>
        <v/>
      </c>
      <c r="M38" s="19" t="str">
        <f t="shared" ca="1" si="2"/>
        <v/>
      </c>
      <c r="N38" s="19" t="str">
        <f ca="1">IFERROR(IF(ROWS(N$8:N38)&lt;=$A$6+4, LARGE(INDEX(points, , $A$5), ROWS(N$8:N38)), ""),"")</f>
        <v/>
      </c>
      <c r="O38" s="51"/>
      <c r="P38" s="29" t="str">
        <f ca="1">IF(Q38="", "", IF(S38&lt;&gt;S37, ROWS(P$7:P37), ""))</f>
        <v/>
      </c>
      <c r="Q38" s="18" t="str">
        <f ca="1">IF(S38="","",INDEX(leagueroster, MATCH(SUMPRODUCT(LARGE((INDEX(birdies,,$A$5)=S38)*(ids),COUNTIF(INDEX(birdies, , $A$5), S38)-COUNTIF(S$8:S38,S38)+1)), INDEX(leagueroster, , 2), 0), 1))</f>
        <v/>
      </c>
      <c r="R38" s="19" t="str">
        <f t="shared" ca="1" si="5"/>
        <v/>
      </c>
      <c r="S38" s="19" t="str">
        <f ca="1">IF(ROWS(S$8:S38)&lt;=$P$6, LARGE(INDEX(birdies, , $A$5), ROWS(S$8:S38)), "")</f>
        <v/>
      </c>
      <c r="T38" s="51"/>
      <c r="U38" s="29" t="str">
        <f ca="1">IF(V38="", "", IF(X38&lt;&gt;X37, ROWS(U$7:U37), ""))</f>
        <v/>
      </c>
      <c r="V38" s="18" t="str" cm="1">
        <f t="array" aca="1" ref="V38" ca="1">IF(X38="","",INDEX(leagueroster, MATCH(SUMPRODUCT(LARGE((INDEX(eagles,,$A$5)=X38)*(ids),COUNTIF(INDEX(eagles, , $A$5), X38)-COUNTIF(X$8:X38,X38)+1)), INDEX(leagueroster, , 2), 0), 1))</f>
        <v/>
      </c>
      <c r="W38" s="19" t="str">
        <f t="shared" ca="1" si="6"/>
        <v/>
      </c>
      <c r="X38" s="19" t="str">
        <f ca="1">IF(ROWS(X$8:X38)&lt;=$U$6, LARGE(INDEX(eagles, , $A$5), ROWS(X$8:X38)), "")</f>
        <v/>
      </c>
      <c r="Y38" s="51"/>
      <c r="Z38" s="29"/>
      <c r="AB38" s="19"/>
      <c r="AC38" s="51"/>
      <c r="AD38" s="29"/>
      <c r="AF38" s="19"/>
      <c r="AG38" s="51"/>
    </row>
    <row r="39" spans="1:33" x14ac:dyDescent="0.2">
      <c r="A39" s="29" t="str">
        <f ca="1">IF(B39="", "", IF(D39&lt;&gt;D38, ROWS(A$7:A38), ""))</f>
        <v/>
      </c>
      <c r="B39" s="18" t="str">
        <f ca="1">IF(D39="","",INDEX(leagueroster, MATCH(SUMPRODUCT(LARGE((INDEX(scores,,$A$5)=D39)*(ids),COUNTIF(INDEX(scores, , $A$5), D39)-COUNTIF(D$8:D39,D39)+1)), INDEX(leagueroster, , 2), 0), 1))</f>
        <v/>
      </c>
      <c r="C39" s="19" t="str">
        <f ca="1">IF(B39="", "", VLOOKUP(B39, leagueroster, 3, FALSE))</f>
        <v/>
      </c>
      <c r="D39" s="19" t="str">
        <f ca="1">IFERROR(IF(ROWS(D$8:D39)&lt;=$A$6, SMALL(INDEX(scores, , $A$5), COUNTIF(INDEX(scores,,$A$5),0)+ROWS(D$8:D39)), ""),"")</f>
        <v/>
      </c>
      <c r="E39" s="51"/>
      <c r="F39" s="29" t="str">
        <f ca="1">IF(G39="", "", IF(I39&lt;&gt;I38, ROWS(F$7:F38), ""))</f>
        <v/>
      </c>
      <c r="G39" s="18" t="str">
        <f ca="1">IF(I39="","",INDEX(leagueroster, MATCH(SUMPRODUCT(LARGE((INDEX(netscores,,$A$5)=I39)*(ids),COUNTIF(INDEX(netscores, , $A$5), I39)-COUNTIF(I$8:I39,I39)+1)), INDEX(leagueroster, , 2), 0), 1))</f>
        <v/>
      </c>
      <c r="H39" s="19" t="str">
        <f t="shared" ca="1" si="1"/>
        <v/>
      </c>
      <c r="I39" s="19" t="str">
        <f ca="1">IFERROR(IF(ROWS(I$8:I39)&lt;=$A$6, SMALL(INDEX(netscores, , $A$5), ROWS(I$8:I39)), ""),"")</f>
        <v/>
      </c>
      <c r="J39" s="51"/>
      <c r="K39" s="29" t="str">
        <f ca="1">IF(L39="", "", IF(N39&lt;&gt;N38, ROWS(K$7:K38), ""))</f>
        <v/>
      </c>
      <c r="L39" s="18" t="str">
        <f ca="1">IF(N39="","",INDEX(leagueroster, MATCH(SUMPRODUCT(LARGE((INDEX(points,,$A$5)=N39)*(ids),COUNTIF(INDEX(points, , $A$5), N39)-COUNTIF(N$8:N39,N39)+1)), INDEX(leagueroster, , 2), 0), 1))</f>
        <v/>
      </c>
      <c r="M39" s="19" t="str">
        <f t="shared" ca="1" si="2"/>
        <v/>
      </c>
      <c r="N39" s="19" t="str">
        <f ca="1">IFERROR(IF(ROWS(N$8:N39)&lt;=$A$6+4, LARGE(INDEX(points, , $A$5), ROWS(N$8:N39)), ""),"")</f>
        <v/>
      </c>
      <c r="O39" s="51"/>
      <c r="P39" s="29" t="str">
        <f ca="1">IF(Q39="", "", IF(S39&lt;&gt;S38, ROWS(P$7:P38), ""))</f>
        <v/>
      </c>
      <c r="Q39" s="18" t="str">
        <f ca="1">IF(S39="","",INDEX(leagueroster, MATCH(SUMPRODUCT(LARGE((INDEX(birdies,,$A$5)=S39)*(ids),COUNTIF(INDEX(birdies, , $A$5), S39)-COUNTIF(S$8:S39,S39)+1)), INDEX(leagueroster, , 2), 0), 1))</f>
        <v/>
      </c>
      <c r="R39" s="19" t="str">
        <f t="shared" ca="1" si="5"/>
        <v/>
      </c>
      <c r="S39" s="19" t="str">
        <f ca="1">IF(ROWS(S$8:S39)&lt;=$P$6, LARGE(INDEX(birdies, , $A$5), ROWS(S$8:S39)), "")</f>
        <v/>
      </c>
      <c r="T39" s="51"/>
      <c r="U39" s="29" t="str">
        <f ca="1">IF(V39="", "", IF(X39&lt;&gt;X38, ROWS(U$7:U38), ""))</f>
        <v/>
      </c>
      <c r="V39" s="18" t="str" cm="1">
        <f t="array" aca="1" ref="V39" ca="1">IF(X39="","",INDEX(leagueroster, MATCH(SUMPRODUCT(LARGE((INDEX(eagles,,$A$5)=X39)*(ids),COUNTIF(INDEX(eagles, , $A$5), X39)-COUNTIF(X$8:X39,X39)+1)), INDEX(leagueroster, , 2), 0), 1))</f>
        <v/>
      </c>
      <c r="W39" s="19" t="str">
        <f t="shared" ca="1" si="6"/>
        <v/>
      </c>
      <c r="X39" s="19" t="str">
        <f ca="1">IF(ROWS(X$8:X39)&lt;=$U$6, LARGE(INDEX(eagles, , $A$5), ROWS(X$8:X39)), "")</f>
        <v/>
      </c>
      <c r="Y39" s="51"/>
      <c r="Z39" s="29"/>
      <c r="AB39" s="19"/>
      <c r="AC39" s="51"/>
      <c r="AD39" s="29"/>
      <c r="AF39" s="19"/>
      <c r="AG39" s="51"/>
    </row>
    <row r="40" spans="1:33" x14ac:dyDescent="0.2">
      <c r="A40" s="29" t="str">
        <f ca="1">IF(B40="", "", IF(D40&lt;&gt;D39, ROWS(A$7:A39), ""))</f>
        <v/>
      </c>
      <c r="B40" s="18" t="str">
        <f ca="1">IF(D40="","",INDEX(leagueroster, MATCH(SUMPRODUCT(LARGE((INDEX(scores,,$A$5)=D40)*(ids),COUNTIF(INDEX(scores, , $A$5), D40)-COUNTIF(D$8:D40,D40)+1)), INDEX(leagueroster, , 2), 0), 1))</f>
        <v/>
      </c>
      <c r="C40" s="19" t="str">
        <f ca="1">IF(B40="", "", VLOOKUP(B40, leagueroster, 3, FALSE))</f>
        <v/>
      </c>
      <c r="D40" s="19" t="str">
        <f ca="1">IFERROR(IF(ROWS(D$8:D40)&lt;=$A$6, SMALL(INDEX(scores, , $A$5), COUNTIF(INDEX(scores,,$A$5),0)+ROWS(D$8:D40)), ""),"")</f>
        <v/>
      </c>
      <c r="E40" s="51"/>
      <c r="F40" s="29" t="str">
        <f ca="1">IF(G40="", "", IF(I40&lt;&gt;I39, ROWS(F$7:F39), ""))</f>
        <v/>
      </c>
      <c r="G40" s="18" t="str">
        <f ca="1">IF(I40="","",INDEX(leagueroster, MATCH(SUMPRODUCT(LARGE((INDEX(netscores,,$A$5)=I40)*(ids),COUNTIF(INDEX(netscores, , $A$5), I40)-COUNTIF(I$8:I40,I40)+1)), INDEX(leagueroster, , 2), 0), 1))</f>
        <v/>
      </c>
      <c r="H40" s="19" t="str">
        <f ca="1">IF(G40="", "", VLOOKUP(G40, leagueroster, 3, FALSE))</f>
        <v/>
      </c>
      <c r="I40" s="19" t="str">
        <f ca="1">IFERROR(IF(ROWS(I$8:I40)&lt;=$A$6, SMALL(INDEX(netscores, , $A$5), ROWS(I$8:I40)), ""),"")</f>
        <v/>
      </c>
      <c r="J40" s="51"/>
      <c r="K40" s="29" t="str">
        <f ca="1">IF(L40="", "", IF(N40&lt;&gt;N39, ROWS(K$7:K39), ""))</f>
        <v/>
      </c>
      <c r="L40" s="18" t="str">
        <f ca="1">IF(N40="","",INDEX(leagueroster, MATCH(SUMPRODUCT(LARGE((INDEX(points,,$A$5)=N40)*(ids),COUNTIF(INDEX(points, , $A$5), N40)-COUNTIF(N$8:N40,N40)+1)), INDEX(leagueroster, , 2), 0), 1))</f>
        <v/>
      </c>
      <c r="M40" s="19" t="str">
        <f ca="1">IF(L40="", "", VLOOKUP(L40, leagueroster, 3, FALSE))</f>
        <v/>
      </c>
      <c r="N40" s="19" t="str">
        <f ca="1">IFERROR(IF(ROWS(N$8:N40)&lt;=$A$6+4, LARGE(INDEX(points, , $A$5), ROWS(N$8:N40)), ""),"")</f>
        <v/>
      </c>
      <c r="O40" s="51"/>
      <c r="P40" s="29" t="str">
        <f ca="1">IF(Q40="", "", IF(S40&lt;&gt;S39, ROWS(P$7:P39), ""))</f>
        <v/>
      </c>
      <c r="Q40" s="18" t="str">
        <f ca="1">IF(S40="","",INDEX(leagueroster, MATCH(SUMPRODUCT(LARGE((INDEX(birdies,,$A$5)=S40)*(ids),COUNTIF(INDEX(birdies, , $A$5), S40)-COUNTIF(S$8:S40,S40)+1)), INDEX(leagueroster, , 2), 0), 1))</f>
        <v/>
      </c>
      <c r="R40" s="19" t="str">
        <f t="shared" ca="1" si="5"/>
        <v/>
      </c>
      <c r="S40" s="19" t="str">
        <f ca="1">IF(ROWS(S$8:S40)&lt;=$P$6, LARGE(INDEX(birdies, , $A$5), ROWS(S$8:S40)), "")</f>
        <v/>
      </c>
      <c r="T40" s="51"/>
      <c r="U40" s="29" t="str">
        <f ca="1">IF(V40="", "", IF(X40&lt;&gt;X39, ROWS(U$7:U39), ""))</f>
        <v/>
      </c>
      <c r="V40" s="18" t="str" cm="1">
        <f t="array" aca="1" ref="V40" ca="1">IF(X40="","",INDEX(leagueroster, MATCH(SUMPRODUCT(LARGE((INDEX(eagles,,$A$5)=X40)*(ids),COUNTIF(INDEX(eagles, , $A$5), X40)-COUNTIF(X$8:X40,X40)+1)), INDEX(leagueroster, , 2), 0), 1))</f>
        <v/>
      </c>
      <c r="W40" s="19" t="str">
        <f t="shared" ca="1" si="6"/>
        <v/>
      </c>
      <c r="X40" s="19" t="str">
        <f ca="1">IF(ROWS(X$8:X40)&lt;=$U$6, LARGE(INDEX(eagles, , $A$5), ROWS(X$8:X40)), "")</f>
        <v/>
      </c>
      <c r="Y40" s="51"/>
      <c r="Z40" s="29"/>
      <c r="AB40" s="19"/>
      <c r="AC40" s="51"/>
      <c r="AD40" s="29"/>
      <c r="AF40" s="19"/>
      <c r="AG40" s="51"/>
    </row>
    <row r="41" spans="1:33" x14ac:dyDescent="0.2">
      <c r="A41" s="32"/>
      <c r="B41" s="33"/>
      <c r="C41" s="33"/>
      <c r="D41" s="32"/>
      <c r="E41" s="32"/>
      <c r="F41" s="32"/>
      <c r="G41" s="33"/>
      <c r="H41" s="33"/>
      <c r="I41" s="32"/>
      <c r="J41" s="32"/>
      <c r="K41" s="32"/>
      <c r="L41" s="33"/>
      <c r="M41" s="33"/>
      <c r="N41" s="32"/>
      <c r="O41" s="32"/>
      <c r="P41" s="32"/>
      <c r="Q41" s="33"/>
      <c r="R41" s="33"/>
      <c r="S41" s="32"/>
      <c r="T41" s="32"/>
      <c r="U41" s="32"/>
      <c r="V41" s="33"/>
      <c r="W41" s="33"/>
      <c r="X41" s="32"/>
      <c r="Y41" s="32"/>
      <c r="Z41" s="32"/>
      <c r="AA41" s="33"/>
      <c r="AB41" s="32"/>
      <c r="AC41" s="32"/>
      <c r="AD41" s="32"/>
      <c r="AE41" s="33"/>
      <c r="AF41" s="32"/>
      <c r="AG41" s="32"/>
    </row>
    <row r="44" spans="1:33" x14ac:dyDescent="0.2">
      <c r="B44" s="18" t="s">
        <v>153</v>
      </c>
      <c r="C44" s="18">
        <f ca="1">MATCH($B44,$B$8:$B$40,0)</f>
        <v>6</v>
      </c>
    </row>
    <row r="45" spans="1:33" x14ac:dyDescent="0.2">
      <c r="B45" s="18" t="s">
        <v>283</v>
      </c>
      <c r="C45" s="18">
        <f t="shared" ref="C45:C75" ca="1" si="7">MATCH($B45,$B$8:$B$40,0)</f>
        <v>3</v>
      </c>
    </row>
    <row r="46" spans="1:33" x14ac:dyDescent="0.2">
      <c r="B46" s="18" t="s">
        <v>163</v>
      </c>
      <c r="C46" s="18">
        <f t="shared" ca="1" si="7"/>
        <v>4</v>
      </c>
    </row>
    <row r="47" spans="1:33" x14ac:dyDescent="0.2">
      <c r="B47" s="18" t="s">
        <v>224</v>
      </c>
      <c r="C47" s="18" t="e">
        <f t="shared" ca="1" si="7"/>
        <v>#N/A</v>
      </c>
    </row>
    <row r="48" spans="1:33" x14ac:dyDescent="0.2">
      <c r="B48" s="18" t="s">
        <v>294</v>
      </c>
      <c r="C48" s="18" t="e">
        <f t="shared" ca="1" si="7"/>
        <v>#N/A</v>
      </c>
    </row>
    <row r="49" spans="2:3" x14ac:dyDescent="0.2">
      <c r="B49" s="18" t="s">
        <v>156</v>
      </c>
      <c r="C49" s="18" t="e">
        <f t="shared" ca="1" si="7"/>
        <v>#N/A</v>
      </c>
    </row>
    <row r="50" spans="2:3" x14ac:dyDescent="0.2">
      <c r="B50" s="18" t="s">
        <v>155</v>
      </c>
      <c r="C50" s="18" t="e">
        <f t="shared" ca="1" si="7"/>
        <v>#N/A</v>
      </c>
    </row>
    <row r="51" spans="2:3" x14ac:dyDescent="0.2">
      <c r="B51" s="18" t="s">
        <v>433</v>
      </c>
      <c r="C51" s="18" t="e">
        <f t="shared" ca="1" si="7"/>
        <v>#N/A</v>
      </c>
    </row>
    <row r="52" spans="2:3" x14ac:dyDescent="0.2">
      <c r="B52" s="18" t="s">
        <v>311</v>
      </c>
      <c r="C52" s="18">
        <f t="shared" ca="1" si="7"/>
        <v>2</v>
      </c>
    </row>
    <row r="53" spans="2:3" x14ac:dyDescent="0.2">
      <c r="B53" s="18" t="s">
        <v>100</v>
      </c>
      <c r="C53" s="18">
        <f t="shared" ca="1" si="7"/>
        <v>5</v>
      </c>
    </row>
    <row r="54" spans="2:3" x14ac:dyDescent="0.2">
      <c r="B54" s="18" t="s">
        <v>258</v>
      </c>
      <c r="C54" s="18">
        <f t="shared" ca="1" si="7"/>
        <v>7</v>
      </c>
    </row>
    <row r="55" spans="2:3" x14ac:dyDescent="0.2">
      <c r="B55" s="18" t="s">
        <v>309</v>
      </c>
      <c r="C55" s="18">
        <f t="shared" ca="1" si="7"/>
        <v>10</v>
      </c>
    </row>
    <row r="56" spans="2:3" x14ac:dyDescent="0.2">
      <c r="B56" s="18" t="s">
        <v>267</v>
      </c>
      <c r="C56" s="18" t="e">
        <f t="shared" ca="1" si="7"/>
        <v>#N/A</v>
      </c>
    </row>
    <row r="57" spans="2:3" x14ac:dyDescent="0.2">
      <c r="B57" s="18" t="s">
        <v>265</v>
      </c>
      <c r="C57" s="18">
        <f t="shared" ca="1" si="7"/>
        <v>16</v>
      </c>
    </row>
    <row r="58" spans="2:3" x14ac:dyDescent="0.2">
      <c r="B58" s="18" t="s">
        <v>485</v>
      </c>
      <c r="C58" s="18">
        <f t="shared" ca="1" si="7"/>
        <v>15</v>
      </c>
    </row>
    <row r="59" spans="2:3" x14ac:dyDescent="0.2">
      <c r="B59" s="18" t="s">
        <v>484</v>
      </c>
      <c r="C59" s="18">
        <f t="shared" ca="1" si="7"/>
        <v>14</v>
      </c>
    </row>
    <row r="60" spans="2:3" x14ac:dyDescent="0.2">
      <c r="B60" s="18" t="s">
        <v>320</v>
      </c>
      <c r="C60" s="18" t="e">
        <f t="shared" ca="1" si="7"/>
        <v>#N/A</v>
      </c>
    </row>
    <row r="61" spans="2:3" x14ac:dyDescent="0.2">
      <c r="B61" s="18" t="s">
        <v>101</v>
      </c>
      <c r="C61" s="18" t="e">
        <f t="shared" ca="1" si="7"/>
        <v>#N/A</v>
      </c>
    </row>
    <row r="62" spans="2:3" x14ac:dyDescent="0.2">
      <c r="B62" s="18" t="s">
        <v>317</v>
      </c>
      <c r="C62" s="18" t="e">
        <f t="shared" ca="1" si="7"/>
        <v>#N/A</v>
      </c>
    </row>
    <row r="63" spans="2:3" x14ac:dyDescent="0.2">
      <c r="B63" s="18" t="s">
        <v>495</v>
      </c>
      <c r="C63" s="18" t="e">
        <f t="shared" ca="1" si="7"/>
        <v>#N/A</v>
      </c>
    </row>
    <row r="64" spans="2:3" x14ac:dyDescent="0.2">
      <c r="B64" s="18" t="s">
        <v>323</v>
      </c>
      <c r="C64" s="18" t="e">
        <f t="shared" ca="1" si="7"/>
        <v>#N/A</v>
      </c>
    </row>
    <row r="65" spans="2:3" x14ac:dyDescent="0.2">
      <c r="B65" s="18" t="s">
        <v>324</v>
      </c>
      <c r="C65" s="18" t="e">
        <f t="shared" ca="1" si="7"/>
        <v>#N/A</v>
      </c>
    </row>
    <row r="66" spans="2:3" x14ac:dyDescent="0.2">
      <c r="B66" s="18" t="s">
        <v>325</v>
      </c>
      <c r="C66" s="18" t="e">
        <f t="shared" ca="1" si="7"/>
        <v>#N/A</v>
      </c>
    </row>
    <row r="67" spans="2:3" x14ac:dyDescent="0.2">
      <c r="B67" s="18" t="s">
        <v>326</v>
      </c>
      <c r="C67" s="18" t="e">
        <f t="shared" ca="1" si="7"/>
        <v>#N/A</v>
      </c>
    </row>
    <row r="68" spans="2:3" x14ac:dyDescent="0.2">
      <c r="C68" s="18" t="e">
        <f t="shared" ca="1" si="7"/>
        <v>#N/A</v>
      </c>
    </row>
    <row r="69" spans="2:3" x14ac:dyDescent="0.2">
      <c r="C69" s="18" t="e">
        <f t="shared" ca="1" si="7"/>
        <v>#N/A</v>
      </c>
    </row>
    <row r="70" spans="2:3" x14ac:dyDescent="0.2">
      <c r="C70" s="18" t="e">
        <f t="shared" ca="1" si="7"/>
        <v>#N/A</v>
      </c>
    </row>
    <row r="71" spans="2:3" x14ac:dyDescent="0.2">
      <c r="C71" s="18" t="e">
        <f t="shared" ca="1" si="7"/>
        <v>#N/A</v>
      </c>
    </row>
    <row r="72" spans="2:3" x14ac:dyDescent="0.2">
      <c r="C72" s="18" t="e">
        <f t="shared" ca="1" si="7"/>
        <v>#N/A</v>
      </c>
    </row>
    <row r="73" spans="2:3" x14ac:dyDescent="0.2">
      <c r="C73" s="18" t="e">
        <f t="shared" ca="1" si="7"/>
        <v>#N/A</v>
      </c>
    </row>
    <row r="74" spans="2:3" x14ac:dyDescent="0.2">
      <c r="C74" s="18" t="e">
        <f t="shared" ca="1" si="7"/>
        <v>#N/A</v>
      </c>
    </row>
    <row r="75" spans="2:3" x14ac:dyDescent="0.2">
      <c r="C75" s="18" t="e">
        <f t="shared" ca="1" si="7"/>
        <v>#N/A</v>
      </c>
    </row>
  </sheetData>
  <autoFilter ref="A7:BW40" xr:uid="{00000000-0001-0000-0100-000000000000}"/>
  <sortState xmlns:xlrd2="http://schemas.microsoft.com/office/spreadsheetml/2017/richdata2" ref="AI8:AI62">
    <sortCondition descending="1" ref="AI8:AI62"/>
  </sortState>
  <mergeCells count="4">
    <mergeCell ref="A4:AG4"/>
    <mergeCell ref="A1:AG1"/>
    <mergeCell ref="A2:AG2"/>
    <mergeCell ref="A3:AG3"/>
  </mergeCells>
  <pageMargins left="0.7" right="0.7" top="0.5" bottom="0.5" header="0.3" footer="0.3"/>
  <pageSetup scale="68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AY79"/>
  <sheetViews>
    <sheetView workbookViewId="0">
      <selection sqref="A1:AQ1"/>
    </sheetView>
  </sheetViews>
  <sheetFormatPr defaultColWidth="9.109375" defaultRowHeight="10.199999999999999" x14ac:dyDescent="0.2"/>
  <cols>
    <col min="1" max="1" width="3.5546875" style="19" customWidth="1"/>
    <col min="2" max="2" width="19.77734375" style="18" bestFit="1" customWidth="1"/>
    <col min="3" max="3" width="5" style="18" customWidth="1"/>
    <col min="4" max="4" width="5" style="19" customWidth="1"/>
    <col min="5" max="5" width="5" style="19" hidden="1" customWidth="1"/>
    <col min="6" max="6" width="1.44140625" style="18" customWidth="1"/>
    <col min="7" max="7" width="3.5546875" style="19" customWidth="1"/>
    <col min="8" max="8" width="18.21875" style="18" bestFit="1" customWidth="1"/>
    <col min="9" max="9" width="5" style="18" customWidth="1"/>
    <col min="10" max="10" width="5" style="19" customWidth="1"/>
    <col min="11" max="11" width="5" style="19" hidden="1" customWidth="1"/>
    <col min="12" max="12" width="1.44140625" style="18" customWidth="1"/>
    <col min="13" max="13" width="3.5546875" style="19" customWidth="1"/>
    <col min="14" max="14" width="18.21875" style="18" bestFit="1" customWidth="1"/>
    <col min="15" max="15" width="5" style="18" customWidth="1"/>
    <col min="16" max="18" width="5" style="19" customWidth="1"/>
    <col min="19" max="19" width="1.44140625" style="18" customWidth="1"/>
    <col min="20" max="20" width="3.5546875" style="19" customWidth="1"/>
    <col min="21" max="21" width="18.21875" style="18" bestFit="1" customWidth="1"/>
    <col min="22" max="22" width="5" style="18" customWidth="1"/>
    <col min="23" max="24" width="5" style="19" customWidth="1"/>
    <col min="25" max="25" width="1.44140625" style="18" customWidth="1"/>
    <col min="26" max="26" width="3.5546875" style="19" customWidth="1"/>
    <col min="27" max="27" width="18.21875" style="18" bestFit="1" customWidth="1"/>
    <col min="28" max="28" width="5" style="18" customWidth="1"/>
    <col min="29" max="29" width="5.88671875" style="19" bestFit="1" customWidth="1"/>
    <col min="30" max="30" width="5" style="19" customWidth="1"/>
    <col min="31" max="31" width="1.44140625" style="18" customWidth="1"/>
    <col min="32" max="32" width="3.5546875" style="19" customWidth="1"/>
    <col min="33" max="33" width="15.77734375" style="18" bestFit="1" customWidth="1"/>
    <col min="34" max="34" width="5" style="18" customWidth="1"/>
    <col min="35" max="36" width="5" style="19" customWidth="1"/>
    <col min="37" max="37" width="1.44140625" style="18" customWidth="1"/>
    <col min="38" max="38" width="3.5546875" style="19" customWidth="1"/>
    <col min="39" max="39" width="15.77734375" style="18" bestFit="1" customWidth="1"/>
    <col min="40" max="40" width="5" style="18" customWidth="1"/>
    <col min="41" max="42" width="5" style="19" customWidth="1"/>
    <col min="43" max="43" width="1.44140625" style="18" customWidth="1"/>
    <col min="44" max="44" width="3.5546875" style="19" customWidth="1"/>
    <col min="45" max="45" width="15.77734375" style="18" bestFit="1" customWidth="1"/>
    <col min="46" max="46" width="5" style="19" customWidth="1"/>
    <col min="47" max="47" width="1.44140625" style="18" customWidth="1"/>
    <col min="48" max="48" width="3.5546875" style="19" customWidth="1"/>
    <col min="49" max="49" width="15.77734375" style="18" bestFit="1" customWidth="1"/>
    <col min="50" max="50" width="5" style="19" customWidth="1"/>
    <col min="51" max="51" width="1.44140625" style="18" customWidth="1"/>
    <col min="52" max="16384" width="9.109375" style="52"/>
  </cols>
  <sheetData>
    <row r="1" spans="1:51" ht="15.6" x14ac:dyDescent="0.3">
      <c r="A1" s="445" t="s">
        <v>0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E1" s="445"/>
      <c r="AF1" s="445"/>
      <c r="AG1" s="445"/>
      <c r="AH1" s="445"/>
      <c r="AI1" s="445"/>
      <c r="AJ1" s="445"/>
      <c r="AK1" s="445"/>
      <c r="AL1" s="445"/>
      <c r="AM1" s="445"/>
      <c r="AN1" s="445"/>
      <c r="AO1" s="445"/>
      <c r="AP1" s="445"/>
      <c r="AQ1" s="445"/>
      <c r="AR1" s="89"/>
      <c r="AS1" s="89"/>
      <c r="AT1" s="89"/>
      <c r="AU1" s="89"/>
      <c r="AV1" s="89"/>
      <c r="AW1" s="89"/>
      <c r="AX1" s="89"/>
    </row>
    <row r="2" spans="1:51" ht="15.6" x14ac:dyDescent="0.3">
      <c r="A2" s="445" t="s">
        <v>1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89"/>
      <c r="AS2" s="89"/>
      <c r="AT2" s="89"/>
      <c r="AU2" s="89"/>
      <c r="AV2" s="89"/>
      <c r="AW2" s="89"/>
      <c r="AX2" s="89"/>
    </row>
    <row r="3" spans="1:51" ht="15.6" x14ac:dyDescent="0.3">
      <c r="A3" s="445">
        <v>2025</v>
      </c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  <c r="X3" s="445"/>
      <c r="Y3" s="445"/>
      <c r="Z3" s="445"/>
      <c r="AA3" s="445"/>
      <c r="AB3" s="445"/>
      <c r="AC3" s="445"/>
      <c r="AD3" s="445"/>
      <c r="AE3" s="445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89"/>
      <c r="AS3" s="89"/>
      <c r="AT3" s="89"/>
      <c r="AU3" s="89"/>
      <c r="AV3" s="89"/>
      <c r="AW3" s="89"/>
      <c r="AX3" s="89"/>
    </row>
    <row r="4" spans="1:51" s="80" customFormat="1" ht="30" customHeight="1" x14ac:dyDescent="0.25">
      <c r="A4" s="444" t="s">
        <v>89</v>
      </c>
      <c r="B4" s="444"/>
      <c r="C4" s="444"/>
      <c r="D4" s="444"/>
      <c r="E4" s="444"/>
      <c r="F4" s="444"/>
      <c r="G4" s="444"/>
      <c r="H4" s="444"/>
      <c r="I4" s="444"/>
      <c r="J4" s="444"/>
      <c r="K4" s="444"/>
      <c r="L4" s="444"/>
      <c r="M4" s="444"/>
      <c r="N4" s="444"/>
      <c r="O4" s="444"/>
      <c r="P4" s="444"/>
      <c r="Q4" s="444"/>
      <c r="R4" s="444"/>
      <c r="S4" s="444"/>
      <c r="T4" s="444"/>
      <c r="U4" s="444"/>
      <c r="V4" s="444"/>
      <c r="W4" s="444"/>
      <c r="X4" s="444"/>
      <c r="Y4" s="444"/>
      <c r="Z4" s="444"/>
      <c r="AA4" s="444"/>
      <c r="AB4" s="444"/>
      <c r="AC4" s="444"/>
      <c r="AD4" s="444"/>
      <c r="AE4" s="444"/>
      <c r="AF4" s="444"/>
      <c r="AG4" s="444"/>
      <c r="AH4" s="444"/>
      <c r="AI4" s="444"/>
      <c r="AJ4" s="444"/>
      <c r="AK4" s="444"/>
      <c r="AL4" s="444"/>
      <c r="AM4" s="444"/>
      <c r="AN4" s="444"/>
      <c r="AO4" s="444"/>
      <c r="AP4" s="444"/>
      <c r="AQ4" s="444"/>
      <c r="AR4" s="90"/>
      <c r="AS4" s="90"/>
      <c r="AT4" s="90"/>
      <c r="AU4" s="90"/>
      <c r="AV4" s="90"/>
      <c r="AW4" s="90"/>
      <c r="AX4" s="90"/>
    </row>
    <row r="5" spans="1:51" x14ac:dyDescent="0.2">
      <c r="A5" s="37">
        <v>5</v>
      </c>
      <c r="B5" s="61" t="s">
        <v>90</v>
      </c>
      <c r="C5" s="30"/>
      <c r="D5" s="18"/>
      <c r="E5" s="18"/>
      <c r="G5" s="36"/>
      <c r="H5" s="61" t="s">
        <v>90</v>
      </c>
      <c r="I5" s="30"/>
      <c r="J5" s="18"/>
      <c r="K5" s="18"/>
      <c r="M5" s="52"/>
      <c r="N5" s="61" t="str">
        <f>"Based on "&amp;qualifier&amp;" Rounds Played"</f>
        <v>Based on 5 Rounds Played</v>
      </c>
      <c r="O5" s="30"/>
      <c r="P5" s="18"/>
      <c r="Q5" s="18"/>
      <c r="R5" s="18"/>
      <c r="T5" s="36"/>
      <c r="U5" s="61" t="str">
        <f>"Based on "&amp;qualifier&amp;" Rounds Played"</f>
        <v>Based on 5 Rounds Played</v>
      </c>
      <c r="V5" s="30"/>
      <c r="W5" s="18"/>
      <c r="X5" s="18"/>
      <c r="Z5" s="36"/>
      <c r="AA5" s="61" t="str">
        <f>"Based on "&amp;qualifier&amp;" Rounds Played"</f>
        <v>Based on 5 Rounds Played</v>
      </c>
      <c r="AB5" s="30"/>
      <c r="AC5" s="18"/>
      <c r="AD5" s="18"/>
      <c r="AF5" s="36"/>
      <c r="AG5" s="30"/>
      <c r="AH5" s="30"/>
      <c r="AI5" s="18"/>
      <c r="AJ5" s="18"/>
      <c r="AL5" s="36"/>
      <c r="AM5" s="30"/>
      <c r="AN5" s="30"/>
      <c r="AO5" s="18"/>
      <c r="AP5" s="18"/>
      <c r="AR5" s="36"/>
      <c r="AS5" s="30"/>
      <c r="AT5" s="18"/>
      <c r="AV5" s="36"/>
      <c r="AW5" s="30"/>
      <c r="AX5" s="18"/>
    </row>
    <row r="6" spans="1:51" x14ac:dyDescent="0.2">
      <c r="B6" s="52"/>
      <c r="C6" s="30"/>
      <c r="D6" s="18"/>
      <c r="E6" s="18"/>
      <c r="H6" s="30"/>
      <c r="I6" s="30"/>
      <c r="J6" s="18"/>
      <c r="K6" s="18"/>
      <c r="M6" s="52"/>
      <c r="N6" s="30"/>
      <c r="O6" s="30"/>
      <c r="P6" s="18"/>
      <c r="Q6" s="18"/>
      <c r="R6" s="18"/>
      <c r="U6" s="30"/>
      <c r="V6" s="30"/>
      <c r="W6" s="18"/>
      <c r="X6" s="18"/>
      <c r="AA6" s="30"/>
      <c r="AB6" s="30"/>
      <c r="AC6" s="18"/>
      <c r="AD6" s="18"/>
      <c r="AG6" s="30"/>
      <c r="AH6" s="30"/>
      <c r="AI6" s="18"/>
      <c r="AJ6" s="18"/>
      <c r="AM6" s="30"/>
      <c r="AN6" s="30"/>
      <c r="AO6" s="18"/>
      <c r="AP6" s="18"/>
      <c r="AR6" s="19">
        <v>8</v>
      </c>
      <c r="AS6" s="30"/>
      <c r="AT6" s="18"/>
      <c r="AW6" s="30"/>
      <c r="AX6" s="18"/>
    </row>
    <row r="7" spans="1:51" ht="30.6" x14ac:dyDescent="0.2">
      <c r="A7" s="31" t="s">
        <v>82</v>
      </c>
      <c r="B7" s="31" t="s">
        <v>83</v>
      </c>
      <c r="C7" s="31" t="s">
        <v>8</v>
      </c>
      <c r="D7" s="60" t="s">
        <v>64</v>
      </c>
      <c r="E7" s="31" t="s">
        <v>7</v>
      </c>
      <c r="F7" s="51"/>
      <c r="G7" s="31" t="s">
        <v>82</v>
      </c>
      <c r="H7" s="31" t="s">
        <v>83</v>
      </c>
      <c r="I7" s="31" t="s">
        <v>8</v>
      </c>
      <c r="J7" s="60" t="s">
        <v>65</v>
      </c>
      <c r="K7" s="31" t="s">
        <v>7</v>
      </c>
      <c r="L7" s="51"/>
      <c r="M7" s="31" t="s">
        <v>82</v>
      </c>
      <c r="N7" s="31" t="s">
        <v>83</v>
      </c>
      <c r="O7" s="31" t="s">
        <v>8</v>
      </c>
      <c r="P7" s="31" t="s">
        <v>67</v>
      </c>
      <c r="Q7" s="60" t="s">
        <v>66</v>
      </c>
      <c r="R7" s="60" t="s">
        <v>501</v>
      </c>
      <c r="S7" s="51"/>
      <c r="T7" s="31" t="s">
        <v>82</v>
      </c>
      <c r="U7" s="31" t="s">
        <v>83</v>
      </c>
      <c r="V7" s="31" t="s">
        <v>8</v>
      </c>
      <c r="W7" s="60" t="s">
        <v>91</v>
      </c>
      <c r="X7" s="60" t="s">
        <v>501</v>
      </c>
      <c r="Y7" s="51"/>
      <c r="Z7" s="31" t="s">
        <v>82</v>
      </c>
      <c r="AA7" s="31" t="s">
        <v>83</v>
      </c>
      <c r="AB7" s="31" t="s">
        <v>8</v>
      </c>
      <c r="AC7" s="60" t="s">
        <v>92</v>
      </c>
      <c r="AD7" s="60" t="s">
        <v>501</v>
      </c>
      <c r="AE7" s="51"/>
      <c r="AF7" s="31" t="s">
        <v>82</v>
      </c>
      <c r="AG7" s="31" t="s">
        <v>83</v>
      </c>
      <c r="AH7" s="31" t="s">
        <v>8</v>
      </c>
      <c r="AI7" s="60" t="s">
        <v>68</v>
      </c>
      <c r="AJ7" s="60" t="s">
        <v>501</v>
      </c>
      <c r="AK7" s="51"/>
      <c r="AL7" s="31" t="s">
        <v>82</v>
      </c>
      <c r="AM7" s="31" t="s">
        <v>83</v>
      </c>
      <c r="AN7" s="31" t="s">
        <v>8</v>
      </c>
      <c r="AO7" s="60" t="s">
        <v>69</v>
      </c>
      <c r="AP7" s="60" t="s">
        <v>501</v>
      </c>
      <c r="AQ7" s="51"/>
      <c r="AR7" s="31" t="s">
        <v>82</v>
      </c>
      <c r="AS7" s="31" t="s">
        <v>8</v>
      </c>
      <c r="AT7" s="60" t="s">
        <v>65</v>
      </c>
      <c r="AU7" s="51"/>
      <c r="AV7" s="31" t="s">
        <v>82</v>
      </c>
      <c r="AW7" s="31" t="s">
        <v>8</v>
      </c>
      <c r="AX7" s="60" t="s">
        <v>93</v>
      </c>
      <c r="AY7" s="51"/>
    </row>
    <row r="8" spans="1:51" x14ac:dyDescent="0.2">
      <c r="A8" s="29">
        <f ca="1">IF(B8="", "", IF(D8&lt;&gt;D7, ROWS(A$7:A7), ""))</f>
        <v>1</v>
      </c>
      <c r="B8" s="18" t="str">
        <f ca="1">IF(D8="","",INDEX(leagueroster, MATCH(SUMPRODUCT(LARGE((INDEX(lowgross, , )=D8)*(ids),COUNTIF(INDEX(lowgross, , ), D8)-COUNTIF(D$8:D8,D8)+1)), INDEX(leagueroster, , 2), 0), 1))</f>
        <v>Kish, Jeff - C</v>
      </c>
      <c r="C8" s="19" t="str">
        <f t="shared" ref="C8:C39" ca="1" si="0">IF(B8="", "", VLOOKUP(B8, leagueroster, 3, FALSE))</f>
        <v>ACE</v>
      </c>
      <c r="D8" s="19">
        <f ca="1">IFERROR(SMALL(INDEX(lowgross, , ), ROWS(D$8:D8)), "")</f>
        <v>37</v>
      </c>
      <c r="E8" s="19">
        <f ca="1">IF(D8="","", SUMPRODUCT(LARGE((INDEX(scores, , )=D8)*(ids=VLOOKUP(B8, leagueroster, 2, FALSE))*(weeks), COUNTIFS(D$8:D8, D8, B$8:B8, B8))))</f>
        <v>19</v>
      </c>
      <c r="F8" s="51"/>
      <c r="G8" s="29">
        <f ca="1">IF(H8="", "", IF(J8&lt;&gt;J7, ROWS(G$7:G7), ""))</f>
        <v>1</v>
      </c>
      <c r="H8" s="18" t="str">
        <f ca="1">IF(J8="","",INDEX(leagueroster, MATCH(SUMPRODUCT(LARGE((INDEX(lownet, , )=J8)*(ids),COUNTIF(INDEX(lownet, , ), J8)-COUNTIF(J$8:J8,J8)+1)), INDEX(leagueroster, , 2), 0), 1))</f>
        <v>Evans, Ryan</v>
      </c>
      <c r="I8" s="19" t="str">
        <f t="shared" ref="I8:I39" ca="1" si="1">IF(H8="", "", VLOOKUP(H8, leagueroster, 3, FALSE))</f>
        <v>STY</v>
      </c>
      <c r="J8" s="19">
        <f ca="1">IFERROR(SMALL(INDEX(lownet, , ), ROWS(J$8:J8)), "")</f>
        <v>28</v>
      </c>
      <c r="K8" s="19">
        <f ca="1">IF(J8="","", SUMPRODUCT(LARGE((INDEX(netscores, , )=J8)*(ids=VLOOKUP(H8, leagueroster, 2, FALSE))*(weeks), COUNTIFS(J$8:J8, J8, H$8:H8, H8))))</f>
        <v>13</v>
      </c>
      <c r="L8" s="51"/>
      <c r="M8" s="29">
        <f ca="1">IF(N8="", "", IF(P8&lt;&gt;P7, ROWS(M$7:M7), ""))</f>
        <v>1</v>
      </c>
      <c r="N8" s="18" t="str">
        <f ca="1">IF(P8="","",INDEX(leagueroster, MATCH(SUMPRODUCT(LARGE((INDEX(seasonptsavg, , )=P8)*(ids),COUNTIF(INDEX(seasonptsavg, , ), P8)-COUNTIF(P$8:P8,P8)+1)), INDEX(leagueroster, , 2), 0), 1))</f>
        <v>Blind Draw #2</v>
      </c>
      <c r="O8" s="19" t="str">
        <f t="shared" ref="O8:O39" ca="1" si="2">IF(N8="", "", VLOOKUP(N8, leagueroster, 3, FALSE))</f>
        <v>BD</v>
      </c>
      <c r="P8" s="21">
        <f ca="1">IFERROR(LARGE(seasonptsavg, ROWS(P$8:P8)), "")</f>
        <v>14.75</v>
      </c>
      <c r="Q8" s="19">
        <f t="shared" ref="Q8:Q39" ca="1" si="3">IF(N8="", "", INDEX(seasonpts, MATCH(VLOOKUP(N8, leagueroster, 2, FALSE), ids, 0), ))</f>
        <v>236</v>
      </c>
      <c r="R8" s="19">
        <f t="shared" ref="R8:R39" ca="1" si="4">IF(N8="", "", INDEX(seasonrds, MATCH(VLOOKUP(N8, leagueroster, 2, FALSE), ids, 0), ))</f>
        <v>15</v>
      </c>
      <c r="S8" s="51"/>
      <c r="T8" s="29">
        <f ca="1">IF(U8="", "", IF(W8&lt;&gt;W7, ROWS(T$7:T7), ""))</f>
        <v>1</v>
      </c>
      <c r="U8" s="18" t="str">
        <f ca="1">IF(W8="","",INDEX(leagueroster, MATCH(SUMPRODUCT(LARGE((INDEX(seasongross, , )=W8)*(ids),COUNTIF(INDEX(seasongross, , ), W8)-COUNTIF(W$8:W8,W8)+1)), INDEX(leagueroster, , 2), 0), 1))</f>
        <v>Kish, Jeff - C</v>
      </c>
      <c r="V8" s="19" t="str">
        <f t="shared" ref="V8:V39" ca="1" si="5">IF(U8="", "", VLOOKUP(U8, leagueroster, 3, FALSE))</f>
        <v>ACE</v>
      </c>
      <c r="W8" s="21">
        <f ca="1">IFERROR(SMALL(seasongross, ROWS(W$8:W8)), "")</f>
        <v>40.363636363636367</v>
      </c>
      <c r="X8" s="19">
        <f t="shared" ref="X8:X39" ca="1" si="6">IF(U8="", "", INDEX(seasonrds, MATCH(VLOOKUP(U8, leagueroster, 2, FALSE), ids, 0), ))</f>
        <v>11</v>
      </c>
      <c r="Y8" s="51"/>
      <c r="Z8" s="29">
        <f ca="1">IF(AA8="", "", IF(AC8&lt;&gt;AC7, ROWS(Z$7:Z7), ""))</f>
        <v>1</v>
      </c>
      <c r="AA8" s="18" t="str">
        <f ca="1">IF(AC8="","",INDEX(leagueroster, MATCH(SUMPRODUCT(LARGE((INDEX(seasonnet, , )=AC8)*(ids),COUNTIF(INDEX(seasonnet, , ), AC8)-COUNTIF(AC$8:AC8,AC8)+1)), INDEX(leagueroster, , 2), 0), 1))</f>
        <v>Blind Draw #1</v>
      </c>
      <c r="AB8" s="19" t="str">
        <f t="shared" ref="AB8:AB39" ca="1" si="7">IF(AA8="", "", VLOOKUP(AA8, leagueroster, 3, FALSE))</f>
        <v>BD</v>
      </c>
      <c r="AC8" s="21">
        <f ca="1">IFERROR(SMALL(seasonnet, ROWS(AC$8:AC8)), "")</f>
        <v>35.466666666666669</v>
      </c>
      <c r="AD8" s="19">
        <f t="shared" ref="AD8:AD39" ca="1" si="8">IF(AA8="", "", INDEX(seasonrds, MATCH(VLOOKUP(AA8, leagueroster, 2, FALSE), ids, 0), ))</f>
        <v>15</v>
      </c>
      <c r="AE8" s="51"/>
      <c r="AF8" s="29">
        <f ca="1">IF(AG8="", "", IF(AI8&lt;&gt;AI7, ROWS(AF$7:AF7), ""))</f>
        <v>1</v>
      </c>
      <c r="AG8" s="18" t="str">
        <f ca="1">IF(AI8="","",INDEX(leagueroster, MATCH(SUMPRODUCT(LARGE((INDEX(seasonbirds, , )=AI8)*(ids),COUNTIF(INDEX(seasonbirds, , ), AI8)-COUNTIF(AI$8:AI8,AI8)+1)), INDEX(leagueroster, , 2), 0), 1))</f>
        <v>Bates, Jim</v>
      </c>
      <c r="AH8" s="19" t="str">
        <f t="shared" ref="AH8:AH39" ca="1" si="9">IF(AG8="", "", VLOOKUP(AG8, leagueroster, 3, FALSE))</f>
        <v>ACE</v>
      </c>
      <c r="AI8" s="19">
        <f ca="1">IF(LARGE(seasonbirds, ROWS(AI$8:AI8))&lt;&gt;0,LARGE(seasonbirds, ROWS(AI$8:AI8)), "")</f>
        <v>8</v>
      </c>
      <c r="AJ8" s="19">
        <f t="shared" ref="AJ8:AJ39" ca="1" si="10">IF(AG8="", "", INDEX(seasonrds, MATCH(VLOOKUP(AG8, leagueroster, 2, FALSE), ids, 0), ))</f>
        <v>15</v>
      </c>
      <c r="AK8" s="51"/>
      <c r="AL8" s="29">
        <f ca="1">IF(AM8="", "", IF(AO8&lt;&gt;AO7, ROWS(AL$7:AL7), ""))</f>
        <v>1</v>
      </c>
      <c r="AM8" s="18" t="str" cm="1">
        <f t="array" aca="1" ref="AM8" ca="1">IF(AO8="","",INDEX(leagueroster, MATCH(SUMPRODUCT(LARGE((INDEX(seasoneagles, , )=AO8)*(ids),COUNTIF(INDEX(seasoneagles, , ), AO8)-COUNTIF(AO$8:AO8,AO8)+1)), INDEX(leagueroster, , 2), 0), 1))</f>
        <v>Cline, Chad</v>
      </c>
      <c r="AN8" s="19" t="str">
        <f ca="1">IF(AM8="", "", VLOOKUP(AM8, leagueroster, 3, FALSE))</f>
        <v>SUBS</v>
      </c>
      <c r="AO8" s="19">
        <f ca="1">IF(LARGE(seasoneagles, ROWS(AO$8:AO8))&lt;&gt;0,LARGE(seasoneagles, ROWS(AO$8:AO8)), "")</f>
        <v>1</v>
      </c>
      <c r="AP8" s="19">
        <f ca="1">IF(AM8="", "", INDEX(seasonrds, MATCH(VLOOKUP(AM8, leagueroster, 2, FALSE), ids, 0), ))</f>
        <v>6</v>
      </c>
      <c r="AQ8" s="51"/>
      <c r="AR8" s="29">
        <f ca="1">IF(AS8="", "", IF(AT8&lt;&gt;AT7, ROWS(AR$7:AR7), ""))</f>
        <v>1</v>
      </c>
      <c r="AS8" s="18" t="str" cm="1">
        <f t="array" aca="1" ref="AS8" ca="1">IF(AT8="","",INDEX(leagueroster, MATCH(SUMPRODUCT(LARGE((INDEX(teamlownet,,)=AT8)*(ids),COUNTIF(INDEX(teamlownet, ,), AT8)-COUNTIF(AT$8:AT8,AT8)+1)), INDEX(leagueroster, , 2), 0), 1))</f>
        <v>Hack Squad</v>
      </c>
      <c r="AT8" s="59">
        <f ca="1">IF(ROWS(AT$8:AT8)&lt;=$AR$6, SMALL(INDEX(teamlownet, ,), ROWS(AT$8:AT8)), "")</f>
        <v>135</v>
      </c>
      <c r="AU8" s="51"/>
      <c r="AV8" s="29">
        <f ca="1">IF(AW8="", "", IF(AX8&lt;&gt;AX7, ROWS(AV$7:AV7), ""))</f>
        <v>1</v>
      </c>
      <c r="AW8" s="18" t="str" cm="1">
        <f t="array" aca="1" ref="AW8" ca="1">IF(AX8="","",INDEX(leagueroster, MATCH(SUMPRODUCT(LARGE((INDEX(teamhighpoints,,)=AX8)*(ids),COUNTIF(INDEX(teamhighpoints, ,), AX8)-COUNTIF(AX$8:AX8,AX8)+1)), INDEX(leagueroster, , 2), 0), 1))</f>
        <v>Blind Draw</v>
      </c>
      <c r="AX8" s="59">
        <f ca="1">IF(ROWS(AX$8:AX8)&lt;=$AR$6, LARGE(INDEX(teamhighpoints, ,), ROWS(AX$8:AX8)), "")</f>
        <v>254</v>
      </c>
      <c r="AY8" s="51"/>
    </row>
    <row r="9" spans="1:51" x14ac:dyDescent="0.2">
      <c r="A9" s="29">
        <f ca="1">IF(B9="", "", IF(D9&lt;&gt;D8, ROWS(A$7:A8), ""))</f>
        <v>2</v>
      </c>
      <c r="B9" s="18" t="str">
        <f ca="1">IF(D9="","",INDEX(leagueroster, MATCH(SUMPRODUCT(LARGE((INDEX(lowgross, , )=D9)*(ids),COUNTIF(INDEX(lowgross, , ), D9)-COUNTIF(D$8:D9,D9)+1)), INDEX(leagueroster, , 2), 0), 1))</f>
        <v>Bates, Jim</v>
      </c>
      <c r="C9" s="19" t="str">
        <f t="shared" ca="1" si="0"/>
        <v>ACE</v>
      </c>
      <c r="D9" s="19">
        <f ca="1">IFERROR(SMALL(INDEX(lowgross, , ), ROWS(D$8:D9)), "")</f>
        <v>38</v>
      </c>
      <c r="E9" s="19">
        <f ca="1">IF(D9="","", SUMPRODUCT(LARGE((INDEX(scores, , )=D9)*(ids=VLOOKUP(B9, leagueroster, 2, FALSE))*(weeks), COUNTIFS(D$8:D9, D9, B$8:B9, B9))))</f>
        <v>19</v>
      </c>
      <c r="F9" s="51"/>
      <c r="G9" s="29">
        <f ca="1">IF(H9="", "", IF(J9&lt;&gt;J8, ROWS(G$7:G8), ""))</f>
        <v>2</v>
      </c>
      <c r="H9" s="18" t="str">
        <f ca="1">IF(J9="","",INDEX(leagueroster, MATCH(SUMPRODUCT(LARGE((INDEX(lownet, , )=J9)*(ids),COUNTIF(INDEX(lownet, , ), J9)-COUNTIF(J$8:J9,J9)+1)), INDEX(leagueroster, , 2), 0), 1))</f>
        <v>Culver, Chuck</v>
      </c>
      <c r="I9" s="19" t="str">
        <f t="shared" ca="1" si="1"/>
        <v>MET</v>
      </c>
      <c r="J9" s="19">
        <f ca="1">IFERROR(SMALL(INDEX(lownet, , ), ROWS(J$8:J9)), "")</f>
        <v>30</v>
      </c>
      <c r="K9" s="19">
        <f ca="1">IF(J9="","", SUMPRODUCT(LARGE((INDEX(netscores, , )=J9)*(ids=VLOOKUP(H9, leagueroster, 2, FALSE))*(weeks), COUNTIFS(J$8:J9, J9, H$8:H9, H9))))</f>
        <v>17</v>
      </c>
      <c r="L9" s="51"/>
      <c r="M9" s="29">
        <f ca="1">IF(N9="", "", IF(P9&lt;&gt;P8, ROWS(M$7:M8), ""))</f>
        <v>2</v>
      </c>
      <c r="N9" s="18" t="str">
        <f ca="1">IF(P9="","",INDEX(leagueroster, MATCH(SUMPRODUCT(LARGE((INDEX(seasonptsavg, , )=P9)*(ids),COUNTIF(INDEX(seasonptsavg, , ), P9)-COUNTIF(P$8:P9,P9)+1)), INDEX(leagueroster, , 2), 0), 1))</f>
        <v>Blind Draw #4</v>
      </c>
      <c r="O9" s="19" t="str">
        <f t="shared" ca="1" si="2"/>
        <v>BD</v>
      </c>
      <c r="P9" s="21">
        <f ca="1">IFERROR(LARGE(seasonptsavg, ROWS(P$8:P9)), "")</f>
        <v>14.25</v>
      </c>
      <c r="Q9" s="19">
        <f t="shared" ca="1" si="3"/>
        <v>228</v>
      </c>
      <c r="R9" s="19">
        <f t="shared" ca="1" si="4"/>
        <v>15</v>
      </c>
      <c r="S9" s="51"/>
      <c r="T9" s="29">
        <f ca="1">IF(U9="", "", IF(W9&lt;&gt;W8, ROWS(T$7:T8), ""))</f>
        <v>2</v>
      </c>
      <c r="U9" s="18" t="str">
        <f ca="1">IF(W9="","",INDEX(leagueroster, MATCH(SUMPRODUCT(LARGE((INDEX(seasongross, , )=W9)*(ids),COUNTIF(INDEX(seasongross, , ), W9)-COUNTIF(W$8:W9,W9)+1)), INDEX(leagueroster, , 2), 0), 1))</f>
        <v>Bates, Jim</v>
      </c>
      <c r="V9" s="19" t="str">
        <f t="shared" ca="1" si="5"/>
        <v>ACE</v>
      </c>
      <c r="W9" s="21">
        <f ca="1">IFERROR(SMALL(seasongross, ROWS(W$8:W9)), "")</f>
        <v>42</v>
      </c>
      <c r="X9" s="19">
        <f t="shared" ca="1" si="6"/>
        <v>15</v>
      </c>
      <c r="Y9" s="51"/>
      <c r="Z9" s="29" t="str">
        <f ca="1">IF(AA9="", "", IF(AC9&lt;&gt;AC8, ROWS(Z$7:Z8), ""))</f>
        <v/>
      </c>
      <c r="AA9" s="18" t="str">
        <f ca="1">IF(AC9="","",INDEX(leagueroster, MATCH(SUMPRODUCT(LARGE((INDEX(seasonnet, , )=AC9)*(ids),COUNTIF(INDEX(seasonnet, , ), AC9)-COUNTIF(AC$8:AC9,AC9)+1)), INDEX(leagueroster, , 2), 0), 1))</f>
        <v>Blind Draw #2</v>
      </c>
      <c r="AB9" s="19" t="str">
        <f t="shared" ca="1" si="7"/>
        <v>BD</v>
      </c>
      <c r="AC9" s="21">
        <f ca="1">IFERROR(SMALL(seasonnet, ROWS(AC$8:AC9)), "")</f>
        <v>35.466666666666669</v>
      </c>
      <c r="AD9" s="19">
        <f t="shared" ca="1" si="8"/>
        <v>15</v>
      </c>
      <c r="AE9" s="51"/>
      <c r="AF9" s="29">
        <f ca="1">IF(AG9="", "", IF(AI9&lt;&gt;AI8, ROWS(AF$7:AF8), ""))</f>
        <v>2</v>
      </c>
      <c r="AG9" s="18" t="str">
        <f ca="1">IF(AI9="","",INDEX(leagueroster, MATCH(SUMPRODUCT(LARGE((INDEX(seasonbirds, , )=AI9)*(ids),COUNTIF(INDEX(seasonbirds, , ), AI9)-COUNTIF(AI$8:AI9,AI9)+1)), INDEX(leagueroster, , 2), 0), 1))</f>
        <v>Shreeve, Tim - C</v>
      </c>
      <c r="AH9" s="19" t="str">
        <f t="shared" ca="1" si="9"/>
        <v>4P</v>
      </c>
      <c r="AI9" s="19">
        <f ca="1">IF(LARGE(seasonbirds, ROWS(AI$8:AI9))&lt;&gt;0,LARGE(seasonbirds, ROWS(AI$8:AI9)), "")</f>
        <v>7</v>
      </c>
      <c r="AJ9" s="19">
        <f t="shared" ca="1" si="10"/>
        <v>13</v>
      </c>
      <c r="AK9" s="51"/>
      <c r="AL9" s="29" t="str">
        <f ca="1">IF(AM9="", "", IF(AO9&lt;&gt;AO8, ROWS(AL$7:AL8), ""))</f>
        <v/>
      </c>
      <c r="AM9" s="18" t="str" cm="1">
        <f t="array" aca="1" ref="AM9" ca="1">IF(AO9="","",INDEX(leagueroster, MATCH(SUMPRODUCT(LARGE((INDEX(seasoneagles, , )=AO9)*(ids),COUNTIF(INDEX(seasoneagles, , ), AO9)-COUNTIF(AO$8:AO9,AO9)+1)), INDEX(leagueroster, , 2), 0), 1))</f>
        <v>Culver, Chuck</v>
      </c>
      <c r="AN9" s="19" t="str">
        <f t="shared" ref="AN9:AN37" ca="1" si="11">IF(AM9="", "", VLOOKUP(AM9, leagueroster, 3, FALSE))</f>
        <v>MET</v>
      </c>
      <c r="AO9" s="19">
        <f ca="1">IF(LARGE(seasoneagles, ROWS(AO$8:AO9))&lt;&gt;0,LARGE(seasoneagles, ROWS(AO$8:AO9)), "")</f>
        <v>1</v>
      </c>
      <c r="AP9" s="19">
        <f t="shared" ref="AP9:AP37" ca="1" si="12">IF(AM9="", "", INDEX(seasonrds, MATCH(VLOOKUP(AM9, leagueroster, 2, FALSE), ids, 0), ))</f>
        <v>14</v>
      </c>
      <c r="AQ9" s="51"/>
      <c r="AR9" s="29">
        <f ca="1">IF(AS9="", "", IF(AT9&lt;&gt;AT8, ROWS(AR$7:AR8), ""))</f>
        <v>2</v>
      </c>
      <c r="AS9" s="18" t="str" cm="1">
        <f t="array" aca="1" ref="AS9" ca="1">IF(AT9="","",INDEX(leagueroster, MATCH(SUMPRODUCT(LARGE((INDEX(teamlownet,,)=AT9)*(ids),COUNTIF(INDEX(teamlownet, ,), AT9)-COUNTIF(AT$8:AT9,AT9)+1)), INDEX(leagueroster, , 2), 0), 1))</f>
        <v>Metheads</v>
      </c>
      <c r="AT9" s="59">
        <f ca="1">IF(ROWS(AT$8:AT9)&lt;=$AR$6, SMALL(INDEX(teamlownet, ,), ROWS(AT$8:AT9)), "")</f>
        <v>139</v>
      </c>
      <c r="AU9" s="51"/>
      <c r="AV9" s="29">
        <f ca="1">IF(AW9="", "", IF(AX9&lt;&gt;AX8, ROWS(AV$7:AV8), ""))</f>
        <v>2</v>
      </c>
      <c r="AW9" s="18" t="str" cm="1">
        <f t="array" aca="1" ref="AW9" ca="1">IF(AX9="","",INDEX(leagueroster, MATCH(SUMPRODUCT(LARGE((INDEX(teamhighpoints,,)=AX9)*(ids),COUNTIF(INDEX(teamhighpoints, ,), AX9)-COUNTIF(AX$8:AX9,AX9)+1)), INDEX(leagueroster, , 2), 0), 1))</f>
        <v>Aceholes</v>
      </c>
      <c r="AX9" s="59">
        <f ca="1">IF(ROWS(AX$8:AX9)&lt;=$AR$6, LARGE(INDEX(teamhighpoints, ,), ROWS(AX$8:AX9)), "")</f>
        <v>58</v>
      </c>
      <c r="AY9" s="51"/>
    </row>
    <row r="10" spans="1:51" x14ac:dyDescent="0.2">
      <c r="A10" s="29" t="str">
        <f ca="1">IF(B10="", "", IF(D10&lt;&gt;D9, ROWS(A$7:A9), ""))</f>
        <v/>
      </c>
      <c r="B10" s="18" t="str">
        <f ca="1">IF(D10="","",INDEX(leagueroster, MATCH(SUMPRODUCT(LARGE((INDEX(lowgross, , )=D10)*(ids),COUNTIF(INDEX(lowgross, , ), D10)-COUNTIF(D$8:D10,D10)+1)), INDEX(leagueroster, , 2), 0), 1))</f>
        <v>Blind Draw #1</v>
      </c>
      <c r="C10" s="19" t="str">
        <f t="shared" ca="1" si="0"/>
        <v>BD</v>
      </c>
      <c r="D10" s="19">
        <f ca="1">IFERROR(SMALL(INDEX(lowgross, , ), ROWS(D$8:D10)), "")</f>
        <v>38</v>
      </c>
      <c r="E10" s="19">
        <f ca="1">IF(D10="","", SUMPRODUCT(LARGE((INDEX(scores, , )=D10)*(ids=VLOOKUP(B10, leagueroster, 2, FALSE))*(weeks), COUNTIFS(D$8:D10, D10, B$8:B10, B10))))</f>
        <v>17</v>
      </c>
      <c r="F10" s="51"/>
      <c r="G10" s="29">
        <f ca="1">IF(H10="", "", IF(J10&lt;&gt;J9, ROWS(G$7:G9), ""))</f>
        <v>3</v>
      </c>
      <c r="H10" s="18" t="str">
        <f ca="1">IF(J10="","",INDEX(leagueroster, MATCH(SUMPRODUCT(LARGE((INDEX(lownet, , )=J10)*(ids),COUNTIF(INDEX(lownet, , ), J10)-COUNTIF(J$8:J10,J10)+1)), INDEX(leagueroster, , 2), 0), 1))</f>
        <v>Buckley, Chris - gold tees</v>
      </c>
      <c r="I10" s="19" t="str">
        <f t="shared" ca="1" si="1"/>
        <v>HS</v>
      </c>
      <c r="J10" s="19">
        <f ca="1">IFERROR(SMALL(INDEX(lownet, , ), ROWS(J$8:J10)), "")</f>
        <v>31</v>
      </c>
      <c r="K10" s="19">
        <f ca="1">IF(J10="","", SUMPRODUCT(LARGE((INDEX(netscores, , )=J10)*(ids=VLOOKUP(H10, leagueroster, 2, FALSE))*(weeks), COUNTIFS(J$8:J10, J10, H$8:H10, H10))))</f>
        <v>11</v>
      </c>
      <c r="L10" s="51"/>
      <c r="M10" s="29">
        <f ca="1">IF(N10="", "", IF(P10&lt;&gt;P9, ROWS(M$7:M9), ""))</f>
        <v>3</v>
      </c>
      <c r="N10" s="18" t="str">
        <f ca="1">IF(P10="","",INDEX(leagueroster, MATCH(SUMPRODUCT(LARGE((INDEX(seasonptsavg, , )=P10)*(ids),COUNTIF(INDEX(seasonptsavg, , ), P10)-COUNTIF(P$8:P10,P10)+1)), INDEX(leagueroster, , 2), 0), 1))</f>
        <v>Blind Draw #1</v>
      </c>
      <c r="O10" s="19" t="str">
        <f t="shared" ca="1" si="2"/>
        <v>BD</v>
      </c>
      <c r="P10" s="21">
        <f ca="1">IFERROR(LARGE(seasonptsavg, ROWS(P$8:P10)), "")</f>
        <v>13.4375</v>
      </c>
      <c r="Q10" s="19">
        <f t="shared" ca="1" si="3"/>
        <v>215</v>
      </c>
      <c r="R10" s="19">
        <f t="shared" ca="1" si="4"/>
        <v>15</v>
      </c>
      <c r="S10" s="51"/>
      <c r="T10" s="29">
        <f ca="1">IF(U10="", "", IF(W10&lt;&gt;W9, ROWS(T$7:T9), ""))</f>
        <v>3</v>
      </c>
      <c r="U10" s="18" t="str">
        <f ca="1">IF(W10="","",INDEX(leagueroster, MATCH(SUMPRODUCT(LARGE((INDEX(seasongross, , )=W10)*(ids),COUNTIF(INDEX(seasongross, , ), W10)-COUNTIF(W$8:W10,W10)+1)), INDEX(leagueroster, , 2), 0), 1))</f>
        <v>Shreeve, Tim - C</v>
      </c>
      <c r="V10" s="19" t="str">
        <f t="shared" ca="1" si="5"/>
        <v>4P</v>
      </c>
      <c r="W10" s="21">
        <f ca="1">IFERROR(SMALL(seasongross, ROWS(W$8:W10)), "")</f>
        <v>43.230769230769234</v>
      </c>
      <c r="X10" s="19">
        <f t="shared" ca="1" si="6"/>
        <v>13</v>
      </c>
      <c r="Y10" s="51"/>
      <c r="Z10" s="29" t="str">
        <f ca="1">IF(AA10="", "", IF(AC10&lt;&gt;AC9, ROWS(Z$7:Z9), ""))</f>
        <v/>
      </c>
      <c r="AA10" s="18" t="str">
        <f ca="1">IF(AC10="","",INDEX(leagueroster, MATCH(SUMPRODUCT(LARGE((INDEX(seasonnet, , )=AC10)*(ids),COUNTIF(INDEX(seasonnet, , ), AC10)-COUNTIF(AC$8:AC10,AC10)+1)), INDEX(leagueroster, , 2), 0), 1))</f>
        <v>Blind Draw #3</v>
      </c>
      <c r="AB10" s="19" t="str">
        <f t="shared" ca="1" si="7"/>
        <v>BD</v>
      </c>
      <c r="AC10" s="21">
        <f ca="1">IFERROR(SMALL(seasonnet, ROWS(AC$8:AC10)), "")</f>
        <v>35.466666666666669</v>
      </c>
      <c r="AD10" s="19">
        <f t="shared" ca="1" si="8"/>
        <v>15</v>
      </c>
      <c r="AE10" s="51"/>
      <c r="AF10" s="29">
        <f ca="1">IF(AG10="", "", IF(AI10&lt;&gt;AI9, ROWS(AF$7:AF9), ""))</f>
        <v>3</v>
      </c>
      <c r="AG10" s="18" t="str">
        <f ca="1">IF(AI10="","",INDEX(leagueroster, MATCH(SUMPRODUCT(LARGE((INDEX(seasonbirds, , )=AI10)*(ids),COUNTIF(INDEX(seasonbirds, , ), AI10)-COUNTIF(AI$8:AI10,AI10)+1)), INDEX(leagueroster, , 2), 0), 1))</f>
        <v>Kish, Jeff - C</v>
      </c>
      <c r="AH10" s="19" t="str">
        <f t="shared" ca="1" si="9"/>
        <v>ACE</v>
      </c>
      <c r="AI10" s="19">
        <f ca="1">IF(LARGE(seasonbirds, ROWS(AI$8:AI10))&lt;&gt;0,LARGE(seasonbirds, ROWS(AI$8:AI10)), "")</f>
        <v>5</v>
      </c>
      <c r="AJ10" s="19">
        <f t="shared" ca="1" si="10"/>
        <v>11</v>
      </c>
      <c r="AK10" s="51"/>
      <c r="AL10" s="29" t="str">
        <f ca="1">IF(AM10="", "", IF(AO10&lt;&gt;AO9, ROWS(AL$7:AL9), ""))</f>
        <v/>
      </c>
      <c r="AM10" s="18" t="str" cm="1">
        <f t="array" aca="1" ref="AM10" ca="1">IF(AO10="","",INDEX(leagueroster, MATCH(SUMPRODUCT(LARGE((INDEX(seasoneagles, , )=AO10)*(ids),COUNTIF(INDEX(seasoneagles, , ), AO10)-COUNTIF(AO$8:AO10,AO10)+1)), INDEX(leagueroster, , 2), 0), 1))</f>
        <v/>
      </c>
      <c r="AN10" s="19" t="str">
        <f t="shared" ca="1" si="11"/>
        <v/>
      </c>
      <c r="AO10" s="19" t="str">
        <f ca="1">IF(LARGE(seasoneagles, ROWS(AO$8:AO10))&lt;&gt;0,LARGE(seasoneagles, ROWS(AO$8:AO10)), "")</f>
        <v/>
      </c>
      <c r="AP10" s="19" t="str">
        <f t="shared" ca="1" si="12"/>
        <v/>
      </c>
      <c r="AQ10" s="51"/>
      <c r="AR10" s="29">
        <f ca="1">IF(AS10="", "", IF(AT10&lt;&gt;AT9, ROWS(AR$7:AR9), ""))</f>
        <v>3</v>
      </c>
      <c r="AS10" s="18" t="str" cm="1">
        <f t="array" aca="1" ref="AS10" ca="1">IF(AT10="","",INDEX(leagueroster, MATCH(SUMPRODUCT(LARGE((INDEX(teamlownet,,)=AT10)*(ids),COUNTIF(INDEX(teamlownet, ,), AT10)-COUNTIF(AT$8:AT10,AT10)+1)), INDEX(leagueroster, , 2), 0), 1))</f>
        <v>Stymies</v>
      </c>
      <c r="AT10" s="59">
        <f ca="1">IF(ROWS(AT$8:AT10)&lt;=$AR$6, SMALL(INDEX(teamlownet, ,), ROWS(AT$8:AT10)), "")</f>
        <v>140</v>
      </c>
      <c r="AU10" s="51"/>
      <c r="AV10" s="29">
        <f ca="1">IF(AW10="", "", IF(AX10&lt;&gt;AX9, ROWS(AV$7:AV9), ""))</f>
        <v>3</v>
      </c>
      <c r="AW10" s="18" t="str" cm="1">
        <f t="array" aca="1" ref="AW10" ca="1">IF(AX10="","",INDEX(leagueroster, MATCH(SUMPRODUCT(LARGE((INDEX(teamhighpoints,,)=AX10)*(ids),COUNTIF(INDEX(teamhighpoints, ,), AX10)-COUNTIF(AX$8:AX10,AX10)+1)), INDEX(leagueroster, , 2), 0), 1))</f>
        <v>Hack Squad</v>
      </c>
      <c r="AX10" s="59">
        <f ca="1">IF(ROWS(AX$8:AX10)&lt;=$AR$6, LARGE(INDEX(teamhighpoints, ,), ROWS(AX$8:AX10)), "")</f>
        <v>57</v>
      </c>
      <c r="AY10" s="51"/>
    </row>
    <row r="11" spans="1:51" x14ac:dyDescent="0.2">
      <c r="A11" s="29" t="str">
        <f ca="1">IF(B11="", "", IF(D11&lt;&gt;D10, ROWS(A$7:A10), ""))</f>
        <v/>
      </c>
      <c r="B11" s="18" t="str">
        <f ca="1">IF(D11="","",INDEX(leagueroster, MATCH(SUMPRODUCT(LARGE((INDEX(lowgross, , )=D11)*(ids),COUNTIF(INDEX(lowgross, , ), D11)-COUNTIF(D$8:D11,D11)+1)), INDEX(leagueroster, , 2), 0), 1))</f>
        <v>Blind Draw #2</v>
      </c>
      <c r="C11" s="19" t="str">
        <f t="shared" ca="1" si="0"/>
        <v>BD</v>
      </c>
      <c r="D11" s="19">
        <f ca="1">IFERROR(SMALL(INDEX(lowgross, , ), ROWS(D$8:D11)), "")</f>
        <v>38</v>
      </c>
      <c r="E11" s="19">
        <f ca="1">IF(D11="","", SUMPRODUCT(LARGE((INDEX(scores, , )=D11)*(ids=VLOOKUP(B11, leagueroster, 2, FALSE))*(weeks), COUNTIFS(D$8:D11, D11, B$8:B11, B11))))</f>
        <v>17</v>
      </c>
      <c r="F11" s="51"/>
      <c r="G11" s="29" t="str">
        <f ca="1">IF(H11="", "", IF(J11&lt;&gt;J10, ROWS(G$7:G10), ""))</f>
        <v/>
      </c>
      <c r="H11" s="18" t="str">
        <f ca="1">IF(J11="","",INDEX(leagueroster, MATCH(SUMPRODUCT(LARGE((INDEX(lownet, , )=J11)*(ids),COUNTIF(INDEX(lownet, , ), J11)-COUNTIF(J$8:J11,J11)+1)), INDEX(leagueroster, , 2), 0), 1))</f>
        <v>Hyde, Scott</v>
      </c>
      <c r="I11" s="19" t="str">
        <f t="shared" ca="1" si="1"/>
        <v>MET</v>
      </c>
      <c r="J11" s="19">
        <f ca="1">IFERROR(SMALL(INDEX(lownet, , ), ROWS(J$8:J11)), "")</f>
        <v>31</v>
      </c>
      <c r="K11" s="19">
        <f ca="1">IF(J11="","", SUMPRODUCT(LARGE((INDEX(netscores, , )=J11)*(ids=VLOOKUP(H11, leagueroster, 2, FALSE))*(weeks), COUNTIFS(J$8:J11, J11, H$8:H11, H11))))</f>
        <v>19</v>
      </c>
      <c r="L11" s="51"/>
      <c r="M11" s="29">
        <f ca="1">IF(N11="", "", IF(P11&lt;&gt;P10, ROWS(M$7:M10), ""))</f>
        <v>4</v>
      </c>
      <c r="N11" s="18" t="str">
        <f ca="1">IF(P11="","",INDEX(leagueroster, MATCH(SUMPRODUCT(LARGE((INDEX(seasonptsavg, , )=P11)*(ids),COUNTIF(INDEX(seasonptsavg, , ), P11)-COUNTIF(P$8:P11,P11)+1)), INDEX(leagueroster, , 2), 0), 1))</f>
        <v>Blind Draw #3</v>
      </c>
      <c r="O11" s="19" t="str">
        <f t="shared" ca="1" si="2"/>
        <v>BD</v>
      </c>
      <c r="P11" s="21">
        <f ca="1">IFERROR(LARGE(seasonptsavg, ROWS(P$8:P11)), "")</f>
        <v>13</v>
      </c>
      <c r="Q11" s="19">
        <f t="shared" ca="1" si="3"/>
        <v>208</v>
      </c>
      <c r="R11" s="19">
        <f t="shared" ca="1" si="4"/>
        <v>15</v>
      </c>
      <c r="S11" s="51"/>
      <c r="T11" s="29">
        <f ca="1">IF(U11="", "", IF(W11&lt;&gt;W10, ROWS(T$7:T10), ""))</f>
        <v>4</v>
      </c>
      <c r="U11" s="18" t="str">
        <f ca="1">IF(W11="","",INDEX(leagueroster, MATCH(SUMPRODUCT(LARGE((INDEX(seasongross, , )=W11)*(ids),COUNTIF(INDEX(seasongross, , ), W11)-COUNTIF(W$8:W11,W11)+1)), INDEX(leagueroster, , 2), 0), 1))</f>
        <v>Cline, Chad</v>
      </c>
      <c r="V11" s="19" t="str">
        <f t="shared" ca="1" si="5"/>
        <v>SUBS</v>
      </c>
      <c r="W11" s="21">
        <f ca="1">IFERROR(SMALL(seasongross, ROWS(W$8:W11)), "")</f>
        <v>44.166666666666664</v>
      </c>
      <c r="X11" s="19">
        <f t="shared" ca="1" si="6"/>
        <v>6</v>
      </c>
      <c r="Y11" s="51"/>
      <c r="Z11" s="29" t="str">
        <f ca="1">IF(AA11="", "", IF(AC11&lt;&gt;AC10, ROWS(Z$7:Z10), ""))</f>
        <v/>
      </c>
      <c r="AA11" s="18" t="str">
        <f ca="1">IF(AC11="","",INDEX(leagueroster, MATCH(SUMPRODUCT(LARGE((INDEX(seasonnet, , )=AC11)*(ids),COUNTIF(INDEX(seasonnet, , ), AC11)-COUNTIF(AC$8:AC11,AC11)+1)), INDEX(leagueroster, , 2), 0), 1))</f>
        <v>Blind Draw #4</v>
      </c>
      <c r="AB11" s="19" t="str">
        <f t="shared" ca="1" si="7"/>
        <v>BD</v>
      </c>
      <c r="AC11" s="21">
        <f ca="1">IFERROR(SMALL(seasonnet, ROWS(AC$8:AC11)), "")</f>
        <v>35.466666666666669</v>
      </c>
      <c r="AD11" s="19">
        <f t="shared" ca="1" si="8"/>
        <v>15</v>
      </c>
      <c r="AE11" s="51"/>
      <c r="AF11" s="29" t="str">
        <f ca="1">IF(AG11="", "", IF(AI11&lt;&gt;AI10, ROWS(AF$7:AF10), ""))</f>
        <v/>
      </c>
      <c r="AG11" s="18" t="str">
        <f ca="1">IF(AI11="","",INDEX(leagueroster, MATCH(SUMPRODUCT(LARGE((INDEX(seasonbirds, , )=AI11)*(ids),COUNTIF(INDEX(seasonbirds, , ), AI11)-COUNTIF(AI$8:AI11,AI11)+1)), INDEX(leagueroster, , 2), 0), 1))</f>
        <v>Parrish, Charlie</v>
      </c>
      <c r="AH11" s="19" t="str">
        <f t="shared" ca="1" si="9"/>
        <v>ACE</v>
      </c>
      <c r="AI11" s="19">
        <f ca="1">IF(LARGE(seasonbirds, ROWS(AI$8:AI11))&lt;&gt;0,LARGE(seasonbirds, ROWS(AI$8:AI11)), "")</f>
        <v>5</v>
      </c>
      <c r="AJ11" s="19">
        <f t="shared" ca="1" si="10"/>
        <v>12</v>
      </c>
      <c r="AK11" s="51"/>
      <c r="AL11" s="29" t="str">
        <f ca="1">IF(AM11="", "", IF(AO11&lt;&gt;AO10, ROWS(AL$7:AL10), ""))</f>
        <v/>
      </c>
      <c r="AM11" s="18" t="str" cm="1">
        <f t="array" aca="1" ref="AM11" ca="1">IF(AO11="","",INDEX(leagueroster, MATCH(SUMPRODUCT(LARGE((INDEX(seasoneagles, , )=AO11)*(ids),COUNTIF(INDEX(seasoneagles, , ), AO11)-COUNTIF(AO$8:AO11,AO11)+1)), INDEX(leagueroster, , 2), 0), 1))</f>
        <v/>
      </c>
      <c r="AN11" s="19" t="str">
        <f t="shared" ca="1" si="11"/>
        <v/>
      </c>
      <c r="AO11" s="19" t="str">
        <f ca="1">IF(LARGE(seasoneagles, ROWS(AO$8:AO11))&lt;&gt;0,LARGE(seasoneagles, ROWS(AO$8:AO11)), "")</f>
        <v/>
      </c>
      <c r="AP11" s="19" t="str">
        <f t="shared" ca="1" si="12"/>
        <v/>
      </c>
      <c r="AQ11" s="51"/>
      <c r="AR11" s="29">
        <f ca="1">IF(AS11="", "", IF(AT11&lt;&gt;AT10, ROWS(AR$7:AR10), ""))</f>
        <v>4</v>
      </c>
      <c r="AS11" s="18" t="str" cm="1">
        <f t="array" aca="1" ref="AS11" ca="1">IF(AT11="","",INDEX(leagueroster, MATCH(SUMPRODUCT(LARGE((INDEX(teamlownet,,)=AT11)*(ids),COUNTIF(INDEX(teamlownet, ,), AT11)-COUNTIF(AT$8:AT11,AT11)+1)), INDEX(leagueroster, , 2), 0), 1))</f>
        <v>Mickey Mouse Club</v>
      </c>
      <c r="AT11" s="59">
        <f ca="1">IF(ROWS(AT$8:AT11)&lt;=$AR$6, SMALL(INDEX(teamlownet, ,), ROWS(AT$8:AT11)), "")</f>
        <v>141</v>
      </c>
      <c r="AU11" s="51"/>
      <c r="AV11" s="29">
        <f ca="1">IF(AW11="", "", IF(AX11&lt;&gt;AX10, ROWS(AV$7:AV10), ""))</f>
        <v>4</v>
      </c>
      <c r="AW11" s="18" t="str" cm="1">
        <f t="array" aca="1" ref="AW11" ca="1">IF(AX11="","",INDEX(leagueroster, MATCH(SUMPRODUCT(LARGE((INDEX(teamhighpoints,,)=AX11)*(ids),COUNTIF(INDEX(teamhighpoints, ,), AX11)-COUNTIF(AX$8:AX11,AX11)+1)), INDEX(leagueroster, , 2), 0), 1))</f>
        <v>Stymies</v>
      </c>
      <c r="AX11" s="59">
        <f ca="1">IF(ROWS(AX$8:AX11)&lt;=$AR$6, LARGE(INDEX(teamhighpoints, ,), ROWS(AX$8:AX11)), "")</f>
        <v>56</v>
      </c>
      <c r="AY11" s="51"/>
    </row>
    <row r="12" spans="1:51" x14ac:dyDescent="0.2">
      <c r="A12" s="29" t="str">
        <f ca="1">IF(B12="", "", IF(D12&lt;&gt;D11, ROWS(A$7:A11), ""))</f>
        <v/>
      </c>
      <c r="B12" s="18" t="str">
        <f ca="1">IF(D12="","",INDEX(leagueroster, MATCH(SUMPRODUCT(LARGE((INDEX(lowgross, , )=D12)*(ids),COUNTIF(INDEX(lowgross, , ), D12)-COUNTIF(D$8:D12,D12)+1)), INDEX(leagueroster, , 2), 0), 1))</f>
        <v>Blind Draw #3</v>
      </c>
      <c r="C12" s="19" t="str">
        <f t="shared" ca="1" si="0"/>
        <v>BD</v>
      </c>
      <c r="D12" s="19">
        <f ca="1">IFERROR(SMALL(INDEX(lowgross, , ), ROWS(D$8:D12)), "")</f>
        <v>38</v>
      </c>
      <c r="E12" s="19">
        <f ca="1">IF(D12="","", SUMPRODUCT(LARGE((INDEX(scores, , )=D12)*(ids=VLOOKUP(B12, leagueroster, 2, FALSE))*(weeks), COUNTIFS(D$8:D12, D12, B$8:B12, B12))))</f>
        <v>17</v>
      </c>
      <c r="F12" s="51"/>
      <c r="G12" s="29" t="str">
        <f ca="1">IF(H12="", "", IF(J12&lt;&gt;J11, ROWS(G$7:G11), ""))</f>
        <v/>
      </c>
      <c r="H12" s="18" t="str">
        <f ca="1">IF(J12="","",INDEX(leagueroster, MATCH(SUMPRODUCT(LARGE((INDEX(lownet, , )=J12)*(ids),COUNTIF(INDEX(lownet, , ), J12)-COUNTIF(J$8:J12,J12)+1)), INDEX(leagueroster, , 2), 0), 1))</f>
        <v>Lemus, Alex</v>
      </c>
      <c r="I12" s="19" t="str">
        <f t="shared" ca="1" si="1"/>
        <v>SUBS</v>
      </c>
      <c r="J12" s="19">
        <f ca="1">IFERROR(SMALL(INDEX(lownet, , ), ROWS(J$8:J12)), "")</f>
        <v>31</v>
      </c>
      <c r="K12" s="19">
        <f ca="1">IF(J12="","", SUMPRODUCT(LARGE((INDEX(netscores, , )=J12)*(ids=VLOOKUP(H12, leagueroster, 2, FALSE))*(weeks), COUNTIFS(J$8:J12, J12, H$8:H12, H12))))</f>
        <v>11</v>
      </c>
      <c r="L12" s="51"/>
      <c r="M12" s="29">
        <f ca="1">IF(N12="", "", IF(P12&lt;&gt;P11, ROWS(M$7:M11), ""))</f>
        <v>5</v>
      </c>
      <c r="N12" s="18" t="str">
        <f ca="1">IF(P12="","",INDEX(leagueroster, MATCH(SUMPRODUCT(LARGE((INDEX(seasonptsavg, , )=P12)*(ids),COUNTIF(INDEX(seasonptsavg, , ), P12)-COUNTIF(P$8:P12,P12)+1)), INDEX(leagueroster, , 2), 0), 1))</f>
        <v>Boyd, Steve</v>
      </c>
      <c r="O12" s="19" t="str">
        <f t="shared" ca="1" si="2"/>
        <v>MET</v>
      </c>
      <c r="P12" s="21">
        <f ca="1">IFERROR(LARGE(seasonptsavg, ROWS(P$8:P12)), "")</f>
        <v>12.307692307692308</v>
      </c>
      <c r="Q12" s="19">
        <f t="shared" ca="1" si="3"/>
        <v>160</v>
      </c>
      <c r="R12" s="19">
        <f t="shared" ca="1" si="4"/>
        <v>13</v>
      </c>
      <c r="S12" s="51"/>
      <c r="T12" s="29" t="str">
        <f ca="1">IF(U12="", "", IF(W12&lt;&gt;W11, ROWS(T$7:T11), ""))</f>
        <v/>
      </c>
      <c r="U12" s="18" t="str">
        <f ca="1">IF(W12="","",INDEX(leagueroster, MATCH(SUMPRODUCT(LARGE((INDEX(seasongross, , )=W12)*(ids),COUNTIF(INDEX(seasongross, , ), W12)-COUNTIF(W$8:W12,W12)+1)), INDEX(leagueroster, , 2), 0), 1))</f>
        <v>Parrish, Charlie</v>
      </c>
      <c r="V12" s="19" t="str">
        <f t="shared" ca="1" si="5"/>
        <v>ACE</v>
      </c>
      <c r="W12" s="21">
        <f ca="1">IFERROR(SMALL(seasongross, ROWS(W$8:W12)), "")</f>
        <v>44.166666666666664</v>
      </c>
      <c r="X12" s="19">
        <f t="shared" ca="1" si="6"/>
        <v>12</v>
      </c>
      <c r="Y12" s="51"/>
      <c r="Z12" s="29">
        <f ca="1">IF(AA12="", "", IF(AC12&lt;&gt;AC11, ROWS(Z$7:Z11), ""))</f>
        <v>5</v>
      </c>
      <c r="AA12" s="18" t="str">
        <f ca="1">IF(AC12="","",INDEX(leagueroster, MATCH(SUMPRODUCT(LARGE((INDEX(seasonnet, , )=AC12)*(ids),COUNTIF(INDEX(seasonnet, , ), AC12)-COUNTIF(AC$8:AC12,AC12)+1)), INDEX(leagueroster, , 2), 0), 1))</f>
        <v>Boyd, Steve</v>
      </c>
      <c r="AB12" s="19" t="str">
        <f t="shared" ca="1" si="7"/>
        <v>MET</v>
      </c>
      <c r="AC12" s="21">
        <f ca="1">IFERROR(SMALL(seasonnet, ROWS(AC$8:AC12)), "")</f>
        <v>37.07692307692308</v>
      </c>
      <c r="AD12" s="19">
        <f t="shared" ca="1" si="8"/>
        <v>13</v>
      </c>
      <c r="AE12" s="51"/>
      <c r="AF12" s="29">
        <f ca="1">IF(AG12="", "", IF(AI12&lt;&gt;AI11, ROWS(AF$7:AF11), ""))</f>
        <v>5</v>
      </c>
      <c r="AG12" s="18" t="str">
        <f ca="1">IF(AI12="","",INDEX(leagueroster, MATCH(SUMPRODUCT(LARGE((INDEX(seasonbirds, , )=AI12)*(ids),COUNTIF(INDEX(seasonbirds, , ), AI12)-COUNTIF(AI$8:AI12,AI12)+1)), INDEX(leagueroster, , 2), 0), 1))</f>
        <v>Boyd, Steve</v>
      </c>
      <c r="AH12" s="19" t="str">
        <f t="shared" ca="1" si="9"/>
        <v>MET</v>
      </c>
      <c r="AI12" s="19">
        <f ca="1">IF(LARGE(seasonbirds, ROWS(AI$8:AI12))&lt;&gt;0,LARGE(seasonbirds, ROWS(AI$8:AI12)), "")</f>
        <v>3</v>
      </c>
      <c r="AJ12" s="19">
        <f t="shared" ca="1" si="10"/>
        <v>13</v>
      </c>
      <c r="AK12" s="51"/>
      <c r="AL12" s="29" t="str">
        <f ca="1">IF(AM12="", "", IF(AO12&lt;&gt;AO11, ROWS(AL$7:AL11), ""))</f>
        <v/>
      </c>
      <c r="AM12" s="18" t="str" cm="1">
        <f t="array" aca="1" ref="AM12" ca="1">IF(AO12="","",INDEX(leagueroster, MATCH(SUMPRODUCT(LARGE((INDEX(seasoneagles, , )=AO12)*(ids),COUNTIF(INDEX(seasoneagles, , ), AO12)-COUNTIF(AO$8:AO12,AO12)+1)), INDEX(leagueroster, , 2), 0), 1))</f>
        <v/>
      </c>
      <c r="AN12" s="19" t="str">
        <f t="shared" ca="1" si="11"/>
        <v/>
      </c>
      <c r="AO12" s="19" t="str">
        <f ca="1">IF(LARGE(seasoneagles, ROWS(AO$8:AO12))&lt;&gt;0,LARGE(seasoneagles, ROWS(AO$8:AO12)), "")</f>
        <v/>
      </c>
      <c r="AP12" s="19" t="str">
        <f t="shared" ca="1" si="12"/>
        <v/>
      </c>
      <c r="AQ12" s="51"/>
      <c r="AR12" s="29" t="str">
        <f ca="1">IF(AS12="", "", IF(AT12&lt;&gt;AT11, ROWS(AR$7:AR11), ""))</f>
        <v/>
      </c>
      <c r="AS12" s="18" t="str" cm="1">
        <f t="array" aca="1" ref="AS12" ca="1">IF(AT12="","",INDEX(leagueroster, MATCH(SUMPRODUCT(LARGE((INDEX(teamlownet,,)=AT12)*(ids),COUNTIF(INDEX(teamlownet, ,), AT12)-COUNTIF(AT$8:AT12,AT12)+1)), INDEX(leagueroster, , 2), 0), 1))</f>
        <v>Who's Your Caddy?</v>
      </c>
      <c r="AT12" s="59">
        <f ca="1">IF(ROWS(AT$8:AT12)&lt;=$AR$6, SMALL(INDEX(teamlownet, ,), ROWS(AT$8:AT12)), "")</f>
        <v>141</v>
      </c>
      <c r="AU12" s="51"/>
      <c r="AV12" s="29" t="str">
        <f ca="1">IF(AW12="", "", IF(AX12&lt;&gt;AX11, ROWS(AV$7:AV11), ""))</f>
        <v/>
      </c>
      <c r="AW12" s="18" t="str" cm="1">
        <f t="array" aca="1" ref="AW12" ca="1">IF(AX12="","",INDEX(leagueroster, MATCH(SUMPRODUCT(LARGE((INDEX(teamhighpoints,,)=AX12)*(ids),COUNTIF(INDEX(teamhighpoints, ,), AX12)-COUNTIF(AX$8:AX12,AX12)+1)), INDEX(leagueroster, , 2), 0), 1))</f>
        <v>Who's Your Caddy?</v>
      </c>
      <c r="AX12" s="59">
        <f ca="1">IF(ROWS(AX$8:AX12)&lt;=$AR$6, LARGE(INDEX(teamhighpoints, ,), ROWS(AX$8:AX12)), "")</f>
        <v>56</v>
      </c>
      <c r="AY12" s="51"/>
    </row>
    <row r="13" spans="1:51" x14ac:dyDescent="0.2">
      <c r="A13" s="29" t="str">
        <f ca="1">IF(B13="", "", IF(D13&lt;&gt;D12, ROWS(A$7:A12), ""))</f>
        <v/>
      </c>
      <c r="B13" s="18" t="str">
        <f ca="1">IF(D13="","",INDEX(leagueroster, MATCH(SUMPRODUCT(LARGE((INDEX(lowgross, , )=D13)*(ids),COUNTIF(INDEX(lowgross, , ), D13)-COUNTIF(D$8:D13,D13)+1)), INDEX(leagueroster, , 2), 0), 1))</f>
        <v>Blind Draw #4</v>
      </c>
      <c r="C13" s="19" t="str">
        <f t="shared" ca="1" si="0"/>
        <v>BD</v>
      </c>
      <c r="D13" s="19">
        <f ca="1">IFERROR(SMALL(INDEX(lowgross, , ), ROWS(D$8:D13)), "")</f>
        <v>38</v>
      </c>
      <c r="E13" s="19">
        <f ca="1">IF(D13="","", SUMPRODUCT(LARGE((INDEX(scores, , )=D13)*(ids=VLOOKUP(B13, leagueroster, 2, FALSE))*(weeks), COUNTIFS(D$8:D13, D13, B$8:B13, B13))))</f>
        <v>17</v>
      </c>
      <c r="F13" s="51"/>
      <c r="G13" s="29">
        <f ca="1">IF(H13="", "", IF(J13&lt;&gt;J12, ROWS(G$7:G12), ""))</f>
        <v>6</v>
      </c>
      <c r="H13" s="18" t="str">
        <f ca="1">IF(J13="","",INDEX(leagueroster, MATCH(SUMPRODUCT(LARGE((INDEX(lownet, , )=J13)*(ids),COUNTIF(INDEX(lownet, , ), J13)-COUNTIF(J$8:J13,J13)+1)), INDEX(leagueroster, , 2), 0), 1))</f>
        <v>Boyd, Steve</v>
      </c>
      <c r="I13" s="19" t="str">
        <f t="shared" ca="1" si="1"/>
        <v>MET</v>
      </c>
      <c r="J13" s="19">
        <f ca="1">IFERROR(SMALL(INDEX(lownet, , ), ROWS(J$8:J13)), "")</f>
        <v>32</v>
      </c>
      <c r="K13" s="19">
        <f ca="1">IF(J13="","", SUMPRODUCT(LARGE((INDEX(netscores, , )=J13)*(ids=VLOOKUP(H13, leagueroster, 2, FALSE))*(weeks), COUNTIFS(J$8:J13, J13, H$8:H13, H13))))</f>
        <v>16</v>
      </c>
      <c r="L13" s="51"/>
      <c r="M13" s="29">
        <f ca="1">IF(N13="", "", IF(P13&lt;&gt;P12, ROWS(M$7:M12), ""))</f>
        <v>6</v>
      </c>
      <c r="N13" s="18" t="str">
        <f ca="1">IF(P13="","",INDEX(leagueroster, MATCH(SUMPRODUCT(LARGE((INDEX(seasonptsavg, , )=P13)*(ids),COUNTIF(INDEX(seasonptsavg, , ), P13)-COUNTIF(P$8:P13,P13)+1)), INDEX(leagueroster, , 2), 0), 1))</f>
        <v>Lemus, Alex</v>
      </c>
      <c r="O13" s="19" t="str">
        <f t="shared" ca="1" si="2"/>
        <v>SUBS</v>
      </c>
      <c r="P13" s="21">
        <f ca="1">IFERROR(LARGE(seasonptsavg, ROWS(P$8:P13)), "")</f>
        <v>11.8</v>
      </c>
      <c r="Q13" s="19">
        <f t="shared" ca="1" si="3"/>
        <v>59</v>
      </c>
      <c r="R13" s="19">
        <f t="shared" ca="1" si="4"/>
        <v>5</v>
      </c>
      <c r="S13" s="51"/>
      <c r="T13" s="29">
        <f ca="1">IF(U13="", "", IF(W13&lt;&gt;W12, ROWS(T$7:T12), ""))</f>
        <v>6</v>
      </c>
      <c r="U13" s="18" t="str">
        <f ca="1">IF(W13="","",INDEX(leagueroster, MATCH(SUMPRODUCT(LARGE((INDEX(seasongross, , )=W13)*(ids),COUNTIF(INDEX(seasongross, , ), W13)-COUNTIF(W$8:W13,W13)+1)), INDEX(leagueroster, , 2), 0), 1))</f>
        <v>Culver, Chuck</v>
      </c>
      <c r="V13" s="19" t="str">
        <f t="shared" ca="1" si="5"/>
        <v>MET</v>
      </c>
      <c r="W13" s="21">
        <f ca="1">IFERROR(SMALL(seasongross, ROWS(W$8:W13)), "")</f>
        <v>45.071428571428569</v>
      </c>
      <c r="X13" s="19">
        <f t="shared" ca="1" si="6"/>
        <v>14</v>
      </c>
      <c r="Y13" s="51"/>
      <c r="Z13" s="29">
        <f ca="1">IF(AA13="", "", IF(AC13&lt;&gt;AC12, ROWS(Z$7:Z12), ""))</f>
        <v>6</v>
      </c>
      <c r="AA13" s="18" t="str">
        <f ca="1">IF(AC13="","",INDEX(leagueroster, MATCH(SUMPRODUCT(LARGE((INDEX(seasonnet, , )=AC13)*(ids),COUNTIF(INDEX(seasonnet, , ), AC13)-COUNTIF(AC$8:AC13,AC13)+1)), INDEX(leagueroster, , 2), 0), 1))</f>
        <v>Kish, Jeff - C</v>
      </c>
      <c r="AB13" s="19" t="str">
        <f t="shared" ca="1" si="7"/>
        <v>ACE</v>
      </c>
      <c r="AC13" s="21">
        <f ca="1">IFERROR(SMALL(seasonnet, ROWS(AC$8:AC13)), "")</f>
        <v>37.090909090909093</v>
      </c>
      <c r="AD13" s="19">
        <f t="shared" ca="1" si="8"/>
        <v>11</v>
      </c>
      <c r="AE13" s="51"/>
      <c r="AF13" s="29" t="str">
        <f ca="1">IF(AG13="", "", IF(AI13&lt;&gt;AI12, ROWS(AF$7:AF12), ""))</f>
        <v/>
      </c>
      <c r="AG13" s="18" t="str">
        <f ca="1">IF(AI13="","",INDEX(leagueroster, MATCH(SUMPRODUCT(LARGE((INDEX(seasonbirds, , )=AI13)*(ids),COUNTIF(INDEX(seasonbirds, , ), AI13)-COUNTIF(AI$8:AI13,AI13)+1)), INDEX(leagueroster, , 2), 0), 1))</f>
        <v>Cline, Chad</v>
      </c>
      <c r="AH13" s="19" t="str">
        <f t="shared" ca="1" si="9"/>
        <v>SUBS</v>
      </c>
      <c r="AI13" s="19">
        <f ca="1">IF(LARGE(seasonbirds, ROWS(AI$8:AI13))&lt;&gt;0,LARGE(seasonbirds, ROWS(AI$8:AI13)), "")</f>
        <v>3</v>
      </c>
      <c r="AJ13" s="19">
        <f t="shared" ca="1" si="10"/>
        <v>6</v>
      </c>
      <c r="AK13" s="51"/>
      <c r="AL13" s="29" t="str">
        <f ca="1">IF(AM13="", "", IF(AO13&lt;&gt;AO12, ROWS(AL$7:AL12), ""))</f>
        <v/>
      </c>
      <c r="AM13" s="18" t="str" cm="1">
        <f t="array" aca="1" ref="AM13" ca="1">IF(AO13="","",INDEX(leagueroster, MATCH(SUMPRODUCT(LARGE((INDEX(seasoneagles, , )=AO13)*(ids),COUNTIF(INDEX(seasoneagles, , ), AO13)-COUNTIF(AO$8:AO13,AO13)+1)), INDEX(leagueroster, , 2), 0), 1))</f>
        <v/>
      </c>
      <c r="AN13" s="19" t="str">
        <f t="shared" ca="1" si="11"/>
        <v/>
      </c>
      <c r="AO13" s="19" t="str">
        <f ca="1">IF(LARGE(seasoneagles, ROWS(AO$8:AO13))&lt;&gt;0,LARGE(seasoneagles, ROWS(AO$8:AO13)), "")</f>
        <v/>
      </c>
      <c r="AP13" s="19" t="str">
        <f t="shared" ca="1" si="12"/>
        <v/>
      </c>
      <c r="AQ13" s="51"/>
      <c r="AR13" s="29">
        <f ca="1">IF(AS13="", "", IF(AT13&lt;&gt;AT12, ROWS(AR$7:AR12), ""))</f>
        <v>6</v>
      </c>
      <c r="AS13" s="18" t="str" cm="1">
        <f t="array" aca="1" ref="AS13" ca="1">IF(AT13="","",INDEX(leagueroster, MATCH(SUMPRODUCT(LARGE((INDEX(teamlownet,,)=AT13)*(ids),COUNTIF(INDEX(teamlownet, ,), AT13)-COUNTIF(AT$8:AT13,AT13)+1)), INDEX(leagueroster, , 2), 0), 1))</f>
        <v>Aceholes</v>
      </c>
      <c r="AT13" s="59">
        <f ca="1">IF(ROWS(AT$8:AT13)&lt;=$AR$6, SMALL(INDEX(teamlownet, ,), ROWS(AT$8:AT13)), "")</f>
        <v>142</v>
      </c>
      <c r="AU13" s="51"/>
      <c r="AV13" s="29">
        <f ca="1">IF(AW13="", "", IF(AX13&lt;&gt;AX12, ROWS(AV$7:AV12), ""))</f>
        <v>6</v>
      </c>
      <c r="AW13" s="18" t="str" cm="1">
        <f t="array" aca="1" ref="AW13" ca="1">IF(AX13="","",INDEX(leagueroster, MATCH(SUMPRODUCT(LARGE((INDEX(teamhighpoints,,)=AX13)*(ids),COUNTIF(INDEX(teamhighpoints, ,), AX13)-COUNTIF(AX$8:AX13,AX13)+1)), INDEX(leagueroster, , 2), 0), 1))</f>
        <v>Metheads</v>
      </c>
      <c r="AX13" s="59">
        <f ca="1">IF(ROWS(AX$8:AX13)&lt;=$AR$6, LARGE(INDEX(teamhighpoints, ,), ROWS(AX$8:AX13)), "")</f>
        <v>54</v>
      </c>
      <c r="AY13" s="51"/>
    </row>
    <row r="14" spans="1:51" x14ac:dyDescent="0.2">
      <c r="A14" s="29" t="str">
        <f ca="1">IF(B14="", "", IF(D14&lt;&gt;D13, ROWS(A$7:A13), ""))</f>
        <v/>
      </c>
      <c r="B14" s="18" t="str">
        <f ca="1">IF(D14="","",INDEX(leagueroster, MATCH(SUMPRODUCT(LARGE((INDEX(lowgross, , )=D14)*(ids),COUNTIF(INDEX(lowgross, , ), D14)-COUNTIF(D$8:D14,D14)+1)), INDEX(leagueroster, , 2), 0), 1))</f>
        <v>Culver, Chuck</v>
      </c>
      <c r="C14" s="19" t="str">
        <f t="shared" ca="1" si="0"/>
        <v>MET</v>
      </c>
      <c r="D14" s="19">
        <f ca="1">IFERROR(SMALL(INDEX(lowgross, , ), ROWS(D$8:D14)), "")</f>
        <v>38</v>
      </c>
      <c r="E14" s="19">
        <f ca="1">IF(D14="","", SUMPRODUCT(LARGE((INDEX(scores, , )=D14)*(ids=VLOOKUP(B14, leagueroster, 2, FALSE))*(weeks), COUNTIFS(D$8:D14, D14, B$8:B14, B14))))</f>
        <v>17</v>
      </c>
      <c r="F14" s="51"/>
      <c r="G14" s="29" t="str">
        <f ca="1">IF(H14="", "", IF(J14&lt;&gt;J13, ROWS(G$7:G13), ""))</f>
        <v/>
      </c>
      <c r="H14" s="18" t="str">
        <f ca="1">IF(J14="","",INDEX(leagueroster, MATCH(SUMPRODUCT(LARGE((INDEX(lownet, , )=J14)*(ids),COUNTIF(INDEX(lownet, , ), J14)-COUNTIF(J$8:J14,J14)+1)), INDEX(leagueroster, , 2), 0), 1))</f>
        <v>Hawkins, Rick - C</v>
      </c>
      <c r="I14" s="19" t="str">
        <f t="shared" ca="1" si="1"/>
        <v>MMC</v>
      </c>
      <c r="J14" s="19">
        <f ca="1">IFERROR(SMALL(INDEX(lownet, , ), ROWS(J$8:J14)), "")</f>
        <v>32</v>
      </c>
      <c r="K14" s="19">
        <f ca="1">IF(J14="","", SUMPRODUCT(LARGE((INDEX(netscores, , )=J14)*(ids=VLOOKUP(H14, leagueroster, 2, FALSE))*(weeks), COUNTIFS(J$8:J14, J14, H$8:H14, H14))))</f>
        <v>16</v>
      </c>
      <c r="L14" s="51"/>
      <c r="M14" s="29">
        <f ca="1">IF(N14="", "", IF(P14&lt;&gt;P13, ROWS(M$7:M13), ""))</f>
        <v>7</v>
      </c>
      <c r="N14" s="18" t="str">
        <f ca="1">IF(P14="","",INDEX(leagueroster, MATCH(SUMPRODUCT(LARGE((INDEX(seasonptsavg, , )=P14)*(ids),COUNTIF(INDEX(seasonptsavg, , ), P14)-COUNTIF(P$8:P14,P14)+1)), INDEX(leagueroster, , 2), 0), 1))</f>
        <v>Kish, Jeff - C</v>
      </c>
      <c r="O14" s="19" t="str">
        <f t="shared" ca="1" si="2"/>
        <v>ACE</v>
      </c>
      <c r="P14" s="21">
        <f ca="1">IFERROR(LARGE(seasonptsavg, ROWS(P$8:P14)), "")</f>
        <v>11.636363636363637</v>
      </c>
      <c r="Q14" s="19">
        <f t="shared" ca="1" si="3"/>
        <v>128</v>
      </c>
      <c r="R14" s="19">
        <f t="shared" ca="1" si="4"/>
        <v>11</v>
      </c>
      <c r="S14" s="51"/>
      <c r="T14" s="29">
        <f ca="1">IF(U14="", "", IF(W14&lt;&gt;W13, ROWS(T$7:T13), ""))</f>
        <v>7</v>
      </c>
      <c r="U14" s="18" t="str">
        <f ca="1">IF(W14="","",INDEX(leagueroster, MATCH(SUMPRODUCT(LARGE((INDEX(seasongross, , )=W14)*(ids),COUNTIF(INDEX(seasongross, , ), W14)-COUNTIF(W$8:W14,W14)+1)), INDEX(leagueroster, , 2), 0), 1))</f>
        <v>Zbuka, Pat</v>
      </c>
      <c r="V14" s="19" t="str">
        <f t="shared" ca="1" si="5"/>
        <v>4P</v>
      </c>
      <c r="W14" s="21">
        <f ca="1">IFERROR(SMALL(seasongross, ROWS(W$8:W14)), "")</f>
        <v>45.428571428571431</v>
      </c>
      <c r="X14" s="19">
        <f t="shared" ca="1" si="6"/>
        <v>7</v>
      </c>
      <c r="Y14" s="51"/>
      <c r="Z14" s="29">
        <f ca="1">IF(AA14="", "", IF(AC14&lt;&gt;AC13, ROWS(Z$7:Z13), ""))</f>
        <v>7</v>
      </c>
      <c r="AA14" s="18" t="str">
        <f ca="1">IF(AC14="","",INDEX(leagueroster, MATCH(SUMPRODUCT(LARGE((INDEX(seasonnet, , )=AC14)*(ids),COUNTIF(INDEX(seasonnet, , ), AC14)-COUNTIF(AC$8:AC14,AC14)+1)), INDEX(leagueroster, , 2), 0), 1))</f>
        <v>Bates, Jim</v>
      </c>
      <c r="AB14" s="19" t="str">
        <f t="shared" ca="1" si="7"/>
        <v>ACE</v>
      </c>
      <c r="AC14" s="21">
        <f ca="1">IFERROR(SMALL(seasonnet, ROWS(AC$8:AC14)), "")</f>
        <v>37.666666666666664</v>
      </c>
      <c r="AD14" s="19">
        <f t="shared" ca="1" si="8"/>
        <v>15</v>
      </c>
      <c r="AE14" s="51"/>
      <c r="AF14" s="29" t="str">
        <f ca="1">IF(AG14="", "", IF(AI14&lt;&gt;AI13, ROWS(AF$7:AF13), ""))</f>
        <v/>
      </c>
      <c r="AG14" s="18" t="str">
        <f ca="1">IF(AI14="","",INDEX(leagueroster, MATCH(SUMPRODUCT(LARGE((INDEX(seasonbirds, , )=AI14)*(ids),COUNTIF(INDEX(seasonbirds, , ), AI14)-COUNTIF(AI$8:AI14,AI14)+1)), INDEX(leagueroster, , 2), 0), 1))</f>
        <v>Evans, Ryan</v>
      </c>
      <c r="AH14" s="19" t="str">
        <f t="shared" ca="1" si="9"/>
        <v>STY</v>
      </c>
      <c r="AI14" s="19">
        <f ca="1">IF(LARGE(seasonbirds, ROWS(AI$8:AI14))&lt;&gt;0,LARGE(seasonbirds, ROWS(AI$8:AI14)), "")</f>
        <v>3</v>
      </c>
      <c r="AJ14" s="19">
        <f t="shared" ca="1" si="10"/>
        <v>14</v>
      </c>
      <c r="AK14" s="51"/>
      <c r="AL14" s="29" t="str">
        <f ca="1">IF(AM14="", "", IF(AO14&lt;&gt;AO13, ROWS(AL$7:AL13), ""))</f>
        <v/>
      </c>
      <c r="AM14" s="18" t="str" cm="1">
        <f t="array" aca="1" ref="AM14" ca="1">IF(AO14="","",INDEX(leagueroster, MATCH(SUMPRODUCT(LARGE((INDEX(seasoneagles, , )=AO14)*(ids),COUNTIF(INDEX(seasoneagles, , ), AO14)-COUNTIF(AO$8:AO14,AO14)+1)), INDEX(leagueroster, , 2), 0), 1))</f>
        <v/>
      </c>
      <c r="AN14" s="19" t="str">
        <f t="shared" ca="1" si="11"/>
        <v/>
      </c>
      <c r="AO14" s="19" t="str">
        <f ca="1">IF(LARGE(seasoneagles, ROWS(AO$8:AO14))&lt;&gt;0,LARGE(seasoneagles, ROWS(AO$8:AO14)), "")</f>
        <v/>
      </c>
      <c r="AP14" s="19" t="str">
        <f t="shared" ca="1" si="12"/>
        <v/>
      </c>
      <c r="AQ14" s="51"/>
      <c r="AR14" s="29">
        <f ca="1">IF(AS14="", "", IF(AT14&lt;&gt;AT13, ROWS(AR$7:AR13), ""))</f>
        <v>7</v>
      </c>
      <c r="AS14" s="18" t="str" cm="1">
        <f t="array" aca="1" ref="AS14" ca="1">IF(AT14="","",INDEX(leagueroster, MATCH(SUMPRODUCT(LARGE((INDEX(teamlownet,,)=AT14)*(ids),COUNTIF(INDEX(teamlownet, ,), AT14)-COUNTIF(AT$8:AT14,AT14)+1)), INDEX(leagueroster, , 2), 0), 1))</f>
        <v>The Four Puttz</v>
      </c>
      <c r="AT14" s="59">
        <f ca="1">IF(ROWS(AT$8:AT14)&lt;=$AR$6, SMALL(INDEX(teamlownet, ,), ROWS(AT$8:AT14)), "")</f>
        <v>147</v>
      </c>
      <c r="AU14" s="51"/>
      <c r="AV14" s="29">
        <f ca="1">IF(AW14="", "", IF(AX14&lt;&gt;AX13, ROWS(AV$7:AV13), ""))</f>
        <v>7</v>
      </c>
      <c r="AW14" s="18" t="str" cm="1">
        <f t="array" aca="1" ref="AW14" ca="1">IF(AX14="","",INDEX(leagueroster, MATCH(SUMPRODUCT(LARGE((INDEX(teamhighpoints,,)=AX14)*(ids),COUNTIF(INDEX(teamhighpoints, ,), AX14)-COUNTIF(AX$8:AX14,AX14)+1)), INDEX(leagueroster, , 2), 0), 1))</f>
        <v>Mickey Mouse Club</v>
      </c>
      <c r="AX14" s="59">
        <f ca="1">IF(ROWS(AX$8:AX14)&lt;=$AR$6, LARGE(INDEX(teamhighpoints, ,), ROWS(AX$8:AX14)), "")</f>
        <v>53</v>
      </c>
      <c r="AY14" s="51"/>
    </row>
    <row r="15" spans="1:51" x14ac:dyDescent="0.2">
      <c r="A15" s="29" t="str">
        <f ca="1">IF(B15="", "", IF(D15&lt;&gt;D14, ROWS(A$7:A14), ""))</f>
        <v/>
      </c>
      <c r="B15" s="18" t="str">
        <f ca="1">IF(D15="","",INDEX(leagueroster, MATCH(SUMPRODUCT(LARGE((INDEX(lowgross, , )=D15)*(ids),COUNTIF(INDEX(lowgross, , ), D15)-COUNTIF(D$8:D15,D15)+1)), INDEX(leagueroster, , 2), 0), 1))</f>
        <v>Evans, Ryan</v>
      </c>
      <c r="C15" s="19" t="str">
        <f t="shared" ca="1" si="0"/>
        <v>STY</v>
      </c>
      <c r="D15" s="19">
        <f ca="1">IFERROR(SMALL(INDEX(lowgross, , ), ROWS(D$8:D15)), "")</f>
        <v>38</v>
      </c>
      <c r="E15" s="19">
        <f ca="1">IF(D15="","", SUMPRODUCT(LARGE((INDEX(scores, , )=D15)*(ids=VLOOKUP(B15, leagueroster, 2, FALSE))*(weeks), COUNTIFS(D$8:D15, D15, B$8:B15, B15))))</f>
        <v>13</v>
      </c>
      <c r="F15" s="51"/>
      <c r="G15" s="29" t="str">
        <f ca="1">IF(H15="", "", IF(J15&lt;&gt;J14, ROWS(G$7:G14), ""))</f>
        <v/>
      </c>
      <c r="H15" s="18" t="str">
        <f ca="1">IF(J15="","",INDEX(leagueroster, MATCH(SUMPRODUCT(LARGE((INDEX(lownet, , )=J15)*(ids),COUNTIF(INDEX(lownet, , ), J15)-COUNTIF(J$8:J15,J15)+1)), INDEX(leagueroster, , 2), 0), 1))</f>
        <v>Kushner, John</v>
      </c>
      <c r="I15" s="19" t="str">
        <f t="shared" ca="1" si="1"/>
        <v>WYC</v>
      </c>
      <c r="J15" s="19">
        <f ca="1">IFERROR(SMALL(INDEX(lownet, , ), ROWS(J$8:J15)), "")</f>
        <v>32</v>
      </c>
      <c r="K15" s="19">
        <f ca="1">IF(J15="","", SUMPRODUCT(LARGE((INDEX(netscores, , )=J15)*(ids=VLOOKUP(H15, leagueroster, 2, FALSE))*(weeks), COUNTIFS(J$8:J15, J15, H$8:H15, H15))))</f>
        <v>9</v>
      </c>
      <c r="L15" s="51"/>
      <c r="M15" s="29">
        <f ca="1">IF(N15="", "", IF(P15&lt;&gt;P14, ROWS(M$7:M14), ""))</f>
        <v>8</v>
      </c>
      <c r="N15" s="18" t="str">
        <f ca="1">IF(P15="","",INDEX(leagueroster, MATCH(SUMPRODUCT(LARGE((INDEX(seasonptsavg, , )=P15)*(ids),COUNTIF(INDEX(seasonptsavg, , ), P15)-COUNTIF(P$8:P15,P15)+1)), INDEX(leagueroster, , 2), 0), 1))</f>
        <v>Fitch, Dennis - gold tees</v>
      </c>
      <c r="O15" s="19" t="str">
        <f t="shared" ca="1" si="2"/>
        <v>ACE</v>
      </c>
      <c r="P15" s="21">
        <f ca="1">IFERROR(LARGE(seasonptsavg, ROWS(P$8:P15)), "")</f>
        <v>11.428571428571429</v>
      </c>
      <c r="Q15" s="19">
        <f t="shared" ca="1" si="3"/>
        <v>80</v>
      </c>
      <c r="R15" s="19">
        <f t="shared" ca="1" si="4"/>
        <v>5</v>
      </c>
      <c r="S15" s="51"/>
      <c r="T15" s="29">
        <f ca="1">IF(U15="", "", IF(W15&lt;&gt;W14, ROWS(T$7:T14), ""))</f>
        <v>8</v>
      </c>
      <c r="U15" s="18" t="str">
        <f ca="1">IF(W15="","",INDEX(leagueroster, MATCH(SUMPRODUCT(LARGE((INDEX(seasongross, , )=W15)*(ids),COUNTIF(INDEX(seasongross, , ), W15)-COUNTIF(W$8:W15,W15)+1)), INDEX(leagueroster, , 2), 0), 1))</f>
        <v>Boyd, Steve</v>
      </c>
      <c r="V15" s="19" t="str">
        <f t="shared" ca="1" si="5"/>
        <v>MET</v>
      </c>
      <c r="W15" s="21">
        <f ca="1">IFERROR(SMALL(seasongross, ROWS(W$8:W15)), "")</f>
        <v>45.53846153846154</v>
      </c>
      <c r="X15" s="19">
        <f t="shared" ca="1" si="6"/>
        <v>13</v>
      </c>
      <c r="Y15" s="51"/>
      <c r="Z15" s="29">
        <f ca="1">IF(AA15="", "", IF(AC15&lt;&gt;AC14, ROWS(Z$7:Z14), ""))</f>
        <v>8</v>
      </c>
      <c r="AA15" s="18" t="str">
        <f ca="1">IF(AC15="","",INDEX(leagueroster, MATCH(SUMPRODUCT(LARGE((INDEX(seasonnet, , )=AC15)*(ids),COUNTIF(INDEX(seasonnet, , ), AC15)-COUNTIF(AC$8:AC15,AC15)+1)), INDEX(leagueroster, , 2), 0), 1))</f>
        <v>Lemus, Alex</v>
      </c>
      <c r="AB15" s="19" t="str">
        <f t="shared" ca="1" si="7"/>
        <v>SUBS</v>
      </c>
      <c r="AC15" s="21">
        <f ca="1">IFERROR(SMALL(seasonnet, ROWS(AC$8:AC15)), "")</f>
        <v>38.200000000000003</v>
      </c>
      <c r="AD15" s="19">
        <f t="shared" ca="1" si="8"/>
        <v>5</v>
      </c>
      <c r="AE15" s="51"/>
      <c r="AF15" s="29" t="str">
        <f ca="1">IF(AG15="", "", IF(AI15&lt;&gt;AI14, ROWS(AF$7:AF14), ""))</f>
        <v/>
      </c>
      <c r="AG15" s="18" t="str">
        <f ca="1">IF(AI15="","",INDEX(leagueroster, MATCH(SUMPRODUCT(LARGE((INDEX(seasonbirds, , )=AI15)*(ids),COUNTIF(INDEX(seasonbirds, , ), AI15)-COUNTIF(AI$8:AI15,AI15)+1)), INDEX(leagueroster, , 2), 0), 1))</f>
        <v>Radel, Pat - C - green tees</v>
      </c>
      <c r="AH15" s="19" t="str">
        <f t="shared" ca="1" si="9"/>
        <v>WYC</v>
      </c>
      <c r="AI15" s="19">
        <f ca="1">IF(LARGE(seasonbirds, ROWS(AI$8:AI15))&lt;&gt;0,LARGE(seasonbirds, ROWS(AI$8:AI15)), "")</f>
        <v>3</v>
      </c>
      <c r="AJ15" s="19">
        <f t="shared" ca="1" si="10"/>
        <v>12</v>
      </c>
      <c r="AK15" s="51"/>
      <c r="AL15" s="29" t="str">
        <f ca="1">IF(AM15="", "", IF(AO15&lt;&gt;AO14, ROWS(AL$7:AL14), ""))</f>
        <v/>
      </c>
      <c r="AM15" s="18" t="str" cm="1">
        <f t="array" aca="1" ref="AM15" ca="1">IF(AO15="","",INDEX(leagueroster, MATCH(SUMPRODUCT(LARGE((INDEX(seasoneagles, , )=AO15)*(ids),COUNTIF(INDEX(seasoneagles, , ), AO15)-COUNTIF(AO$8:AO15,AO15)+1)), INDEX(leagueroster, , 2), 0), 1))</f>
        <v/>
      </c>
      <c r="AN15" s="19" t="str">
        <f t="shared" ca="1" si="11"/>
        <v/>
      </c>
      <c r="AO15" s="19" t="str">
        <f ca="1">IF(LARGE(seasoneagles, ROWS(AO$8:AO15))&lt;&gt;0,LARGE(seasoneagles, ROWS(AO$8:AO15)), "")</f>
        <v/>
      </c>
      <c r="AP15" s="19" t="str">
        <f t="shared" ca="1" si="12"/>
        <v/>
      </c>
      <c r="AQ15" s="51"/>
      <c r="AR15" s="29">
        <f ca="1">IF(AS15="", "", IF(AT15&lt;&gt;AT14, ROWS(AR$7:AR14), ""))</f>
        <v>8</v>
      </c>
      <c r="AS15" s="18" t="str" cm="1">
        <f t="array" aca="1" ref="AS15" ca="1">IF(AT15="","",INDEX(leagueroster, MATCH(SUMPRODUCT(LARGE((INDEX(teamlownet,,)=AT15)*(ids),COUNTIF(INDEX(teamlownet, ,), AT15)-COUNTIF(AT$8:AT15,AT15)+1)), INDEX(leagueroster, , 2), 0), 1))</f>
        <v>Blind Draw</v>
      </c>
      <c r="AT15" s="59">
        <f ca="1">IF(ROWS(AT$8:AT15)&lt;=$AR$6, SMALL(INDEX(teamlownet, ,), ROWS(AT$8:AT15)), "")</f>
        <v>152</v>
      </c>
      <c r="AU15" s="51"/>
      <c r="AV15" s="29">
        <f ca="1">IF(AW15="", "", IF(AX15&lt;&gt;AX14, ROWS(AV$7:AV14), ""))</f>
        <v>8</v>
      </c>
      <c r="AW15" s="18" t="str" cm="1">
        <f t="array" aca="1" ref="AW15" ca="1">IF(AX15="","",INDEX(leagueroster, MATCH(SUMPRODUCT(LARGE((INDEX(teamhighpoints,,)=AX15)*(ids),COUNTIF(INDEX(teamhighpoints, ,), AX15)-COUNTIF(AX$8:AX15,AX15)+1)), INDEX(leagueroster, , 2), 0), 1))</f>
        <v>The Four Puttz</v>
      </c>
      <c r="AX15" s="59">
        <f ca="1">IF(ROWS(AX$8:AX15)&lt;=$AR$6, LARGE(INDEX(teamhighpoints, ,), ROWS(AX$8:AX15)), "")</f>
        <v>52</v>
      </c>
      <c r="AY15" s="51"/>
    </row>
    <row r="16" spans="1:51" x14ac:dyDescent="0.2">
      <c r="A16" s="29">
        <f ca="1">IF(B16="", "", IF(D16&lt;&gt;D15, ROWS(A$7:A15), ""))</f>
        <v>9</v>
      </c>
      <c r="B16" s="18" t="str">
        <f ca="1">IF(D16="","",INDEX(leagueroster, MATCH(SUMPRODUCT(LARGE((INDEX(lowgross, , )=D16)*(ids),COUNTIF(INDEX(lowgross, , ), D16)-COUNTIF(D$8:D16,D16)+1)), INDEX(leagueroster, , 2), 0), 1))</f>
        <v>Cline, Chad</v>
      </c>
      <c r="C16" s="19" t="str">
        <f t="shared" ca="1" si="0"/>
        <v>SUBS</v>
      </c>
      <c r="D16" s="19">
        <f ca="1">IFERROR(SMALL(INDEX(lowgross, , ), ROWS(D$8:D16)), "")</f>
        <v>39</v>
      </c>
      <c r="E16" s="19">
        <f ca="1">IF(D16="","", SUMPRODUCT(LARGE((INDEX(scores, , )=D16)*(ids=VLOOKUP(B16, leagueroster, 2, FALSE))*(weeks), COUNTIFS(D$8:D16, D16, B$8:B16, B16))))</f>
        <v>11</v>
      </c>
      <c r="F16" s="51"/>
      <c r="G16" s="29" t="str">
        <f ca="1">IF(H16="", "", IF(J16&lt;&gt;J15, ROWS(G$7:G15), ""))</f>
        <v/>
      </c>
      <c r="H16" s="18" t="str">
        <f ca="1">IF(J16="","",INDEX(leagueroster, MATCH(SUMPRODUCT(LARGE((INDEX(lownet, , )=J16)*(ids),COUNTIF(INDEX(lownet, , ), J16)-COUNTIF(J$8:J16,J16)+1)), INDEX(leagueroster, , 2), 0), 1))</f>
        <v>Lapole, Chris - C - gold tees</v>
      </c>
      <c r="I16" s="19" t="str">
        <f t="shared" ca="1" si="1"/>
        <v>STY</v>
      </c>
      <c r="J16" s="19">
        <f ca="1">IFERROR(SMALL(INDEX(lownet, , ), ROWS(J$8:J16)), "")</f>
        <v>32</v>
      </c>
      <c r="K16" s="19">
        <f ca="1">IF(J16="","", SUMPRODUCT(LARGE((INDEX(netscores, , )=J16)*(ids=VLOOKUP(H16, leagueroster, 2, FALSE))*(weeks), COUNTIFS(J$8:J16, J16, H$8:H16, H16))))</f>
        <v>19</v>
      </c>
      <c r="L16" s="51"/>
      <c r="M16" s="29">
        <f ca="1">IF(N16="", "", IF(P16&lt;&gt;P15, ROWS(M$7:M15), ""))</f>
        <v>9</v>
      </c>
      <c r="N16" s="18" t="str">
        <f ca="1">IF(P16="","",INDEX(leagueroster, MATCH(SUMPRODUCT(LARGE((INDEX(seasonptsavg, , )=P16)*(ids),COUNTIF(INDEX(seasonptsavg, , ), P16)-COUNTIF(P$8:P16,P16)+1)), INDEX(leagueroster, , 2), 0), 1))</f>
        <v>Hajba, Michael</v>
      </c>
      <c r="O16" s="19" t="str">
        <f t="shared" ca="1" si="2"/>
        <v>SUBS</v>
      </c>
      <c r="P16" s="21">
        <f ca="1">IFERROR(LARGE(seasonptsavg, ROWS(P$8:P16)), "")</f>
        <v>11.4</v>
      </c>
      <c r="Q16" s="19">
        <f t="shared" ca="1" si="3"/>
        <v>57</v>
      </c>
      <c r="R16" s="19">
        <f t="shared" ca="1" si="4"/>
        <v>6</v>
      </c>
      <c r="S16" s="51"/>
      <c r="T16" s="29">
        <f ca="1">IF(U16="", "", IF(W16&lt;&gt;W15, ROWS(T$7:T15), ""))</f>
        <v>9</v>
      </c>
      <c r="U16" s="18" t="str">
        <f ca="1">IF(W16="","",INDEX(leagueroster, MATCH(SUMPRODUCT(LARGE((INDEX(seasongross, , )=W16)*(ids),COUNTIF(INDEX(seasongross, , ), W16)-COUNTIF(W$8:W16,W16)+1)), INDEX(leagueroster, , 2), 0), 1))</f>
        <v>Hyde, Scott</v>
      </c>
      <c r="V16" s="19" t="str">
        <f t="shared" ca="1" si="5"/>
        <v>MET</v>
      </c>
      <c r="W16" s="21">
        <f ca="1">IFERROR(SMALL(seasongross, ROWS(W$8:W16)), "")</f>
        <v>45.785714285714285</v>
      </c>
      <c r="X16" s="19">
        <f t="shared" ca="1" si="6"/>
        <v>14</v>
      </c>
      <c r="Y16" s="51"/>
      <c r="Z16" s="29">
        <f ca="1">IF(AA16="", "", IF(AC16&lt;&gt;AC15, ROWS(Z$7:Z15), ""))</f>
        <v>9</v>
      </c>
      <c r="AA16" s="18" t="str">
        <f ca="1">IF(AC16="","",INDEX(leagueroster, MATCH(SUMPRODUCT(LARGE((INDEX(seasonnet, , )=AC16)*(ids),COUNTIF(INDEX(seasonnet, , ), AC16)-COUNTIF(AC$8:AC16,AC16)+1)), INDEX(leagueroster, , 2), 0), 1))</f>
        <v>Hajba, Michael</v>
      </c>
      <c r="AB16" s="19" t="str">
        <f t="shared" ca="1" si="7"/>
        <v>SUBS</v>
      </c>
      <c r="AC16" s="21">
        <f ca="1">IFERROR(SMALL(seasonnet, ROWS(AC$8:AC16)), "")</f>
        <v>38.333333333333336</v>
      </c>
      <c r="AD16" s="19">
        <f t="shared" ca="1" si="8"/>
        <v>6</v>
      </c>
      <c r="AE16" s="51"/>
      <c r="AF16" s="29" t="str">
        <f ca="1">IF(AG16="", "", IF(AI16&lt;&gt;AI15, ROWS(AF$7:AF15), ""))</f>
        <v/>
      </c>
      <c r="AG16" s="18" t="str">
        <f ca="1">IF(AI16="","",INDEX(leagueroster, MATCH(SUMPRODUCT(LARGE((INDEX(seasonbirds, , )=AI16)*(ids),COUNTIF(INDEX(seasonbirds, , ), AI16)-COUNTIF(AI$8:AI16,AI16)+1)), INDEX(leagueroster, , 2), 0), 1))</f>
        <v>Yackley, Jeff</v>
      </c>
      <c r="AH16" s="19" t="str">
        <f t="shared" ca="1" si="9"/>
        <v>SUBS</v>
      </c>
      <c r="AI16" s="19">
        <f ca="1">IF(LARGE(seasonbirds, ROWS(AI$8:AI16))&lt;&gt;0,LARGE(seasonbirds, ROWS(AI$8:AI16)), "")</f>
        <v>3</v>
      </c>
      <c r="AJ16" s="19">
        <f t="shared" ca="1" si="10"/>
        <v>12</v>
      </c>
      <c r="AK16" s="51"/>
      <c r="AL16" s="29" t="str">
        <f ca="1">IF(AM16="", "", IF(AO16&lt;&gt;AO15, ROWS(AL$7:AL15), ""))</f>
        <v/>
      </c>
      <c r="AM16" s="18" t="str" cm="1">
        <f t="array" aca="1" ref="AM16" ca="1">IF(AO16="","",INDEX(leagueroster, MATCH(SUMPRODUCT(LARGE((INDEX(seasoneagles, , )=AO16)*(ids),COUNTIF(INDEX(seasoneagles, , ), AO16)-COUNTIF(AO$8:AO16,AO16)+1)), INDEX(leagueroster, , 2), 0), 1))</f>
        <v/>
      </c>
      <c r="AN16" s="19" t="str">
        <f t="shared" ca="1" si="11"/>
        <v/>
      </c>
      <c r="AO16" s="19" t="str">
        <f ca="1">IF(LARGE(seasoneagles, ROWS(AO$8:AO16))&lt;&gt;0,LARGE(seasoneagles, ROWS(AO$8:AO16)), "")</f>
        <v/>
      </c>
      <c r="AP16" s="19" t="str">
        <f t="shared" ca="1" si="12"/>
        <v/>
      </c>
      <c r="AQ16" s="51"/>
      <c r="AR16" s="29" t="str">
        <f>IF(AS16="", "", IF(AT16&lt;&gt;AT15, ROWS(AR$7:AR15), ""))</f>
        <v/>
      </c>
      <c r="AS16" s="18" t="str" cm="1">
        <f t="array" ref="AS16">IF(AT16="","",INDEX(leagueroster, MATCH(SUMPRODUCT(LARGE((INDEX(teamlownet,,)=AT16)*(ids),COUNTIF(INDEX(teamlownet, ,), AT16)-COUNTIF(AT$8:AT16,AT16)+1)), INDEX(leagueroster, , 2), 0), 1))</f>
        <v/>
      </c>
      <c r="AT16" s="59" t="str">
        <f>IF(ROWS(AT$8:AT16)&lt;=$AR$6, SMALL(INDEX(teamlownet, ,), ROWS(AT$8:AT16)), "")</f>
        <v/>
      </c>
      <c r="AU16" s="51"/>
      <c r="AV16" s="29" t="str">
        <f>IF(AW16="", "", IF(AX16&lt;&gt;AX15, ROWS(AV$7:AV15), ""))</f>
        <v/>
      </c>
      <c r="AW16" s="18" t="str" cm="1">
        <f t="array" ref="AW16">IF(AX16="","",INDEX(leagueroster, MATCH(SUMPRODUCT(LARGE((INDEX(teamhighpoints,,)=AX16)*(ids),COUNTIF(INDEX(teamhighpoints, ,), AX16)-COUNTIF(AX$8:AX16,AX16)+1)), INDEX(leagueroster, , 2), 0), 1))</f>
        <v/>
      </c>
      <c r="AX16" s="59" t="str">
        <f>IF(ROWS(AX$8:AX16)&lt;=$AR$6, LARGE(INDEX(teamhighpoints, ,), ROWS(AX$8:AX16)), "")</f>
        <v/>
      </c>
      <c r="AY16" s="51"/>
    </row>
    <row r="17" spans="1:51" x14ac:dyDescent="0.2">
      <c r="A17" s="29" t="str">
        <f ca="1">IF(B17="", "", IF(D17&lt;&gt;D16, ROWS(A$7:A16), ""))</f>
        <v/>
      </c>
      <c r="B17" s="18" t="str">
        <f ca="1">IF(D17="","",INDEX(leagueroster, MATCH(SUMPRODUCT(LARGE((INDEX(lowgross, , )=D17)*(ids),COUNTIF(INDEX(lowgross, , ), D17)-COUNTIF(D$8:D17,D17)+1)), INDEX(leagueroster, , 2), 0), 1))</f>
        <v>Hyde, Scott</v>
      </c>
      <c r="C17" s="19" t="str">
        <f t="shared" ca="1" si="0"/>
        <v>MET</v>
      </c>
      <c r="D17" s="19">
        <f ca="1">IFERROR(SMALL(INDEX(lowgross, , ), ROWS(D$8:D17)), "")</f>
        <v>39</v>
      </c>
      <c r="E17" s="19">
        <f ca="1">IF(D17="","", SUMPRODUCT(LARGE((INDEX(scores, , )=D17)*(ids=VLOOKUP(B17, leagueroster, 2, FALSE))*(weeks), COUNTIFS(D$8:D17, D17, B$8:B17, B17))))</f>
        <v>19</v>
      </c>
      <c r="F17" s="51"/>
      <c r="G17" s="29" t="str">
        <f ca="1">IF(H17="", "", IF(J17&lt;&gt;J16, ROWS(G$7:G16), ""))</f>
        <v/>
      </c>
      <c r="H17" s="18" t="str">
        <f ca="1">IF(J17="","",INDEX(leagueroster, MATCH(SUMPRODUCT(LARGE((INDEX(lownet, , )=J17)*(ids),COUNTIF(INDEX(lownet, , ), J17)-COUNTIF(J$8:J17,J17)+1)), INDEX(leagueroster, , 2), 0), 1))</f>
        <v>Parrish, Charlie</v>
      </c>
      <c r="I17" s="19" t="str">
        <f t="shared" ca="1" si="1"/>
        <v>ACE</v>
      </c>
      <c r="J17" s="19">
        <f ca="1">IFERROR(SMALL(INDEX(lownet, , ), ROWS(J$8:J17)), "")</f>
        <v>32</v>
      </c>
      <c r="K17" s="19">
        <f ca="1">IF(J17="","", SUMPRODUCT(LARGE((INDEX(netscores, , )=J17)*(ids=VLOOKUP(H17, leagueroster, 2, FALSE))*(weeks), COUNTIFS(J$8:J17, J17, H$8:H17, H17))))</f>
        <v>4</v>
      </c>
      <c r="L17" s="51"/>
      <c r="M17" s="29">
        <f ca="1">IF(N17="", "", IF(P17&lt;&gt;P16, ROWS(M$7:M16), ""))</f>
        <v>10</v>
      </c>
      <c r="N17" s="18" t="str">
        <f ca="1">IF(P17="","",INDEX(leagueroster, MATCH(SUMPRODUCT(LARGE((INDEX(seasonptsavg, , )=P17)*(ids),COUNTIF(INDEX(seasonptsavg, , ), P17)-COUNTIF(P$8:P17,P17)+1)), INDEX(leagueroster, , 2), 0), 1))</f>
        <v>Cizek, Randy - gold tees</v>
      </c>
      <c r="O17" s="19" t="str">
        <f t="shared" ca="1" si="2"/>
        <v>MMC</v>
      </c>
      <c r="P17" s="21">
        <f ca="1">IFERROR(LARGE(seasonptsavg, ROWS(P$8:P17)), "")</f>
        <v>11</v>
      </c>
      <c r="Q17" s="19">
        <f t="shared" ca="1" si="3"/>
        <v>132</v>
      </c>
      <c r="R17" s="19">
        <f t="shared" ca="1" si="4"/>
        <v>13</v>
      </c>
      <c r="S17" s="51"/>
      <c r="T17" s="29">
        <f ca="1">IF(U17="", "", IF(W17&lt;&gt;W16, ROWS(T$7:T16), ""))</f>
        <v>10</v>
      </c>
      <c r="U17" s="18" t="str">
        <f ca="1">IF(W17="","",INDEX(leagueroster, MATCH(SUMPRODUCT(LARGE((INDEX(seasongross, , )=W17)*(ids),COUNTIF(INDEX(seasongross, , ), W17)-COUNTIF(W$8:W17,W17)+1)), INDEX(leagueroster, , 2), 0), 1))</f>
        <v>Evans, Ryan</v>
      </c>
      <c r="V17" s="19" t="str">
        <f t="shared" ca="1" si="5"/>
        <v>STY</v>
      </c>
      <c r="W17" s="21">
        <f ca="1">IFERROR(SMALL(seasongross, ROWS(W$8:W17)), "")</f>
        <v>47.428571428571431</v>
      </c>
      <c r="X17" s="19">
        <f t="shared" ca="1" si="6"/>
        <v>14</v>
      </c>
      <c r="Y17" s="51"/>
      <c r="Z17" s="29">
        <f ca="1">IF(AA17="", "", IF(AC17&lt;&gt;AC16, ROWS(Z$7:Z16), ""))</f>
        <v>10</v>
      </c>
      <c r="AA17" s="18" t="str">
        <f ca="1">IF(AC17="","",INDEX(leagueroster, MATCH(SUMPRODUCT(LARGE((INDEX(seasonnet, , )=AC17)*(ids),COUNTIF(INDEX(seasonnet, , ), AC17)-COUNTIF(AC$8:AC17,AC17)+1)), INDEX(leagueroster, , 2), 0), 1))</f>
        <v>Cline, Chad</v>
      </c>
      <c r="AB17" s="19" t="str">
        <f t="shared" ca="1" si="7"/>
        <v>SUBS</v>
      </c>
      <c r="AC17" s="21">
        <f ca="1">IFERROR(SMALL(seasonnet, ROWS(AC$8:AC17)), "")</f>
        <v>38.5</v>
      </c>
      <c r="AD17" s="19">
        <f t="shared" ca="1" si="8"/>
        <v>6</v>
      </c>
      <c r="AE17" s="51"/>
      <c r="AF17" s="29">
        <f ca="1">IF(AG17="", "", IF(AI17&lt;&gt;AI16, ROWS(AF$7:AF16), ""))</f>
        <v>10</v>
      </c>
      <c r="AG17" s="18" t="str">
        <f ca="1">IF(AI17="","",INDEX(leagueroster, MATCH(SUMPRODUCT(LARGE((INDEX(seasonbirds, , )=AI17)*(ids),COUNTIF(INDEX(seasonbirds, , ), AI17)-COUNTIF(AI$8:AI17,AI17)+1)), INDEX(leagueroster, , 2), 0), 1))</f>
        <v>Cox, Marcus</v>
      </c>
      <c r="AH17" s="19" t="str">
        <f t="shared" ca="1" si="9"/>
        <v>HS</v>
      </c>
      <c r="AI17" s="19">
        <f ca="1">IF(LARGE(seasonbirds, ROWS(AI$8:AI17))&lt;&gt;0,LARGE(seasonbirds, ROWS(AI$8:AI17)), "")</f>
        <v>2</v>
      </c>
      <c r="AJ17" s="19">
        <f t="shared" ca="1" si="10"/>
        <v>11</v>
      </c>
      <c r="AK17" s="51"/>
      <c r="AL17" s="29" t="str">
        <f ca="1">IF(AM17="", "", IF(AO17&lt;&gt;AO16, ROWS(AL$7:AL16), ""))</f>
        <v/>
      </c>
      <c r="AM17" s="18" t="str" cm="1">
        <f t="array" aca="1" ref="AM17" ca="1">IF(AO17="","",INDEX(leagueroster, MATCH(SUMPRODUCT(LARGE((INDEX(seasoneagles, , )=AO17)*(ids),COUNTIF(INDEX(seasoneagles, , ), AO17)-COUNTIF(AO$8:AO17,AO17)+1)), INDEX(leagueroster, , 2), 0), 1))</f>
        <v/>
      </c>
      <c r="AN17" s="19" t="str">
        <f t="shared" ca="1" si="11"/>
        <v/>
      </c>
      <c r="AO17" s="19" t="str">
        <f ca="1">IF(LARGE(seasoneagles, ROWS(AO$8:AO17))&lt;&gt;0,LARGE(seasoneagles, ROWS(AO$8:AO17)), "")</f>
        <v/>
      </c>
      <c r="AP17" s="19" t="str">
        <f t="shared" ca="1" si="12"/>
        <v/>
      </c>
      <c r="AQ17" s="51"/>
      <c r="AR17" s="29" t="str">
        <f>IF(AS17="", "", IF(AT17&lt;&gt;AT16, ROWS(AR$7:AR16), ""))</f>
        <v/>
      </c>
      <c r="AS17" s="18" t="str" cm="1">
        <f t="array" ref="AS17">IF(AT17="","",INDEX(leagueroster, MATCH(SUMPRODUCT(LARGE((INDEX(teamlownet,,)=AT17)*(ids),COUNTIF(INDEX(teamlownet, ,), AT17)-COUNTIF(AT$8:AT17,AT17)+1)), INDEX(leagueroster, , 2), 0), 1))</f>
        <v/>
      </c>
      <c r="AT17" s="59" t="str">
        <f>IF(ROWS(AT$8:AT17)&lt;=$AR$6, SMALL(INDEX(teamlownet, ,), ROWS(AT$8:AT17)), "")</f>
        <v/>
      </c>
      <c r="AU17" s="51"/>
      <c r="AV17" s="29" t="str">
        <f>IF(AW17="", "", IF(AX17&lt;&gt;AX16, ROWS(AV$7:AV16), ""))</f>
        <v/>
      </c>
      <c r="AW17" s="18" t="str" cm="1">
        <f t="array" ref="AW17">IF(AX17="","",INDEX(leagueroster, MATCH(SUMPRODUCT(LARGE((INDEX(teamhighpoints,,)=AX17)*(ids),COUNTIF(INDEX(teamhighpoints, ,), AX17)-COUNTIF(AX$8:AX17,AX17)+1)), INDEX(leagueroster, , 2), 0), 1))</f>
        <v/>
      </c>
      <c r="AX17" s="59" t="str">
        <f>IF(ROWS(AX$8:AX17)&lt;=$AR$6, LARGE(INDEX(teamhighpoints, ,), ROWS(AX$8:AX17)), "")</f>
        <v/>
      </c>
      <c r="AY17" s="51"/>
    </row>
    <row r="18" spans="1:51" x14ac:dyDescent="0.2">
      <c r="A18" s="29" t="str">
        <f ca="1">IF(B18="", "", IF(D18&lt;&gt;D17, ROWS(A$7:A17), ""))</f>
        <v/>
      </c>
      <c r="B18" s="18" t="str">
        <f ca="1">IF(D18="","",INDEX(leagueroster, MATCH(SUMPRODUCT(LARGE((INDEX(lowgross, , )=D18)*(ids),COUNTIF(INDEX(lowgross, , ), D18)-COUNTIF(D$8:D18,D18)+1)), INDEX(leagueroster, , 2), 0), 1))</f>
        <v>Parrish, Charlie</v>
      </c>
      <c r="C18" s="19" t="str">
        <f t="shared" ca="1" si="0"/>
        <v>ACE</v>
      </c>
      <c r="D18" s="19">
        <f ca="1">IFERROR(SMALL(INDEX(lowgross, , ), ROWS(D$8:D18)), "")</f>
        <v>39</v>
      </c>
      <c r="E18" s="19">
        <f ca="1">IF(D18="","", SUMPRODUCT(LARGE((INDEX(scores, , )=D18)*(ids=VLOOKUP(B18, leagueroster, 2, FALSE))*(weeks), COUNTIFS(D$8:D18, D18, B$8:B18, B18))))</f>
        <v>10</v>
      </c>
      <c r="F18" s="51"/>
      <c r="G18" s="29">
        <f ca="1">IF(H18="", "", IF(J18&lt;&gt;J17, ROWS(G$7:G17), ""))</f>
        <v>11</v>
      </c>
      <c r="H18" s="18" t="str">
        <f ca="1">IF(J18="","",INDEX(leagueroster, MATCH(SUMPRODUCT(LARGE((INDEX(lownet, , )=J18)*(ids),COUNTIF(INDEX(lownet, , ), J18)-COUNTIF(J$8:J18,J18)+1)), INDEX(leagueroster, , 2), 0), 1))</f>
        <v>Avery, Mike - gold tees</v>
      </c>
      <c r="I18" s="19" t="str">
        <f t="shared" ca="1" si="1"/>
        <v>ACE</v>
      </c>
      <c r="J18" s="19">
        <f ca="1">IFERROR(SMALL(INDEX(lownet, , ), ROWS(J$8:J18)), "")</f>
        <v>33</v>
      </c>
      <c r="K18" s="19">
        <f ca="1">IF(J18="","", SUMPRODUCT(LARGE((INDEX(netscores, , )=J18)*(ids=VLOOKUP(H18, leagueroster, 2, FALSE))*(weeks), COUNTIFS(J$8:J18, J18, H$8:H18, H18))))</f>
        <v>6</v>
      </c>
      <c r="L18" s="51"/>
      <c r="M18" s="29" t="str">
        <f ca="1">IF(N18="", "", IF(P18&lt;&gt;P17, ROWS(M$7:M17), ""))</f>
        <v/>
      </c>
      <c r="N18" s="18" t="str">
        <f ca="1">IF(P18="","",INDEX(leagueroster, MATCH(SUMPRODUCT(LARGE((INDEX(seasonptsavg, , )=P18)*(ids),COUNTIF(INDEX(seasonptsavg, , ), P18)-COUNTIF(P$8:P18,P18)+1)), INDEX(leagueroster, , 2), 0), 1))</f>
        <v>Kirkpatrick, Tom - gold tees</v>
      </c>
      <c r="O18" s="19" t="str">
        <f t="shared" ca="1" si="2"/>
        <v>STY</v>
      </c>
      <c r="P18" s="21">
        <f ca="1">IFERROR(LARGE(seasonptsavg, ROWS(P$8:P18)), "")</f>
        <v>11</v>
      </c>
      <c r="Q18" s="19">
        <f t="shared" ca="1" si="3"/>
        <v>165</v>
      </c>
      <c r="R18" s="19">
        <f t="shared" ca="1" si="4"/>
        <v>14</v>
      </c>
      <c r="S18" s="51"/>
      <c r="T18" s="29">
        <f ca="1">IF(U18="", "", IF(W18&lt;&gt;W17, ROWS(T$7:T17), ""))</f>
        <v>11</v>
      </c>
      <c r="U18" s="18" t="str">
        <f ca="1">IF(W18="","",INDEX(leagueroster, MATCH(SUMPRODUCT(LARGE((INDEX(seasongross, , )=W18)*(ids),COUNTIF(INDEX(seasongross, , ), W18)-COUNTIF(W$8:W18,W18)+1)), INDEX(leagueroster, , 2), 0), 1))</f>
        <v>Hegnauer, Clark - green tees</v>
      </c>
      <c r="V18" s="19" t="str">
        <f t="shared" ca="1" si="5"/>
        <v>STY</v>
      </c>
      <c r="W18" s="21">
        <f ca="1">IFERROR(SMALL(seasongross, ROWS(W$8:W18)), "")</f>
        <v>48.090909090909093</v>
      </c>
      <c r="X18" s="19">
        <f t="shared" ca="1" si="6"/>
        <v>11</v>
      </c>
      <c r="Y18" s="51"/>
      <c r="Z18" s="29">
        <f ca="1">IF(AA18="", "", IF(AC18&lt;&gt;AC17, ROWS(Z$7:Z17), ""))</f>
        <v>11</v>
      </c>
      <c r="AA18" s="18" t="str">
        <f ca="1">IF(AC18="","",INDEX(leagueroster, MATCH(SUMPRODUCT(LARGE((INDEX(seasonnet, , )=AC18)*(ids),COUNTIF(INDEX(seasonnet, , ), AC18)-COUNTIF(AC$8:AC18,AC18)+1)), INDEX(leagueroster, , 2), 0), 1))</f>
        <v>Shreeve, Tim - C</v>
      </c>
      <c r="AB18" s="19" t="str">
        <f t="shared" ca="1" si="7"/>
        <v>4P</v>
      </c>
      <c r="AC18" s="21">
        <f ca="1">IFERROR(SMALL(seasonnet, ROWS(AC$8:AC18)), "")</f>
        <v>38.53846153846154</v>
      </c>
      <c r="AD18" s="19">
        <f t="shared" ca="1" si="8"/>
        <v>13</v>
      </c>
      <c r="AE18" s="51"/>
      <c r="AF18" s="29" t="str">
        <f ca="1">IF(AG18="", "", IF(AI18&lt;&gt;AI17, ROWS(AF$7:AF17), ""))</f>
        <v/>
      </c>
      <c r="AG18" s="18" t="str">
        <f ca="1">IF(AI18="","",INDEX(leagueroster, MATCH(SUMPRODUCT(LARGE((INDEX(seasonbirds, , )=AI18)*(ids),COUNTIF(INDEX(seasonbirds, , ), AI18)-COUNTIF(AI$8:AI18,AI18)+1)), INDEX(leagueroster, , 2), 0), 1))</f>
        <v>Hajba, Michael</v>
      </c>
      <c r="AH18" s="19" t="str">
        <f t="shared" ca="1" si="9"/>
        <v>SUBS</v>
      </c>
      <c r="AI18" s="19">
        <f ca="1">IF(LARGE(seasonbirds, ROWS(AI$8:AI18))&lt;&gt;0,LARGE(seasonbirds, ROWS(AI$8:AI18)), "")</f>
        <v>2</v>
      </c>
      <c r="AJ18" s="19">
        <f t="shared" ca="1" si="10"/>
        <v>6</v>
      </c>
      <c r="AK18" s="51"/>
      <c r="AL18" s="29" t="str">
        <f ca="1">IF(AM18="", "", IF(AO18&lt;&gt;AO17, ROWS(AL$7:AL17), ""))</f>
        <v/>
      </c>
      <c r="AM18" s="18" t="str" cm="1">
        <f t="array" aca="1" ref="AM18" ca="1">IF(AO18="","",INDEX(leagueroster, MATCH(SUMPRODUCT(LARGE((INDEX(seasoneagles, , )=AO18)*(ids),COUNTIF(INDEX(seasoneagles, , ), AO18)-COUNTIF(AO$8:AO18,AO18)+1)), INDEX(leagueroster, , 2), 0), 1))</f>
        <v/>
      </c>
      <c r="AN18" s="19" t="str">
        <f t="shared" ca="1" si="11"/>
        <v/>
      </c>
      <c r="AO18" s="19" t="str">
        <f ca="1">IF(LARGE(seasoneagles, ROWS(AO$8:AO18))&lt;&gt;0,LARGE(seasoneagles, ROWS(AO$8:AO18)), "")</f>
        <v/>
      </c>
      <c r="AP18" s="19" t="str">
        <f t="shared" ca="1" si="12"/>
        <v/>
      </c>
      <c r="AQ18" s="51"/>
      <c r="AR18" s="29" t="str">
        <f>IF(AS18="", "", IF(AT18&lt;&gt;AT17, ROWS(AR$7:AR17), ""))</f>
        <v/>
      </c>
      <c r="AS18" s="18" t="str" cm="1">
        <f t="array" ref="AS18">IF(AT18="","",INDEX(leagueroster, MATCH(SUMPRODUCT(LARGE((INDEX(teamlownet,,)=AT18)*(ids),COUNTIF(INDEX(teamlownet, ,), AT18)-COUNTIF(AT$8:AT18,AT18)+1)), INDEX(leagueroster, , 2), 0), 1))</f>
        <v/>
      </c>
      <c r="AT18" s="59" t="str">
        <f>IF(ROWS(AT$8:AT18)&lt;=$AR$6, SMALL(INDEX(teamlownet, ,), ROWS(AT$8:AT18)), "")</f>
        <v/>
      </c>
      <c r="AU18" s="51"/>
      <c r="AV18" s="29" t="str">
        <f>IF(AW18="", "", IF(AX18&lt;&gt;AX17, ROWS(AV$7:AV17), ""))</f>
        <v/>
      </c>
      <c r="AW18" s="18" t="str" cm="1">
        <f t="array" ref="AW18">IF(AX18="","",INDEX(leagueroster, MATCH(SUMPRODUCT(LARGE((INDEX(teamhighpoints,,)=AX18)*(ids),COUNTIF(INDEX(teamhighpoints, ,), AX18)-COUNTIF(AX$8:AX18,AX18)+1)), INDEX(leagueroster, , 2), 0), 1))</f>
        <v/>
      </c>
      <c r="AX18" s="59" t="str">
        <f>IF(ROWS(AX$8:AX18)&lt;=$AR$6, LARGE(INDEX(teamhighpoints, ,), ROWS(AX$8:AX18)), "")</f>
        <v/>
      </c>
      <c r="AY18" s="51"/>
    </row>
    <row r="19" spans="1:51" x14ac:dyDescent="0.2">
      <c r="A19" s="29" t="str">
        <f ca="1">IF(B19="", "", IF(D19&lt;&gt;D18, ROWS(A$7:A18), ""))</f>
        <v/>
      </c>
      <c r="B19" s="18" t="str">
        <f ca="1">IF(D19="","",INDEX(leagueroster, MATCH(SUMPRODUCT(LARGE((INDEX(lowgross, , )=D19)*(ids),COUNTIF(INDEX(lowgross, , ), D19)-COUNTIF(D$8:D19,D19)+1)), INDEX(leagueroster, , 2), 0), 1))</f>
        <v>Shreeve, Tim - C</v>
      </c>
      <c r="C19" s="19" t="str">
        <f t="shared" ca="1" si="0"/>
        <v>4P</v>
      </c>
      <c r="D19" s="19">
        <f ca="1">IFERROR(SMALL(INDEX(lowgross, , ), ROWS(D$8:D19)), "")</f>
        <v>39</v>
      </c>
      <c r="E19" s="19">
        <f ca="1">IF(D19="","", SUMPRODUCT(LARGE((INDEX(scores, , )=D19)*(ids=VLOOKUP(B19, leagueroster, 2, FALSE))*(weeks), COUNTIFS(D$8:D19, D19, B$8:B19, B19))))</f>
        <v>1</v>
      </c>
      <c r="F19" s="51"/>
      <c r="G19" s="29" t="str">
        <f ca="1">IF(H19="", "", IF(J19&lt;&gt;J18, ROWS(G$7:G18), ""))</f>
        <v/>
      </c>
      <c r="H19" s="18" t="str">
        <f ca="1">IF(J19="","",INDEX(leagueroster, MATCH(SUMPRODUCT(LARGE((INDEX(lownet, , )=J19)*(ids),COUNTIF(INDEX(lownet, , ), J19)-COUNTIF(J$8:J19,J19)+1)), INDEX(leagueroster, , 2), 0), 1))</f>
        <v>Bates, Jim</v>
      </c>
      <c r="I19" s="19" t="str">
        <f t="shared" ca="1" si="1"/>
        <v>ACE</v>
      </c>
      <c r="J19" s="19">
        <f ca="1">IFERROR(SMALL(INDEX(lownet, , ), ROWS(J$8:J19)), "")</f>
        <v>33</v>
      </c>
      <c r="K19" s="19">
        <f ca="1">IF(J19="","", SUMPRODUCT(LARGE((INDEX(netscores, , )=J19)*(ids=VLOOKUP(H19, leagueroster, 2, FALSE))*(weeks), COUNTIFS(J$8:J19, J19, H$8:H19, H19))))</f>
        <v>19</v>
      </c>
      <c r="L19" s="51"/>
      <c r="M19" s="29" t="str">
        <f ca="1">IF(N19="", "", IF(P19&lt;&gt;P18, ROWS(M$7:M18), ""))</f>
        <v/>
      </c>
      <c r="N19" s="18" t="str">
        <f ca="1">IF(P19="","",INDEX(leagueroster, MATCH(SUMPRODUCT(LARGE((INDEX(seasonptsavg, , )=P19)*(ids),COUNTIF(INDEX(seasonptsavg, , ), P19)-COUNTIF(P$8:P19,P19)+1)), INDEX(leagueroster, , 2), 0), 1))</f>
        <v>Lapole, Chris - C - gold tees</v>
      </c>
      <c r="O19" s="19" t="str">
        <f t="shared" ca="1" si="2"/>
        <v>STY</v>
      </c>
      <c r="P19" s="21">
        <f ca="1">IFERROR(LARGE(seasonptsavg, ROWS(P$8:P19)), "")</f>
        <v>11</v>
      </c>
      <c r="Q19" s="19">
        <f t="shared" ca="1" si="3"/>
        <v>154</v>
      </c>
      <c r="R19" s="19">
        <f t="shared" ca="1" si="4"/>
        <v>13</v>
      </c>
      <c r="S19" s="51"/>
      <c r="T19" s="29">
        <f ca="1">IF(U19="", "", IF(W19&lt;&gt;W18, ROWS(T$7:T18), ""))</f>
        <v>12</v>
      </c>
      <c r="U19" s="18" t="str">
        <f ca="1">IF(W19="","",INDEX(leagueroster, MATCH(SUMPRODUCT(LARGE((INDEX(seasongross, , )=W19)*(ids),COUNTIF(INDEX(seasongross, , ), W19)-COUNTIF(W$8:W19,W19)+1)), INDEX(leagueroster, , 2), 0), 1))</f>
        <v>Yackley, Jeff</v>
      </c>
      <c r="V19" s="19" t="str">
        <f t="shared" ca="1" si="5"/>
        <v>SUBS</v>
      </c>
      <c r="W19" s="21">
        <f ca="1">IFERROR(SMALL(seasongross, ROWS(W$8:W19)), "")</f>
        <v>48.333333333333336</v>
      </c>
      <c r="X19" s="19">
        <f t="shared" ca="1" si="6"/>
        <v>12</v>
      </c>
      <c r="Y19" s="51"/>
      <c r="Z19" s="29">
        <f ca="1">IF(AA19="", "", IF(AC19&lt;&gt;AC18, ROWS(Z$7:Z18), ""))</f>
        <v>12</v>
      </c>
      <c r="AA19" s="18" t="str">
        <f ca="1">IF(AC19="","",INDEX(leagueroster, MATCH(SUMPRODUCT(LARGE((INDEX(seasonnet, , )=AC19)*(ids),COUNTIF(INDEX(seasonnet, , ), AC19)-COUNTIF(AC$8:AC19,AC19)+1)), INDEX(leagueroster, , 2), 0), 1))</f>
        <v>Parrish, Charlie</v>
      </c>
      <c r="AB19" s="19" t="str">
        <f t="shared" ca="1" si="7"/>
        <v>ACE</v>
      </c>
      <c r="AC19" s="21">
        <f ca="1">IFERROR(SMALL(seasonnet, ROWS(AC$8:AC19)), "")</f>
        <v>38.666666666666664</v>
      </c>
      <c r="AD19" s="19">
        <f t="shared" ca="1" si="8"/>
        <v>12</v>
      </c>
      <c r="AE19" s="51"/>
      <c r="AF19" s="29" t="str">
        <f ca="1">IF(AG19="", "", IF(AI19&lt;&gt;AI18, ROWS(AF$7:AF18), ""))</f>
        <v/>
      </c>
      <c r="AG19" s="18" t="str">
        <f ca="1">IF(AI19="","",INDEX(leagueroster, MATCH(SUMPRODUCT(LARGE((INDEX(seasonbirds, , )=AI19)*(ids),COUNTIF(INDEX(seasonbirds, , ), AI19)-COUNTIF(AI$8:AI19,AI19)+1)), INDEX(leagueroster, , 2), 0), 1))</f>
        <v>Miller, Russ - green tees</v>
      </c>
      <c r="AH19" s="19" t="str">
        <f t="shared" ca="1" si="9"/>
        <v>MET</v>
      </c>
      <c r="AI19" s="19">
        <f ca="1">IF(LARGE(seasonbirds, ROWS(AI$8:AI19))&lt;&gt;0,LARGE(seasonbirds, ROWS(AI$8:AI19)), "")</f>
        <v>2</v>
      </c>
      <c r="AJ19" s="19">
        <f t="shared" ca="1" si="10"/>
        <v>9</v>
      </c>
      <c r="AK19" s="51"/>
      <c r="AL19" s="29" t="str">
        <f ca="1">IF(AM19="", "", IF(AO19&lt;&gt;AO18, ROWS(AL$7:AL18), ""))</f>
        <v/>
      </c>
      <c r="AM19" s="18" t="str" cm="1">
        <f t="array" aca="1" ref="AM19" ca="1">IF(AO19="","",INDEX(leagueroster, MATCH(SUMPRODUCT(LARGE((INDEX(seasoneagles, , )=AO19)*(ids),COUNTIF(INDEX(seasoneagles, , ), AO19)-COUNTIF(AO$8:AO19,AO19)+1)), INDEX(leagueroster, , 2), 0), 1))</f>
        <v/>
      </c>
      <c r="AN19" s="19" t="str">
        <f t="shared" ca="1" si="11"/>
        <v/>
      </c>
      <c r="AO19" s="19" t="str">
        <f ca="1">IF(LARGE(seasoneagles, ROWS(AO$8:AO19))&lt;&gt;0,LARGE(seasoneagles, ROWS(AO$8:AO19)), "")</f>
        <v/>
      </c>
      <c r="AP19" s="19" t="str">
        <f t="shared" ca="1" si="12"/>
        <v/>
      </c>
      <c r="AQ19" s="51"/>
      <c r="AR19" s="29" t="str">
        <f>IF(AS19="", "", IF(AT19&lt;&gt;AT18, ROWS(AR$7:AR18), ""))</f>
        <v/>
      </c>
      <c r="AS19" s="18" t="str" cm="1">
        <f t="array" ref="AS19">IF(AT19="","",INDEX(leagueroster, MATCH(SUMPRODUCT(LARGE((INDEX(teamlownet,,)=AT19)*(ids),COUNTIF(INDEX(teamlownet, ,), AT19)-COUNTIF(AT$8:AT19,AT19)+1)), INDEX(leagueroster, , 2), 0), 1))</f>
        <v/>
      </c>
      <c r="AT19" s="59" t="str">
        <f>IF(ROWS(AT$8:AT19)&lt;=$AR$6, SMALL(INDEX(teamlownet, ,), ROWS(AT$8:AT19)), "")</f>
        <v/>
      </c>
      <c r="AU19" s="51"/>
      <c r="AV19" s="29" t="str">
        <f>IF(AW19="", "", IF(AX19&lt;&gt;AX18, ROWS(AV$7:AV18), ""))</f>
        <v/>
      </c>
      <c r="AW19" s="18" t="str" cm="1">
        <f t="array" ref="AW19">IF(AX19="","",INDEX(leagueroster, MATCH(SUMPRODUCT(LARGE((INDEX(teamhighpoints,,)=AX19)*(ids),COUNTIF(INDEX(teamhighpoints, ,), AX19)-COUNTIF(AX$8:AX19,AX19)+1)), INDEX(leagueroster, , 2), 0), 1))</f>
        <v/>
      </c>
      <c r="AX19" s="59" t="str">
        <f>IF(ROWS(AX$8:AX19)&lt;=$AR$6, LARGE(INDEX(teamhighpoints, ,), ROWS(AX$8:AX19)), "")</f>
        <v/>
      </c>
      <c r="AY19" s="51"/>
    </row>
    <row r="20" spans="1:51" x14ac:dyDescent="0.2">
      <c r="A20" s="29">
        <f ca="1">IF(B20="", "", IF(D20&lt;&gt;D19, ROWS(A$7:A19), ""))</f>
        <v>13</v>
      </c>
      <c r="B20" s="18" t="str">
        <f ca="1">IF(D20="","",INDEX(leagueroster, MATCH(SUMPRODUCT(LARGE((INDEX(lowgross, , )=D20)*(ids),COUNTIF(INDEX(lowgross, , ), D20)-COUNTIF(D$8:D20,D20)+1)), INDEX(leagueroster, , 2), 0), 1))</f>
        <v>Boyd, Steve</v>
      </c>
      <c r="C20" s="19" t="str">
        <f t="shared" ca="1" si="0"/>
        <v>MET</v>
      </c>
      <c r="D20" s="19">
        <f ca="1">IFERROR(SMALL(INDEX(lowgross, , ), ROWS(D$8:D20)), "")</f>
        <v>41</v>
      </c>
      <c r="E20" s="19">
        <f ca="1">IF(D20="","", SUMPRODUCT(LARGE((INDEX(scores, , )=D20)*(ids=VLOOKUP(B20, leagueroster, 2, FALSE))*(weeks), COUNTIFS(D$8:D20, D20, B$8:B20, B20))))</f>
        <v>19</v>
      </c>
      <c r="F20" s="51"/>
      <c r="G20" s="29" t="str">
        <f ca="1">IF(H20="", "", IF(J20&lt;&gt;J19, ROWS(G$7:G19), ""))</f>
        <v/>
      </c>
      <c r="H20" s="18" t="str">
        <f ca="1">IF(J20="","",INDEX(leagueroster, MATCH(SUMPRODUCT(LARGE((INDEX(lownet, , )=J20)*(ids),COUNTIF(INDEX(lownet, , ), J20)-COUNTIF(J$8:J20,J20)+1)), INDEX(leagueroster, , 2), 0), 1))</f>
        <v>Cox, Marcus</v>
      </c>
      <c r="I20" s="19" t="str">
        <f t="shared" ca="1" si="1"/>
        <v>HS</v>
      </c>
      <c r="J20" s="19">
        <f ca="1">IFERROR(SMALL(INDEX(lownet, , ), ROWS(J$8:J20)), "")</f>
        <v>33</v>
      </c>
      <c r="K20" s="19">
        <f ca="1">IF(J20="","", SUMPRODUCT(LARGE((INDEX(netscores, , )=J20)*(ids=VLOOKUP(H20, leagueroster, 2, FALSE))*(weeks), COUNTIFS(J$8:J20, J20, H$8:H20, H20))))</f>
        <v>14</v>
      </c>
      <c r="L20" s="51"/>
      <c r="M20" s="29" t="str">
        <f ca="1">IF(N20="", "", IF(P20&lt;&gt;P19, ROWS(M$7:M19), ""))</f>
        <v/>
      </c>
      <c r="N20" s="18" t="str">
        <f ca="1">IF(P20="","",INDEX(leagueroster, MATCH(SUMPRODUCT(LARGE((INDEX(seasonptsavg, , )=P20)*(ids),COUNTIF(INDEX(seasonptsavg, , ), P20)-COUNTIF(P$8:P20,P20)+1)), INDEX(leagueroster, , 2), 0), 1))</f>
        <v>Williams, Jerry - C</v>
      </c>
      <c r="O20" s="19" t="str">
        <f t="shared" ca="1" si="2"/>
        <v>HS</v>
      </c>
      <c r="P20" s="21">
        <f ca="1">IFERROR(LARGE(seasonptsavg, ROWS(P$8:P20)), "")</f>
        <v>11</v>
      </c>
      <c r="Q20" s="19">
        <f t="shared" ca="1" si="3"/>
        <v>110</v>
      </c>
      <c r="R20" s="19">
        <f t="shared" ca="1" si="4"/>
        <v>10</v>
      </c>
      <c r="S20" s="51"/>
      <c r="T20" s="29">
        <f ca="1">IF(U20="", "", IF(W20&lt;&gt;W19, ROWS(T$7:T19), ""))</f>
        <v>13</v>
      </c>
      <c r="U20" s="18" t="str">
        <f ca="1">IF(W20="","",INDEX(leagueroster, MATCH(SUMPRODUCT(LARGE((INDEX(seasongross, , )=W20)*(ids),COUNTIF(INDEX(seasongross, , ), W20)-COUNTIF(W$8:W20,W20)+1)), INDEX(leagueroster, , 2), 0), 1))</f>
        <v>Radel, Pat - C - green tees</v>
      </c>
      <c r="V20" s="19" t="str">
        <f t="shared" ca="1" si="5"/>
        <v>WYC</v>
      </c>
      <c r="W20" s="21">
        <f ca="1">IFERROR(SMALL(seasongross, ROWS(W$8:W20)), "")</f>
        <v>49.083333333333336</v>
      </c>
      <c r="X20" s="19">
        <f t="shared" ca="1" si="6"/>
        <v>12</v>
      </c>
      <c r="Y20" s="51"/>
      <c r="Z20" s="29">
        <f ca="1">IF(AA20="", "", IF(AC20&lt;&gt;AC19, ROWS(Z$7:Z19), ""))</f>
        <v>13</v>
      </c>
      <c r="AA20" s="18" t="str">
        <f ca="1">IF(AC20="","",INDEX(leagueroster, MATCH(SUMPRODUCT(LARGE((INDEX(seasonnet, , )=AC20)*(ids),COUNTIF(INDEX(seasonnet, , ), AC20)-COUNTIF(AC$8:AC20,AC20)+1)), INDEX(leagueroster, , 2), 0), 1))</f>
        <v>Culver, Chuck</v>
      </c>
      <c r="AB20" s="19" t="str">
        <f t="shared" ca="1" si="7"/>
        <v>MET</v>
      </c>
      <c r="AC20" s="21">
        <f ca="1">IFERROR(SMALL(seasonnet, ROWS(AC$8:AC20)), "")</f>
        <v>38.714285714285715</v>
      </c>
      <c r="AD20" s="19">
        <f t="shared" ca="1" si="8"/>
        <v>14</v>
      </c>
      <c r="AE20" s="51"/>
      <c r="AF20" s="29">
        <f ca="1">IF(AG20="", "", IF(AI20&lt;&gt;AI19, ROWS(AF$7:AF19), ""))</f>
        <v>13</v>
      </c>
      <c r="AG20" s="18" t="str">
        <f ca="1">IF(AI20="","",INDEX(leagueroster, MATCH(SUMPRODUCT(LARGE((INDEX(seasonbirds, , )=AI20)*(ids),COUNTIF(INDEX(seasonbirds, , ), AI20)-COUNTIF(AI$8:AI20,AI20)+1)), INDEX(leagueroster, , 2), 0), 1))</f>
        <v>Avery, Mike - gold tees</v>
      </c>
      <c r="AH20" s="19" t="str">
        <f t="shared" ca="1" si="9"/>
        <v>ACE</v>
      </c>
      <c r="AI20" s="19">
        <f ca="1">IF(LARGE(seasonbirds, ROWS(AI$8:AI20))&lt;&gt;0,LARGE(seasonbirds, ROWS(AI$8:AI20)), "")</f>
        <v>1</v>
      </c>
      <c r="AJ20" s="19">
        <f t="shared" ca="1" si="10"/>
        <v>15</v>
      </c>
      <c r="AK20" s="51"/>
      <c r="AL20" s="29" t="str">
        <f ca="1">IF(AM20="", "", IF(AO20&lt;&gt;AO19, ROWS(AL$7:AL19), ""))</f>
        <v/>
      </c>
      <c r="AM20" s="18" t="str" cm="1">
        <f t="array" aca="1" ref="AM20" ca="1">IF(AO20="","",INDEX(leagueroster, MATCH(SUMPRODUCT(LARGE((INDEX(seasoneagles, , )=AO20)*(ids),COUNTIF(INDEX(seasoneagles, , ), AO20)-COUNTIF(AO$8:AO20,AO20)+1)), INDEX(leagueroster, , 2), 0), 1))</f>
        <v/>
      </c>
      <c r="AN20" s="19" t="str">
        <f t="shared" ca="1" si="11"/>
        <v/>
      </c>
      <c r="AO20" s="19" t="str">
        <f ca="1">IF(LARGE(seasoneagles, ROWS(AO$8:AO20))&lt;&gt;0,LARGE(seasoneagles, ROWS(AO$8:AO20)), "")</f>
        <v/>
      </c>
      <c r="AP20" s="19" t="str">
        <f t="shared" ca="1" si="12"/>
        <v/>
      </c>
      <c r="AQ20" s="51"/>
      <c r="AR20" s="29" t="str">
        <f>IF(AS20="", "", IF(AT20&lt;&gt;AT19, ROWS(AR$7:AR19), ""))</f>
        <v/>
      </c>
      <c r="AS20" s="18" t="str" cm="1">
        <f t="array" ref="AS20">IF(AT20="","",INDEX(leagueroster, MATCH(SUMPRODUCT(LARGE((INDEX(teamlownet,,)=AT20)*(ids),COUNTIF(INDEX(teamlownet, ,), AT20)-COUNTIF(AT$8:AT20,AT20)+1)), INDEX(leagueroster, , 2), 0), 1))</f>
        <v/>
      </c>
      <c r="AT20" s="59" t="str">
        <f>IF(ROWS(AT$8:AT20)&lt;=$AR$6, SMALL(INDEX(teamlownet, ,), ROWS(AT$8:AT20)), "")</f>
        <v/>
      </c>
      <c r="AU20" s="51"/>
      <c r="AV20" s="29" t="str">
        <f>IF(AW20="", "", IF(AX20&lt;&gt;AX19, ROWS(AV$7:AV19), ""))</f>
        <v/>
      </c>
      <c r="AY20" s="51"/>
    </row>
    <row r="21" spans="1:51" x14ac:dyDescent="0.2">
      <c r="A21" s="29" t="str">
        <f ca="1">IF(B21="", "", IF(D21&lt;&gt;D20, ROWS(A$7:A20), ""))</f>
        <v/>
      </c>
      <c r="B21" s="18" t="str">
        <f ca="1">IF(D21="","",INDEX(leagueroster, MATCH(SUMPRODUCT(LARGE((INDEX(lowgross, , )=D21)*(ids),COUNTIF(INDEX(lowgross, , ), D21)-COUNTIF(D$8:D21,D21)+1)), INDEX(leagueroster, , 2), 0), 1))</f>
        <v>Preising, Danny</v>
      </c>
      <c r="C21" s="19" t="str">
        <f t="shared" ca="1" si="0"/>
        <v>SUBS</v>
      </c>
      <c r="D21" s="19">
        <f ca="1">IFERROR(SMALL(INDEX(lowgross, , ), ROWS(D$8:D21)), "")</f>
        <v>41</v>
      </c>
      <c r="E21" s="19">
        <f ca="1">IF(D21="","", SUMPRODUCT(LARGE((INDEX(scores, , )=D21)*(ids=VLOOKUP(B21, leagueroster, 2, FALSE))*(weeks), COUNTIFS(D$8:D21, D21, B$8:B21, B21))))</f>
        <v>10</v>
      </c>
      <c r="F21" s="51"/>
      <c r="G21" s="29" t="str">
        <f ca="1">IF(H21="", "", IF(J21&lt;&gt;J20, ROWS(G$7:G20), ""))</f>
        <v/>
      </c>
      <c r="H21" s="18" t="str">
        <f ca="1">IF(J21="","",INDEX(leagueroster, MATCH(SUMPRODUCT(LARGE((INDEX(lownet, , )=J21)*(ids),COUNTIF(INDEX(lownet, , ), J21)-COUNTIF(J$8:J21,J21)+1)), INDEX(leagueroster, , 2), 0), 1))</f>
        <v>Hajba, Michael</v>
      </c>
      <c r="I21" s="19" t="str">
        <f t="shared" ca="1" si="1"/>
        <v>SUBS</v>
      </c>
      <c r="J21" s="19">
        <f ca="1">IFERROR(SMALL(INDEX(lownet, , ), ROWS(J$8:J21)), "")</f>
        <v>33</v>
      </c>
      <c r="K21" s="19">
        <f ca="1">IF(J21="","", SUMPRODUCT(LARGE((INDEX(netscores, , )=J21)*(ids=VLOOKUP(H21, leagueroster, 2, FALSE))*(weeks), COUNTIFS(J$8:J21, J21, H$8:H21, H21))))</f>
        <v>16</v>
      </c>
      <c r="L21" s="51"/>
      <c r="M21" s="29">
        <f ca="1">IF(N21="", "", IF(P21&lt;&gt;P20, ROWS(M$7:M20), ""))</f>
        <v>14</v>
      </c>
      <c r="N21" s="18" t="str">
        <f ca="1">IF(P21="","",INDEX(leagueroster, MATCH(SUMPRODUCT(LARGE((INDEX(seasonptsavg, , )=P21)*(ids),COUNTIF(INDEX(seasonptsavg, , ), P21)-COUNTIF(P$8:P21,P21)+1)), INDEX(leagueroster, , 2), 0), 1))</f>
        <v>Bates, Jim</v>
      </c>
      <c r="O21" s="19" t="str">
        <f t="shared" ca="1" si="2"/>
        <v>ACE</v>
      </c>
      <c r="P21" s="21">
        <f ca="1">IFERROR(LARGE(seasonptsavg, ROWS(P$8:P21)), "")</f>
        <v>10.928571428571429</v>
      </c>
      <c r="Q21" s="19">
        <f t="shared" ca="1" si="3"/>
        <v>153</v>
      </c>
      <c r="R21" s="19">
        <f t="shared" ca="1" si="4"/>
        <v>15</v>
      </c>
      <c r="S21" s="51"/>
      <c r="T21" s="29">
        <f ca="1">IF(U21="", "", IF(W21&lt;&gt;W20, ROWS(T$7:T20), ""))</f>
        <v>14</v>
      </c>
      <c r="U21" s="18" t="str">
        <f ca="1">IF(W21="","",INDEX(leagueroster, MATCH(SUMPRODUCT(LARGE((INDEX(seasongross, , )=W21)*(ids),COUNTIF(INDEX(seasongross, , ), W21)-COUNTIF(W$8:W21,W21)+1)), INDEX(leagueroster, , 2), 0), 1))</f>
        <v>Bond, Gregg</v>
      </c>
      <c r="V21" s="19" t="str">
        <f t="shared" ca="1" si="5"/>
        <v>WYC</v>
      </c>
      <c r="W21" s="21">
        <f ca="1">IFERROR(SMALL(seasongross, ROWS(W$8:W21)), "")</f>
        <v>49.090909090909093</v>
      </c>
      <c r="X21" s="19">
        <f t="shared" ca="1" si="6"/>
        <v>11</v>
      </c>
      <c r="Y21" s="51"/>
      <c r="Z21" s="29">
        <f ca="1">IF(AA21="", "", IF(AC21&lt;&gt;AC20, ROWS(Z$7:Z20), ""))</f>
        <v>14</v>
      </c>
      <c r="AA21" s="18" t="str">
        <f ca="1">IF(AC21="","",INDEX(leagueroster, MATCH(SUMPRODUCT(LARGE((INDEX(seasonnet, , )=AC21)*(ids),COUNTIF(INDEX(seasonnet, , ), AC21)-COUNTIF(AC$8:AC21,AC21)+1)), INDEX(leagueroster, , 2), 0), 1))</f>
        <v>Hyde, Scott</v>
      </c>
      <c r="AB21" s="19" t="str">
        <f t="shared" ca="1" si="7"/>
        <v>MET</v>
      </c>
      <c r="AC21" s="21">
        <f ca="1">IFERROR(SMALL(seasonnet, ROWS(AC$8:AC21)), "")</f>
        <v>38.857142857142854</v>
      </c>
      <c r="AD21" s="19">
        <f t="shared" ca="1" si="8"/>
        <v>14</v>
      </c>
      <c r="AE21" s="51"/>
      <c r="AF21" s="29" t="str">
        <f ca="1">IF(AG21="", "", IF(AI21&lt;&gt;AI20, ROWS(AF$7:AF20), ""))</f>
        <v/>
      </c>
      <c r="AG21" s="18" t="str">
        <f ca="1">IF(AI21="","",INDEX(leagueroster, MATCH(SUMPRODUCT(LARGE((INDEX(seasonbirds, , )=AI21)*(ids),COUNTIF(INDEX(seasonbirds, , ), AI21)-COUNTIF(AI$8:AI21,AI21)+1)), INDEX(leagueroster, , 2), 0), 1))</f>
        <v>Buckley, Chris - gold tees</v>
      </c>
      <c r="AH21" s="19" t="str">
        <f t="shared" ca="1" si="9"/>
        <v>HS</v>
      </c>
      <c r="AI21" s="19">
        <f ca="1">IF(LARGE(seasonbirds, ROWS(AI$8:AI21))&lt;&gt;0,LARGE(seasonbirds, ROWS(AI$8:AI21)), "")</f>
        <v>1</v>
      </c>
      <c r="AJ21" s="19">
        <f t="shared" ca="1" si="10"/>
        <v>15</v>
      </c>
      <c r="AK21" s="51"/>
      <c r="AL21" s="29" t="str">
        <f ca="1">IF(AM21="", "", IF(AO21&lt;&gt;AO20, ROWS(AL$7:AL20), ""))</f>
        <v/>
      </c>
      <c r="AM21" s="18" t="str" cm="1">
        <f t="array" aca="1" ref="AM21" ca="1">IF(AO21="","",INDEX(leagueroster, MATCH(SUMPRODUCT(LARGE((INDEX(seasoneagles, , )=AO21)*(ids),COUNTIF(INDEX(seasoneagles, , ), AO21)-COUNTIF(AO$8:AO21,AO21)+1)), INDEX(leagueroster, , 2), 0), 1))</f>
        <v/>
      </c>
      <c r="AN21" s="19" t="str">
        <f t="shared" ca="1" si="11"/>
        <v/>
      </c>
      <c r="AO21" s="19" t="str">
        <f ca="1">IF(LARGE(seasoneagles, ROWS(AO$8:AO21))&lt;&gt;0,LARGE(seasoneagles, ROWS(AO$8:AO21)), "")</f>
        <v/>
      </c>
      <c r="AP21" s="19" t="str">
        <f t="shared" ca="1" si="12"/>
        <v/>
      </c>
      <c r="AQ21" s="51"/>
      <c r="AR21" s="29" t="str">
        <f>IF(AS21="", "", IF(AT21&lt;&gt;AT20, ROWS(AR$7:AR20), ""))</f>
        <v/>
      </c>
      <c r="AS21" s="18" t="str" cm="1">
        <f t="array" ref="AS21">IF(AT21="","",INDEX(leagueroster, MATCH(SUMPRODUCT(LARGE((INDEX(teamlownet,,)=AT21)*(ids),COUNTIF(INDEX(teamlownet, ,), AT21)-COUNTIF(AT$8:AT21,AT21)+1)), INDEX(leagueroster, , 2), 0), 1))</f>
        <v/>
      </c>
      <c r="AT21" s="59" t="str">
        <f>IF(ROWS(AT$8:AT21)&lt;=$AR$6, SMALL(INDEX(teamlownet, ,), ROWS(AT$8:AT21)), "")</f>
        <v/>
      </c>
      <c r="AU21" s="51"/>
      <c r="AV21" s="29" t="str">
        <f>IF(AW21="", "", IF(AX21&lt;&gt;AX20, ROWS(AV$7:AV20), ""))</f>
        <v/>
      </c>
      <c r="AY21" s="51"/>
    </row>
    <row r="22" spans="1:51" x14ac:dyDescent="0.2">
      <c r="A22" s="29" t="str">
        <f ca="1">IF(B22="", "", IF(D22&lt;&gt;D21, ROWS(A$7:A21), ""))</f>
        <v/>
      </c>
      <c r="B22" s="18" t="str">
        <f ca="1">IF(D22="","",INDEX(leagueroster, MATCH(SUMPRODUCT(LARGE((INDEX(lowgross, , )=D22)*(ids),COUNTIF(INDEX(lowgross, , ), D22)-COUNTIF(D$8:D22,D22)+1)), INDEX(leagueroster, , 2), 0), 1))</f>
        <v>Zbuka, Pat</v>
      </c>
      <c r="C22" s="19" t="str">
        <f t="shared" ca="1" si="0"/>
        <v>4P</v>
      </c>
      <c r="D22" s="19">
        <f ca="1">IFERROR(SMALL(INDEX(lowgross, , ), ROWS(D$8:D22)), "")</f>
        <v>41</v>
      </c>
      <c r="E22" s="19">
        <f ca="1">IF(D22="","", SUMPRODUCT(LARGE((INDEX(scores, , )=D22)*(ids=VLOOKUP(B22, leagueroster, 2, FALSE))*(weeks), COUNTIFS(D$8:D22, D22, B$8:B22, B22))))</f>
        <v>5</v>
      </c>
      <c r="F22" s="51"/>
      <c r="G22" s="29" t="str">
        <f ca="1">IF(H22="", "", IF(J22&lt;&gt;J21, ROWS(G$7:G21), ""))</f>
        <v/>
      </c>
      <c r="H22" s="18" t="str">
        <f ca="1">IF(J22="","",INDEX(leagueroster, MATCH(SUMPRODUCT(LARGE((INDEX(lownet, , )=J22)*(ids),COUNTIF(INDEX(lownet, , ), J22)-COUNTIF(J$8:J22,J22)+1)), INDEX(leagueroster, , 2), 0), 1))</f>
        <v>Holzer, John</v>
      </c>
      <c r="I22" s="19" t="str">
        <f t="shared" ca="1" si="1"/>
        <v>4P</v>
      </c>
      <c r="J22" s="19">
        <f ca="1">IFERROR(SMALL(INDEX(lownet, , ), ROWS(J$8:J22)), "")</f>
        <v>33</v>
      </c>
      <c r="K22" s="19">
        <f ca="1">IF(J22="","", SUMPRODUCT(LARGE((INDEX(netscores, , )=J22)*(ids=VLOOKUP(H22, leagueroster, 2, FALSE))*(weeks), COUNTIFS(J$8:J22, J22, H$8:H22, H22))))</f>
        <v>13</v>
      </c>
      <c r="L22" s="51"/>
      <c r="M22" s="29">
        <f ca="1">IF(N22="", "", IF(P22&lt;&gt;P21, ROWS(M$7:M21), ""))</f>
        <v>15</v>
      </c>
      <c r="N22" s="18" t="str">
        <f ca="1">IF(P22="","",INDEX(leagueroster, MATCH(SUMPRODUCT(LARGE((INDEX(seasonptsavg, , )=P22)*(ids),COUNTIF(INDEX(seasonptsavg, , ), P22)-COUNTIF(P$8:P22,P22)+1)), INDEX(leagueroster, , 2), 0), 1))</f>
        <v>Evans, Ryan</v>
      </c>
      <c r="O22" s="19" t="str">
        <f t="shared" ca="1" si="2"/>
        <v>STY</v>
      </c>
      <c r="P22" s="21">
        <f ca="1">IFERROR(LARGE(seasonptsavg, ROWS(P$8:P22)), "")</f>
        <v>10.785714285714286</v>
      </c>
      <c r="Q22" s="19">
        <f t="shared" ca="1" si="3"/>
        <v>151</v>
      </c>
      <c r="R22" s="19">
        <f t="shared" ca="1" si="4"/>
        <v>14</v>
      </c>
      <c r="S22" s="51"/>
      <c r="T22" s="29">
        <f ca="1">IF(U22="", "", IF(W22&lt;&gt;W21, ROWS(T$7:T21), ""))</f>
        <v>15</v>
      </c>
      <c r="U22" s="18" t="str">
        <f ca="1">IF(W22="","",INDEX(leagueroster, MATCH(SUMPRODUCT(LARGE((INDEX(seasongross, , )=W22)*(ids),COUNTIF(INDEX(seasongross, , ), W22)-COUNTIF(W$8:W22,W22)+1)), INDEX(leagueroster, , 2), 0), 1))</f>
        <v>Hajba, Michael</v>
      </c>
      <c r="V22" s="19" t="str">
        <f t="shared" ca="1" si="5"/>
        <v>SUBS</v>
      </c>
      <c r="W22" s="21">
        <f ca="1">IFERROR(SMALL(seasongross, ROWS(W$8:W22)), "")</f>
        <v>50.166666666666664</v>
      </c>
      <c r="X22" s="19">
        <f t="shared" ca="1" si="6"/>
        <v>6</v>
      </c>
      <c r="Y22" s="51"/>
      <c r="Z22" s="29">
        <f ca="1">IF(AA22="", "", IF(AC22&lt;&gt;AC21, ROWS(Z$7:Z21), ""))</f>
        <v>15</v>
      </c>
      <c r="AA22" s="18" t="str">
        <f ca="1">IF(AC22="","",INDEX(leagueroster, MATCH(SUMPRODUCT(LARGE((INDEX(seasonnet, , )=AC22)*(ids),COUNTIF(INDEX(seasonnet, , ), AC22)-COUNTIF(AC$8:AC22,AC22)+1)), INDEX(leagueroster, , 2), 0), 1))</f>
        <v>Lapole, Chris - C - gold tees</v>
      </c>
      <c r="AB22" s="19" t="str">
        <f t="shared" ca="1" si="7"/>
        <v>STY</v>
      </c>
      <c r="AC22" s="21">
        <f ca="1">IFERROR(SMALL(seasonnet, ROWS(AC$8:AC22)), "")</f>
        <v>38.92307692307692</v>
      </c>
      <c r="AD22" s="19">
        <f t="shared" ca="1" si="8"/>
        <v>13</v>
      </c>
      <c r="AE22" s="51"/>
      <c r="AF22" s="29" t="str">
        <f ca="1">IF(AG22="", "", IF(AI22&lt;&gt;AI21, ROWS(AF$7:AF21), ""))</f>
        <v/>
      </c>
      <c r="AG22" s="18" t="str">
        <f ca="1">IF(AI22="","",INDEX(leagueroster, MATCH(SUMPRODUCT(LARGE((INDEX(seasonbirds, , )=AI22)*(ids),COUNTIF(INDEX(seasonbirds, , ), AI22)-COUNTIF(AI$8:AI22,AI22)+1)), INDEX(leagueroster, , 2), 0), 1))</f>
        <v>Cizek, Randy - gold tees</v>
      </c>
      <c r="AH22" s="19" t="str">
        <f t="shared" ca="1" si="9"/>
        <v>MMC</v>
      </c>
      <c r="AI22" s="19">
        <f ca="1">IF(LARGE(seasonbirds, ROWS(AI$8:AI22))&lt;&gt;0,LARGE(seasonbirds, ROWS(AI$8:AI22)), "")</f>
        <v>1</v>
      </c>
      <c r="AJ22" s="19">
        <f t="shared" ca="1" si="10"/>
        <v>13</v>
      </c>
      <c r="AK22" s="51"/>
      <c r="AL22" s="29" t="str">
        <f ca="1">IF(AM22="", "", IF(AO22&lt;&gt;AO21, ROWS(AL$7:AL21), ""))</f>
        <v/>
      </c>
      <c r="AM22" s="18" t="str" cm="1">
        <f t="array" aca="1" ref="AM22" ca="1">IF(AO22="","",INDEX(leagueroster, MATCH(SUMPRODUCT(LARGE((INDEX(seasoneagles, , )=AO22)*(ids),COUNTIF(INDEX(seasoneagles, , ), AO22)-COUNTIF(AO$8:AO22,AO22)+1)), INDEX(leagueroster, , 2), 0), 1))</f>
        <v/>
      </c>
      <c r="AN22" s="19" t="str">
        <f t="shared" ca="1" si="11"/>
        <v/>
      </c>
      <c r="AO22" s="19" t="str">
        <f ca="1">IF(LARGE(seasoneagles, ROWS(AO$8:AO22))&lt;&gt;0,LARGE(seasoneagles, ROWS(AO$8:AO22)), "")</f>
        <v/>
      </c>
      <c r="AP22" s="19" t="str">
        <f t="shared" ca="1" si="12"/>
        <v/>
      </c>
      <c r="AQ22" s="51"/>
      <c r="AR22" s="29" t="str">
        <f>IF(AS22="", "", IF(AT22&lt;&gt;AT21, ROWS(AR$7:AR21), ""))</f>
        <v/>
      </c>
      <c r="AS22" s="18" t="str" cm="1">
        <f t="array" ref="AS22">IF(AT22="","",INDEX(leagueroster, MATCH(SUMPRODUCT(LARGE((INDEX(teamlownet,,)=AT22)*(ids),COUNTIF(INDEX(teamlownet, ,), AT22)-COUNTIF(AT$8:AT22,AT22)+1)), INDEX(leagueroster, , 2), 0), 1))</f>
        <v/>
      </c>
      <c r="AT22" s="59" t="str">
        <f>IF(ROWS(AT$8:AT22)&lt;=$AR$6, SMALL(INDEX(teamlownet, ,), ROWS(AT$8:AT22)), "")</f>
        <v/>
      </c>
      <c r="AU22" s="51"/>
      <c r="AV22" s="29" t="str">
        <f>IF(AW22="", "", IF(AX22&lt;&gt;AX21, ROWS(AV$7:AV21), ""))</f>
        <v/>
      </c>
      <c r="AY22" s="51"/>
    </row>
    <row r="23" spans="1:51" x14ac:dyDescent="0.2">
      <c r="A23" s="29">
        <f ca="1">IF(B23="", "", IF(D23&lt;&gt;D22, ROWS(A$7:A22), ""))</f>
        <v>16</v>
      </c>
      <c r="B23" s="18" t="str">
        <f ca="1">IF(D23="","",INDEX(leagueroster, MATCH(SUMPRODUCT(LARGE((INDEX(lowgross, , )=D23)*(ids),COUNTIF(INDEX(lowgross, , ), D23)-COUNTIF(D$8:D23,D23)+1)), INDEX(leagueroster, , 2), 0), 1))</f>
        <v>Bond, Gregg</v>
      </c>
      <c r="C23" s="19" t="str">
        <f t="shared" ca="1" si="0"/>
        <v>WYC</v>
      </c>
      <c r="D23" s="19">
        <f ca="1">IFERROR(SMALL(INDEX(lowgross, , ), ROWS(D$8:D23)), "")</f>
        <v>43</v>
      </c>
      <c r="E23" s="19">
        <f ca="1">IF(D23="","", SUMPRODUCT(LARGE((INDEX(scores, , )=D23)*(ids=VLOOKUP(B23, leagueroster, 2, FALSE))*(weeks), COUNTIFS(D$8:D23, D23, B$8:B23, B23))))</f>
        <v>15</v>
      </c>
      <c r="F23" s="51"/>
      <c r="G23" s="29" t="str">
        <f ca="1">IF(H23="", "", IF(J23&lt;&gt;J22, ROWS(G$7:G22), ""))</f>
        <v/>
      </c>
      <c r="H23" s="18" t="str">
        <f ca="1">IF(J23="","",INDEX(leagueroster, MATCH(SUMPRODUCT(LARGE((INDEX(lownet, , )=J23)*(ids),COUNTIF(INDEX(lownet, , ), J23)-COUNTIF(J$8:J23,J23)+1)), INDEX(leagueroster, , 2), 0), 1))</f>
        <v>Kirkpatrick, Tom - gold tees</v>
      </c>
      <c r="I23" s="19" t="str">
        <f t="shared" ca="1" si="1"/>
        <v>STY</v>
      </c>
      <c r="J23" s="19">
        <f ca="1">IFERROR(SMALL(INDEX(lownet, , ), ROWS(J$8:J23)), "")</f>
        <v>33</v>
      </c>
      <c r="K23" s="19">
        <f ca="1">IF(J23="","", SUMPRODUCT(LARGE((INDEX(netscores, , )=J23)*(ids=VLOOKUP(H23, leagueroster, 2, FALSE))*(weeks), COUNTIFS(J$8:J23, J23, H$8:H23, H23))))</f>
        <v>17</v>
      </c>
      <c r="L23" s="51"/>
      <c r="M23" s="29">
        <f ca="1">IF(N23="", "", IF(P23&lt;&gt;P22, ROWS(M$7:M22), ""))</f>
        <v>16</v>
      </c>
      <c r="N23" s="18" t="str">
        <f ca="1">IF(P23="","",INDEX(leagueroster, MATCH(SUMPRODUCT(LARGE((INDEX(seasonptsavg, , )=P23)*(ids),COUNTIF(INDEX(seasonptsavg, , ), P23)-COUNTIF(P$8:P23,P23)+1)), INDEX(leagueroster, , 2), 0), 1))</f>
        <v>Cline, Chad</v>
      </c>
      <c r="O23" s="19" t="str">
        <f t="shared" ca="1" si="2"/>
        <v>SUBS</v>
      </c>
      <c r="P23" s="21">
        <f ca="1">IFERROR(LARGE(seasonptsavg, ROWS(P$8:P23)), "")</f>
        <v>10.428571428571429</v>
      </c>
      <c r="Q23" s="19">
        <f t="shared" ca="1" si="3"/>
        <v>73</v>
      </c>
      <c r="R23" s="19">
        <f t="shared" ca="1" si="4"/>
        <v>6</v>
      </c>
      <c r="S23" s="51"/>
      <c r="T23" s="29">
        <f ca="1">IF(U23="", "", IF(W23&lt;&gt;W22, ROWS(T$7:T22), ""))</f>
        <v>16</v>
      </c>
      <c r="U23" s="18" t="str">
        <f ca="1">IF(W23="","",INDEX(leagueroster, MATCH(SUMPRODUCT(LARGE((INDEX(seasongross, , )=W23)*(ids),COUNTIF(INDEX(seasongross, , ), W23)-COUNTIF(W$8:W23,W23)+1)), INDEX(leagueroster, , 2), 0), 1))</f>
        <v>Cizek, Randy - gold tees</v>
      </c>
      <c r="V23" s="19" t="str">
        <f t="shared" ca="1" si="5"/>
        <v>MMC</v>
      </c>
      <c r="W23" s="21">
        <f ca="1">IFERROR(SMALL(seasongross, ROWS(W$8:W23)), "")</f>
        <v>50.53846153846154</v>
      </c>
      <c r="X23" s="19">
        <f t="shared" ca="1" si="6"/>
        <v>13</v>
      </c>
      <c r="Y23" s="51"/>
      <c r="Z23" s="29">
        <f ca="1">IF(AA23="", "", IF(AC23&lt;&gt;AC22, ROWS(Z$7:Z22), ""))</f>
        <v>16</v>
      </c>
      <c r="AA23" s="18" t="str">
        <f ca="1">IF(AC23="","",INDEX(leagueroster, MATCH(SUMPRODUCT(LARGE((INDEX(seasonnet, , )=AC23)*(ids),COUNTIF(INDEX(seasonnet, , ), AC23)-COUNTIF(AC$8:AC23,AC23)+1)), INDEX(leagueroster, , 2), 0), 1))</f>
        <v>Evans, Ryan</v>
      </c>
      <c r="AB23" s="19" t="str">
        <f t="shared" ca="1" si="7"/>
        <v>STY</v>
      </c>
      <c r="AC23" s="21">
        <f ca="1">IFERROR(SMALL(seasonnet, ROWS(AC$8:AC23)), "")</f>
        <v>38.928571428571431</v>
      </c>
      <c r="AD23" s="19">
        <f t="shared" ca="1" si="8"/>
        <v>14</v>
      </c>
      <c r="AE23" s="51"/>
      <c r="AF23" s="29" t="str">
        <f ca="1">IF(AG23="", "", IF(AI23&lt;&gt;AI22, ROWS(AF$7:AF22), ""))</f>
        <v/>
      </c>
      <c r="AG23" s="18" t="str">
        <f ca="1">IF(AI23="","",INDEX(leagueroster, MATCH(SUMPRODUCT(LARGE((INDEX(seasonbirds, , )=AI23)*(ids),COUNTIF(INDEX(seasonbirds, , ), AI23)-COUNTIF(AI$8:AI23,AI23)+1)), INDEX(leagueroster, , 2), 0), 1))</f>
        <v>Culver, Chuck</v>
      </c>
      <c r="AH23" s="19" t="str">
        <f t="shared" ca="1" si="9"/>
        <v>MET</v>
      </c>
      <c r="AI23" s="19">
        <f ca="1">IF(LARGE(seasonbirds, ROWS(AI$8:AI23))&lt;&gt;0,LARGE(seasonbirds, ROWS(AI$8:AI23)), "")</f>
        <v>1</v>
      </c>
      <c r="AJ23" s="19">
        <f t="shared" ca="1" si="10"/>
        <v>14</v>
      </c>
      <c r="AK23" s="51"/>
      <c r="AL23" s="29" t="str">
        <f ca="1">IF(AM23="", "", IF(AO23&lt;&gt;AO22, ROWS(AL$7:AL22), ""))</f>
        <v/>
      </c>
      <c r="AM23" s="18" t="str" cm="1">
        <f t="array" aca="1" ref="AM23" ca="1">IF(AO23="","",INDEX(leagueroster, MATCH(SUMPRODUCT(LARGE((INDEX(seasoneagles, , )=AO23)*(ids),COUNTIF(INDEX(seasoneagles, , ), AO23)-COUNTIF(AO$8:AO23,AO23)+1)), INDEX(leagueroster, , 2), 0), 1))</f>
        <v/>
      </c>
      <c r="AN23" s="19" t="str">
        <f t="shared" ca="1" si="11"/>
        <v/>
      </c>
      <c r="AO23" s="19" t="str">
        <f ca="1">IF(LARGE(seasoneagles, ROWS(AO$8:AO23))&lt;&gt;0,LARGE(seasoneagles, ROWS(AO$8:AO23)), "")</f>
        <v/>
      </c>
      <c r="AP23" s="19" t="str">
        <f t="shared" ca="1" si="12"/>
        <v/>
      </c>
      <c r="AQ23" s="51"/>
      <c r="AR23" s="29" t="str">
        <f>IF(AS23="", "", IF(AT23&lt;&gt;AT22, ROWS(AR$7:AR22), ""))</f>
        <v/>
      </c>
      <c r="AS23" s="18" t="str" cm="1">
        <f t="array" ref="AS23">IF(AT23="","",INDEX(leagueroster, MATCH(SUMPRODUCT(LARGE((INDEX(teamlownet,,)=AT23)*(ids),COUNTIF(INDEX(teamlownet, ,), AT23)-COUNTIF(AT$8:AT23,AT23)+1)), INDEX(leagueroster, , 2), 0), 1))</f>
        <v/>
      </c>
      <c r="AT23" s="59" t="str">
        <f>IF(ROWS(AT$8:AT23)&lt;=$AR$6, SMALL(INDEX(teamlownet, ,), ROWS(AT$8:AT23)), "")</f>
        <v/>
      </c>
      <c r="AU23" s="51"/>
      <c r="AV23" s="29" t="str">
        <f>IF(AW23="", "", IF(AX23&lt;&gt;AX22, ROWS(AV$7:AV22), ""))</f>
        <v/>
      </c>
      <c r="AY23" s="51"/>
    </row>
    <row r="24" spans="1:51" x14ac:dyDescent="0.2">
      <c r="A24" s="29" t="str">
        <f ca="1">IF(B24="", "", IF(D24&lt;&gt;D23, ROWS(A$7:A23), ""))</f>
        <v/>
      </c>
      <c r="B24" s="18" t="str">
        <f ca="1">IF(D24="","",INDEX(leagueroster, MATCH(SUMPRODUCT(LARGE((INDEX(lowgross, , )=D24)*(ids),COUNTIF(INDEX(lowgross, , ), D24)-COUNTIF(D$8:D24,D24)+1)), INDEX(leagueroster, , 2), 0), 1))</f>
        <v>Hegnauer, Clark - green tees</v>
      </c>
      <c r="C24" s="19" t="str">
        <f t="shared" ca="1" si="0"/>
        <v>STY</v>
      </c>
      <c r="D24" s="19">
        <f ca="1">IFERROR(SMALL(INDEX(lowgross, , ), ROWS(D$8:D24)), "")</f>
        <v>43</v>
      </c>
      <c r="E24" s="19">
        <f ca="1">IF(D24="","", SUMPRODUCT(LARGE((INDEX(scores, , )=D24)*(ids=VLOOKUP(B24, leagueroster, 2, FALSE))*(weeks), COUNTIFS(D$8:D24, D24, B$8:B24, B24))))</f>
        <v>9</v>
      </c>
      <c r="F24" s="51"/>
      <c r="G24" s="29" t="str">
        <f ca="1">IF(H24="", "", IF(J24&lt;&gt;J23, ROWS(G$7:G23), ""))</f>
        <v/>
      </c>
      <c r="H24" s="18" t="str">
        <f ca="1">IF(J24="","",INDEX(leagueroster, MATCH(SUMPRODUCT(LARGE((INDEX(lownet, , )=J24)*(ids),COUNTIF(INDEX(lownet, , ), J24)-COUNTIF(J$8:J24,J24)+1)), INDEX(leagueroster, , 2), 0), 1))</f>
        <v>Kish, Jeff - C</v>
      </c>
      <c r="I24" s="19" t="str">
        <f t="shared" ca="1" si="1"/>
        <v>ACE</v>
      </c>
      <c r="J24" s="19">
        <f ca="1">IFERROR(SMALL(INDEX(lownet, , ), ROWS(J$8:J24)), "")</f>
        <v>33</v>
      </c>
      <c r="K24" s="19">
        <f ca="1">IF(J24="","", SUMPRODUCT(LARGE((INDEX(netscores, , )=J24)*(ids=VLOOKUP(H24, leagueroster, 2, FALSE))*(weeks), COUNTIFS(J$8:J24, J24, H$8:H24, H24))))</f>
        <v>17</v>
      </c>
      <c r="L24" s="51"/>
      <c r="M24" s="29">
        <f ca="1">IF(N24="", "", IF(P24&lt;&gt;P23, ROWS(M$7:M23), ""))</f>
        <v>17</v>
      </c>
      <c r="N24" s="18" t="str">
        <f ca="1">IF(P24="","",INDEX(leagueroster, MATCH(SUMPRODUCT(LARGE((INDEX(seasonptsavg, , )=P24)*(ids),COUNTIF(INDEX(seasonptsavg, , ), P24)-COUNTIF(P$8:P24,P24)+1)), INDEX(leagueroster, , 2), 0), 1))</f>
        <v>Avery, Mike - gold tees</v>
      </c>
      <c r="O24" s="19" t="str">
        <f t="shared" ca="1" si="2"/>
        <v>ACE</v>
      </c>
      <c r="P24" s="21">
        <f ca="1">IFERROR(LARGE(seasonptsavg, ROWS(P$8:P24)), "")</f>
        <v>10.375</v>
      </c>
      <c r="Q24" s="19">
        <f t="shared" ca="1" si="3"/>
        <v>166</v>
      </c>
      <c r="R24" s="19">
        <f t="shared" ca="1" si="4"/>
        <v>15</v>
      </c>
      <c r="S24" s="51"/>
      <c r="T24" s="29">
        <f ca="1">IF(U24="", "", IF(W24&lt;&gt;W23, ROWS(T$7:T23), ""))</f>
        <v>17</v>
      </c>
      <c r="U24" s="18" t="str">
        <f ca="1">IF(W24="","",INDEX(leagueroster, MATCH(SUMPRODUCT(LARGE((INDEX(seasongross, , )=W24)*(ids),COUNTIF(INDEX(seasongross, , ), W24)-COUNTIF(W$8:W24,W24)+1)), INDEX(leagueroster, , 2), 0), 1))</f>
        <v>Miller, Russ - green tees</v>
      </c>
      <c r="V24" s="19" t="str">
        <f t="shared" ca="1" si="5"/>
        <v>MET</v>
      </c>
      <c r="W24" s="21">
        <f ca="1">IFERROR(SMALL(seasongross, ROWS(W$8:W24)), "")</f>
        <v>50.666666666666664</v>
      </c>
      <c r="X24" s="19">
        <f t="shared" ca="1" si="6"/>
        <v>9</v>
      </c>
      <c r="Y24" s="51"/>
      <c r="Z24" s="29">
        <f ca="1">IF(AA24="", "", IF(AC24&lt;&gt;AC23, ROWS(Z$7:Z23), ""))</f>
        <v>17</v>
      </c>
      <c r="AA24" s="18" t="str">
        <f ca="1">IF(AC24="","",INDEX(leagueroster, MATCH(SUMPRODUCT(LARGE((INDEX(seasonnet, , )=AC24)*(ids),COUNTIF(INDEX(seasonnet, , ), AC24)-COUNTIF(AC$8:AC24,AC24)+1)), INDEX(leagueroster, , 2), 0), 1))</f>
        <v>Smith, Steve - gold tees</v>
      </c>
      <c r="AB24" s="19" t="str">
        <f t="shared" ca="1" si="7"/>
        <v>MMC</v>
      </c>
      <c r="AC24" s="21">
        <f ca="1">IFERROR(SMALL(seasonnet, ROWS(AC$8:AC24)), "")</f>
        <v>39</v>
      </c>
      <c r="AD24" s="19">
        <f t="shared" ca="1" si="8"/>
        <v>15</v>
      </c>
      <c r="AE24" s="51"/>
      <c r="AF24" s="29" t="str">
        <f ca="1">IF(AG24="", "", IF(AI24&lt;&gt;AI23, ROWS(AF$7:AF23), ""))</f>
        <v/>
      </c>
      <c r="AG24" s="18" t="str">
        <f ca="1">IF(AI24="","",INDEX(leagueroster, MATCH(SUMPRODUCT(LARGE((INDEX(seasonbirds, , )=AI24)*(ids),COUNTIF(INDEX(seasonbirds, , ), AI24)-COUNTIF(AI$8:AI24,AI24)+1)), INDEX(leagueroster, , 2), 0), 1))</f>
        <v>Holzer, John</v>
      </c>
      <c r="AH24" s="19" t="str">
        <f t="shared" ca="1" si="9"/>
        <v>4P</v>
      </c>
      <c r="AI24" s="19">
        <f ca="1">IF(LARGE(seasonbirds, ROWS(AI$8:AI24))&lt;&gt;0,LARGE(seasonbirds, ROWS(AI$8:AI24)), "")</f>
        <v>1</v>
      </c>
      <c r="AJ24" s="19">
        <f t="shared" ca="1" si="10"/>
        <v>10</v>
      </c>
      <c r="AK24" s="51"/>
      <c r="AL24" s="29" t="str">
        <f ca="1">IF(AM24="", "", IF(AO24&lt;&gt;AO23, ROWS(AL$7:AL23), ""))</f>
        <v/>
      </c>
      <c r="AM24" s="18" t="str" cm="1">
        <f t="array" aca="1" ref="AM24" ca="1">IF(AO24="","",INDEX(leagueroster, MATCH(SUMPRODUCT(LARGE((INDEX(seasoneagles, , )=AO24)*(ids),COUNTIF(INDEX(seasoneagles, , ), AO24)-COUNTIF(AO$8:AO24,AO24)+1)), INDEX(leagueroster, , 2), 0), 1))</f>
        <v/>
      </c>
      <c r="AN24" s="19" t="str">
        <f t="shared" ca="1" si="11"/>
        <v/>
      </c>
      <c r="AO24" s="19" t="str">
        <f ca="1">IF(LARGE(seasoneagles, ROWS(AO$8:AO24))&lt;&gt;0,LARGE(seasoneagles, ROWS(AO$8:AO24)), "")</f>
        <v/>
      </c>
      <c r="AP24" s="19" t="str">
        <f t="shared" ca="1" si="12"/>
        <v/>
      </c>
      <c r="AQ24" s="51"/>
      <c r="AR24" s="29" t="str">
        <f>IF(AS24="", "", IF(AT24&lt;&gt;AT23, ROWS(AR$7:AR23), ""))</f>
        <v/>
      </c>
      <c r="AS24" s="18" t="str" cm="1">
        <f t="array" ref="AS24">IF(AT24="","",INDEX(leagueroster, MATCH(SUMPRODUCT(LARGE((INDEX(teamlownet,,)=AT24)*(ids),COUNTIF(INDEX(teamlownet, ,), AT24)-COUNTIF(AT$8:AT24,AT24)+1)), INDEX(leagueroster, , 2), 0), 1))</f>
        <v/>
      </c>
      <c r="AT24" s="59" t="str">
        <f>IF(ROWS(AT$8:AT24)&lt;=$AR$6, SMALL(INDEX(teamlownet, ,), ROWS(AT$8:AT24)), "")</f>
        <v/>
      </c>
      <c r="AU24" s="51"/>
      <c r="AV24" s="29" t="str">
        <f>IF(AW24="", "", IF(AX24&lt;&gt;AX23, ROWS(AV$7:AV23), ""))</f>
        <v/>
      </c>
      <c r="AY24" s="51"/>
    </row>
    <row r="25" spans="1:51" x14ac:dyDescent="0.2">
      <c r="A25" s="29" t="str">
        <f ca="1">IF(B25="", "", IF(D25&lt;&gt;D24, ROWS(A$7:A24), ""))</f>
        <v/>
      </c>
      <c r="B25" s="18" t="str">
        <f ca="1">IF(D25="","",INDEX(leagueroster, MATCH(SUMPRODUCT(LARGE((INDEX(lowgross, , )=D25)*(ids),COUNTIF(INDEX(lowgross, , ), D25)-COUNTIF(D$8:D25,D25)+1)), INDEX(leagueroster, , 2), 0), 1))</f>
        <v>Reed, Rich</v>
      </c>
      <c r="C25" s="19" t="str">
        <f t="shared" ca="1" si="0"/>
        <v>4P</v>
      </c>
      <c r="D25" s="19">
        <f ca="1">IFERROR(SMALL(INDEX(lowgross, , ), ROWS(D$8:D25)), "")</f>
        <v>43</v>
      </c>
      <c r="E25" s="19">
        <f ca="1">IF(D25="","", SUMPRODUCT(LARGE((INDEX(scores, , )=D25)*(ids=VLOOKUP(B25, leagueroster, 2, FALSE))*(weeks), COUNTIFS(D$8:D25, D25, B$8:B25, B25))))</f>
        <v>15</v>
      </c>
      <c r="F25" s="51"/>
      <c r="G25" s="29" t="str">
        <f ca="1">IF(H25="", "", IF(J25&lt;&gt;J24, ROWS(G$7:G24), ""))</f>
        <v/>
      </c>
      <c r="H25" s="18" t="str">
        <f ca="1">IF(J25="","",INDEX(leagueroster, MATCH(SUMPRODUCT(LARGE((INDEX(lownet, , )=J25)*(ids),COUNTIF(INDEX(lownet, , ), J25)-COUNTIF(J$8:J25,J25)+1)), INDEX(leagueroster, , 2), 0), 1))</f>
        <v>Radel, Pat - C - green tees</v>
      </c>
      <c r="I25" s="19" t="str">
        <f t="shared" ca="1" si="1"/>
        <v>WYC</v>
      </c>
      <c r="J25" s="19">
        <f ca="1">IFERROR(SMALL(INDEX(lownet, , ), ROWS(J$8:J25)), "")</f>
        <v>33</v>
      </c>
      <c r="K25" s="19">
        <f ca="1">IF(J25="","", SUMPRODUCT(LARGE((INDEX(netscores, , )=J25)*(ids=VLOOKUP(H25, leagueroster, 2, FALSE))*(weeks), COUNTIFS(J$8:J25, J25, H$8:H25, H25))))</f>
        <v>14</v>
      </c>
      <c r="L25" s="51"/>
      <c r="M25" s="29">
        <f ca="1">IF(N25="", "", IF(P25&lt;&gt;P24, ROWS(M$7:M24), ""))</f>
        <v>18</v>
      </c>
      <c r="N25" s="18" t="str">
        <f ca="1">IF(P25="","",INDEX(leagueroster, MATCH(SUMPRODUCT(LARGE((INDEX(seasonptsavg, , )=P25)*(ids),COUNTIF(INDEX(seasonptsavg, , ), P25)-COUNTIF(P$8:P25,P25)+1)), INDEX(leagueroster, , 2), 0), 1))</f>
        <v>Smith, Steve - gold tees</v>
      </c>
      <c r="O25" s="19" t="str">
        <f t="shared" ca="1" si="2"/>
        <v>MMC</v>
      </c>
      <c r="P25" s="21">
        <f ca="1">IFERROR(LARGE(seasonptsavg, ROWS(P$8:P25)), "")</f>
        <v>10.333333333333334</v>
      </c>
      <c r="Q25" s="19">
        <f t="shared" ca="1" si="3"/>
        <v>155</v>
      </c>
      <c r="R25" s="19">
        <f t="shared" ca="1" si="4"/>
        <v>15</v>
      </c>
      <c r="S25" s="51"/>
      <c r="T25" s="29">
        <f ca="1">IF(U25="", "", IF(W25&lt;&gt;W24, ROWS(T$7:T24), ""))</f>
        <v>18</v>
      </c>
      <c r="U25" s="18" t="str">
        <f ca="1">IF(W25="","",INDEX(leagueroster, MATCH(SUMPRODUCT(LARGE((INDEX(seasongross, , )=W25)*(ids),COUNTIF(INDEX(seasongross, , ), W25)-COUNTIF(W$8:W25,W25)+1)), INDEX(leagueroster, , 2), 0), 1))</f>
        <v>Reed, Rich</v>
      </c>
      <c r="V25" s="19" t="str">
        <f t="shared" ca="1" si="5"/>
        <v>4P</v>
      </c>
      <c r="W25" s="21">
        <f ca="1">IFERROR(SMALL(seasongross, ROWS(W$8:W25)), "")</f>
        <v>51</v>
      </c>
      <c r="X25" s="19">
        <f t="shared" ca="1" si="6"/>
        <v>9</v>
      </c>
      <c r="Y25" s="51"/>
      <c r="Z25" s="29">
        <f ca="1">IF(AA25="", "", IF(AC25&lt;&gt;AC24, ROWS(Z$7:Z24), ""))</f>
        <v>18</v>
      </c>
      <c r="AA25" s="18" t="str">
        <f ca="1">IF(AC25="","",INDEX(leagueroster, MATCH(SUMPRODUCT(LARGE((INDEX(seasonnet, , )=AC25)*(ids),COUNTIF(INDEX(seasonnet, , ), AC25)-COUNTIF(AC$8:AC25,AC25)+1)), INDEX(leagueroster, , 2), 0), 1))</f>
        <v>Radel, Pat - C - green tees</v>
      </c>
      <c r="AB25" s="19" t="str">
        <f t="shared" ca="1" si="7"/>
        <v>WYC</v>
      </c>
      <c r="AC25" s="21">
        <f ca="1">IFERROR(SMALL(seasonnet, ROWS(AC$8:AC25)), "")</f>
        <v>39.25</v>
      </c>
      <c r="AD25" s="19">
        <f t="shared" ca="1" si="8"/>
        <v>12</v>
      </c>
      <c r="AE25" s="51"/>
      <c r="AF25" s="29" t="str">
        <f ca="1">IF(AG25="", "", IF(AI25&lt;&gt;AI24, ROWS(AF$7:AF24), ""))</f>
        <v/>
      </c>
      <c r="AG25" s="18" t="str">
        <f ca="1">IF(AI25="","",INDEX(leagueroster, MATCH(SUMPRODUCT(LARGE((INDEX(seasonbirds, , )=AI25)*(ids),COUNTIF(INDEX(seasonbirds, , ), AI25)-COUNTIF(AI$8:AI25,AI25)+1)), INDEX(leagueroster, , 2), 0), 1))</f>
        <v>Hyde, Scott</v>
      </c>
      <c r="AH25" s="19" t="str">
        <f t="shared" ca="1" si="9"/>
        <v>MET</v>
      </c>
      <c r="AI25" s="19">
        <f ca="1">IF(LARGE(seasonbirds, ROWS(AI$8:AI25))&lt;&gt;0,LARGE(seasonbirds, ROWS(AI$8:AI25)), "")</f>
        <v>1</v>
      </c>
      <c r="AJ25" s="19">
        <f t="shared" ca="1" si="10"/>
        <v>14</v>
      </c>
      <c r="AK25" s="51"/>
      <c r="AL25" s="29" t="str">
        <f ca="1">IF(AM25="", "", IF(AO25&lt;&gt;AO24, ROWS(AL$7:AL24), ""))</f>
        <v/>
      </c>
      <c r="AM25" s="18" t="str" cm="1">
        <f t="array" aca="1" ref="AM25" ca="1">IF(AO25="","",INDEX(leagueroster, MATCH(SUMPRODUCT(LARGE((INDEX(seasoneagles, , )=AO25)*(ids),COUNTIF(INDEX(seasoneagles, , ), AO25)-COUNTIF(AO$8:AO25,AO25)+1)), INDEX(leagueroster, , 2), 0), 1))</f>
        <v/>
      </c>
      <c r="AN25" s="19" t="str">
        <f t="shared" ca="1" si="11"/>
        <v/>
      </c>
      <c r="AO25" s="19" t="str">
        <f ca="1">IF(LARGE(seasoneagles, ROWS(AO$8:AO25))&lt;&gt;0,LARGE(seasoneagles, ROWS(AO$8:AO25)), "")</f>
        <v/>
      </c>
      <c r="AP25" s="19" t="str">
        <f t="shared" ca="1" si="12"/>
        <v/>
      </c>
      <c r="AQ25" s="51"/>
      <c r="AR25" s="29" t="str">
        <f>IF(AS25="", "", IF(AT25&lt;&gt;AT24, ROWS(AR$7:AR24), ""))</f>
        <v/>
      </c>
      <c r="AS25" s="18" t="str" cm="1">
        <f t="array" ref="AS25">IF(AT25="","",INDEX(leagueroster, MATCH(SUMPRODUCT(LARGE((INDEX(teamlownet,,)=AT25)*(ids),COUNTIF(INDEX(teamlownet, ,), AT25)-COUNTIF(AT$8:AT25,AT25)+1)), INDEX(leagueroster, , 2), 0), 1))</f>
        <v/>
      </c>
      <c r="AT25" s="59" t="str">
        <f>IF(ROWS(AT$8:AT25)&lt;=$AR$6, SMALL(INDEX(teamlownet, ,), ROWS(AT$8:AT25)), "")</f>
        <v/>
      </c>
      <c r="AU25" s="51"/>
      <c r="AV25" s="29" t="str">
        <f>IF(AW25="", "", IF(AX25&lt;&gt;AX24, ROWS(AV$7:AV24), ""))</f>
        <v/>
      </c>
      <c r="AY25" s="51"/>
    </row>
    <row r="26" spans="1:51" x14ac:dyDescent="0.2">
      <c r="A26" s="29">
        <f ca="1">IF(B26="", "", IF(D26&lt;&gt;D25, ROWS(A$7:A25), ""))</f>
        <v>19</v>
      </c>
      <c r="B26" s="18" t="str">
        <f ca="1">IF(D26="","",INDEX(leagueroster, MATCH(SUMPRODUCT(LARGE((INDEX(lowgross, , )=D26)*(ids),COUNTIF(INDEX(lowgross, , ), D26)-COUNTIF(D$8:D26,D26)+1)), INDEX(leagueroster, , 2), 0), 1))</f>
        <v>Hajba, Michael</v>
      </c>
      <c r="C26" s="19" t="str">
        <f t="shared" ca="1" si="0"/>
        <v>SUBS</v>
      </c>
      <c r="D26" s="19">
        <f ca="1">IFERROR(SMALL(INDEX(lowgross, , ), ROWS(D$8:D26)), "")</f>
        <v>44</v>
      </c>
      <c r="E26" s="19">
        <f ca="1">IF(D26="","", SUMPRODUCT(LARGE((INDEX(scores, , )=D26)*(ids=VLOOKUP(B26, leagueroster, 2, FALSE))*(weeks), COUNTIFS(D$8:D26, D26, B$8:B26, B26))))</f>
        <v>16</v>
      </c>
      <c r="F26" s="51"/>
      <c r="G26" s="29" t="str">
        <f ca="1">IF(H26="", "", IF(J26&lt;&gt;J25, ROWS(G$7:G25), ""))</f>
        <v/>
      </c>
      <c r="H26" s="18" t="str">
        <f ca="1">IF(J26="","",INDEX(leagueroster, MATCH(SUMPRODUCT(LARGE((INDEX(lownet, , )=J26)*(ids),COUNTIF(INDEX(lownet, , ), J26)-COUNTIF(J$8:J26,J26)+1)), INDEX(leagueroster, , 2), 0), 1))</f>
        <v>Reed, Rich</v>
      </c>
      <c r="I26" s="19" t="str">
        <f t="shared" ca="1" si="1"/>
        <v>4P</v>
      </c>
      <c r="J26" s="19">
        <f ca="1">IFERROR(SMALL(INDEX(lownet, , ), ROWS(J$8:J26)), "")</f>
        <v>33</v>
      </c>
      <c r="K26" s="19">
        <f ca="1">IF(J26="","", SUMPRODUCT(LARGE((INDEX(netscores, , )=J26)*(ids=VLOOKUP(H26, leagueroster, 2, FALSE))*(weeks), COUNTIFS(J$8:J26, J26, H$8:H26, H26))))</f>
        <v>15</v>
      </c>
      <c r="L26" s="51"/>
      <c r="M26" s="29">
        <f ca="1">IF(N26="", "", IF(P26&lt;&gt;P25, ROWS(M$7:M25), ""))</f>
        <v>19</v>
      </c>
      <c r="N26" s="18" t="str">
        <f ca="1">IF(P26="","",INDEX(leagueroster, MATCH(SUMPRODUCT(LARGE((INDEX(seasonptsavg, , )=P26)*(ids),COUNTIF(INDEX(seasonptsavg, , ), P26)-COUNTIF(P$8:P26,P26)+1)), INDEX(leagueroster, , 2), 0), 1))</f>
        <v>Hawkins, Rick - C</v>
      </c>
      <c r="O26" s="19" t="str">
        <f t="shared" ca="1" si="2"/>
        <v>MMC</v>
      </c>
      <c r="P26" s="21">
        <f ca="1">IFERROR(LARGE(seasonptsavg, ROWS(P$8:P26)), "")</f>
        <v>10.285714285714286</v>
      </c>
      <c r="Q26" s="19">
        <f t="shared" ca="1" si="3"/>
        <v>144</v>
      </c>
      <c r="R26" s="19">
        <f t="shared" ca="1" si="4"/>
        <v>13</v>
      </c>
      <c r="S26" s="51"/>
      <c r="T26" s="29">
        <f ca="1">IF(U26="", "", IF(W26&lt;&gt;W25, ROWS(T$7:T25), ""))</f>
        <v>19</v>
      </c>
      <c r="U26" s="18" t="str">
        <f ca="1">IF(W26="","",INDEX(leagueroster, MATCH(SUMPRODUCT(LARGE((INDEX(seasongross, , )=W26)*(ids),COUNTIF(INDEX(seasongross, , ), W26)-COUNTIF(W$8:W26,W26)+1)), INDEX(leagueroster, , 2), 0), 1))</f>
        <v>Lemus, Alex</v>
      </c>
      <c r="V26" s="19" t="str">
        <f t="shared" ca="1" si="5"/>
        <v>SUBS</v>
      </c>
      <c r="W26" s="21">
        <f ca="1">IFERROR(SMALL(seasongross, ROWS(W$8:W26)), "")</f>
        <v>51.2</v>
      </c>
      <c r="X26" s="19">
        <f t="shared" ca="1" si="6"/>
        <v>5</v>
      </c>
      <c r="Y26" s="51"/>
      <c r="Z26" s="29">
        <f ca="1">IF(AA26="", "", IF(AC26&lt;&gt;AC25, ROWS(Z$7:Z25), ""))</f>
        <v>19</v>
      </c>
      <c r="AA26" s="18" t="str">
        <f ca="1">IF(AC26="","",INDEX(leagueroster, MATCH(SUMPRODUCT(LARGE((INDEX(seasonnet, , )=AC26)*(ids),COUNTIF(INDEX(seasonnet, , ), AC26)-COUNTIF(AC$8:AC26,AC26)+1)), INDEX(leagueroster, , 2), 0), 1))</f>
        <v>Cizek, Randy - gold tees</v>
      </c>
      <c r="AB26" s="19" t="str">
        <f t="shared" ca="1" si="7"/>
        <v>MMC</v>
      </c>
      <c r="AC26" s="21">
        <f ca="1">IFERROR(SMALL(seasonnet, ROWS(AC$8:AC26)), "")</f>
        <v>39.307692307692307</v>
      </c>
      <c r="AD26" s="19">
        <f t="shared" ca="1" si="8"/>
        <v>13</v>
      </c>
      <c r="AE26" s="51"/>
      <c r="AF26" s="29" t="str">
        <f ca="1">IF(AG26="", "", IF(AI26&lt;&gt;AI25, ROWS(AF$7:AF25), ""))</f>
        <v/>
      </c>
      <c r="AG26" s="18" t="str">
        <f ca="1">IF(AI26="","",INDEX(leagueroster, MATCH(SUMPRODUCT(LARGE((INDEX(seasonbirds, , )=AI26)*(ids),COUNTIF(INDEX(seasonbirds, , ), AI26)-COUNTIF(AI$8:AI26,AI26)+1)), INDEX(leagueroster, , 2), 0), 1))</f>
        <v>Kirkpatrick, Tom - gold tees</v>
      </c>
      <c r="AH26" s="19" t="str">
        <f t="shared" ca="1" si="9"/>
        <v>STY</v>
      </c>
      <c r="AI26" s="19">
        <f ca="1">IF(LARGE(seasonbirds, ROWS(AI$8:AI26))&lt;&gt;0,LARGE(seasonbirds, ROWS(AI$8:AI26)), "")</f>
        <v>1</v>
      </c>
      <c r="AJ26" s="19">
        <f t="shared" ca="1" si="10"/>
        <v>14</v>
      </c>
      <c r="AK26" s="51"/>
      <c r="AL26" s="29" t="str">
        <f ca="1">IF(AM26="", "", IF(AO26&lt;&gt;AO25, ROWS(AL$7:AL25), ""))</f>
        <v/>
      </c>
      <c r="AM26" s="18" t="str" cm="1">
        <f t="array" aca="1" ref="AM26" ca="1">IF(AO26="","",INDEX(leagueroster, MATCH(SUMPRODUCT(LARGE((INDEX(seasoneagles, , )=AO26)*(ids),COUNTIF(INDEX(seasoneagles, , ), AO26)-COUNTIF(AO$8:AO26,AO26)+1)), INDEX(leagueroster, , 2), 0), 1))</f>
        <v/>
      </c>
      <c r="AN26" s="19" t="str">
        <f t="shared" ca="1" si="11"/>
        <v/>
      </c>
      <c r="AO26" s="19" t="str">
        <f ca="1">IF(LARGE(seasoneagles, ROWS(AO$8:AO26))&lt;&gt;0,LARGE(seasoneagles, ROWS(AO$8:AO26)), "")</f>
        <v/>
      </c>
      <c r="AP26" s="19" t="str">
        <f t="shared" ca="1" si="12"/>
        <v/>
      </c>
      <c r="AQ26" s="51"/>
      <c r="AR26" s="29" t="str">
        <f>IF(AS26="", "", IF(AT26&lt;&gt;AT25, ROWS(AR$7:AR25), ""))</f>
        <v/>
      </c>
      <c r="AS26" s="18" t="str" cm="1">
        <f t="array" ref="AS26">IF(AT26="","",INDEX(leagueroster, MATCH(SUMPRODUCT(LARGE((INDEX(teamlownet,,)=AT26)*(ids),COUNTIF(INDEX(teamlownet, ,), AT26)-COUNTIF(AT$8:AT26,AT26)+1)), INDEX(leagueroster, , 2), 0), 1))</f>
        <v/>
      </c>
      <c r="AT26" s="59" t="str">
        <f>IF(ROWS(AT$8:AT26)&lt;=$AR$6, SMALL(INDEX(teamlownet, ,), ROWS(AT$8:AT26)), "")</f>
        <v/>
      </c>
      <c r="AU26" s="51"/>
      <c r="AV26" s="29" t="str">
        <f>IF(AW26="", "", IF(AX26&lt;&gt;AX25, ROWS(AV$7:AV25), ""))</f>
        <v/>
      </c>
      <c r="AY26" s="51"/>
    </row>
    <row r="27" spans="1:51" x14ac:dyDescent="0.2">
      <c r="A27" s="29" t="str">
        <f ca="1">IF(B27="", "", IF(D27&lt;&gt;D26, ROWS(A$7:A26), ""))</f>
        <v/>
      </c>
      <c r="B27" s="18" t="str">
        <f ca="1">IF(D27="","",INDEX(leagueroster, MATCH(SUMPRODUCT(LARGE((INDEX(lowgross, , )=D27)*(ids),COUNTIF(INDEX(lowgross, , ), D27)-COUNTIF(D$8:D27,D27)+1)), INDEX(leagueroster, , 2), 0), 1))</f>
        <v>Lemus, Alex</v>
      </c>
      <c r="C27" s="19" t="str">
        <f t="shared" ca="1" si="0"/>
        <v>SUBS</v>
      </c>
      <c r="D27" s="19">
        <f ca="1">IFERROR(SMALL(INDEX(lowgross, , ), ROWS(D$8:D27)), "")</f>
        <v>44</v>
      </c>
      <c r="E27" s="19">
        <f ca="1">IF(D27="","", SUMPRODUCT(LARGE((INDEX(scores, , )=D27)*(ids=VLOOKUP(B27, leagueroster, 2, FALSE))*(weeks), COUNTIFS(D$8:D27, D27, B$8:B27, B27))))</f>
        <v>11</v>
      </c>
      <c r="F27" s="51"/>
      <c r="G27" s="29" t="str">
        <f ca="1">IF(H27="", "", IF(J27&lt;&gt;J26, ROWS(G$7:G26), ""))</f>
        <v/>
      </c>
      <c r="H27" s="18" t="str">
        <f ca="1">IF(J27="","",INDEX(leagueroster, MATCH(SUMPRODUCT(LARGE((INDEX(lownet, , )=J27)*(ids),COUNTIF(INDEX(lownet, , ), J27)-COUNTIF(J$8:J27,J27)+1)), INDEX(leagueroster, , 2), 0), 1))</f>
        <v>Smith, Steve - gold tees</v>
      </c>
      <c r="I27" s="19" t="str">
        <f t="shared" ca="1" si="1"/>
        <v>MMC</v>
      </c>
      <c r="J27" s="19">
        <f ca="1">IFERROR(SMALL(INDEX(lownet, , ), ROWS(J$8:J27)), "")</f>
        <v>33</v>
      </c>
      <c r="K27" s="19">
        <f ca="1">IF(J27="","", SUMPRODUCT(LARGE((INDEX(netscores, , )=J27)*(ids=VLOOKUP(H27, leagueroster, 2, FALSE))*(weeks), COUNTIFS(J$8:J27, J27, H$8:H27, H27))))</f>
        <v>17</v>
      </c>
      <c r="L27" s="51"/>
      <c r="M27" s="29">
        <f ca="1">IF(N27="", "", IF(P27&lt;&gt;P26, ROWS(M$7:M26), ""))</f>
        <v>20</v>
      </c>
      <c r="N27" s="18" t="str">
        <f ca="1">IF(P27="","",INDEX(leagueroster, MATCH(SUMPRODUCT(LARGE((INDEX(seasonptsavg, , )=P27)*(ids),COUNTIF(INDEX(seasonptsavg, , ), P27)-COUNTIF(P$8:P27,P27)+1)), INDEX(leagueroster, , 2), 0), 1))</f>
        <v>Hegnauer, Clark - green tees</v>
      </c>
      <c r="O27" s="19" t="str">
        <f t="shared" ca="1" si="2"/>
        <v>STY</v>
      </c>
      <c r="P27" s="21">
        <f ca="1">IFERROR(LARGE(seasonptsavg, ROWS(P$8:P27)), "")</f>
        <v>10.181818181818182</v>
      </c>
      <c r="Q27" s="19">
        <f t="shared" ca="1" si="3"/>
        <v>112</v>
      </c>
      <c r="R27" s="19">
        <f t="shared" ca="1" si="4"/>
        <v>11</v>
      </c>
      <c r="S27" s="51"/>
      <c r="T27" s="29">
        <f ca="1">IF(U27="", "", IF(W27&lt;&gt;W26, ROWS(T$7:T26), ""))</f>
        <v>20</v>
      </c>
      <c r="U27" s="18" t="str">
        <f ca="1">IF(W27="","",INDEX(leagueroster, MATCH(SUMPRODUCT(LARGE((INDEX(seasongross, , )=W27)*(ids),COUNTIF(INDEX(seasongross, , ), W27)-COUNTIF(W$8:W27,W27)+1)), INDEX(leagueroster, , 2), 0), 1))</f>
        <v>Spoonemore, Joe</v>
      </c>
      <c r="V27" s="19" t="str">
        <f t="shared" ca="1" si="5"/>
        <v>MMC</v>
      </c>
      <c r="W27" s="21">
        <f ca="1">IFERROR(SMALL(seasongross, ROWS(W$8:W27)), "")</f>
        <v>52</v>
      </c>
      <c r="X27" s="19">
        <f t="shared" ca="1" si="6"/>
        <v>13</v>
      </c>
      <c r="Y27" s="51"/>
      <c r="Z27" s="29">
        <f ca="1">IF(AA27="", "", IF(AC27&lt;&gt;AC26, ROWS(Z$7:Z26), ""))</f>
        <v>20</v>
      </c>
      <c r="AA27" s="18" t="str">
        <f ca="1">IF(AC27="","",INDEX(leagueroster, MATCH(SUMPRODUCT(LARGE((INDEX(seasonnet, , )=AC27)*(ids),COUNTIF(INDEX(seasonnet, , ), AC27)-COUNTIF(AC$8:AC27,AC27)+1)), INDEX(leagueroster, , 2), 0), 1))</f>
        <v>Avery, Mike - gold tees</v>
      </c>
      <c r="AB27" s="19" t="str">
        <f t="shared" ca="1" si="7"/>
        <v>ACE</v>
      </c>
      <c r="AC27" s="21">
        <f ca="1">IFERROR(SMALL(seasonnet, ROWS(AC$8:AC27)), "")</f>
        <v>39.4</v>
      </c>
      <c r="AD27" s="19">
        <f t="shared" ca="1" si="8"/>
        <v>15</v>
      </c>
      <c r="AE27" s="51"/>
      <c r="AF27" s="29" t="str">
        <f ca="1">IF(AG27="", "", IF(AI27&lt;&gt;AI26, ROWS(AF$7:AF26), ""))</f>
        <v/>
      </c>
      <c r="AG27" s="18" t="str">
        <f ca="1">IF(AI27="","",INDEX(leagueroster, MATCH(SUMPRODUCT(LARGE((INDEX(seasonbirds, , )=AI27)*(ids),COUNTIF(INDEX(seasonbirds, , ), AI27)-COUNTIF(AI$8:AI27,AI27)+1)), INDEX(leagueroster, , 2), 0), 1))</f>
        <v>Newsome, Gregg - gold tees</v>
      </c>
      <c r="AH27" s="19" t="str">
        <f t="shared" ca="1" si="9"/>
        <v>HS</v>
      </c>
      <c r="AI27" s="19">
        <f ca="1">IF(LARGE(seasonbirds, ROWS(AI$8:AI27))&lt;&gt;0,LARGE(seasonbirds, ROWS(AI$8:AI27)), "")</f>
        <v>1</v>
      </c>
      <c r="AJ27" s="19">
        <f t="shared" ca="1" si="10"/>
        <v>14</v>
      </c>
      <c r="AK27" s="51"/>
      <c r="AL27" s="29" t="str">
        <f ca="1">IF(AM27="", "", IF(AO27&lt;&gt;AO26, ROWS(AL$7:AL26), ""))</f>
        <v/>
      </c>
      <c r="AM27" s="18" t="str" cm="1">
        <f t="array" aca="1" ref="AM27" ca="1">IF(AO27="","",INDEX(leagueroster, MATCH(SUMPRODUCT(LARGE((INDEX(seasoneagles, , )=AO27)*(ids),COUNTIF(INDEX(seasoneagles, , ), AO27)-COUNTIF(AO$8:AO27,AO27)+1)), INDEX(leagueroster, , 2), 0), 1))</f>
        <v/>
      </c>
      <c r="AN27" s="19" t="str">
        <f t="shared" ca="1" si="11"/>
        <v/>
      </c>
      <c r="AO27" s="19" t="str">
        <f ca="1">IF(LARGE(seasoneagles, ROWS(AO$8:AO27))&lt;&gt;0,LARGE(seasoneagles, ROWS(AO$8:AO27)), "")</f>
        <v/>
      </c>
      <c r="AP27" s="19" t="str">
        <f t="shared" ca="1" si="12"/>
        <v/>
      </c>
      <c r="AQ27" s="51"/>
      <c r="AR27" s="29" t="str">
        <f>IF(AS27="", "", IF(AT27&lt;&gt;AT26, ROWS(AR$7:AR26), ""))</f>
        <v/>
      </c>
      <c r="AS27" s="18" t="str" cm="1">
        <f t="array" ref="AS27">IF(AT27="","",INDEX(leagueroster, MATCH(SUMPRODUCT(LARGE((INDEX(teamlownet,,)=AT27)*(ids),COUNTIF(INDEX(teamlownet, ,), AT27)-COUNTIF(AT$8:AT27,AT27)+1)), INDEX(leagueroster, , 2), 0), 1))</f>
        <v/>
      </c>
      <c r="AT27" s="59" t="str">
        <f>IF(ROWS(AT$8:AT27)&lt;=$AR$6, SMALL(INDEX(teamlownet, ,), ROWS(AT$8:AT27)), "")</f>
        <v/>
      </c>
      <c r="AU27" s="51"/>
      <c r="AV27" s="29" t="str">
        <f>IF(AW27="", "", IF(AX27&lt;&gt;AX26, ROWS(AV$7:AV26), ""))</f>
        <v/>
      </c>
      <c r="AY27" s="51"/>
    </row>
    <row r="28" spans="1:51" x14ac:dyDescent="0.2">
      <c r="A28" s="29" t="str">
        <f ca="1">IF(B28="", "", IF(D28&lt;&gt;D27, ROWS(A$7:A27), ""))</f>
        <v/>
      </c>
      <c r="B28" s="18" t="str">
        <f ca="1">IF(D28="","",INDEX(leagueroster, MATCH(SUMPRODUCT(LARGE((INDEX(lowgross, , )=D28)*(ids),COUNTIF(INDEX(lowgross, , ), D28)-COUNTIF(D$8:D28,D28)+1)), INDEX(leagueroster, , 2), 0), 1))</f>
        <v>Radel, Pat - C - green tees</v>
      </c>
      <c r="C28" s="19" t="str">
        <f t="shared" ca="1" si="0"/>
        <v>WYC</v>
      </c>
      <c r="D28" s="19">
        <f ca="1">IFERROR(SMALL(INDEX(lowgross, , ), ROWS(D$8:D28)), "")</f>
        <v>44</v>
      </c>
      <c r="E28" s="19">
        <f ca="1">IF(D28="","", SUMPRODUCT(LARGE((INDEX(scores, , )=D28)*(ids=VLOOKUP(B28, leagueroster, 2, FALSE))*(weeks), COUNTIFS(D$8:D28, D28, B$8:B28, B28))))</f>
        <v>14</v>
      </c>
      <c r="F28" s="51"/>
      <c r="G28" s="29">
        <f ca="1">IF(H28="", "", IF(J28&lt;&gt;J27, ROWS(G$7:G27), ""))</f>
        <v>21</v>
      </c>
      <c r="H28" s="18" t="str">
        <f ca="1">IF(J28="","",INDEX(leagueroster, MATCH(SUMPRODUCT(LARGE((INDEX(lownet, , )=J28)*(ids),COUNTIF(INDEX(lownet, , ), J28)-COUNTIF(J$8:J28,J28)+1)), INDEX(leagueroster, , 2), 0), 1))</f>
        <v>Bond, Gregg</v>
      </c>
      <c r="I28" s="19" t="str">
        <f t="shared" ca="1" si="1"/>
        <v>WYC</v>
      </c>
      <c r="J28" s="19">
        <f ca="1">IFERROR(SMALL(INDEX(lownet, , ), ROWS(J$8:J28)), "")</f>
        <v>34</v>
      </c>
      <c r="K28" s="19">
        <f ca="1">IF(J28="","", SUMPRODUCT(LARGE((INDEX(netscores, , )=J28)*(ids=VLOOKUP(H28, leagueroster, 2, FALSE))*(weeks), COUNTIFS(J$8:J28, J28, H$8:H28, H28))))</f>
        <v>15</v>
      </c>
      <c r="L28" s="51"/>
      <c r="M28" s="29">
        <f ca="1">IF(N28="", "", IF(P28&lt;&gt;P27, ROWS(M$7:M27), ""))</f>
        <v>21</v>
      </c>
      <c r="N28" s="18" t="str">
        <f ca="1">IF(P28="","",INDEX(leagueroster, MATCH(SUMPRODUCT(LARGE((INDEX(seasonptsavg, , )=P28)*(ids),COUNTIF(INDEX(seasonptsavg, , ), P28)-COUNTIF(P$8:P28,P28)+1)), INDEX(leagueroster, , 2), 0), 1))</f>
        <v>Radel, Pat - C - green tees</v>
      </c>
      <c r="O28" s="19" t="str">
        <f t="shared" ca="1" si="2"/>
        <v>WYC</v>
      </c>
      <c r="P28" s="21">
        <f ca="1">IFERROR(LARGE(seasonptsavg, ROWS(P$8:P28)), "")</f>
        <v>10.153846153846153</v>
      </c>
      <c r="Q28" s="19">
        <f t="shared" ca="1" si="3"/>
        <v>132</v>
      </c>
      <c r="R28" s="19">
        <f t="shared" ca="1" si="4"/>
        <v>12</v>
      </c>
      <c r="S28" s="51"/>
      <c r="T28" s="29">
        <f ca="1">IF(U28="", "", IF(W28&lt;&gt;W27, ROWS(T$7:T27), ""))</f>
        <v>21</v>
      </c>
      <c r="U28" s="18" t="str">
        <f ca="1">IF(W28="","",INDEX(leagueroster, MATCH(SUMPRODUCT(LARGE((INDEX(seasongross, , )=W28)*(ids),COUNTIF(INDEX(seasongross, , ), W28)-COUNTIF(W$8:W28,W28)+1)), INDEX(leagueroster, , 2), 0), 1))</f>
        <v>Rundquist, Chuck</v>
      </c>
      <c r="V28" s="19" t="str">
        <f t="shared" ca="1" si="5"/>
        <v>4P</v>
      </c>
      <c r="W28" s="21">
        <f ca="1">IFERROR(SMALL(seasongross, ROWS(W$8:W28)), "")</f>
        <v>53.166666666666664</v>
      </c>
      <c r="X28" s="19">
        <f t="shared" ca="1" si="6"/>
        <v>12</v>
      </c>
      <c r="Y28" s="51"/>
      <c r="Z28" s="29">
        <f ca="1">IF(AA28="", "", IF(AC28&lt;&gt;AC27, ROWS(Z$7:Z27), ""))</f>
        <v>21</v>
      </c>
      <c r="AA28" s="18" t="str">
        <f ca="1">IF(AC28="","",INDEX(leagueroster, MATCH(SUMPRODUCT(LARGE((INDEX(seasonnet, , )=AC28)*(ids),COUNTIF(INDEX(seasonnet, , ), AC28)-COUNTIF(AC$8:AC28,AC28)+1)), INDEX(leagueroster, , 2), 0), 1))</f>
        <v>Kirkpatrick, Tom - gold tees</v>
      </c>
      <c r="AB28" s="19" t="str">
        <f t="shared" ca="1" si="7"/>
        <v>STY</v>
      </c>
      <c r="AC28" s="21">
        <f ca="1">IFERROR(SMALL(seasonnet, ROWS(AC$8:AC28)), "")</f>
        <v>39.5</v>
      </c>
      <c r="AD28" s="19">
        <f t="shared" ca="1" si="8"/>
        <v>14</v>
      </c>
      <c r="AE28" s="51"/>
      <c r="AF28" s="29" t="str">
        <f ca="1">IF(AG28="", "", IF(AI28&lt;&gt;AI27, ROWS(AF$7:AF27), ""))</f>
        <v/>
      </c>
      <c r="AG28" s="18" t="str">
        <f ca="1">IF(AI28="","",INDEX(leagueroster, MATCH(SUMPRODUCT(LARGE((INDEX(seasonbirds, , )=AI28)*(ids),COUNTIF(INDEX(seasonbirds, , ), AI28)-COUNTIF(AI$8:AI28,AI28)+1)), INDEX(leagueroster, , 2), 0), 1))</f>
        <v>Reed, Rich</v>
      </c>
      <c r="AH28" s="19" t="str">
        <f t="shared" ca="1" si="9"/>
        <v>4P</v>
      </c>
      <c r="AI28" s="19">
        <f ca="1">IF(LARGE(seasonbirds, ROWS(AI$8:AI28))&lt;&gt;0,LARGE(seasonbirds, ROWS(AI$8:AI28)), "")</f>
        <v>1</v>
      </c>
      <c r="AJ28" s="19">
        <f t="shared" ca="1" si="10"/>
        <v>9</v>
      </c>
      <c r="AK28" s="51"/>
      <c r="AL28" s="29" t="str">
        <f ca="1">IF(AM28="", "", IF(AO28&lt;&gt;AO27, ROWS(AL$7:AL27), ""))</f>
        <v/>
      </c>
      <c r="AM28" s="18" t="str" cm="1">
        <f t="array" aca="1" ref="AM28" ca="1">IF(AO28="","",INDEX(leagueroster, MATCH(SUMPRODUCT(LARGE((INDEX(seasoneagles, , )=AO28)*(ids),COUNTIF(INDEX(seasoneagles, , ), AO28)-COUNTIF(AO$8:AO28,AO28)+1)), INDEX(leagueroster, , 2), 0), 1))</f>
        <v/>
      </c>
      <c r="AN28" s="19" t="str">
        <f t="shared" ca="1" si="11"/>
        <v/>
      </c>
      <c r="AO28" s="19" t="str">
        <f ca="1">IF(LARGE(seasoneagles, ROWS(AO$8:AO28))&lt;&gt;0,LARGE(seasoneagles, ROWS(AO$8:AO28)), "")</f>
        <v/>
      </c>
      <c r="AP28" s="19" t="str">
        <f t="shared" ca="1" si="12"/>
        <v/>
      </c>
      <c r="AQ28" s="51"/>
      <c r="AR28" s="29" t="str">
        <f>IF(AS28="", "", IF(AT28&lt;&gt;AT27, ROWS(AR$7:AR27), ""))</f>
        <v/>
      </c>
      <c r="AS28" s="18" t="str" cm="1">
        <f t="array" ref="AS28">IF(AT28="","",INDEX(leagueroster, MATCH(SUMPRODUCT(LARGE((INDEX(teamlownet,,)=AT28)*(ids),COUNTIF(INDEX(teamlownet, ,), AT28)-COUNTIF(AT$8:AT28,AT28)+1)), INDEX(leagueroster, , 2), 0), 1))</f>
        <v/>
      </c>
      <c r="AT28" s="59" t="str">
        <f>IF(ROWS(AT$8:AT28)&lt;=$AR$6, SMALL(INDEX(teamlownet, ,), ROWS(AT$8:AT28)), "")</f>
        <v/>
      </c>
      <c r="AU28" s="51"/>
      <c r="AV28" s="29" t="str">
        <f>IF(AW28="", "", IF(AX28&lt;&gt;AX27, ROWS(AV$7:AV27), ""))</f>
        <v/>
      </c>
      <c r="AY28" s="51"/>
    </row>
    <row r="29" spans="1:51" x14ac:dyDescent="0.2">
      <c r="A29" s="29">
        <f ca="1">IF(B29="", "", IF(D29&lt;&gt;D28, ROWS(A$7:A28), ""))</f>
        <v>22</v>
      </c>
      <c r="B29" s="18" t="str">
        <f ca="1">IF(D29="","",INDEX(leagueroster, MATCH(SUMPRODUCT(LARGE((INDEX(lowgross, , )=D29)*(ids),COUNTIF(INDEX(lowgross, , ), D29)-COUNTIF(D$8:D29,D29)+1)), INDEX(leagueroster, , 2), 0), 1))</f>
        <v>Cizek, Randy - gold tees</v>
      </c>
      <c r="C29" s="19" t="str">
        <f t="shared" ca="1" si="0"/>
        <v>MMC</v>
      </c>
      <c r="D29" s="19">
        <f ca="1">IFERROR(SMALL(INDEX(lowgross, , ), ROWS(D$8:D29)), "")</f>
        <v>45</v>
      </c>
      <c r="E29" s="19">
        <f ca="1">IF(D29="","", SUMPRODUCT(LARGE((INDEX(scores, , )=D29)*(ids=VLOOKUP(B29, leagueroster, 2, FALSE))*(weeks), COUNTIFS(D$8:D29, D29, B$8:B29, B29))))</f>
        <v>13</v>
      </c>
      <c r="F29" s="51"/>
      <c r="G29" s="29" t="str">
        <f ca="1">IF(H29="", "", IF(J29&lt;&gt;J28, ROWS(G$7:G28), ""))</f>
        <v/>
      </c>
      <c r="H29" s="18" t="str">
        <f ca="1">IF(J29="","",INDEX(leagueroster, MATCH(SUMPRODUCT(LARGE((INDEX(lownet, , )=J29)*(ids),COUNTIF(INDEX(lownet, , ), J29)-COUNTIF(J$8:J29,J29)+1)), INDEX(leagueroster, , 2), 0), 1))</f>
        <v>Hegnauer, Clark - green tees</v>
      </c>
      <c r="I29" s="19" t="str">
        <f t="shared" ca="1" si="1"/>
        <v>STY</v>
      </c>
      <c r="J29" s="19">
        <f ca="1">IFERROR(SMALL(INDEX(lownet, , ), ROWS(J$8:J29)), "")</f>
        <v>34</v>
      </c>
      <c r="K29" s="19">
        <f ca="1">IF(J29="","", SUMPRODUCT(LARGE((INDEX(netscores, , )=J29)*(ids=VLOOKUP(H29, leagueroster, 2, FALSE))*(weeks), COUNTIFS(J$8:J29, J29, H$8:H29, H29))))</f>
        <v>9</v>
      </c>
      <c r="L29" s="51"/>
      <c r="M29" s="29">
        <f ca="1">IF(N29="", "", IF(P29&lt;&gt;P28, ROWS(M$7:M28), ""))</f>
        <v>22</v>
      </c>
      <c r="N29" s="18" t="str">
        <f ca="1">IF(P29="","",INDEX(leagueroster, MATCH(SUMPRODUCT(LARGE((INDEX(seasonptsavg, , )=P29)*(ids),COUNTIF(INDEX(seasonptsavg, , ), P29)-COUNTIF(P$8:P29,P29)+1)), INDEX(leagueroster, , 2), 0), 1))</f>
        <v>Hyde, Scott</v>
      </c>
      <c r="O29" s="19" t="str">
        <f t="shared" ca="1" si="2"/>
        <v>MET</v>
      </c>
      <c r="P29" s="21">
        <f ca="1">IFERROR(LARGE(seasonptsavg, ROWS(P$8:P29)), "")</f>
        <v>10.071428571428571</v>
      </c>
      <c r="Q29" s="19">
        <f t="shared" ca="1" si="3"/>
        <v>141</v>
      </c>
      <c r="R29" s="19">
        <f t="shared" ca="1" si="4"/>
        <v>14</v>
      </c>
      <c r="S29" s="51"/>
      <c r="T29" s="29">
        <f ca="1">IF(U29="", "", IF(W29&lt;&gt;W28, ROWS(T$7:T28), ""))</f>
        <v>22</v>
      </c>
      <c r="U29" s="18" t="str">
        <f ca="1">IF(W29="","",INDEX(leagueroster, MATCH(SUMPRODUCT(LARGE((INDEX(seasongross, , )=W29)*(ids),COUNTIF(INDEX(seasongross, , ), W29)-COUNTIF(W$8:W29,W29)+1)), INDEX(leagueroster, , 2), 0), 1))</f>
        <v>Kirkpatrick, Tom - gold tees</v>
      </c>
      <c r="V29" s="19" t="str">
        <f t="shared" ca="1" si="5"/>
        <v>STY</v>
      </c>
      <c r="W29" s="21">
        <f ca="1">IFERROR(SMALL(seasongross, ROWS(W$8:W29)), "")</f>
        <v>54.071428571428569</v>
      </c>
      <c r="X29" s="19">
        <f t="shared" ca="1" si="6"/>
        <v>14</v>
      </c>
      <c r="Y29" s="51"/>
      <c r="Z29" s="29">
        <f ca="1">IF(AA29="", "", IF(AC29&lt;&gt;AC28, ROWS(Z$7:Z28), ""))</f>
        <v>22</v>
      </c>
      <c r="AA29" s="18" t="str">
        <f ca="1">IF(AC29="","",INDEX(leagueroster, MATCH(SUMPRODUCT(LARGE((INDEX(seasonnet, , )=AC29)*(ids),COUNTIF(INDEX(seasonnet, , ), AC29)-COUNTIF(AC$8:AC29,AC29)+1)), INDEX(leagueroster, , 2), 0), 1))</f>
        <v>Fitch, Dennis - gold tees</v>
      </c>
      <c r="AB29" s="19" t="str">
        <f t="shared" ca="1" si="7"/>
        <v>ACE</v>
      </c>
      <c r="AC29" s="21">
        <f ca="1">IFERROR(SMALL(seasonnet, ROWS(AC$8:AC29)), "")</f>
        <v>39.799999999999997</v>
      </c>
      <c r="AD29" s="19">
        <f t="shared" ca="1" si="8"/>
        <v>5</v>
      </c>
      <c r="AE29" s="51"/>
      <c r="AF29" s="29" t="str">
        <f ca="1">IF(AG29="", "", IF(AI29&lt;&gt;AI28, ROWS(AF$7:AF28), ""))</f>
        <v/>
      </c>
      <c r="AG29" s="18" t="str">
        <f ca="1">IF(AI29="","",INDEX(leagueroster, MATCH(SUMPRODUCT(LARGE((INDEX(seasonbirds, , )=AI29)*(ids),COUNTIF(INDEX(seasonbirds, , ), AI29)-COUNTIF(AI$8:AI29,AI29)+1)), INDEX(leagueroster, , 2), 0), 1))</f>
        <v>Rundquist, Chuck</v>
      </c>
      <c r="AH29" s="19" t="str">
        <f t="shared" ca="1" si="9"/>
        <v>4P</v>
      </c>
      <c r="AI29" s="19">
        <f ca="1">IF(LARGE(seasonbirds, ROWS(AI$8:AI29))&lt;&gt;0,LARGE(seasonbirds, ROWS(AI$8:AI29)), "")</f>
        <v>1</v>
      </c>
      <c r="AJ29" s="19">
        <f t="shared" ca="1" si="10"/>
        <v>12</v>
      </c>
      <c r="AK29" s="51"/>
      <c r="AL29" s="29" t="str">
        <f ca="1">IF(AM29="", "", IF(AO29&lt;&gt;AO28, ROWS(AL$7:AL28), ""))</f>
        <v/>
      </c>
      <c r="AM29" s="18" t="str" cm="1">
        <f t="array" aca="1" ref="AM29" ca="1">IF(AO29="","",INDEX(leagueroster, MATCH(SUMPRODUCT(LARGE((INDEX(seasoneagles, , )=AO29)*(ids),COUNTIF(INDEX(seasoneagles, , ), AO29)-COUNTIF(AO$8:AO29,AO29)+1)), INDEX(leagueroster, , 2), 0), 1))</f>
        <v/>
      </c>
      <c r="AN29" s="19" t="str">
        <f t="shared" ca="1" si="11"/>
        <v/>
      </c>
      <c r="AO29" s="19" t="str">
        <f ca="1">IF(LARGE(seasoneagles, ROWS(AO$8:AO29))&lt;&gt;0,LARGE(seasoneagles, ROWS(AO$8:AO29)), "")</f>
        <v/>
      </c>
      <c r="AP29" s="19" t="str">
        <f t="shared" ca="1" si="12"/>
        <v/>
      </c>
      <c r="AQ29" s="51"/>
      <c r="AR29" s="29" t="str">
        <f>IF(AS29="", "", IF(AT29&lt;&gt;AT28, ROWS(AR$7:AR28), ""))</f>
        <v/>
      </c>
      <c r="AS29" s="18" t="str" cm="1">
        <f t="array" ref="AS29">IF(AT29="","",INDEX(leagueroster, MATCH(SUMPRODUCT(LARGE((INDEX(teamlownet,,)=AT29)*(ids),COUNTIF(INDEX(teamlownet, ,), AT29)-COUNTIF(AT$8:AT29,AT29)+1)), INDEX(leagueroster, , 2), 0), 1))</f>
        <v/>
      </c>
      <c r="AT29" s="59" t="str">
        <f>IF(ROWS(AT$8:AT29)&lt;=$AR$6, SMALL(INDEX(teamlownet, ,), ROWS(AT$8:AT29)), "")</f>
        <v/>
      </c>
      <c r="AU29" s="51"/>
      <c r="AV29" s="29" t="str">
        <f>IF(AW29="", "", IF(AX29&lt;&gt;AX28, ROWS(AV$7:AV28), ""))</f>
        <v/>
      </c>
      <c r="AY29" s="51"/>
    </row>
    <row r="30" spans="1:51" x14ac:dyDescent="0.2">
      <c r="A30" s="29" t="str">
        <f ca="1">IF(B30="", "", IF(D30&lt;&gt;D29, ROWS(A$7:A29), ""))</f>
        <v/>
      </c>
      <c r="B30" s="18" t="str">
        <f ca="1">IF(D30="","",INDEX(leagueroster, MATCH(SUMPRODUCT(LARGE((INDEX(lowgross, , )=D30)*(ids),COUNTIF(INDEX(lowgross, , ), D30)-COUNTIF(D$8:D30,D30)+1)), INDEX(leagueroster, , 2), 0), 1))</f>
        <v>Yackley, Jeff</v>
      </c>
      <c r="C30" s="19" t="str">
        <f t="shared" ca="1" si="0"/>
        <v>SUBS</v>
      </c>
      <c r="D30" s="19">
        <f ca="1">IFERROR(SMALL(INDEX(lowgross, , ), ROWS(D$8:D30)), "")</f>
        <v>45</v>
      </c>
      <c r="E30" s="19">
        <f ca="1">IF(D30="","", SUMPRODUCT(LARGE((INDEX(scores, , )=D30)*(ids=VLOOKUP(B30, leagueroster, 2, FALSE))*(weeks), COUNTIFS(D$8:D30, D30, B$8:B30, B30))))</f>
        <v>14</v>
      </c>
      <c r="F30" s="51"/>
      <c r="G30" s="29" t="str">
        <f ca="1">IF(H30="", "", IF(J30&lt;&gt;J29, ROWS(G$7:G29), ""))</f>
        <v/>
      </c>
      <c r="H30" s="18" t="str">
        <f ca="1">IF(J30="","",INDEX(leagueroster, MATCH(SUMPRODUCT(LARGE((INDEX(lownet, , )=J30)*(ids),COUNTIF(INDEX(lownet, , ), J30)-COUNTIF(J$8:J30,J30)+1)), INDEX(leagueroster, , 2), 0), 1))</f>
        <v>Newsome, Gregg - gold tees</v>
      </c>
      <c r="I30" s="19" t="str">
        <f t="shared" ca="1" si="1"/>
        <v>HS</v>
      </c>
      <c r="J30" s="19">
        <f ca="1">IFERROR(SMALL(INDEX(lownet, , ), ROWS(J$8:J30)), "")</f>
        <v>34</v>
      </c>
      <c r="K30" s="19">
        <f ca="1">IF(J30="","", SUMPRODUCT(LARGE((INDEX(netscores, , )=J30)*(ids=VLOOKUP(H30, leagueroster, 2, FALSE))*(weeks), COUNTIFS(J$8:J30, J30, H$8:H30, H30))))</f>
        <v>7</v>
      </c>
      <c r="L30" s="51"/>
      <c r="M30" s="29">
        <f ca="1">IF(N30="", "", IF(P30&lt;&gt;P29, ROWS(M$7:M29), ""))</f>
        <v>23</v>
      </c>
      <c r="N30" s="18" t="str">
        <f ca="1">IF(P30="","",INDEX(leagueroster, MATCH(SUMPRODUCT(LARGE((INDEX(seasonptsavg, , )=P30)*(ids),COUNTIF(INDEX(seasonptsavg, , ), P30)-COUNTIF(P$8:P30,P30)+1)), INDEX(leagueroster, , 2), 0), 1))</f>
        <v>Rundquist, Chuck</v>
      </c>
      <c r="O30" s="19" t="str">
        <f t="shared" ca="1" si="2"/>
        <v>4P</v>
      </c>
      <c r="P30" s="21">
        <f ca="1">IFERROR(LARGE(seasonptsavg, ROWS(P$8:P30)), "")</f>
        <v>10</v>
      </c>
      <c r="Q30" s="19">
        <f t="shared" ca="1" si="3"/>
        <v>140</v>
      </c>
      <c r="R30" s="19">
        <f t="shared" ca="1" si="4"/>
        <v>12</v>
      </c>
      <c r="S30" s="51"/>
      <c r="T30" s="29">
        <f ca="1">IF(U30="", "", IF(W30&lt;&gt;W29, ROWS(T$7:T29), ""))</f>
        <v>23</v>
      </c>
      <c r="U30" s="18" t="str">
        <f ca="1">IF(W30="","",INDEX(leagueroster, MATCH(SUMPRODUCT(LARGE((INDEX(seasongross, , )=W30)*(ids),COUNTIF(INDEX(seasongross, , ), W30)-COUNTIF(W$8:W30,W30)+1)), INDEX(leagueroster, , 2), 0), 1))</f>
        <v>Avery, Mike - gold tees</v>
      </c>
      <c r="V30" s="19" t="str">
        <f t="shared" ca="1" si="5"/>
        <v>ACE</v>
      </c>
      <c r="W30" s="21">
        <f ca="1">IFERROR(SMALL(seasongross, ROWS(W$8:W30)), "")</f>
        <v>54.133333333333333</v>
      </c>
      <c r="X30" s="19">
        <f t="shared" ca="1" si="6"/>
        <v>15</v>
      </c>
      <c r="Y30" s="51"/>
      <c r="Z30" s="29">
        <f ca="1">IF(AA30="", "", IF(AC30&lt;&gt;AC29, ROWS(Z$7:Z29), ""))</f>
        <v>23</v>
      </c>
      <c r="AA30" s="18" t="str">
        <f ca="1">IF(AC30="","",INDEX(leagueroster, MATCH(SUMPRODUCT(LARGE((INDEX(seasonnet, , )=AC30)*(ids),COUNTIF(INDEX(seasonnet, , ), AC30)-COUNTIF(AC$8:AC30,AC30)+1)), INDEX(leagueroster, , 2), 0), 1))</f>
        <v>Miller, Russ - green tees</v>
      </c>
      <c r="AB30" s="19" t="str">
        <f t="shared" ca="1" si="7"/>
        <v>MET</v>
      </c>
      <c r="AC30" s="21">
        <f ca="1">IFERROR(SMALL(seasonnet, ROWS(AC$8:AC30)), "")</f>
        <v>39.888888888888886</v>
      </c>
      <c r="AD30" s="19">
        <f t="shared" ca="1" si="8"/>
        <v>9</v>
      </c>
      <c r="AE30" s="51"/>
      <c r="AF30" s="29" t="str">
        <f ca="1">IF(AG30="", "", IF(AI30&lt;&gt;AI29, ROWS(AF$7:AF29), ""))</f>
        <v/>
      </c>
      <c r="AG30" s="18" t="str">
        <f ca="1">IF(AI30="","",INDEX(leagueroster, MATCH(SUMPRODUCT(LARGE((INDEX(seasonbirds, , )=AI30)*(ids),COUNTIF(INDEX(seasonbirds, , ), AI30)-COUNTIF(AI$8:AI30,AI30)+1)), INDEX(leagueroster, , 2), 0), 1))</f>
        <v>Spoonemore, Joe</v>
      </c>
      <c r="AH30" s="19" t="str">
        <f t="shared" ca="1" si="9"/>
        <v>MMC</v>
      </c>
      <c r="AI30" s="19">
        <f ca="1">IF(LARGE(seasonbirds, ROWS(AI$8:AI30))&lt;&gt;0,LARGE(seasonbirds, ROWS(AI$8:AI30)), "")</f>
        <v>1</v>
      </c>
      <c r="AJ30" s="19">
        <f t="shared" ca="1" si="10"/>
        <v>13</v>
      </c>
      <c r="AK30" s="51"/>
      <c r="AL30" s="29" t="str">
        <f ca="1">IF(AM30="", "", IF(AO30&lt;&gt;AO29, ROWS(AL$7:AL29), ""))</f>
        <v/>
      </c>
      <c r="AM30" s="18" t="str" cm="1">
        <f t="array" aca="1" ref="AM30" ca="1">IF(AO30="","",INDEX(leagueroster, MATCH(SUMPRODUCT(LARGE((INDEX(seasoneagles, , )=AO30)*(ids),COUNTIF(INDEX(seasoneagles, , ), AO30)-COUNTIF(AO$8:AO30,AO30)+1)), INDEX(leagueroster, , 2), 0), 1))</f>
        <v/>
      </c>
      <c r="AN30" s="19" t="str">
        <f t="shared" ca="1" si="11"/>
        <v/>
      </c>
      <c r="AO30" s="19" t="str">
        <f ca="1">IF(LARGE(seasoneagles, ROWS(AO$8:AO30))&lt;&gt;0,LARGE(seasoneagles, ROWS(AO$8:AO30)), "")</f>
        <v/>
      </c>
      <c r="AP30" s="19" t="str">
        <f t="shared" ca="1" si="12"/>
        <v/>
      </c>
      <c r="AQ30" s="51"/>
      <c r="AR30" s="29" t="str">
        <f>IF(AS30="", "", IF(AT30&lt;&gt;AT29, ROWS(AR$7:AR29), ""))</f>
        <v/>
      </c>
      <c r="AS30" s="18" t="str" cm="1">
        <f t="array" ref="AS30">IF(AT30="","",INDEX(leagueroster, MATCH(SUMPRODUCT(LARGE((INDEX(teamlownet,,)=AT30)*(ids),COUNTIF(INDEX(teamlownet, ,), AT30)-COUNTIF(AT$8:AT30,AT30)+1)), INDEX(leagueroster, , 2), 0), 1))</f>
        <v/>
      </c>
      <c r="AT30" s="59" t="str">
        <f>IF(ROWS(AT$8:AT30)&lt;=$AR$6, SMALL(INDEX(teamlownet, ,), ROWS(AT$8:AT30)), "")</f>
        <v/>
      </c>
      <c r="AU30" s="51"/>
      <c r="AV30" s="29" t="str">
        <f>IF(AW30="", "", IF(AX30&lt;&gt;AX29, ROWS(AV$7:AV29), ""))</f>
        <v/>
      </c>
      <c r="AY30" s="51"/>
    </row>
    <row r="31" spans="1:51" x14ac:dyDescent="0.2">
      <c r="A31" s="29">
        <f ca="1">IF(B31="", "", IF(D31&lt;&gt;D30, ROWS(A$7:A30), ""))</f>
        <v>24</v>
      </c>
      <c r="B31" s="18" t="str">
        <f ca="1">IF(D31="","",INDEX(leagueroster, MATCH(SUMPRODUCT(LARGE((INDEX(lowgross, , )=D31)*(ids),COUNTIF(INDEX(lowgross, , ), D31)-COUNTIF(D$8:D31,D31)+1)), INDEX(leagueroster, , 2), 0), 1))</f>
        <v>Albaugh, Dick - green tees</v>
      </c>
      <c r="C31" s="19" t="str">
        <f t="shared" ca="1" si="0"/>
        <v>SUBS</v>
      </c>
      <c r="D31" s="19">
        <f ca="1">IFERROR(SMALL(INDEX(lowgross, , ), ROWS(D$8:D31)), "")</f>
        <v>47</v>
      </c>
      <c r="E31" s="19">
        <f ca="1">IF(D31="","", SUMPRODUCT(LARGE((INDEX(scores, , )=D31)*(ids=VLOOKUP(B31, leagueroster, 2, FALSE))*(weeks), COUNTIFS(D$8:D31, D31, B$8:B31, B31))))</f>
        <v>11</v>
      </c>
      <c r="F31" s="51"/>
      <c r="G31" s="29" t="str">
        <f ca="1">IF(H31="", "", IF(J31&lt;&gt;J30, ROWS(G$7:G30), ""))</f>
        <v/>
      </c>
      <c r="H31" s="18" t="str">
        <f ca="1">IF(J31="","",INDEX(leagueroster, MATCH(SUMPRODUCT(LARGE((INDEX(lownet, , )=J31)*(ids),COUNTIF(INDEX(lownet, , ), J31)-COUNTIF(J$8:J31,J31)+1)), INDEX(leagueroster, , 2), 0), 1))</f>
        <v>Shreeve, Tim - C</v>
      </c>
      <c r="I31" s="19" t="str">
        <f t="shared" ca="1" si="1"/>
        <v>4P</v>
      </c>
      <c r="J31" s="19">
        <f ca="1">IFERROR(SMALL(INDEX(lownet, , ), ROWS(J$8:J31)), "")</f>
        <v>34</v>
      </c>
      <c r="K31" s="19">
        <f ca="1">IF(J31="","", SUMPRODUCT(LARGE((INDEX(netscores, , )=J31)*(ids=VLOOKUP(H31, leagueroster, 2, FALSE))*(weeks), COUNTIFS(J$8:J31, J31, H$8:H31, H31))))</f>
        <v>1</v>
      </c>
      <c r="L31" s="51"/>
      <c r="M31" s="29" t="str">
        <f ca="1">IF(N31="", "", IF(P31&lt;&gt;P30, ROWS(M$7:M30), ""))</f>
        <v/>
      </c>
      <c r="N31" s="18" t="str">
        <f ca="1">IF(P31="","",INDEX(leagueroster, MATCH(SUMPRODUCT(LARGE((INDEX(seasonptsavg, , )=P31)*(ids),COUNTIF(INDEX(seasonptsavg, , ), P31)-COUNTIF(P$8:P31,P31)+1)), INDEX(leagueroster, , 2), 0), 1))</f>
        <v>Shreeve, Tim - C</v>
      </c>
      <c r="O31" s="19" t="str">
        <f t="shared" ca="1" si="2"/>
        <v>4P</v>
      </c>
      <c r="P31" s="21">
        <f ca="1">IFERROR(LARGE(seasonptsavg, ROWS(P$8:P31)), "")</f>
        <v>10</v>
      </c>
      <c r="Q31" s="19">
        <f t="shared" ca="1" si="3"/>
        <v>140</v>
      </c>
      <c r="R31" s="19">
        <f t="shared" ca="1" si="4"/>
        <v>13</v>
      </c>
      <c r="S31" s="51"/>
      <c r="T31" s="29">
        <f ca="1">IF(U31="", "", IF(W31&lt;&gt;W30, ROWS(T$7:T30), ""))</f>
        <v>24</v>
      </c>
      <c r="U31" s="18" t="str">
        <f ca="1">IF(W31="","",INDEX(leagueroster, MATCH(SUMPRODUCT(LARGE((INDEX(seasongross, , )=W31)*(ids),COUNTIF(INDEX(seasongross, , ), W31)-COUNTIF(W$8:W31,W31)+1)), INDEX(leagueroster, , 2), 0), 1))</f>
        <v>Holzer, John</v>
      </c>
      <c r="V31" s="19" t="str">
        <f t="shared" ca="1" si="5"/>
        <v>4P</v>
      </c>
      <c r="W31" s="21">
        <f ca="1">IFERROR(SMALL(seasongross, ROWS(W$8:W31)), "")</f>
        <v>55.2</v>
      </c>
      <c r="X31" s="19">
        <f t="shared" ca="1" si="6"/>
        <v>10</v>
      </c>
      <c r="Y31" s="51"/>
      <c r="Z31" s="29">
        <f ca="1">IF(AA31="", "", IF(AC31&lt;&gt;AC30, ROWS(Z$7:Z30), ""))</f>
        <v>24</v>
      </c>
      <c r="AA31" s="18" t="str">
        <f ca="1">IF(AC31="","",INDEX(leagueroster, MATCH(SUMPRODUCT(LARGE((INDEX(seasonnet, , )=AC31)*(ids),COUNTIF(INDEX(seasonnet, , ), AC31)-COUNTIF(AC$8:AC31,AC31)+1)), INDEX(leagueroster, , 2), 0), 1))</f>
        <v>Williams, Jerry - C</v>
      </c>
      <c r="AB31" s="19" t="str">
        <f t="shared" ca="1" si="7"/>
        <v>HS</v>
      </c>
      <c r="AC31" s="21">
        <f ca="1">IFERROR(SMALL(seasonnet, ROWS(AC$8:AC31)), "")</f>
        <v>39.9</v>
      </c>
      <c r="AD31" s="19">
        <f t="shared" ca="1" si="8"/>
        <v>10</v>
      </c>
      <c r="AE31" s="51"/>
      <c r="AF31" s="29" t="str">
        <f ca="1">IF(AG31="", "", IF(AI31&lt;&gt;AI30, ROWS(AF$7:AF30), ""))</f>
        <v/>
      </c>
      <c r="AG31" s="18" t="str">
        <f ca="1">IF(AI31="","",INDEX(leagueroster, MATCH(SUMPRODUCT(LARGE((INDEX(seasonbirds, , )=AI31)*(ids),COUNTIF(INDEX(seasonbirds, , ), AI31)-COUNTIF(AI$8:AI31,AI31)+1)), INDEX(leagueroster, , 2), 0), 1))</f>
        <v/>
      </c>
      <c r="AH31" s="19" t="str">
        <f t="shared" ca="1" si="9"/>
        <v/>
      </c>
      <c r="AI31" s="19" t="str">
        <f ca="1">IF(LARGE(seasonbirds, ROWS(AI$8:AI31))&lt;&gt;0,LARGE(seasonbirds, ROWS(AI$8:AI31)), "")</f>
        <v/>
      </c>
      <c r="AJ31" s="19" t="str">
        <f t="shared" ca="1" si="10"/>
        <v/>
      </c>
      <c r="AK31" s="51"/>
      <c r="AL31" s="29" t="str">
        <f ca="1">IF(AM31="", "", IF(AO31&lt;&gt;AO30, ROWS(AL$7:AL30), ""))</f>
        <v/>
      </c>
      <c r="AM31" s="18" t="str" cm="1">
        <f t="array" aca="1" ref="AM31" ca="1">IF(AO31="","",INDEX(leagueroster, MATCH(SUMPRODUCT(LARGE((INDEX(seasoneagles, , )=AO31)*(ids),COUNTIF(INDEX(seasoneagles, , ), AO31)-COUNTIF(AO$8:AO31,AO31)+1)), INDEX(leagueroster, , 2), 0), 1))</f>
        <v/>
      </c>
      <c r="AN31" s="19" t="str">
        <f t="shared" ca="1" si="11"/>
        <v/>
      </c>
      <c r="AO31" s="19" t="str">
        <f ca="1">IF(LARGE(seasoneagles, ROWS(AO$8:AO31))&lt;&gt;0,LARGE(seasoneagles, ROWS(AO$8:AO31)), "")</f>
        <v/>
      </c>
      <c r="AP31" s="19" t="str">
        <f t="shared" ca="1" si="12"/>
        <v/>
      </c>
      <c r="AQ31" s="51"/>
      <c r="AR31" s="29" t="str">
        <f>IF(AS31="", "", IF(AT31&lt;&gt;AT30, ROWS(AR$7:AR30), ""))</f>
        <v/>
      </c>
      <c r="AS31" s="18" t="str" cm="1">
        <f t="array" ref="AS31">IF(AT31="","",INDEX(leagueroster, MATCH(SUMPRODUCT(LARGE((INDEX(teamlownet,,)=AT31)*(ids),COUNTIF(INDEX(teamlownet, ,), AT31)-COUNTIF(AT$8:AT31,AT31)+1)), INDEX(leagueroster, , 2), 0), 1))</f>
        <v/>
      </c>
      <c r="AT31" s="59" t="str">
        <f>IF(ROWS(AT$8:AT31)&lt;=$AR$6, SMALL(INDEX(teamlownet, ,), ROWS(AT$8:AT31)), "")</f>
        <v/>
      </c>
      <c r="AU31" s="51"/>
      <c r="AV31" s="29" t="str">
        <f>IF(AW31="", "", IF(AX31&lt;&gt;AX30, ROWS(AV$7:AV30), ""))</f>
        <v/>
      </c>
      <c r="AY31" s="51"/>
    </row>
    <row r="32" spans="1:51" x14ac:dyDescent="0.2">
      <c r="A32" s="29" t="str">
        <f ca="1">IF(B32="", "", IF(D32&lt;&gt;D31, ROWS(A$7:A31), ""))</f>
        <v/>
      </c>
      <c r="B32" s="18" t="str">
        <f ca="1">IF(D32="","",INDEX(leagueroster, MATCH(SUMPRODUCT(LARGE((INDEX(lowgross, , )=D32)*(ids),COUNTIF(INDEX(lowgross, , ), D32)-COUNTIF(D$8:D32,D32)+1)), INDEX(leagueroster, , 2), 0), 1))</f>
        <v>Miller, Russ - green tees</v>
      </c>
      <c r="C32" s="19" t="str">
        <f t="shared" ca="1" si="0"/>
        <v>MET</v>
      </c>
      <c r="D32" s="19">
        <f ca="1">IFERROR(SMALL(INDEX(lowgross, , ), ROWS(D$8:D32)), "")</f>
        <v>47</v>
      </c>
      <c r="E32" s="19">
        <f ca="1">IF(D32="","", SUMPRODUCT(LARGE((INDEX(scores, , )=D32)*(ids=VLOOKUP(B32, leagueroster, 2, FALSE))*(weeks), COUNTIFS(D$8:D32, D32, B$8:B32, B32))))</f>
        <v>16</v>
      </c>
      <c r="F32" s="51"/>
      <c r="G32" s="29" t="str">
        <f ca="1">IF(H32="", "", IF(J32&lt;&gt;J31, ROWS(G$7:G31), ""))</f>
        <v/>
      </c>
      <c r="H32" s="18" t="str">
        <f ca="1">IF(J32="","",INDEX(leagueroster, MATCH(SUMPRODUCT(LARGE((INDEX(lownet, , )=J32)*(ids),COUNTIF(INDEX(lownet, , ), J32)-COUNTIF(J$8:J32,J32)+1)), INDEX(leagueroster, , 2), 0), 1))</f>
        <v>Williams, Jerry - C</v>
      </c>
      <c r="I32" s="19" t="str">
        <f t="shared" ca="1" si="1"/>
        <v>HS</v>
      </c>
      <c r="J32" s="19">
        <f ca="1">IFERROR(SMALL(INDEX(lownet, , ), ROWS(J$8:J32)), "")</f>
        <v>34</v>
      </c>
      <c r="K32" s="19">
        <f ca="1">IF(J32="","", SUMPRODUCT(LARGE((INDEX(netscores, , )=J32)*(ids=VLOOKUP(H32, leagueroster, 2, FALSE))*(weeks), COUNTIFS(J$8:J32, J32, H$8:H32, H32))))</f>
        <v>17</v>
      </c>
      <c r="L32" s="51"/>
      <c r="M32" s="29" t="str">
        <f ca="1">IF(N32="", "", IF(P32&lt;&gt;P31, ROWS(M$7:M31), ""))</f>
        <v/>
      </c>
      <c r="N32" s="18" t="str">
        <f ca="1">IF(P32="","",INDEX(leagueroster, MATCH(SUMPRODUCT(LARGE((INDEX(seasonptsavg, , )=P32)*(ids),COUNTIF(INDEX(seasonptsavg, , ), P32)-COUNTIF(P$8:P32,P32)+1)), INDEX(leagueroster, , 2), 0), 1))</f>
        <v>Yackley, Jeff</v>
      </c>
      <c r="O32" s="19" t="str">
        <f t="shared" ca="1" si="2"/>
        <v>SUBS</v>
      </c>
      <c r="P32" s="21">
        <f ca="1">IFERROR(LARGE(seasonptsavg, ROWS(P$8:P32)), "")</f>
        <v>10</v>
      </c>
      <c r="Q32" s="19">
        <f t="shared" ca="1" si="3"/>
        <v>130</v>
      </c>
      <c r="R32" s="19">
        <f t="shared" ca="1" si="4"/>
        <v>12</v>
      </c>
      <c r="S32" s="51"/>
      <c r="T32" s="29">
        <f ca="1">IF(U32="", "", IF(W32&lt;&gt;W31, ROWS(T$7:T31), ""))</f>
        <v>25</v>
      </c>
      <c r="U32" s="18" t="str">
        <f ca="1">IF(W32="","",INDEX(leagueroster, MATCH(SUMPRODUCT(LARGE((INDEX(seasongross, , )=W32)*(ids),COUNTIF(INDEX(seasongross, , ), W32)-COUNTIF(W$8:W32,W32)+1)), INDEX(leagueroster, , 2), 0), 1))</f>
        <v>Kushner, John</v>
      </c>
      <c r="V32" s="19" t="str">
        <f t="shared" ca="1" si="5"/>
        <v>WYC</v>
      </c>
      <c r="W32" s="21">
        <f ca="1">IFERROR(SMALL(seasongross, ROWS(W$8:W32)), "")</f>
        <v>55.333333333333336</v>
      </c>
      <c r="X32" s="19">
        <f t="shared" ca="1" si="6"/>
        <v>12</v>
      </c>
      <c r="Y32" s="51"/>
      <c r="Z32" s="29">
        <f ca="1">IF(AA32="", "", IF(AC32&lt;&gt;AC31, ROWS(Z$7:Z31), ""))</f>
        <v>25</v>
      </c>
      <c r="AA32" s="18" t="str">
        <f ca="1">IF(AC32="","",INDEX(leagueroster, MATCH(SUMPRODUCT(LARGE((INDEX(seasonnet, , )=AC32)*(ids),COUNTIF(INDEX(seasonnet, , ), AC32)-COUNTIF(AC$8:AC32,AC32)+1)), INDEX(leagueroster, , 2), 0), 1))</f>
        <v>Spoonemore, Joe</v>
      </c>
      <c r="AB32" s="19" t="str">
        <f t="shared" ca="1" si="7"/>
        <v>MMC</v>
      </c>
      <c r="AC32" s="21">
        <f ca="1">IFERROR(SMALL(seasonnet, ROWS(AC$8:AC32)), "")</f>
        <v>40.153846153846153</v>
      </c>
      <c r="AD32" s="19">
        <f t="shared" ca="1" si="8"/>
        <v>13</v>
      </c>
      <c r="AE32" s="51"/>
      <c r="AF32" s="29" t="str">
        <f ca="1">IF(AG32="", "", IF(AI32&lt;&gt;AI31, ROWS(AF$7:AF31), ""))</f>
        <v/>
      </c>
      <c r="AG32" s="18" t="str">
        <f ca="1">IF(AI32="","",INDEX(leagueroster, MATCH(SUMPRODUCT(LARGE((INDEX(seasonbirds, , )=AI32)*(ids),COUNTIF(INDEX(seasonbirds, , ), AI32)-COUNTIF(AI$8:AI32,AI32)+1)), INDEX(leagueroster, , 2), 0), 1))</f>
        <v/>
      </c>
      <c r="AH32" s="19" t="str">
        <f t="shared" ca="1" si="9"/>
        <v/>
      </c>
      <c r="AI32" s="19" t="str">
        <f ca="1">IF(LARGE(seasonbirds, ROWS(AI$8:AI32))&lt;&gt;0,LARGE(seasonbirds, ROWS(AI$8:AI32)), "")</f>
        <v/>
      </c>
      <c r="AJ32" s="19" t="str">
        <f t="shared" ca="1" si="10"/>
        <v/>
      </c>
      <c r="AK32" s="51"/>
      <c r="AL32" s="29" t="str">
        <f ca="1">IF(AM32="", "", IF(AO32&lt;&gt;AO31, ROWS(AL$7:AL31), ""))</f>
        <v/>
      </c>
      <c r="AM32" s="18" t="str" cm="1">
        <f t="array" aca="1" ref="AM32" ca="1">IF(AO32="","",INDEX(leagueroster, MATCH(SUMPRODUCT(LARGE((INDEX(seasoneagles, , )=AO32)*(ids),COUNTIF(INDEX(seasoneagles, , ), AO32)-COUNTIF(AO$8:AO32,AO32)+1)), INDEX(leagueroster, , 2), 0), 1))</f>
        <v/>
      </c>
      <c r="AN32" s="19" t="str">
        <f t="shared" ca="1" si="11"/>
        <v/>
      </c>
      <c r="AO32" s="19" t="str">
        <f ca="1">IF(LARGE(seasoneagles, ROWS(AO$8:AO32))&lt;&gt;0,LARGE(seasoneagles, ROWS(AO$8:AO32)), "")</f>
        <v/>
      </c>
      <c r="AP32" s="19" t="str">
        <f t="shared" ca="1" si="12"/>
        <v/>
      </c>
      <c r="AQ32" s="51"/>
      <c r="AR32" s="29" t="str">
        <f>IF(AS32="", "", IF(AT32&lt;&gt;AT31, ROWS(AR$7:AR31), ""))</f>
        <v/>
      </c>
      <c r="AS32" s="18" t="str" cm="1">
        <f t="array" ref="AS32">IF(AT32="","",INDEX(leagueroster, MATCH(SUMPRODUCT(LARGE((INDEX(teamlownet,,)=AT32)*(ids),COUNTIF(INDEX(teamlownet, ,), AT32)-COUNTIF(AT$8:AT32,AT32)+1)), INDEX(leagueroster, , 2), 0), 1))</f>
        <v/>
      </c>
      <c r="AT32" s="59" t="str">
        <f>IF(ROWS(AT$8:AT32)&lt;=$AR$6, SMALL(INDEX(teamlownet, ,), ROWS(AT$8:AT32)), "")</f>
        <v/>
      </c>
      <c r="AU32" s="51"/>
      <c r="AV32" s="29" t="str">
        <f>IF(AW32="", "", IF(AX32&lt;&gt;AX31, ROWS(AV$7:AV31), ""))</f>
        <v/>
      </c>
      <c r="AY32" s="51"/>
    </row>
    <row r="33" spans="1:51" x14ac:dyDescent="0.2">
      <c r="A33" s="29">
        <f ca="1">IF(B33="", "", IF(D33&lt;&gt;D32, ROWS(A$7:A32), ""))</f>
        <v>26</v>
      </c>
      <c r="B33" s="18" t="str">
        <f ca="1">IF(D33="","",INDEX(leagueroster, MATCH(SUMPRODUCT(LARGE((INDEX(lowgross, , )=D33)*(ids),COUNTIF(INDEX(lowgross, , ), D33)-COUNTIF(D$8:D33,D33)+1)), INDEX(leagueroster, , 2), 0), 1))</f>
        <v>Holzer, John</v>
      </c>
      <c r="C33" s="19" t="str">
        <f t="shared" ca="1" si="0"/>
        <v>4P</v>
      </c>
      <c r="D33" s="19">
        <f ca="1">IFERROR(SMALL(INDEX(lowgross, , ), ROWS(D$8:D33)), "")</f>
        <v>48</v>
      </c>
      <c r="E33" s="19">
        <f ca="1">IF(D33="","", SUMPRODUCT(LARGE((INDEX(scores, , )=D33)*(ids=VLOOKUP(B33, leagueroster, 2, FALSE))*(weeks), COUNTIFS(D$8:D33, D33, B$8:B33, B33))))</f>
        <v>13</v>
      </c>
      <c r="F33" s="51"/>
      <c r="G33" s="29">
        <f ca="1">IF(H33="", "", IF(J33&lt;&gt;J32, ROWS(G$7:G32), ""))</f>
        <v>26</v>
      </c>
      <c r="H33" s="18" t="str">
        <f ca="1">IF(J33="","",INDEX(leagueroster, MATCH(SUMPRODUCT(LARGE((INDEX(lownet, , )=J33)*(ids),COUNTIF(INDEX(lownet, , ), J33)-COUNTIF(J$8:J33,J33)+1)), INDEX(leagueroster, , 2), 0), 1))</f>
        <v>Cizek, Randy - gold tees</v>
      </c>
      <c r="I33" s="19" t="str">
        <f t="shared" ca="1" si="1"/>
        <v>MMC</v>
      </c>
      <c r="J33" s="19">
        <f ca="1">IFERROR(SMALL(INDEX(lownet, , ), ROWS(J$8:J33)), "")</f>
        <v>35</v>
      </c>
      <c r="K33" s="19">
        <f ca="1">IF(J33="","", SUMPRODUCT(LARGE((INDEX(netscores, , )=J33)*(ids=VLOOKUP(H33, leagueroster, 2, FALSE))*(weeks), COUNTIFS(J$8:J33, J33, H$8:H33, H33))))</f>
        <v>13</v>
      </c>
      <c r="L33" s="51"/>
      <c r="M33" s="29">
        <f ca="1">IF(N33="", "", IF(P33&lt;&gt;P32, ROWS(M$7:M32), ""))</f>
        <v>26</v>
      </c>
      <c r="N33" s="18" t="str">
        <f ca="1">IF(P33="","",INDEX(leagueroster, MATCH(SUMPRODUCT(LARGE((INDEX(seasonptsavg, , )=P33)*(ids),COUNTIF(INDEX(seasonptsavg, , ), P33)-COUNTIF(P$8:P33,P33)+1)), INDEX(leagueroster, , 2), 0), 1))</f>
        <v>Culver, Chuck</v>
      </c>
      <c r="O33" s="19" t="str">
        <f t="shared" ca="1" si="2"/>
        <v>MET</v>
      </c>
      <c r="P33" s="21">
        <f ca="1">IFERROR(LARGE(seasonptsavg, ROWS(P$8:P33)), "")</f>
        <v>9.9230769230769234</v>
      </c>
      <c r="Q33" s="19">
        <f t="shared" ca="1" si="3"/>
        <v>129</v>
      </c>
      <c r="R33" s="19">
        <f t="shared" ca="1" si="4"/>
        <v>14</v>
      </c>
      <c r="S33" s="51"/>
      <c r="T33" s="29">
        <f ca="1">IF(U33="", "", IF(W33&lt;&gt;W32, ROWS(T$7:T32), ""))</f>
        <v>26</v>
      </c>
      <c r="U33" s="18" t="str">
        <f ca="1">IF(W33="","",INDEX(leagueroster, MATCH(SUMPRODUCT(LARGE((INDEX(seasongross, , )=W33)*(ids),COUNTIF(INDEX(seasongross, , ), W33)-COUNTIF(W$8:W33,W33)+1)), INDEX(leagueroster, , 2), 0), 1))</f>
        <v>Smith, Steve - gold tees</v>
      </c>
      <c r="V33" s="19" t="str">
        <f t="shared" ca="1" si="5"/>
        <v>MMC</v>
      </c>
      <c r="W33" s="21">
        <f ca="1">IFERROR(SMALL(seasongross, ROWS(W$8:W33)), "")</f>
        <v>55.4</v>
      </c>
      <c r="X33" s="19">
        <f t="shared" ca="1" si="6"/>
        <v>15</v>
      </c>
      <c r="Y33" s="51"/>
      <c r="Z33" s="29">
        <f ca="1">IF(AA33="", "", IF(AC33&lt;&gt;AC32, ROWS(Z$7:Z32), ""))</f>
        <v>26</v>
      </c>
      <c r="AA33" s="18" t="str">
        <f ca="1">IF(AC33="","",INDEX(leagueroster, MATCH(SUMPRODUCT(LARGE((INDEX(seasonnet, , )=AC33)*(ids),COUNTIF(INDEX(seasonnet, , ), AC33)-COUNTIF(AC$8:AC33,AC33)+1)), INDEX(leagueroster, , 2), 0), 1))</f>
        <v>Kushner, John</v>
      </c>
      <c r="AB33" s="19" t="str">
        <f t="shared" ca="1" si="7"/>
        <v>WYC</v>
      </c>
      <c r="AC33" s="21">
        <f ca="1">IFERROR(SMALL(seasonnet, ROWS(AC$8:AC33)), "")</f>
        <v>40.166666666666664</v>
      </c>
      <c r="AD33" s="19">
        <f t="shared" ca="1" si="8"/>
        <v>12</v>
      </c>
      <c r="AE33" s="51"/>
      <c r="AF33" s="29" t="str">
        <f ca="1">IF(AG33="", "", IF(AI33&lt;&gt;AI32, ROWS(AF$7:AF32), ""))</f>
        <v/>
      </c>
      <c r="AG33" s="18" t="str">
        <f ca="1">IF(AI33="","",INDEX(leagueroster, MATCH(SUMPRODUCT(LARGE((INDEX(seasonbirds, , )=AI33)*(ids),COUNTIF(INDEX(seasonbirds, , ), AI33)-COUNTIF(AI$8:AI33,AI33)+1)), INDEX(leagueroster, , 2), 0), 1))</f>
        <v/>
      </c>
      <c r="AH33" s="19" t="str">
        <f t="shared" ca="1" si="9"/>
        <v/>
      </c>
      <c r="AI33" s="19" t="str">
        <f ca="1">IF(LARGE(seasonbirds, ROWS(AI$8:AI33))&lt;&gt;0,LARGE(seasonbirds, ROWS(AI$8:AI33)), "")</f>
        <v/>
      </c>
      <c r="AJ33" s="19" t="str">
        <f t="shared" ca="1" si="10"/>
        <v/>
      </c>
      <c r="AK33" s="51"/>
      <c r="AL33" s="29" t="str">
        <f ca="1">IF(AM33="", "", IF(AO33&lt;&gt;AO32, ROWS(AL$7:AL32), ""))</f>
        <v/>
      </c>
      <c r="AM33" s="18" t="str" cm="1">
        <f t="array" aca="1" ref="AM33" ca="1">IF(AO33="","",INDEX(leagueroster, MATCH(SUMPRODUCT(LARGE((INDEX(seasoneagles, , )=AO33)*(ids),COUNTIF(INDEX(seasoneagles, , ), AO33)-COUNTIF(AO$8:AO33,AO33)+1)), INDEX(leagueroster, , 2), 0), 1))</f>
        <v/>
      </c>
      <c r="AN33" s="19" t="str">
        <f t="shared" ca="1" si="11"/>
        <v/>
      </c>
      <c r="AO33" s="19" t="str">
        <f ca="1">IF(LARGE(seasoneagles, ROWS(AO$8:AO33))&lt;&gt;0,LARGE(seasoneagles, ROWS(AO$8:AO33)), "")</f>
        <v/>
      </c>
      <c r="AP33" s="19" t="str">
        <f t="shared" ca="1" si="12"/>
        <v/>
      </c>
      <c r="AQ33" s="51"/>
      <c r="AR33" s="29" t="str">
        <f>IF(AS33="", "", IF(AT33&lt;&gt;AT32, ROWS(AR$7:AR32), ""))</f>
        <v/>
      </c>
      <c r="AS33" s="18" t="str" cm="1">
        <f t="array" ref="AS33">IF(AT33="","",INDEX(leagueroster, MATCH(SUMPRODUCT(LARGE((INDEX(teamlownet,,)=AT33)*(ids),COUNTIF(INDEX(teamlownet, ,), AT33)-COUNTIF(AT$8:AT33,AT33)+1)), INDEX(leagueroster, , 2), 0), 1))</f>
        <v/>
      </c>
      <c r="AT33" s="59" t="str">
        <f>IF(ROWS(AT$8:AT33)&lt;=$AR$6, SMALL(INDEX(teamlownet, ,), ROWS(AT$8:AT33)), "")</f>
        <v/>
      </c>
      <c r="AU33" s="51"/>
      <c r="AV33" s="29" t="str">
        <f>IF(AW33="", "", IF(AX33&lt;&gt;AX32, ROWS(AV$7:AV32), ""))</f>
        <v/>
      </c>
      <c r="AY33" s="51"/>
    </row>
    <row r="34" spans="1:51" x14ac:dyDescent="0.2">
      <c r="A34" s="29" t="str">
        <f ca="1">IF(B34="", "", IF(D34&lt;&gt;D33, ROWS(A$7:A33), ""))</f>
        <v/>
      </c>
      <c r="B34" s="18" t="str">
        <f ca="1">IF(D34="","",INDEX(leagueroster, MATCH(SUMPRODUCT(LARGE((INDEX(lowgross, , )=D34)*(ids),COUNTIF(INDEX(lowgross, , ), D34)-COUNTIF(D$8:D34,D34)+1)), INDEX(leagueroster, , 2), 0), 1))</f>
        <v>Kushner, John</v>
      </c>
      <c r="C34" s="19" t="str">
        <f t="shared" ca="1" si="0"/>
        <v>WYC</v>
      </c>
      <c r="D34" s="19">
        <f ca="1">IFERROR(SMALL(INDEX(lowgross, , ), ROWS(D$8:D34)), "")</f>
        <v>48</v>
      </c>
      <c r="E34" s="19">
        <f ca="1">IF(D34="","", SUMPRODUCT(LARGE((INDEX(scores, , )=D34)*(ids=VLOOKUP(B34, leagueroster, 2, FALSE))*(weeks), COUNTIFS(D$8:D34, D34, B$8:B34, B34))))</f>
        <v>17</v>
      </c>
      <c r="F34" s="51"/>
      <c r="G34" s="29" t="str">
        <f ca="1">IF(H34="", "", IF(J34&lt;&gt;J33, ROWS(G$7:G33), ""))</f>
        <v/>
      </c>
      <c r="H34" s="18" t="str">
        <f ca="1">IF(J34="","",INDEX(leagueroster, MATCH(SUMPRODUCT(LARGE((INDEX(lownet, , )=J34)*(ids),COUNTIF(INDEX(lownet, , ), J34)-COUNTIF(J$8:J34,J34)+1)), INDEX(leagueroster, , 2), 0), 1))</f>
        <v>Dombrowski, Jerry - gold tees</v>
      </c>
      <c r="I34" s="19" t="str">
        <f t="shared" ca="1" si="1"/>
        <v>SUBS</v>
      </c>
      <c r="J34" s="19">
        <f ca="1">IFERROR(SMALL(INDEX(lownet, , ), ROWS(J$8:J34)), "")</f>
        <v>35</v>
      </c>
      <c r="K34" s="19">
        <f ca="1">IF(J34="","", SUMPRODUCT(LARGE((INDEX(netscores, , )=J34)*(ids=VLOOKUP(H34, leagueroster, 2, FALSE))*(weeks), COUNTIFS(J$8:J34, J34, H$8:H34, H34))))</f>
        <v>7</v>
      </c>
      <c r="L34" s="51"/>
      <c r="M34" s="29">
        <f ca="1">IF(N34="", "", IF(P34&lt;&gt;P33, ROWS(M$7:M33), ""))</f>
        <v>27</v>
      </c>
      <c r="N34" s="18" t="str">
        <f ca="1">IF(P34="","",INDEX(leagueroster, MATCH(SUMPRODUCT(LARGE((INDEX(seasonptsavg, , )=P34)*(ids),COUNTIF(INDEX(seasonptsavg, , ), P34)-COUNTIF(P$8:P34,P34)+1)), INDEX(leagueroster, , 2), 0), 1))</f>
        <v>Kushner, John</v>
      </c>
      <c r="O34" s="19" t="str">
        <f t="shared" ca="1" si="2"/>
        <v>WYC</v>
      </c>
      <c r="P34" s="21">
        <f ca="1">IFERROR(LARGE(seasonptsavg, ROWS(P$8:P34)), "")</f>
        <v>9.7857142857142865</v>
      </c>
      <c r="Q34" s="19">
        <f t="shared" ca="1" si="3"/>
        <v>137</v>
      </c>
      <c r="R34" s="19">
        <f t="shared" ca="1" si="4"/>
        <v>12</v>
      </c>
      <c r="S34" s="51"/>
      <c r="T34" s="29">
        <f ca="1">IF(U34="", "", IF(W34&lt;&gt;W33, ROWS(T$7:T33), ""))</f>
        <v>27</v>
      </c>
      <c r="U34" s="18" t="str">
        <f ca="1">IF(W34="","",INDEX(leagueroster, MATCH(SUMPRODUCT(LARGE((INDEX(seasongross, , )=W34)*(ids),COUNTIF(INDEX(seasongross, , ), W34)-COUNTIF(W$8:W34,W34)+1)), INDEX(leagueroster, , 2), 0), 1))</f>
        <v>Buckley, Chris - gold tees</v>
      </c>
      <c r="V34" s="19" t="str">
        <f t="shared" ca="1" si="5"/>
        <v>HS</v>
      </c>
      <c r="W34" s="21">
        <f ca="1">IFERROR(SMALL(seasongross, ROWS(W$8:W34)), "")</f>
        <v>56.2</v>
      </c>
      <c r="X34" s="19">
        <f t="shared" ca="1" si="6"/>
        <v>15</v>
      </c>
      <c r="Y34" s="51"/>
      <c r="Z34" s="29">
        <f ca="1">IF(AA34="", "", IF(AC34&lt;&gt;AC33, ROWS(Z$7:Z33), ""))</f>
        <v>27</v>
      </c>
      <c r="AA34" s="18" t="str">
        <f ca="1">IF(AC34="","",INDEX(leagueroster, MATCH(SUMPRODUCT(LARGE((INDEX(seasonnet, , )=AC34)*(ids),COUNTIF(INDEX(seasonnet, , ), AC34)-COUNTIF(AC$8:AC34,AC34)+1)), INDEX(leagueroster, , 2), 0), 1))</f>
        <v>Hegnauer, Clark - green tees</v>
      </c>
      <c r="AB34" s="19" t="str">
        <f t="shared" ca="1" si="7"/>
        <v>STY</v>
      </c>
      <c r="AC34" s="21">
        <f ca="1">IFERROR(SMALL(seasonnet, ROWS(AC$8:AC34)), "")</f>
        <v>40.272727272727273</v>
      </c>
      <c r="AD34" s="19">
        <f t="shared" ca="1" si="8"/>
        <v>11</v>
      </c>
      <c r="AE34" s="51"/>
      <c r="AF34" s="29" t="str">
        <f ca="1">IF(AG34="", "", IF(AI34&lt;&gt;AI33, ROWS(AF$7:AF33), ""))</f>
        <v/>
      </c>
      <c r="AG34" s="18" t="str">
        <f ca="1">IF(AI34="","",INDEX(leagueroster, MATCH(SUMPRODUCT(LARGE((INDEX(seasonbirds, , )=AI34)*(ids),COUNTIF(INDEX(seasonbirds, , ), AI34)-COUNTIF(AI$8:AI34,AI34)+1)), INDEX(leagueroster, , 2), 0), 1))</f>
        <v/>
      </c>
      <c r="AH34" s="19" t="str">
        <f t="shared" ca="1" si="9"/>
        <v/>
      </c>
      <c r="AI34" s="19" t="str">
        <f ca="1">IF(LARGE(seasonbirds, ROWS(AI$8:AI34))&lt;&gt;0,LARGE(seasonbirds, ROWS(AI$8:AI34)), "")</f>
        <v/>
      </c>
      <c r="AJ34" s="19" t="str">
        <f t="shared" ca="1" si="10"/>
        <v/>
      </c>
      <c r="AK34" s="51"/>
      <c r="AL34" s="29" t="str">
        <f ca="1">IF(AM34="", "", IF(AO34&lt;&gt;AO33, ROWS(AL$7:AL33), ""))</f>
        <v/>
      </c>
      <c r="AM34" s="18" t="str" cm="1">
        <f t="array" aca="1" ref="AM34" ca="1">IF(AO34="","",INDEX(leagueroster, MATCH(SUMPRODUCT(LARGE((INDEX(seasoneagles, , )=AO34)*(ids),COUNTIF(INDEX(seasoneagles, , ), AO34)-COUNTIF(AO$8:AO34,AO34)+1)), INDEX(leagueroster, , 2), 0), 1))</f>
        <v/>
      </c>
      <c r="AN34" s="19" t="str">
        <f t="shared" ca="1" si="11"/>
        <v/>
      </c>
      <c r="AO34" s="19" t="str">
        <f ca="1">IF(LARGE(seasoneagles, ROWS(AO$8:AO34))&lt;&gt;0,LARGE(seasoneagles, ROWS(AO$8:AO34)), "")</f>
        <v/>
      </c>
      <c r="AP34" s="19" t="str">
        <f t="shared" ca="1" si="12"/>
        <v/>
      </c>
      <c r="AQ34" s="51"/>
      <c r="AR34" s="29" t="str">
        <f>IF(AS34="", "", IF(AT34&lt;&gt;AT33, ROWS(AR$7:AR33), ""))</f>
        <v/>
      </c>
      <c r="AS34" s="18" t="str" cm="1">
        <f t="array" ref="AS34">IF(AT34="","",INDEX(leagueroster, MATCH(SUMPRODUCT(LARGE((INDEX(teamlownet,,)=AT34)*(ids),COUNTIF(INDEX(teamlownet, ,), AT34)-COUNTIF(AT$8:AT34,AT34)+1)), INDEX(leagueroster, , 2), 0), 1))</f>
        <v/>
      </c>
      <c r="AT34" s="59" t="str">
        <f>IF(ROWS(AT$8:AT34)&lt;=$AR$6, SMALL(INDEX(teamlownet, ,), ROWS(AT$8:AT34)), "")</f>
        <v/>
      </c>
      <c r="AU34" s="51"/>
      <c r="AV34" s="29" t="str">
        <f>IF(AW34="", "", IF(AX34&lt;&gt;AX33, ROWS(AV$7:AV33), ""))</f>
        <v/>
      </c>
      <c r="AY34" s="51"/>
    </row>
    <row r="35" spans="1:51" x14ac:dyDescent="0.2">
      <c r="A35" s="29" t="str">
        <f ca="1">IF(B35="", "", IF(D35&lt;&gt;D34, ROWS(A$7:A34), ""))</f>
        <v/>
      </c>
      <c r="B35" s="18" t="str">
        <f ca="1">IF(D35="","",INDEX(leagueroster, MATCH(SUMPRODUCT(LARGE((INDEX(lowgross, , )=D35)*(ids),COUNTIF(INDEX(lowgross, , ), D35)-COUNTIF(D$8:D35,D35)+1)), INDEX(leagueroster, , 2), 0), 1))</f>
        <v>Reese, Felix</v>
      </c>
      <c r="C35" s="19" t="str">
        <f t="shared" ca="1" si="0"/>
        <v>SUBS</v>
      </c>
      <c r="D35" s="19">
        <f ca="1">IFERROR(SMALL(INDEX(lowgross, , ), ROWS(D$8:D35)), "")</f>
        <v>48</v>
      </c>
      <c r="E35" s="19">
        <f ca="1">IF(D35="","", SUMPRODUCT(LARGE((INDEX(scores, , )=D35)*(ids=VLOOKUP(B35, leagueroster, 2, FALSE))*(weeks), COUNTIFS(D$8:D35, D35, B$8:B35, B35))))</f>
        <v>3</v>
      </c>
      <c r="F35" s="51"/>
      <c r="G35" s="29" t="str">
        <f ca="1">IF(H35="", "", IF(J35&lt;&gt;J34, ROWS(G$7:G34), ""))</f>
        <v/>
      </c>
      <c r="H35" s="18" t="str">
        <f ca="1">IF(J35="","",INDEX(leagueroster, MATCH(SUMPRODUCT(LARGE((INDEX(lownet, , )=J35)*(ids),COUNTIF(INDEX(lownet, , ), J35)-COUNTIF(J$8:J35,J35)+1)), INDEX(leagueroster, , 2), 0), 1))</f>
        <v>Rundquist, Chuck</v>
      </c>
      <c r="I35" s="19" t="str">
        <f t="shared" ca="1" si="1"/>
        <v>4P</v>
      </c>
      <c r="J35" s="19">
        <f ca="1">IFERROR(SMALL(INDEX(lownet, , ), ROWS(J$8:J35)), "")</f>
        <v>35</v>
      </c>
      <c r="K35" s="19">
        <f ca="1">IF(J35="","", SUMPRODUCT(LARGE((INDEX(netscores, , )=J35)*(ids=VLOOKUP(H35, leagueroster, 2, FALSE))*(weeks), COUNTIFS(J$8:J35, J35, H$8:H35, H35))))</f>
        <v>10</v>
      </c>
      <c r="L35" s="51"/>
      <c r="M35" s="29">
        <f ca="1">IF(N35="", "", IF(P35&lt;&gt;P34, ROWS(M$7:M34), ""))</f>
        <v>28</v>
      </c>
      <c r="N35" s="18" t="str">
        <f ca="1">IF(P35="","",INDEX(leagueroster, MATCH(SUMPRODUCT(LARGE((INDEX(seasonptsavg, , )=P35)*(ids),COUNTIF(INDEX(seasonptsavg, , ), P35)-COUNTIF(P$8:P35,P35)+1)), INDEX(leagueroster, , 2), 0), 1))</f>
        <v>Dombrowski, Jerry - gold tees</v>
      </c>
      <c r="O35" s="19" t="str">
        <f t="shared" ca="1" si="2"/>
        <v>SUBS</v>
      </c>
      <c r="P35" s="21">
        <f ca="1">IFERROR(LARGE(seasonptsavg, ROWS(P$8:P35)), "")</f>
        <v>9.5555555555555554</v>
      </c>
      <c r="Q35" s="19">
        <f t="shared" ca="1" si="3"/>
        <v>86</v>
      </c>
      <c r="R35" s="19">
        <f t="shared" ca="1" si="4"/>
        <v>8</v>
      </c>
      <c r="S35" s="51"/>
      <c r="T35" s="29" t="str">
        <f ca="1">IF(U35="", "", IF(W35&lt;&gt;W34, ROWS(T$7:T34), ""))</f>
        <v/>
      </c>
      <c r="U35" s="18" t="str">
        <f ca="1">IF(W35="","",INDEX(leagueroster, MATCH(SUMPRODUCT(LARGE((INDEX(seasongross, , )=W35)*(ids),COUNTIF(INDEX(seasongross, , ), W35)-COUNTIF(W$8:W35,W35)+1)), INDEX(leagueroster, , 2), 0), 1))</f>
        <v>Williams, Jerry - C</v>
      </c>
      <c r="V35" s="19" t="str">
        <f t="shared" ca="1" si="5"/>
        <v>HS</v>
      </c>
      <c r="W35" s="21">
        <f ca="1">IFERROR(SMALL(seasongross, ROWS(W$8:W35)), "")</f>
        <v>56.2</v>
      </c>
      <c r="X35" s="19">
        <f t="shared" ca="1" si="6"/>
        <v>10</v>
      </c>
      <c r="Y35" s="51"/>
      <c r="Z35" s="29">
        <f ca="1">IF(AA35="", "", IF(AC35&lt;&gt;AC34, ROWS(Z$7:Z34), ""))</f>
        <v>28</v>
      </c>
      <c r="AA35" s="18" t="str">
        <f ca="1">IF(AC35="","",INDEX(leagueroster, MATCH(SUMPRODUCT(LARGE((INDEX(seasonnet, , )=AC35)*(ids),COUNTIF(INDEX(seasonnet, , ), AC35)-COUNTIF(AC$8:AC35,AC35)+1)), INDEX(leagueroster, , 2), 0), 1))</f>
        <v>Rundquist, Chuck</v>
      </c>
      <c r="AB35" s="19" t="str">
        <f t="shared" ca="1" si="7"/>
        <v>4P</v>
      </c>
      <c r="AC35" s="21">
        <f ca="1">IFERROR(SMALL(seasonnet, ROWS(AC$8:AC35)), "")</f>
        <v>40.333333333333336</v>
      </c>
      <c r="AD35" s="19">
        <f t="shared" ca="1" si="8"/>
        <v>12</v>
      </c>
      <c r="AE35" s="51"/>
      <c r="AF35" s="29" t="str">
        <f ca="1">IF(AG35="", "", IF(AI35&lt;&gt;AI34, ROWS(AF$7:AF34), ""))</f>
        <v/>
      </c>
      <c r="AG35" s="18" t="str">
        <f ca="1">IF(AI35="","",INDEX(leagueroster, MATCH(SUMPRODUCT(LARGE((INDEX(seasonbirds, , )=AI35)*(ids),COUNTIF(INDEX(seasonbirds, , ), AI35)-COUNTIF(AI$8:AI35,AI35)+1)), INDEX(leagueroster, , 2), 0), 1))</f>
        <v/>
      </c>
      <c r="AH35" s="19" t="str">
        <f t="shared" ca="1" si="9"/>
        <v/>
      </c>
      <c r="AI35" s="19" t="str">
        <f ca="1">IF(LARGE(seasonbirds, ROWS(AI$8:AI35))&lt;&gt;0,LARGE(seasonbirds, ROWS(AI$8:AI35)), "")</f>
        <v/>
      </c>
      <c r="AJ35" s="19" t="str">
        <f t="shared" ca="1" si="10"/>
        <v/>
      </c>
      <c r="AK35" s="51"/>
      <c r="AL35" s="29" t="str">
        <f ca="1">IF(AM35="", "", IF(AO35&lt;&gt;AO34, ROWS(AL$7:AL34), ""))</f>
        <v/>
      </c>
      <c r="AM35" s="18" t="str" cm="1">
        <f t="array" aca="1" ref="AM35" ca="1">IF(AO35="","",INDEX(leagueroster, MATCH(SUMPRODUCT(LARGE((INDEX(seasoneagles, , )=AO35)*(ids),COUNTIF(INDEX(seasoneagles, , ), AO35)-COUNTIF(AO$8:AO35,AO35)+1)), INDEX(leagueroster, , 2), 0), 1))</f>
        <v/>
      </c>
      <c r="AN35" s="19" t="str">
        <f t="shared" ca="1" si="11"/>
        <v/>
      </c>
      <c r="AO35" s="19" t="str">
        <f ca="1">IF(LARGE(seasoneagles, ROWS(AO$8:AO35))&lt;&gt;0,LARGE(seasoneagles, ROWS(AO$8:AO35)), "")</f>
        <v/>
      </c>
      <c r="AP35" s="19" t="str">
        <f t="shared" ca="1" si="12"/>
        <v/>
      </c>
      <c r="AQ35" s="51"/>
      <c r="AR35" s="29" t="str">
        <f>IF(AS35="", "", IF(AT35&lt;&gt;AT34, ROWS(AR$7:AR34), ""))</f>
        <v/>
      </c>
      <c r="AS35" s="18" t="str" cm="1">
        <f t="array" ref="AS35">IF(AT35="","",INDEX(leagueroster, MATCH(SUMPRODUCT(LARGE((INDEX(teamlownet,,)=AT35)*(ids),COUNTIF(INDEX(teamlownet, ,), AT35)-COUNTIF(AT$8:AT35,AT35)+1)), INDEX(leagueroster, , 2), 0), 1))</f>
        <v/>
      </c>
      <c r="AT35" s="59" t="str">
        <f>IF(ROWS(AT$8:AT35)&lt;=$AR$6, SMALL(INDEX(teamlownet, ,), ROWS(AT$8:AT35)), "")</f>
        <v/>
      </c>
      <c r="AU35" s="51"/>
      <c r="AV35" s="29" t="str">
        <f>IF(AW35="", "", IF(AX35&lt;&gt;AX34, ROWS(AV$7:AV34), ""))</f>
        <v/>
      </c>
      <c r="AY35" s="51"/>
    </row>
    <row r="36" spans="1:51" x14ac:dyDescent="0.2">
      <c r="A36" s="29" t="str">
        <f ca="1">IF(B36="", "", IF(D36&lt;&gt;D35, ROWS(A$7:A35), ""))</f>
        <v/>
      </c>
      <c r="B36" s="18" t="str">
        <f ca="1">IF(D36="","",INDEX(leagueroster, MATCH(SUMPRODUCT(LARGE((INDEX(lowgross, , )=D36)*(ids),COUNTIF(INDEX(lowgross, , ), D36)-COUNTIF(D$8:D36,D36)+1)), INDEX(leagueroster, , 2), 0), 1))</f>
        <v>Rundquist, Chuck</v>
      </c>
      <c r="C36" s="19" t="str">
        <f t="shared" ca="1" si="0"/>
        <v>4P</v>
      </c>
      <c r="D36" s="19">
        <f ca="1">IFERROR(SMALL(INDEX(lowgross, , ), ROWS(D$8:D36)), "")</f>
        <v>48</v>
      </c>
      <c r="E36" s="19">
        <f ca="1">IF(D36="","", SUMPRODUCT(LARGE((INDEX(scores, , )=D36)*(ids=VLOOKUP(B36, leagueroster, 2, FALSE))*(weeks), COUNTIFS(D$8:D36, D36, B$8:B36, B36))))</f>
        <v>4</v>
      </c>
      <c r="F36" s="51"/>
      <c r="G36" s="29">
        <f ca="1">IF(H36="", "", IF(J36&lt;&gt;J35, ROWS(G$7:G35), ""))</f>
        <v>29</v>
      </c>
      <c r="H36" s="18" t="str">
        <f ca="1">IF(J36="","",INDEX(leagueroster, MATCH(SUMPRODUCT(LARGE((INDEX(lownet, , )=J36)*(ids),COUNTIF(INDEX(lownet, , ), J36)-COUNTIF(J$8:J36,J36)+1)), INDEX(leagueroster, , 2), 0), 1))</f>
        <v>Cline, Chad</v>
      </c>
      <c r="I36" s="19" t="str">
        <f t="shared" ca="1" si="1"/>
        <v>SUBS</v>
      </c>
      <c r="J36" s="19">
        <f ca="1">IFERROR(SMALL(INDEX(lownet, , ), ROWS(J$8:J36)), "")</f>
        <v>36</v>
      </c>
      <c r="K36" s="19">
        <f ca="1">IF(J36="","", SUMPRODUCT(LARGE((INDEX(netscores, , )=J36)*(ids=VLOOKUP(H36, leagueroster, 2, FALSE))*(weeks), COUNTIFS(J$8:J36, J36, H$8:H36, H36))))</f>
        <v>11</v>
      </c>
      <c r="L36" s="51"/>
      <c r="M36" s="29">
        <f ca="1">IF(N36="", "", IF(P36&lt;&gt;P35, ROWS(M$7:M35), ""))</f>
        <v>29</v>
      </c>
      <c r="N36" s="18" t="str">
        <f ca="1">IF(P36="","",INDEX(leagueroster, MATCH(SUMPRODUCT(LARGE((INDEX(seasonptsavg, , )=P36)*(ids),COUNTIF(INDEX(seasonptsavg, , ), P36)-COUNTIF(P$8:P36,P36)+1)), INDEX(leagueroster, , 2), 0), 1))</f>
        <v>Holzer, John</v>
      </c>
      <c r="O36" s="19" t="str">
        <f t="shared" ca="1" si="2"/>
        <v>4P</v>
      </c>
      <c r="P36" s="21">
        <f ca="1">IFERROR(LARGE(seasonptsavg, ROWS(P$8:P36)), "")</f>
        <v>9.454545454545455</v>
      </c>
      <c r="Q36" s="19">
        <f t="shared" ca="1" si="3"/>
        <v>104</v>
      </c>
      <c r="R36" s="19">
        <f t="shared" ca="1" si="4"/>
        <v>10</v>
      </c>
      <c r="S36" s="51"/>
      <c r="T36" s="29">
        <f ca="1">IF(U36="", "", IF(W36&lt;&gt;W35, ROWS(T$7:T35), ""))</f>
        <v>29</v>
      </c>
      <c r="U36" s="18" t="str">
        <f ca="1">IF(W36="","",INDEX(leagueroster, MATCH(SUMPRODUCT(LARGE((INDEX(seasongross, , )=W36)*(ids),COUNTIF(INDEX(seasongross, , ), W36)-COUNTIF(W$8:W36,W36)+1)), INDEX(leagueroster, , 2), 0), 1))</f>
        <v>Lapole, Chris - C - gold tees</v>
      </c>
      <c r="V36" s="19" t="str">
        <f t="shared" ca="1" si="5"/>
        <v>STY</v>
      </c>
      <c r="W36" s="21">
        <f ca="1">IFERROR(SMALL(seasongross, ROWS(W$8:W36)), "")</f>
        <v>56.307692307692307</v>
      </c>
      <c r="X36" s="19">
        <f t="shared" ca="1" si="6"/>
        <v>13</v>
      </c>
      <c r="Y36" s="51"/>
      <c r="Z36" s="29">
        <f ca="1">IF(AA36="", "", IF(AC36&lt;&gt;AC35, ROWS(Z$7:Z35), ""))</f>
        <v>29</v>
      </c>
      <c r="AA36" s="18" t="str">
        <f ca="1">IF(AC36="","",INDEX(leagueroster, MATCH(SUMPRODUCT(LARGE((INDEX(seasonnet, , )=AC36)*(ids),COUNTIF(INDEX(seasonnet, , ), AC36)-COUNTIF(AC$8:AC36,AC36)+1)), INDEX(leagueroster, , 2), 0), 1))</f>
        <v>Yackley, Jeff</v>
      </c>
      <c r="AB36" s="19" t="str">
        <f t="shared" ca="1" si="7"/>
        <v>SUBS</v>
      </c>
      <c r="AC36" s="21">
        <f ca="1">IFERROR(SMALL(seasonnet, ROWS(AC$8:AC36)), "")</f>
        <v>40.416666666666664</v>
      </c>
      <c r="AD36" s="19">
        <f t="shared" ca="1" si="8"/>
        <v>12</v>
      </c>
      <c r="AE36" s="51"/>
      <c r="AF36" s="29" t="str">
        <f ca="1">IF(AG36="", "", IF(AI36&lt;&gt;AI35, ROWS(AF$7:AF35), ""))</f>
        <v/>
      </c>
      <c r="AG36" s="18" t="str">
        <f ca="1">IF(AI36="","",INDEX(leagueroster, MATCH(SUMPRODUCT(LARGE((INDEX(seasonbirds, , )=AI36)*(ids),COUNTIF(INDEX(seasonbirds, , ), AI36)-COUNTIF(AI$8:AI36,AI36)+1)), INDEX(leagueroster, , 2), 0), 1))</f>
        <v/>
      </c>
      <c r="AH36" s="19" t="str">
        <f t="shared" ca="1" si="9"/>
        <v/>
      </c>
      <c r="AI36" s="19" t="str">
        <f ca="1">IF(LARGE(seasonbirds, ROWS(AI$8:AI36))&lt;&gt;0,LARGE(seasonbirds, ROWS(AI$8:AI36)), "")</f>
        <v/>
      </c>
      <c r="AJ36" s="19" t="str">
        <f t="shared" ca="1" si="10"/>
        <v/>
      </c>
      <c r="AK36" s="51"/>
      <c r="AL36" s="29" t="str">
        <f ca="1">IF(AM36="", "", IF(AO36&lt;&gt;AO35, ROWS(AL$7:AL35), ""))</f>
        <v/>
      </c>
      <c r="AM36" s="18" t="str" cm="1">
        <f t="array" aca="1" ref="AM36" ca="1">IF(AO36="","",INDEX(leagueroster, MATCH(SUMPRODUCT(LARGE((INDEX(seasoneagles, , )=AO36)*(ids),COUNTIF(INDEX(seasoneagles, , ), AO36)-COUNTIF(AO$8:AO36,AO36)+1)), INDEX(leagueroster, , 2), 0), 1))</f>
        <v/>
      </c>
      <c r="AN36" s="19" t="str">
        <f t="shared" ca="1" si="11"/>
        <v/>
      </c>
      <c r="AO36" s="19" t="str">
        <f ca="1">IF(LARGE(seasoneagles, ROWS(AO$8:AO36))&lt;&gt;0,LARGE(seasoneagles, ROWS(AO$8:AO36)), "")</f>
        <v/>
      </c>
      <c r="AP36" s="19" t="str">
        <f t="shared" ca="1" si="12"/>
        <v/>
      </c>
      <c r="AQ36" s="51"/>
      <c r="AR36" s="29" t="str">
        <f>IF(AS36="", "", IF(AT36&lt;&gt;AT35, ROWS(AR$7:AR35), ""))</f>
        <v/>
      </c>
      <c r="AS36" s="18" t="str" cm="1">
        <f t="array" ref="AS36">IF(AT36="","",INDEX(leagueroster, MATCH(SUMPRODUCT(LARGE((INDEX(teamlownet,,)=AT36)*(ids),COUNTIF(INDEX(teamlownet, ,), AT36)-COUNTIF(AT$8:AT36,AT36)+1)), INDEX(leagueroster, , 2), 0), 1))</f>
        <v/>
      </c>
      <c r="AT36" s="59" t="str">
        <f>IF(ROWS(AT$8:AT36)&lt;=$AR$6, SMALL(INDEX(teamlownet, ,), ROWS(AT$8:AT36)), "")</f>
        <v/>
      </c>
      <c r="AU36" s="51"/>
      <c r="AV36" s="29" t="str">
        <f>IF(AW36="", "", IF(AX36&lt;&gt;AX35, ROWS(AV$7:AV35), ""))</f>
        <v/>
      </c>
      <c r="AY36" s="51"/>
    </row>
    <row r="37" spans="1:51" x14ac:dyDescent="0.2">
      <c r="A37" s="29">
        <f ca="1">IF(B37="", "", IF(D37&lt;&gt;D36, ROWS(A$7:A36), ""))</f>
        <v>30</v>
      </c>
      <c r="B37" s="18" t="str">
        <f ca="1">IF(D37="","",INDEX(leagueroster, MATCH(SUMPRODUCT(LARGE((INDEX(lowgross, , )=D37)*(ids),COUNTIF(INDEX(lowgross, , ), D37)-COUNTIF(D$8:D37,D37)+1)), INDEX(leagueroster, , 2), 0), 1))</f>
        <v>Avery, Mike - gold tees</v>
      </c>
      <c r="C37" s="19" t="str">
        <f t="shared" ca="1" si="0"/>
        <v>ACE</v>
      </c>
      <c r="D37" s="19">
        <f ca="1">IFERROR(SMALL(INDEX(lowgross, , ), ROWS(D$8:D37)), "")</f>
        <v>49</v>
      </c>
      <c r="E37" s="19">
        <f ca="1">IF(D37="","", SUMPRODUCT(LARGE((INDEX(scores, , )=D37)*(ids=VLOOKUP(B37, leagueroster, 2, FALSE))*(weeks), COUNTIFS(D$8:D37, D37, B$8:B37, B37))))</f>
        <v>6</v>
      </c>
      <c r="F37" s="51"/>
      <c r="G37" s="29" t="str">
        <f ca="1">IF(H37="", "", IF(J37&lt;&gt;J36, ROWS(G$7:G36), ""))</f>
        <v/>
      </c>
      <c r="H37" s="18" t="str">
        <f ca="1">IF(J37="","",INDEX(leagueroster, MATCH(SUMPRODUCT(LARGE((INDEX(lownet, , )=J37)*(ids),COUNTIF(INDEX(lownet, , ), J37)-COUNTIF(J$8:J37,J37)+1)), INDEX(leagueroster, , 2), 0), 1))</f>
        <v>Miller, Russ - green tees</v>
      </c>
      <c r="I37" s="19" t="str">
        <f t="shared" ca="1" si="1"/>
        <v>MET</v>
      </c>
      <c r="J37" s="19">
        <f ca="1">IFERROR(SMALL(INDEX(lownet, , ), ROWS(J$8:J37)), "")</f>
        <v>36</v>
      </c>
      <c r="K37" s="19">
        <f ca="1">IF(J37="","", SUMPRODUCT(LARGE((INDEX(netscores, , )=J37)*(ids=VLOOKUP(H37, leagueroster, 2, FALSE))*(weeks), COUNTIFS(J$8:J37, J37, H$8:H37, H37))))</f>
        <v>16</v>
      </c>
      <c r="L37" s="51"/>
      <c r="M37" s="29">
        <f ca="1">IF(N37="", "", IF(P37&lt;&gt;P36, ROWS(M$7:M36), ""))</f>
        <v>30</v>
      </c>
      <c r="N37" s="18" t="str">
        <f ca="1">IF(P37="","",INDEX(leagueroster, MATCH(SUMPRODUCT(LARGE((INDEX(seasonptsavg, , )=P37)*(ids),COUNTIF(INDEX(seasonptsavg, , ), P37)-COUNTIF(P$8:P37,P37)+1)), INDEX(leagueroster, , 2), 0), 1))</f>
        <v>Parrish, Charlie</v>
      </c>
      <c r="O37" s="19" t="str">
        <f t="shared" ca="1" si="2"/>
        <v>ACE</v>
      </c>
      <c r="P37" s="21">
        <f ca="1">IFERROR(LARGE(seasonptsavg, ROWS(P$8:P37)), "")</f>
        <v>9.384615384615385</v>
      </c>
      <c r="Q37" s="19">
        <f t="shared" ca="1" si="3"/>
        <v>122</v>
      </c>
      <c r="R37" s="19">
        <f t="shared" ca="1" si="4"/>
        <v>12</v>
      </c>
      <c r="S37" s="51"/>
      <c r="T37" s="29">
        <f ca="1">IF(U37="", "", IF(W37&lt;&gt;W36, ROWS(T$7:T36), ""))</f>
        <v>30</v>
      </c>
      <c r="U37" s="18" t="str">
        <f ca="1">IF(W37="","",INDEX(leagueroster, MATCH(SUMPRODUCT(LARGE((INDEX(seasongross, , )=W37)*(ids),COUNTIF(INDEX(seasongross, , ), W37)-COUNTIF(W$8:W37,W37)+1)), INDEX(leagueroster, , 2), 0), 1))</f>
        <v>Fitch, Dennis - gold tees</v>
      </c>
      <c r="V37" s="19" t="str">
        <f t="shared" ca="1" si="5"/>
        <v>ACE</v>
      </c>
      <c r="W37" s="21">
        <f ca="1">IFERROR(SMALL(seasongross, ROWS(W$8:W37)), "")</f>
        <v>57</v>
      </c>
      <c r="X37" s="19">
        <f t="shared" ca="1" si="6"/>
        <v>5</v>
      </c>
      <c r="Y37" s="51"/>
      <c r="Z37" s="29">
        <f ca="1">IF(AA37="", "", IF(AC37&lt;&gt;AC36, ROWS(Z$7:Z36), ""))</f>
        <v>30</v>
      </c>
      <c r="AA37" s="18" t="str">
        <f ca="1">IF(AC37="","",INDEX(leagueroster, MATCH(SUMPRODUCT(LARGE((INDEX(seasonnet, , )=AC37)*(ids),COUNTIF(INDEX(seasonnet, , ), AC37)-COUNTIF(AC$8:AC37,AC37)+1)), INDEX(leagueroster, , 2), 0), 1))</f>
        <v>Hawkins, Rick - C</v>
      </c>
      <c r="AB37" s="19" t="str">
        <f t="shared" ca="1" si="7"/>
        <v>MMC</v>
      </c>
      <c r="AC37" s="21">
        <f ca="1">IFERROR(SMALL(seasonnet, ROWS(AC$8:AC37)), "")</f>
        <v>40.53846153846154</v>
      </c>
      <c r="AD37" s="19">
        <f t="shared" ca="1" si="8"/>
        <v>13</v>
      </c>
      <c r="AE37" s="51"/>
      <c r="AF37" s="29" t="str">
        <f ca="1">IF(AG37="", "", IF(AI37&lt;&gt;AI36, ROWS(AF$7:AF36), ""))</f>
        <v/>
      </c>
      <c r="AG37" s="18" t="str">
        <f ca="1">IF(AI37="","",INDEX(leagueroster, MATCH(SUMPRODUCT(LARGE((INDEX(seasonbirds, , )=AI37)*(ids),COUNTIF(INDEX(seasonbirds, , ), AI37)-COUNTIF(AI$8:AI37,AI37)+1)), INDEX(leagueroster, , 2), 0), 1))</f>
        <v/>
      </c>
      <c r="AH37" s="19" t="str">
        <f t="shared" ca="1" si="9"/>
        <v/>
      </c>
      <c r="AI37" s="19" t="str">
        <f ca="1">IF(LARGE(seasonbirds, ROWS(AI$8:AI37))&lt;&gt;0,LARGE(seasonbirds, ROWS(AI$8:AI37)), "")</f>
        <v/>
      </c>
      <c r="AJ37" s="19" t="str">
        <f t="shared" ca="1" si="10"/>
        <v/>
      </c>
      <c r="AK37" s="51"/>
      <c r="AL37" s="29" t="str">
        <f ca="1">IF(AM37="", "", IF(AO37&lt;&gt;AO36, ROWS(AL$7:AL36), ""))</f>
        <v/>
      </c>
      <c r="AM37" s="18" t="str" cm="1">
        <f t="array" aca="1" ref="AM37" ca="1">IF(AO37="","",INDEX(leagueroster, MATCH(SUMPRODUCT(LARGE((INDEX(seasoneagles, , )=AO37)*(ids),COUNTIF(INDEX(seasoneagles, , ), AO37)-COUNTIF(AO$8:AO37,AO37)+1)), INDEX(leagueroster, , 2), 0), 1))</f>
        <v/>
      </c>
      <c r="AN37" s="19" t="str">
        <f t="shared" ca="1" si="11"/>
        <v/>
      </c>
      <c r="AO37" s="19" t="str">
        <f ca="1">IF(LARGE(seasoneagles, ROWS(AO$8:AO37))&lt;&gt;0,LARGE(seasoneagles, ROWS(AO$8:AO37)), "")</f>
        <v/>
      </c>
      <c r="AP37" s="19" t="str">
        <f t="shared" ca="1" si="12"/>
        <v/>
      </c>
      <c r="AQ37" s="51"/>
      <c r="AR37" s="29" t="str">
        <f>IF(AS37="", "", IF(AT37&lt;&gt;AT36, ROWS(AR$7:AR36), ""))</f>
        <v/>
      </c>
      <c r="AS37" s="18" t="str" cm="1">
        <f t="array" ref="AS37">IF(AT37="","",INDEX(leagueroster, MATCH(SUMPRODUCT(LARGE((INDEX(teamlownet,,)=AT37)*(ids),COUNTIF(INDEX(teamlownet, ,), AT37)-COUNTIF(AT$8:AT37,AT37)+1)), INDEX(leagueroster, , 2), 0), 1))</f>
        <v/>
      </c>
      <c r="AT37" s="59" t="str">
        <f>IF(ROWS(AT$8:AT37)&lt;=$AR$6, SMALL(INDEX(teamlownet, ,), ROWS(AT$8:AT37)), "")</f>
        <v/>
      </c>
      <c r="AU37" s="51"/>
      <c r="AV37" s="29" t="str">
        <f>IF(AW37="", "", IF(AX37&lt;&gt;AX36, ROWS(AV$7:AV36), ""))</f>
        <v/>
      </c>
      <c r="AY37" s="51"/>
    </row>
    <row r="38" spans="1:51" x14ac:dyDescent="0.2">
      <c r="A38" s="29" t="str">
        <f ca="1">IF(B38="", "", IF(D38&lt;&gt;D37, ROWS(A$7:A37), ""))</f>
        <v/>
      </c>
      <c r="B38" s="18" t="str">
        <f ca="1">IF(D38="","",INDEX(leagueroster, MATCH(SUMPRODUCT(LARGE((INDEX(lowgross, , )=D38)*(ids),COUNTIF(INDEX(lowgross, , ), D38)-COUNTIF(D$8:D38,D38)+1)), INDEX(leagueroster, , 2), 0), 1))</f>
        <v>Buckley, Chris - gold tees</v>
      </c>
      <c r="C38" s="19" t="str">
        <f t="shared" ca="1" si="0"/>
        <v>HS</v>
      </c>
      <c r="D38" s="19">
        <f ca="1">IFERROR(SMALL(INDEX(lowgross, , ), ROWS(D$8:D38)), "")</f>
        <v>49</v>
      </c>
      <c r="E38" s="19">
        <f ca="1">IF(D38="","", SUMPRODUCT(LARGE((INDEX(scores, , )=D38)*(ids=VLOOKUP(B38, leagueroster, 2, FALSE))*(weeks), COUNTIFS(D$8:D38, D38, B$8:B38, B38))))</f>
        <v>11</v>
      </c>
      <c r="F38" s="51"/>
      <c r="G38" s="29" t="str">
        <f ca="1">IF(H38="", "", IF(J38&lt;&gt;J37, ROWS(G$7:G37), ""))</f>
        <v/>
      </c>
      <c r="H38" s="18" t="str">
        <f ca="1">IF(J38="","",INDEX(leagueroster, MATCH(SUMPRODUCT(LARGE((INDEX(lownet, , )=J38)*(ids),COUNTIF(INDEX(lownet, , ), J38)-COUNTIF(J$8:J38,J38)+1)), INDEX(leagueroster, , 2), 0), 1))</f>
        <v>Yackley, Jeff</v>
      </c>
      <c r="I38" s="19" t="str">
        <f t="shared" ca="1" si="1"/>
        <v>SUBS</v>
      </c>
      <c r="J38" s="19">
        <f ca="1">IFERROR(SMALL(INDEX(lownet, , ), ROWS(J$8:J38)), "")</f>
        <v>36</v>
      </c>
      <c r="K38" s="19">
        <f ca="1">IF(J38="","", SUMPRODUCT(LARGE((INDEX(netscores, , )=J38)*(ids=VLOOKUP(H38, leagueroster, 2, FALSE))*(weeks), COUNTIFS(J$8:J38, J38, H$8:H38, H38))))</f>
        <v>19</v>
      </c>
      <c r="L38" s="51"/>
      <c r="M38" s="29">
        <f ca="1">IF(N38="", "", IF(P38&lt;&gt;P37, ROWS(M$7:M37), ""))</f>
        <v>31</v>
      </c>
      <c r="N38" s="18" t="str">
        <f ca="1">IF(P38="","",INDEX(leagueroster, MATCH(SUMPRODUCT(LARGE((INDEX(seasonptsavg, , )=P38)*(ids),COUNTIF(INDEX(seasonptsavg, , ), P38)-COUNTIF(P$8:P38,P38)+1)), INDEX(leagueroster, , 2), 0), 1))</f>
        <v>Cox, Marcus</v>
      </c>
      <c r="O38" s="19" t="str">
        <f t="shared" ca="1" si="2"/>
        <v>HS</v>
      </c>
      <c r="P38" s="21">
        <f ca="1">IFERROR(LARGE(seasonptsavg, ROWS(P$8:P38)), "")</f>
        <v>9.3333333333333339</v>
      </c>
      <c r="Q38" s="19">
        <f t="shared" ca="1" si="3"/>
        <v>112</v>
      </c>
      <c r="R38" s="19">
        <f t="shared" ca="1" si="4"/>
        <v>11</v>
      </c>
      <c r="S38" s="51"/>
      <c r="T38" s="29">
        <f ca="1">IF(U38="", "", IF(W38&lt;&gt;W37, ROWS(T$7:T37), ""))</f>
        <v>31</v>
      </c>
      <c r="U38" s="18" t="str">
        <f ca="1">IF(W38="","",INDEX(leagueroster, MATCH(SUMPRODUCT(LARGE((INDEX(seasongross, , )=W38)*(ids),COUNTIF(INDEX(seasongross, , ), W38)-COUNTIF(W$8:W38,W38)+1)), INDEX(leagueroster, , 2), 0), 1))</f>
        <v>Dombrowski, Jerry - gold tees</v>
      </c>
      <c r="V38" s="19" t="str">
        <f t="shared" ca="1" si="5"/>
        <v>SUBS</v>
      </c>
      <c r="W38" s="21">
        <f ca="1">IFERROR(SMALL(seasongross, ROWS(W$8:W38)), "")</f>
        <v>57.375</v>
      </c>
      <c r="X38" s="19">
        <f t="shared" ca="1" si="6"/>
        <v>8</v>
      </c>
      <c r="Y38" s="51"/>
      <c r="Z38" s="29">
        <f ca="1">IF(AA38="", "", IF(AC38&lt;&gt;AC37, ROWS(Z$7:Z37), ""))</f>
        <v>31</v>
      </c>
      <c r="AA38" s="18" t="str">
        <f ca="1">IF(AC38="","",INDEX(leagueroster, MATCH(SUMPRODUCT(LARGE((INDEX(seasonnet, , )=AC38)*(ids),COUNTIF(INDEX(seasonnet, , ), AC38)-COUNTIF(AC$8:AC38,AC38)+1)), INDEX(leagueroster, , 2), 0), 1))</f>
        <v>Holzer, John</v>
      </c>
      <c r="AB38" s="19" t="str">
        <f t="shared" ca="1" si="7"/>
        <v>4P</v>
      </c>
      <c r="AC38" s="21">
        <f ca="1">IFERROR(SMALL(seasonnet, ROWS(AC$8:AC38)), "")</f>
        <v>40.6</v>
      </c>
      <c r="AD38" s="19">
        <f t="shared" ca="1" si="8"/>
        <v>10</v>
      </c>
      <c r="AE38" s="51"/>
      <c r="AF38" s="29" t="str">
        <f ca="1">IF(AG38="", "", IF(AI38&lt;&gt;AI37, ROWS(AF$7:AF37), ""))</f>
        <v/>
      </c>
      <c r="AG38" s="18" t="str">
        <f ca="1">IF(AI38="","",INDEX(leagueroster, MATCH(SUMPRODUCT(LARGE((INDEX(seasonbirds, , )=AI38)*(ids),COUNTIF(INDEX(seasonbirds, , ), AI38)-COUNTIF(AI$8:AI38,AI38)+1)), INDEX(leagueroster, , 2), 0), 1))</f>
        <v/>
      </c>
      <c r="AH38" s="19" t="str">
        <f t="shared" ca="1" si="9"/>
        <v/>
      </c>
      <c r="AI38" s="19" t="str">
        <f ca="1">IF(LARGE(seasonbirds, ROWS(AI$8:AI38))&lt;&gt;0,LARGE(seasonbirds, ROWS(AI$8:AI38)), "")</f>
        <v/>
      </c>
      <c r="AJ38" s="19" t="str">
        <f t="shared" ca="1" si="10"/>
        <v/>
      </c>
      <c r="AK38" s="51"/>
      <c r="AL38" s="29" t="str">
        <f>IF(AM38="", "", IF(AO38&lt;&gt;AO37, ROWS(AL$7:AL37), ""))</f>
        <v/>
      </c>
      <c r="AN38" s="19"/>
      <c r="AQ38" s="51"/>
      <c r="AR38" s="29" t="str">
        <f>IF(AS38="", "", IF(AT38&lt;&gt;AT37, ROWS(AR$7:AR37), ""))</f>
        <v/>
      </c>
      <c r="AS38" s="18" t="str" cm="1">
        <f t="array" ref="AS38">IF(AT38="","",INDEX(leagueroster, MATCH(SUMPRODUCT(LARGE((INDEX(teamlownet,,)=AT38)*(ids),COUNTIF(INDEX(teamlownet, ,), AT38)-COUNTIF(AT$8:AT38,AT38)+1)), INDEX(leagueroster, , 2), 0), 1))</f>
        <v/>
      </c>
      <c r="AT38" s="59" t="str">
        <f>IF(ROWS(AT$8:AT38)&lt;=$AR$6, SMALL(INDEX(teamlownet, ,), ROWS(AT$8:AT38)), "")</f>
        <v/>
      </c>
      <c r="AU38" s="51"/>
      <c r="AV38" s="29" t="str">
        <f>IF(AW38="", "", IF(AX38&lt;&gt;AX37, ROWS(AV$7:AV37), ""))</f>
        <v/>
      </c>
      <c r="AY38" s="51"/>
    </row>
    <row r="39" spans="1:51" x14ac:dyDescent="0.2">
      <c r="A39" s="29" t="str">
        <f ca="1">IF(B39="", "", IF(D39&lt;&gt;D38, ROWS(A$7:A38), ""))</f>
        <v/>
      </c>
      <c r="B39" s="18" t="str">
        <f ca="1">IF(D39="","",INDEX(leagueroster, MATCH(SUMPRODUCT(LARGE((INDEX(lowgross, , )=D39)*(ids),COUNTIF(INDEX(lowgross, , ), D39)-COUNTIF(D$8:D39,D39)+1)), INDEX(leagueroster, , 2), 0), 1))</f>
        <v>Kirkpatrick, Tom - gold tees</v>
      </c>
      <c r="C39" s="19" t="str">
        <f t="shared" ca="1" si="0"/>
        <v>STY</v>
      </c>
      <c r="D39" s="19">
        <f ca="1">IFERROR(SMALL(INDEX(lowgross, , ), ROWS(D$8:D39)), "")</f>
        <v>49</v>
      </c>
      <c r="E39" s="19">
        <f ca="1">IF(D39="","", SUMPRODUCT(LARGE((INDEX(scores, , )=D39)*(ids=VLOOKUP(B39, leagueroster, 2, FALSE))*(weeks), COUNTIFS(D$8:D39, D39, B$8:B39, B39))))</f>
        <v>19</v>
      </c>
      <c r="F39" s="51"/>
      <c r="G39" s="29" t="str">
        <f ca="1">IF(H39="", "", IF(J39&lt;&gt;J38, ROWS(G$7:G38), ""))</f>
        <v/>
      </c>
      <c r="H39" s="18" t="str">
        <f ca="1">IF(J39="","",INDEX(leagueroster, MATCH(SUMPRODUCT(LARGE((INDEX(lownet, , )=J39)*(ids),COUNTIF(INDEX(lownet, , ), J39)-COUNTIF(J$8:J39,J39)+1)), INDEX(leagueroster, , 2), 0), 1))</f>
        <v>Zbuka, Pat</v>
      </c>
      <c r="I39" s="19" t="str">
        <f t="shared" ca="1" si="1"/>
        <v>4P</v>
      </c>
      <c r="J39" s="19">
        <f ca="1">IFERROR(SMALL(INDEX(lownet, , ), ROWS(J$8:J39)), "")</f>
        <v>36</v>
      </c>
      <c r="K39" s="19">
        <f ca="1">IF(J39="","", SUMPRODUCT(LARGE((INDEX(netscores, , )=J39)*(ids=VLOOKUP(H39, leagueroster, 2, FALSE))*(weeks), COUNTIFS(J$8:J39, J39, H$8:H39, H39))))</f>
        <v>5</v>
      </c>
      <c r="L39" s="51"/>
      <c r="M39" s="29">
        <f ca="1">IF(N39="", "", IF(P39&lt;&gt;P38, ROWS(M$7:M38), ""))</f>
        <v>32</v>
      </c>
      <c r="N39" s="18" t="str">
        <f ca="1">IF(P39="","",INDEX(leagueroster, MATCH(SUMPRODUCT(LARGE((INDEX(seasonptsavg, , )=P39)*(ids),COUNTIF(INDEX(seasonptsavg, , ), P39)-COUNTIF(P$8:P39,P39)+1)), INDEX(leagueroster, , 2), 0), 1))</f>
        <v>Bond, Gregg</v>
      </c>
      <c r="O39" s="19" t="str">
        <f t="shared" ca="1" si="2"/>
        <v>WYC</v>
      </c>
      <c r="P39" s="21">
        <f ca="1">IFERROR(LARGE(seasonptsavg, ROWS(P$8:P39)), "")</f>
        <v>9.0833333333333339</v>
      </c>
      <c r="Q39" s="19">
        <f t="shared" ca="1" si="3"/>
        <v>109</v>
      </c>
      <c r="R39" s="19">
        <f t="shared" ca="1" si="4"/>
        <v>11</v>
      </c>
      <c r="S39" s="51"/>
      <c r="T39" s="29">
        <f ca="1">IF(U39="", "", IF(W39&lt;&gt;W38, ROWS(T$7:T38), ""))</f>
        <v>32</v>
      </c>
      <c r="U39" s="18" t="str">
        <f ca="1">IF(W39="","",INDEX(leagueroster, MATCH(SUMPRODUCT(LARGE((INDEX(seasongross, , )=W39)*(ids),COUNTIF(INDEX(seasongross, , ), W39)-COUNTIF(W$8:W39,W39)+1)), INDEX(leagueroster, , 2), 0), 1))</f>
        <v>Cox, Marcus</v>
      </c>
      <c r="V39" s="19" t="str">
        <f t="shared" ca="1" si="5"/>
        <v>HS</v>
      </c>
      <c r="W39" s="21">
        <f ca="1">IFERROR(SMALL(seasongross, ROWS(W$8:W39)), "")</f>
        <v>58.545454545454547</v>
      </c>
      <c r="X39" s="19">
        <f t="shared" ca="1" si="6"/>
        <v>11</v>
      </c>
      <c r="Y39" s="51"/>
      <c r="Z39" s="29">
        <f ca="1">IF(AA39="", "", IF(AC39&lt;&gt;AC38, ROWS(Z$7:Z38), ""))</f>
        <v>32</v>
      </c>
      <c r="AA39" s="18" t="str">
        <f ca="1">IF(AC39="","",INDEX(leagueroster, MATCH(SUMPRODUCT(LARGE((INDEX(seasonnet, , )=AC39)*(ids),COUNTIF(INDEX(seasonnet, , ), AC39)-COUNTIF(AC$8:AC39,AC39)+1)), INDEX(leagueroster, , 2), 0), 1))</f>
        <v>Zbuka, Pat</v>
      </c>
      <c r="AB39" s="19" t="str">
        <f t="shared" ca="1" si="7"/>
        <v>4P</v>
      </c>
      <c r="AC39" s="21">
        <f ca="1">IFERROR(SMALL(seasonnet, ROWS(AC$8:AC39)), "")</f>
        <v>40.714285714285715</v>
      </c>
      <c r="AD39" s="19">
        <f t="shared" ca="1" si="8"/>
        <v>7</v>
      </c>
      <c r="AE39" s="51"/>
      <c r="AF39" s="29" t="str">
        <f ca="1">IF(AG39="", "", IF(AI39&lt;&gt;AI38, ROWS(AF$7:AF38), ""))</f>
        <v/>
      </c>
      <c r="AG39" s="18" t="str">
        <f ca="1">IF(AI39="","",INDEX(leagueroster, MATCH(SUMPRODUCT(LARGE((INDEX(seasonbirds, , )=AI39)*(ids),COUNTIF(INDEX(seasonbirds, , ), AI39)-COUNTIF(AI$8:AI39,AI39)+1)), INDEX(leagueroster, , 2), 0), 1))</f>
        <v/>
      </c>
      <c r="AH39" s="19" t="str">
        <f t="shared" ca="1" si="9"/>
        <v/>
      </c>
      <c r="AI39" s="19" t="str">
        <f ca="1">IF(LARGE(seasonbirds, ROWS(AI$8:AI39))&lt;&gt;0,LARGE(seasonbirds, ROWS(AI$8:AI39)), "")</f>
        <v/>
      </c>
      <c r="AJ39" s="19" t="str">
        <f t="shared" ca="1" si="10"/>
        <v/>
      </c>
      <c r="AK39" s="51"/>
      <c r="AL39" s="29" t="str">
        <f>IF(AM39="", "", IF(AO39&lt;&gt;AO38, ROWS(AL$7:AL38), ""))</f>
        <v/>
      </c>
      <c r="AN39" s="19"/>
      <c r="AQ39" s="51"/>
      <c r="AR39" s="29" t="str">
        <f>IF(AS39="", "", IF(AT39&lt;&gt;AT38, ROWS(AR$7:AR38), ""))</f>
        <v/>
      </c>
      <c r="AS39" s="18" t="str" cm="1">
        <f t="array" ref="AS39">IF(AT39="","",INDEX(leagueroster, MATCH(SUMPRODUCT(LARGE((INDEX(teamlownet,,)=AT39)*(ids),COUNTIF(INDEX(teamlownet, ,), AT39)-COUNTIF(AT$8:AT39,AT39)+1)), INDEX(leagueroster, , 2), 0), 1))</f>
        <v/>
      </c>
      <c r="AT39" s="59" t="str">
        <f>IF(ROWS(AT$8:AT39)&lt;=$AR$6, SMALL(INDEX(teamlownet, ,), ROWS(AT$8:AT39)), "")</f>
        <v/>
      </c>
      <c r="AU39" s="51"/>
      <c r="AV39" s="29" t="str">
        <f>IF(AW39="", "", IF(AX39&lt;&gt;AX38, ROWS(AV$7:AV38), ""))</f>
        <v/>
      </c>
      <c r="AY39" s="51"/>
    </row>
    <row r="40" spans="1:51" x14ac:dyDescent="0.2">
      <c r="A40" s="29" t="str">
        <f ca="1">IF(B40="", "", IF(D40&lt;&gt;D39, ROWS(A$7:A39), ""))</f>
        <v/>
      </c>
      <c r="B40" s="18" t="str">
        <f ca="1">IF(D40="","",INDEX(leagueroster, MATCH(SUMPRODUCT(LARGE((INDEX(lowgross, , )=D40)*(ids),COUNTIF(INDEX(lowgross, , ), D40)-COUNTIF(D$8:D40,D40)+1)), INDEX(leagueroster, , 2), 0), 1))</f>
        <v>Smith, Steve - gold tees</v>
      </c>
      <c r="C40" s="19" t="str">
        <f t="shared" ref="C40:C48" ca="1" si="13">IF(B40="", "", VLOOKUP(B40, leagueroster, 3, FALSE))</f>
        <v>MMC</v>
      </c>
      <c r="D40" s="19">
        <f ca="1">IFERROR(SMALL(INDEX(lowgross, , ), ROWS(D$8:D40)), "")</f>
        <v>49</v>
      </c>
      <c r="E40" s="19">
        <f ca="1">IF(D40="","", SUMPRODUCT(LARGE((INDEX(scores, , )=D40)*(ids=VLOOKUP(B40, leagueroster, 2, FALSE))*(weeks), COUNTIFS(D$8:D40, D40, B$8:B40, B40))))</f>
        <v>17</v>
      </c>
      <c r="F40" s="51"/>
      <c r="G40" s="29">
        <f ca="1">IF(H40="", "", IF(J40&lt;&gt;J39, ROWS(G$7:G39), ""))</f>
        <v>33</v>
      </c>
      <c r="H40" s="18" t="str">
        <f ca="1">IF(J40="","",INDEX(leagueroster, MATCH(SUMPRODUCT(LARGE((INDEX(lownet, , )=J40)*(ids),COUNTIF(INDEX(lownet, , ), J40)-COUNTIF(J$8:J40,J40)+1)), INDEX(leagueroster, , 2), 0), 1))</f>
        <v>Albaugh, Dick - green tees</v>
      </c>
      <c r="I40" s="19" t="str">
        <f t="shared" ref="I40:I48" ca="1" si="14">IF(H40="", "", VLOOKUP(H40, leagueroster, 3, FALSE))</f>
        <v>SUBS</v>
      </c>
      <c r="J40" s="19">
        <f ca="1">IFERROR(SMALL(INDEX(lownet, , ), ROWS(J$8:J40)), "")</f>
        <v>37</v>
      </c>
      <c r="K40" s="19">
        <f ca="1">IF(J40="","", SUMPRODUCT(LARGE((INDEX(netscores, , )=J40)*(ids=VLOOKUP(H40, leagueroster, 2, FALSE))*(weeks), COUNTIFS(J$8:J40, J40, H$8:H40, H40))))</f>
        <v>11</v>
      </c>
      <c r="L40" s="51"/>
      <c r="M40" s="29">
        <f ca="1">IF(N40="", "", IF(P40&lt;&gt;P39, ROWS(M$7:M39), ""))</f>
        <v>33</v>
      </c>
      <c r="N40" s="18" t="str">
        <f ca="1">IF(P40="","",INDEX(leagueroster, MATCH(SUMPRODUCT(LARGE((INDEX(seasonptsavg, , )=P40)*(ids),COUNTIF(INDEX(seasonptsavg, , ), P40)-COUNTIF(P$8:P40,P40)+1)), INDEX(leagueroster, , 2), 0), 1))</f>
        <v>Buckley, Chris - gold tees</v>
      </c>
      <c r="O40" s="19" t="str">
        <f t="shared" ref="O40:O47" ca="1" si="15">IF(N40="", "", VLOOKUP(N40, leagueroster, 3, FALSE))</f>
        <v>HS</v>
      </c>
      <c r="P40" s="21">
        <f ca="1">IFERROR(LARGE(seasonptsavg, ROWS(P$8:P40)), "")</f>
        <v>9.0666666666666664</v>
      </c>
      <c r="Q40" s="19">
        <f t="shared" ref="Q40:Q47" ca="1" si="16">IF(N40="", "", INDEX(seasonpts, MATCH(VLOOKUP(N40, leagueroster, 2, FALSE), ids, 0), ))</f>
        <v>136</v>
      </c>
      <c r="R40" s="19">
        <f t="shared" ref="R40:R47" ca="1" si="17">IF(N40="", "", INDEX(seasonrds, MATCH(VLOOKUP(N40, leagueroster, 2, FALSE), ids, 0), ))</f>
        <v>15</v>
      </c>
      <c r="S40" s="51"/>
      <c r="T40" s="29">
        <f ca="1">IF(U40="", "", IF(W40&lt;&gt;W39, ROWS(T$7:T39), ""))</f>
        <v>33</v>
      </c>
      <c r="U40" s="18" t="str">
        <f ca="1">IF(W40="","",INDEX(leagueroster, MATCH(SUMPRODUCT(LARGE((INDEX(seasongross, , )=W40)*(ids),COUNTIF(INDEX(seasongross, , ), W40)-COUNTIF(W$8:W40,W40)+1)), INDEX(leagueroster, , 2), 0), 1))</f>
        <v>Hawkins, Rick - C</v>
      </c>
      <c r="V40" s="19" t="str">
        <f t="shared" ref="V40:V48" ca="1" si="18">IF(U40="", "", VLOOKUP(U40, leagueroster, 3, FALSE))</f>
        <v>MMC</v>
      </c>
      <c r="W40" s="21">
        <f ca="1">IFERROR(SMALL(seasongross, ROWS(W$8:W40)), "")</f>
        <v>59</v>
      </c>
      <c r="X40" s="19">
        <f t="shared" ref="X40:X48" ca="1" si="19">IF(U40="", "", INDEX(seasonrds, MATCH(VLOOKUP(U40, leagueroster, 2, FALSE), ids, 0), ))</f>
        <v>13</v>
      </c>
      <c r="Y40" s="51"/>
      <c r="Z40" s="29">
        <f ca="1">IF(AA40="", "", IF(AC40&lt;&gt;AC39, ROWS(Z$7:Z39), ""))</f>
        <v>33</v>
      </c>
      <c r="AA40" s="18" t="str">
        <f ca="1">IF(AC40="","",INDEX(leagueroster, MATCH(SUMPRODUCT(LARGE((INDEX(seasonnet, , )=AC40)*(ids),COUNTIF(INDEX(seasonnet, , ), AC40)-COUNTIF(AC$8:AC40,AC40)+1)), INDEX(leagueroster, , 2), 0), 1))</f>
        <v>Newsome, Gregg - gold tees</v>
      </c>
      <c r="AB40" s="19" t="str">
        <f t="shared" ref="AB40:AB47" ca="1" si="20">IF(AA40="", "", VLOOKUP(AA40, leagueroster, 3, FALSE))</f>
        <v>HS</v>
      </c>
      <c r="AC40" s="21">
        <f ca="1">IFERROR(SMALL(seasonnet, ROWS(AC$8:AC40)), "")</f>
        <v>40.785714285714285</v>
      </c>
      <c r="AD40" s="19">
        <f t="shared" ref="AD40:AD47" ca="1" si="21">IF(AA40="", "", INDEX(seasonrds, MATCH(VLOOKUP(AA40, leagueroster, 2, FALSE), ids, 0), ))</f>
        <v>14</v>
      </c>
      <c r="AE40" s="51"/>
      <c r="AF40" s="29" t="str">
        <f ca="1">IF(AG40="", "", IF(AI40&lt;&gt;AI39, ROWS(AF$7:AF39), ""))</f>
        <v/>
      </c>
      <c r="AG40" s="18" t="str">
        <f ca="1">IF(AI40="","",INDEX(leagueroster, MATCH(SUMPRODUCT(LARGE((INDEX(seasonbirds, , )=AI40)*(ids),COUNTIF(INDEX(seasonbirds, , ), AI40)-COUNTIF(AI$8:AI40,AI40)+1)), INDEX(leagueroster, , 2), 0), 1))</f>
        <v/>
      </c>
      <c r="AH40" s="19" t="str">
        <f t="shared" ref="AH40:AH48" ca="1" si="22">IF(AG40="", "", VLOOKUP(AG40, leagueroster, 3, FALSE))</f>
        <v/>
      </c>
      <c r="AI40" s="19" t="str">
        <f ca="1">IF(LARGE(seasonbirds, ROWS(AI$8:AI40))&lt;&gt;0,LARGE(seasonbirds, ROWS(AI$8:AI40)), "")</f>
        <v/>
      </c>
      <c r="AJ40" s="19" t="str">
        <f t="shared" ref="AJ40:AJ48" ca="1" si="23">IF(AG40="", "", INDEX(seasonrds, MATCH(VLOOKUP(AG40, leagueroster, 2, FALSE), ids, 0), ))</f>
        <v/>
      </c>
      <c r="AK40" s="51"/>
      <c r="AL40" s="29" t="str">
        <f>IF(AM40="", "", IF(AO40&lt;&gt;AO39, ROWS(AL$7:AL39), ""))</f>
        <v/>
      </c>
      <c r="AN40" s="19"/>
      <c r="AQ40" s="51"/>
      <c r="AR40" s="29" t="str">
        <f>IF(AS40="", "", IF(AT40&lt;&gt;AT39, ROWS(AR$7:AR39), ""))</f>
        <v/>
      </c>
      <c r="AS40" s="18" t="str" cm="1">
        <f t="array" ref="AS40">IF(AT40="","",INDEX(leagueroster, MATCH(SUMPRODUCT(LARGE((INDEX(teamlownet,,)=AT40)*(ids),COUNTIF(INDEX(teamlownet, ,), AT40)-COUNTIF(AT$8:AT40,AT40)+1)), INDEX(leagueroster, , 2), 0), 1))</f>
        <v/>
      </c>
      <c r="AT40" s="59" t="str">
        <f>IF(ROWS(AT$8:AT40)&lt;=$AR$6, SMALL(INDEX(teamlownet, ,), ROWS(AT$8:AT40)), "")</f>
        <v/>
      </c>
      <c r="AU40" s="51"/>
      <c r="AV40" s="29" t="str">
        <f>IF(AW40="", "", IF(AX40&lt;&gt;AX39, ROWS(AV$7:AV39), ""))</f>
        <v/>
      </c>
      <c r="AY40" s="51"/>
    </row>
    <row r="41" spans="1:51" x14ac:dyDescent="0.2">
      <c r="A41" s="29" t="str">
        <f ca="1">IF(B41="", "", IF(D41&lt;&gt;D40, ROWS(A$7:A40), ""))</f>
        <v/>
      </c>
      <c r="B41" s="18" t="str">
        <f ca="1">IF(D41="","",INDEX(leagueroster, MATCH(SUMPRODUCT(LARGE((INDEX(lowgross, , )=D41)*(ids),COUNTIF(INDEX(lowgross, , ), D41)-COUNTIF(D$8:D41,D41)+1)), INDEX(leagueroster, , 2), 0), 1))</f>
        <v>Spoonemore, Joe</v>
      </c>
      <c r="C41" s="19" t="str">
        <f t="shared" ca="1" si="13"/>
        <v>MMC</v>
      </c>
      <c r="D41" s="19">
        <f ca="1">IFERROR(SMALL(INDEX(lowgross, , ), ROWS(D$8:D41)), "")</f>
        <v>49</v>
      </c>
      <c r="E41" s="19">
        <f ca="1">IF(D41="","", SUMPRODUCT(LARGE((INDEX(scores, , )=D41)*(ids=VLOOKUP(B41, leagueroster, 2, FALSE))*(weeks), COUNTIFS(D$8:D41, D41, B$8:B41, B41))))</f>
        <v>6</v>
      </c>
      <c r="F41" s="51"/>
      <c r="G41" s="29" t="str">
        <f ca="1">IF(H41="", "", IF(J41&lt;&gt;J40, ROWS(G$7:G40), ""))</f>
        <v/>
      </c>
      <c r="H41" s="18" t="str">
        <f ca="1">IF(J41="","",INDEX(leagueroster, MATCH(SUMPRODUCT(LARGE((INDEX(lownet, , )=J41)*(ids),COUNTIF(INDEX(lownet, , ), J41)-COUNTIF(J$8:J41,J41)+1)), INDEX(leagueroster, , 2), 0), 1))</f>
        <v>Preising, Danny</v>
      </c>
      <c r="I41" s="19" t="str">
        <f t="shared" ca="1" si="14"/>
        <v>SUBS</v>
      </c>
      <c r="J41" s="19">
        <f ca="1">IFERROR(SMALL(INDEX(lownet, , ), ROWS(J$8:J41)), "")</f>
        <v>37</v>
      </c>
      <c r="K41" s="19">
        <f ca="1">IF(J41="","", SUMPRODUCT(LARGE((INDEX(netscores, , )=J41)*(ids=VLOOKUP(H41, leagueroster, 2, FALSE))*(weeks), COUNTIFS(J$8:J41, J41, H$8:H41, H41))))</f>
        <v>10</v>
      </c>
      <c r="L41" s="51"/>
      <c r="M41" s="29">
        <f ca="1">IF(N41="", "", IF(P41&lt;&gt;P40, ROWS(M$7:M40), ""))</f>
        <v>34</v>
      </c>
      <c r="N41" s="18" t="str">
        <f ca="1">IF(P41="","",INDEX(leagueroster, MATCH(SUMPRODUCT(LARGE((INDEX(seasonptsavg, , )=P41)*(ids),COUNTIF(INDEX(seasonptsavg, , ), P41)-COUNTIF(P$8:P41,P41)+1)), INDEX(leagueroster, , 2), 0), 1))</f>
        <v>Miller, Russ - green tees</v>
      </c>
      <c r="O41" s="19" t="str">
        <f t="shared" ca="1" si="15"/>
        <v>MET</v>
      </c>
      <c r="P41" s="21">
        <f ca="1">IFERROR(LARGE(seasonptsavg, ROWS(P$8:P41)), "")</f>
        <v>8.75</v>
      </c>
      <c r="Q41" s="19">
        <f t="shared" ca="1" si="16"/>
        <v>70</v>
      </c>
      <c r="R41" s="19">
        <f t="shared" ca="1" si="17"/>
        <v>9</v>
      </c>
      <c r="S41" s="51"/>
      <c r="T41" s="29">
        <f ca="1">IF(U41="", "", IF(W41&lt;&gt;W40, ROWS(T$7:T40), ""))</f>
        <v>34</v>
      </c>
      <c r="U41" s="18" t="str">
        <f ca="1">IF(W41="","",INDEX(leagueroster, MATCH(SUMPRODUCT(LARGE((INDEX(seasongross, , )=W41)*(ids),COUNTIF(INDEX(seasongross, , ), W41)-COUNTIF(W$8:W41,W41)+1)), INDEX(leagueroster, , 2), 0), 1))</f>
        <v>Newsome, Gregg - gold tees</v>
      </c>
      <c r="V41" s="19" t="str">
        <f t="shared" ca="1" si="18"/>
        <v>HS</v>
      </c>
      <c r="W41" s="21">
        <f ca="1">IFERROR(SMALL(seasongross, ROWS(W$8:W41)), "")</f>
        <v>59.214285714285715</v>
      </c>
      <c r="X41" s="19">
        <f t="shared" ca="1" si="19"/>
        <v>14</v>
      </c>
      <c r="Y41" s="51"/>
      <c r="Z41" s="29">
        <f ca="1">IF(AA41="", "", IF(AC41&lt;&gt;AC40, ROWS(Z$7:Z40), ""))</f>
        <v>34</v>
      </c>
      <c r="AA41" s="18" t="str">
        <f ca="1">IF(AC41="","",INDEX(leagueroster, MATCH(SUMPRODUCT(LARGE((INDEX(seasonnet, , )=AC41)*(ids),COUNTIF(INDEX(seasonnet, , ), AC41)-COUNTIF(AC$8:AC41,AC41)+1)), INDEX(leagueroster, , 2), 0), 1))</f>
        <v>Buckley, Chris - gold tees</v>
      </c>
      <c r="AB41" s="19" t="str">
        <f t="shared" ca="1" si="20"/>
        <v>HS</v>
      </c>
      <c r="AC41" s="21">
        <f ca="1">IFERROR(SMALL(seasonnet, ROWS(AC$8:AC41)), "")</f>
        <v>41.06666666666667</v>
      </c>
      <c r="AD41" s="19">
        <f t="shared" ca="1" si="21"/>
        <v>15</v>
      </c>
      <c r="AE41" s="51"/>
      <c r="AF41" s="29" t="str">
        <f ca="1">IF(AG41="", "", IF(AI41&lt;&gt;AI40, ROWS(AF$7:AF40), ""))</f>
        <v/>
      </c>
      <c r="AG41" s="18" t="str">
        <f ca="1">IF(AI41="","",INDEX(leagueroster, MATCH(SUMPRODUCT(LARGE((INDEX(seasonbirds, , )=AI41)*(ids),COUNTIF(INDEX(seasonbirds, , ), AI41)-COUNTIF(AI$8:AI41,AI41)+1)), INDEX(leagueroster, , 2), 0), 1))</f>
        <v/>
      </c>
      <c r="AH41" s="19" t="str">
        <f t="shared" ca="1" si="22"/>
        <v/>
      </c>
      <c r="AI41" s="19" t="str">
        <f ca="1">IF(LARGE(seasonbirds, ROWS(AI$8:AI41))&lt;&gt;0,LARGE(seasonbirds, ROWS(AI$8:AI41)), "")</f>
        <v/>
      </c>
      <c r="AJ41" s="19" t="str">
        <f t="shared" ca="1" si="23"/>
        <v/>
      </c>
      <c r="AK41" s="51"/>
      <c r="AL41" s="29" t="str">
        <f>IF(AM41="", "", IF(AO41&lt;&gt;AO40, ROWS(AL$7:AL40), ""))</f>
        <v/>
      </c>
      <c r="AN41" s="19"/>
      <c r="AQ41" s="51"/>
      <c r="AR41" s="29" t="str">
        <f>IF(AS41="", "", IF(AT41&lt;&gt;AT40, ROWS(AR$7:AR40), ""))</f>
        <v/>
      </c>
      <c r="AS41" s="18" t="str" cm="1">
        <f t="array" ref="AS41">IF(AT41="","",INDEX(leagueroster, MATCH(SUMPRODUCT(LARGE((INDEX(teamlownet,,)=AT41)*(ids),COUNTIF(INDEX(teamlownet, ,), AT41)-COUNTIF(AT$8:AT41,AT41)+1)), INDEX(leagueroster, , 2), 0), 1))</f>
        <v/>
      </c>
      <c r="AT41" s="59" t="str">
        <f>IF(ROWS(AT$8:AT41)&lt;=$AR$6, SMALL(INDEX(teamlownet, ,), ROWS(AT$8:AT41)), "")</f>
        <v/>
      </c>
      <c r="AU41" s="51"/>
      <c r="AV41" s="29" t="str">
        <f>IF(AW41="", "", IF(AX41&lt;&gt;AX40, ROWS(AV$7:AV40), ""))</f>
        <v/>
      </c>
      <c r="AY41" s="51"/>
    </row>
    <row r="42" spans="1:51" x14ac:dyDescent="0.2">
      <c r="A42" s="29">
        <f ca="1">IF(B42="", "", IF(D42&lt;&gt;D41, ROWS(A$7:A41), ""))</f>
        <v>35</v>
      </c>
      <c r="B42" s="18" t="str">
        <f ca="1">IF(D42="","",INDEX(leagueroster, MATCH(SUMPRODUCT(LARGE((INDEX(lowgross, , )=D42)*(ids),COUNTIF(INDEX(lowgross, , ), D42)-COUNTIF(D$8:D42,D42)+1)), INDEX(leagueroster, , 2), 0), 1))</f>
        <v>Haslar, Dave - gold tees</v>
      </c>
      <c r="C42" s="19" t="str">
        <f t="shared" ca="1" si="13"/>
        <v>SUBS</v>
      </c>
      <c r="D42" s="19">
        <f ca="1">IFERROR(SMALL(INDEX(lowgross, , ), ROWS(D$8:D42)), "")</f>
        <v>50</v>
      </c>
      <c r="E42" s="19">
        <f ca="1">IF(D42="","", SUMPRODUCT(LARGE((INDEX(scores, , )=D42)*(ids=VLOOKUP(B42, leagueroster, 2, FALSE))*(weeks), COUNTIFS(D$8:D42, D42, B$8:B42, B42))))</f>
        <v>6</v>
      </c>
      <c r="F42" s="51"/>
      <c r="G42" s="29" t="str">
        <f ca="1">IF(H42="", "", IF(J42&lt;&gt;J41, ROWS(G$7:G41), ""))</f>
        <v/>
      </c>
      <c r="H42" s="18" t="str">
        <f ca="1">IF(J42="","",INDEX(leagueroster, MATCH(SUMPRODUCT(LARGE((INDEX(lownet, , )=J42)*(ids),COUNTIF(INDEX(lownet, , ), J42)-COUNTIF(J$8:J42,J42)+1)), INDEX(leagueroster, , 2), 0), 1))</f>
        <v>Spoonemore, Joe</v>
      </c>
      <c r="I42" s="19" t="str">
        <f t="shared" ca="1" si="14"/>
        <v>MMC</v>
      </c>
      <c r="J42" s="19">
        <f ca="1">IFERROR(SMALL(INDEX(lownet, , ), ROWS(J$8:J42)), "")</f>
        <v>37</v>
      </c>
      <c r="K42" s="19">
        <f ca="1">IF(J42="","", SUMPRODUCT(LARGE((INDEX(netscores, , )=J42)*(ids=VLOOKUP(H42, leagueroster, 2, FALSE))*(weeks), COUNTIFS(J$8:J42, J42, H$8:H42, H42))))</f>
        <v>17</v>
      </c>
      <c r="L42" s="51"/>
      <c r="M42" s="29">
        <f ca="1">IF(N42="", "", IF(P42&lt;&gt;P41, ROWS(M$7:M41), ""))</f>
        <v>35</v>
      </c>
      <c r="N42" s="18" t="str">
        <f ca="1">IF(P42="","",INDEX(leagueroster, MATCH(SUMPRODUCT(LARGE((INDEX(seasonptsavg, , )=P42)*(ids),COUNTIF(INDEX(seasonptsavg, , ), P42)-COUNTIF(P$8:P42,P42)+1)), INDEX(leagueroster, , 2), 0), 1))</f>
        <v>Spoonemore, Joe</v>
      </c>
      <c r="O42" s="19" t="str">
        <f t="shared" ca="1" si="15"/>
        <v>MMC</v>
      </c>
      <c r="P42" s="21">
        <f ca="1">IFERROR(LARGE(seasonptsavg, ROWS(P$8:P42)), "")</f>
        <v>8.4615384615384617</v>
      </c>
      <c r="Q42" s="19">
        <f t="shared" ca="1" si="16"/>
        <v>110</v>
      </c>
      <c r="R42" s="19">
        <f t="shared" ca="1" si="17"/>
        <v>13</v>
      </c>
      <c r="S42" s="51"/>
      <c r="T42" s="29">
        <f ca="1">IF(U42="", "", IF(W42&lt;&gt;W41, ROWS(T$7:T41), ""))</f>
        <v>35</v>
      </c>
      <c r="U42" s="18" t="str">
        <f ca="1">IF(W42="","",INDEX(leagueroster, MATCH(SUMPRODUCT(LARGE((INDEX(seasongross, , )=W42)*(ids),COUNTIF(INDEX(seasongross, , ), W42)-COUNTIF(W$8:W42,W42)+1)), INDEX(leagueroster, , 2), 0), 1))</f>
        <v>Howe, Fred - gold tees</v>
      </c>
      <c r="V42" s="19" t="str">
        <f t="shared" ca="1" si="18"/>
        <v>WYC</v>
      </c>
      <c r="W42" s="21">
        <f ca="1">IFERROR(SMALL(seasongross, ROWS(W$8:W42)), "")</f>
        <v>72</v>
      </c>
      <c r="X42" s="19">
        <f t="shared" ca="1" si="19"/>
        <v>5</v>
      </c>
      <c r="Y42" s="51"/>
      <c r="Z42" s="29">
        <f ca="1">IF(AA42="", "", IF(AC42&lt;&gt;AC41, ROWS(Z$7:Z41), ""))</f>
        <v>35</v>
      </c>
      <c r="AA42" s="18" t="str">
        <f ca="1">IF(AC42="","",INDEX(leagueroster, MATCH(SUMPRODUCT(LARGE((INDEX(seasonnet, , )=AC42)*(ids),COUNTIF(INDEX(seasonnet, , ), AC42)-COUNTIF(AC$8:AC42,AC42)+1)), INDEX(leagueroster, , 2), 0), 1))</f>
        <v>Bond, Gregg</v>
      </c>
      <c r="AB42" s="19" t="str">
        <f t="shared" ca="1" si="20"/>
        <v>WYC</v>
      </c>
      <c r="AC42" s="21">
        <f ca="1">IFERROR(SMALL(seasonnet, ROWS(AC$8:AC42)), "")</f>
        <v>41.18181818181818</v>
      </c>
      <c r="AD42" s="19">
        <f t="shared" ca="1" si="21"/>
        <v>11</v>
      </c>
      <c r="AE42" s="51"/>
      <c r="AF42" s="29" t="str">
        <f ca="1">IF(AG42="", "", IF(AI42&lt;&gt;AI41, ROWS(AF$7:AF41), ""))</f>
        <v/>
      </c>
      <c r="AG42" s="18" t="str">
        <f ca="1">IF(AI42="","",INDEX(leagueroster, MATCH(SUMPRODUCT(LARGE((INDEX(seasonbirds, , )=AI42)*(ids),COUNTIF(INDEX(seasonbirds, , ), AI42)-COUNTIF(AI$8:AI42,AI42)+1)), INDEX(leagueroster, , 2), 0), 1))</f>
        <v/>
      </c>
      <c r="AH42" s="19" t="str">
        <f t="shared" ca="1" si="22"/>
        <v/>
      </c>
      <c r="AI42" s="19" t="str">
        <f ca="1">IF(LARGE(seasonbirds, ROWS(AI$8:AI42))&lt;&gt;0,LARGE(seasonbirds, ROWS(AI$8:AI42)), "")</f>
        <v/>
      </c>
      <c r="AJ42" s="19" t="str">
        <f t="shared" ca="1" si="23"/>
        <v/>
      </c>
      <c r="AK42" s="51"/>
      <c r="AL42" s="29" t="str">
        <f>IF(AM42="", "", IF(AO42&lt;&gt;AO41, ROWS(AL$7:AL41), ""))</f>
        <v/>
      </c>
      <c r="AN42" s="19"/>
      <c r="AQ42" s="51"/>
      <c r="AR42" s="29" t="str">
        <f>IF(AS42="", "", IF(AT42&lt;&gt;AT41, ROWS(AR$7:AR41), ""))</f>
        <v/>
      </c>
      <c r="AS42" s="18" t="str" cm="1">
        <f t="array" ref="AS42">IF(AT42="","",INDEX(leagueroster, MATCH(SUMPRODUCT(LARGE((INDEX(teamlownet,,)=AT42)*(ids),COUNTIF(INDEX(teamlownet, ,), AT42)-COUNTIF(AT$8:AT42,AT42)+1)), INDEX(leagueroster, , 2), 0), 1))</f>
        <v/>
      </c>
      <c r="AT42" s="59" t="str">
        <f>IF(ROWS(AT$8:AT42)&lt;=$AR$6, SMALL(INDEX(teamlownet, ,), ROWS(AT$8:AT42)), "")</f>
        <v/>
      </c>
      <c r="AU42" s="51"/>
      <c r="AV42" s="29" t="str">
        <f>IF(AW42="", "", IF(AX42&lt;&gt;AX41, ROWS(AV$7:AV41), ""))</f>
        <v/>
      </c>
      <c r="AY42" s="51"/>
    </row>
    <row r="43" spans="1:51" x14ac:dyDescent="0.2">
      <c r="A43" s="29" t="str">
        <f ca="1">IF(B43="", "", IF(D43&lt;&gt;D42, ROWS(A$7:A42), ""))</f>
        <v/>
      </c>
      <c r="B43" s="18" t="str">
        <f ca="1">IF(D43="","",INDEX(leagueroster, MATCH(SUMPRODUCT(LARGE((INDEX(lowgross, , )=D43)*(ids),COUNTIF(INDEX(lowgross, , ), D43)-COUNTIF(D$8:D43,D43)+1)), INDEX(leagueroster, , 2), 0), 1))</f>
        <v>Lapole, Chris - C - gold tees</v>
      </c>
      <c r="C43" s="19" t="str">
        <f t="shared" ca="1" si="13"/>
        <v>STY</v>
      </c>
      <c r="D43" s="19">
        <f ca="1">IFERROR(SMALL(INDEX(lowgross, , ), ROWS(D$8:D43)), "")</f>
        <v>50</v>
      </c>
      <c r="E43" s="19">
        <f ca="1">IF(D43="","", SUMPRODUCT(LARGE((INDEX(scores, , )=D43)*(ids=VLOOKUP(B43, leagueroster, 2, FALSE))*(weeks), COUNTIFS(D$8:D43, D43, B$8:B43, B43))))</f>
        <v>19</v>
      </c>
      <c r="F43" s="51"/>
      <c r="G43" s="29">
        <f ca="1">IF(H43="", "", IF(J43&lt;&gt;J42, ROWS(G$7:G42), ""))</f>
        <v>36</v>
      </c>
      <c r="H43" s="18" t="str">
        <f ca="1">IF(J43="","",INDEX(leagueroster, MATCH(SUMPRODUCT(LARGE((INDEX(lownet, , )=J43)*(ids),COUNTIF(INDEX(lownet, , ), J43)-COUNTIF(J$8:J43,J43)+1)), INDEX(leagueroster, , 2), 0), 1))</f>
        <v>Blind Draw #1</v>
      </c>
      <c r="I43" s="19" t="str">
        <f t="shared" ca="1" si="14"/>
        <v>BD</v>
      </c>
      <c r="J43" s="19">
        <f ca="1">IFERROR(SMALL(INDEX(lownet, , ), ROWS(J$8:J43)), "")</f>
        <v>38</v>
      </c>
      <c r="K43" s="19">
        <f ca="1">IF(J43="","", SUMPRODUCT(LARGE((INDEX(netscores, , )=J43)*(ids=VLOOKUP(H43, leagueroster, 2, FALSE))*(weeks), COUNTIFS(J$8:J43, J43, H$8:H43, H43))))</f>
        <v>17</v>
      </c>
      <c r="L43" s="51"/>
      <c r="M43" s="29">
        <f ca="1">IF(N43="", "", IF(P43&lt;&gt;P42, ROWS(M$7:M42), ""))</f>
        <v>36</v>
      </c>
      <c r="N43" s="18" t="str">
        <f ca="1">IF(P43="","",INDEX(leagueroster, MATCH(SUMPRODUCT(LARGE((INDEX(seasonptsavg, , )=P43)*(ids),COUNTIF(INDEX(seasonptsavg, , ), P43)-COUNTIF(P$8:P43,P43)+1)), INDEX(leagueroster, , 2), 0), 1))</f>
        <v>Reed, Rich</v>
      </c>
      <c r="O43" s="19" t="str">
        <f t="shared" ca="1" si="15"/>
        <v>4P</v>
      </c>
      <c r="P43" s="21">
        <f ca="1">IFERROR(LARGE(seasonptsavg, ROWS(P$8:P43)), "")</f>
        <v>7.8888888888888893</v>
      </c>
      <c r="Q43" s="19">
        <f t="shared" ca="1" si="16"/>
        <v>71</v>
      </c>
      <c r="R43" s="19">
        <f t="shared" ca="1" si="17"/>
        <v>9</v>
      </c>
      <c r="S43" s="51"/>
      <c r="T43" s="29" t="str">
        <f ca="1">IF(U43="", "", IF(W43&lt;&gt;W42, ROWS(T$7:T42), ""))</f>
        <v/>
      </c>
      <c r="U43" s="18" t="str">
        <f ca="1">IF(W43="","",INDEX(leagueroster, MATCH(SUMPRODUCT(LARGE((INDEX(seasongross, , )=W43)*(ids),COUNTIF(INDEX(seasongross, , ), W43)-COUNTIF(W$8:W43,W43)+1)), INDEX(leagueroster, , 2), 0), 1))</f>
        <v/>
      </c>
      <c r="V43" s="19" t="str">
        <f t="shared" ca="1" si="18"/>
        <v/>
      </c>
      <c r="W43" s="21" t="str">
        <f ca="1">IFERROR(SMALL(seasongross, ROWS(W$8:W43)), "")</f>
        <v/>
      </c>
      <c r="X43" s="19" t="str">
        <f t="shared" ca="1" si="19"/>
        <v/>
      </c>
      <c r="Y43" s="51"/>
      <c r="Z43" s="29">
        <f ca="1">IF(AA43="", "", IF(AC43&lt;&gt;AC42, ROWS(Z$7:Z42), ""))</f>
        <v>36</v>
      </c>
      <c r="AA43" s="18" t="str">
        <f ca="1">IF(AC43="","",INDEX(leagueroster, MATCH(SUMPRODUCT(LARGE((INDEX(seasonnet, , )=AC43)*(ids),COUNTIF(INDEX(seasonnet, , ), AC43)-COUNTIF(AC$8:AC43,AC43)+1)), INDEX(leagueroster, , 2), 0), 1))</f>
        <v>Cox, Marcus</v>
      </c>
      <c r="AB43" s="19" t="str">
        <f t="shared" ca="1" si="20"/>
        <v>HS</v>
      </c>
      <c r="AC43" s="21">
        <f ca="1">IFERROR(SMALL(seasonnet, ROWS(AC$8:AC43)), "")</f>
        <v>41.272727272727273</v>
      </c>
      <c r="AD43" s="19">
        <f t="shared" ca="1" si="21"/>
        <v>11</v>
      </c>
      <c r="AE43" s="51"/>
      <c r="AF43" s="29" t="str">
        <f ca="1">IF(AG43="", "", IF(AI43&lt;&gt;AI42, ROWS(AF$7:AF42), ""))</f>
        <v/>
      </c>
      <c r="AG43" s="18" t="str">
        <f ca="1">IF(AI43="","",INDEX(leagueroster, MATCH(SUMPRODUCT(LARGE((INDEX(seasonbirds, , )=AI43)*(ids),COUNTIF(INDEX(seasonbirds, , ), AI43)-COUNTIF(AI$8:AI43,AI43)+1)), INDEX(leagueroster, , 2), 0), 1))</f>
        <v/>
      </c>
      <c r="AH43" s="19" t="str">
        <f t="shared" ca="1" si="22"/>
        <v/>
      </c>
      <c r="AI43" s="19" t="str">
        <f ca="1">IF(LARGE(seasonbirds, ROWS(AI$8:AI43))&lt;&gt;0,LARGE(seasonbirds, ROWS(AI$8:AI43)), "")</f>
        <v/>
      </c>
      <c r="AJ43" s="19" t="str">
        <f t="shared" ca="1" si="23"/>
        <v/>
      </c>
      <c r="AK43" s="51"/>
      <c r="AL43" s="29" t="str">
        <f>IF(AM43="", "", IF(AO43&lt;&gt;AO42, ROWS(AL$7:AL42), ""))</f>
        <v/>
      </c>
      <c r="AN43" s="19"/>
      <c r="AQ43" s="51"/>
      <c r="AR43" s="29" t="str">
        <f>IF(AS43="", "", IF(AT43&lt;&gt;AT42, ROWS(AR$7:AR42), ""))</f>
        <v/>
      </c>
      <c r="AS43" s="18" t="str" cm="1">
        <f t="array" ref="AS43">IF(AT43="","",INDEX(leagueroster, MATCH(SUMPRODUCT(LARGE((INDEX(teamlownet,,)=AT43)*(ids),COUNTIF(INDEX(teamlownet, ,), AT43)-COUNTIF(AT$8:AT43,AT43)+1)), INDEX(leagueroster, , 2), 0), 1))</f>
        <v/>
      </c>
      <c r="AT43" s="59" t="str">
        <f>IF(ROWS(AT$8:AT43)&lt;=$AR$6, SMALL(INDEX(teamlownet, ,), ROWS(AT$8:AT43)), "")</f>
        <v/>
      </c>
      <c r="AU43" s="51"/>
      <c r="AV43" s="29" t="str">
        <f>IF(AW43="", "", IF(AX43&lt;&gt;AX42, ROWS(AV$7:AV42), ""))</f>
        <v/>
      </c>
      <c r="AY43" s="51"/>
    </row>
    <row r="44" spans="1:51" x14ac:dyDescent="0.2">
      <c r="A44" s="29" t="str">
        <f ca="1">IF(B44="", "", IF(D44&lt;&gt;D43, ROWS(A$7:A43), ""))</f>
        <v/>
      </c>
      <c r="B44" s="18" t="str">
        <f ca="1">IF(D44="","",INDEX(leagueroster, MATCH(SUMPRODUCT(LARGE((INDEX(lowgross, , )=D44)*(ids),COUNTIF(INDEX(lowgross, , ), D44)-COUNTIF(D$8:D44,D44)+1)), INDEX(leagueroster, , 2), 0), 1))</f>
        <v>Sanders, Jim - C</v>
      </c>
      <c r="C44" s="19" t="str">
        <f t="shared" ca="1" si="13"/>
        <v>MET</v>
      </c>
      <c r="D44" s="19">
        <f ca="1">IFERROR(SMALL(INDEX(lowgross, , ), ROWS(D$8:D44)), "")</f>
        <v>50</v>
      </c>
      <c r="E44" s="19">
        <f ca="1">IF(D44="","", SUMPRODUCT(LARGE((INDEX(scores, , )=D44)*(ids=VLOOKUP(B44, leagueroster, 2, FALSE))*(weeks), COUNTIFS(D$8:D44, D44, B$8:B44, B44))))</f>
        <v>9</v>
      </c>
      <c r="F44" s="51"/>
      <c r="G44" s="29" t="str">
        <f ca="1">IF(H44="", "", IF(J44&lt;&gt;J43, ROWS(G$7:G43), ""))</f>
        <v/>
      </c>
      <c r="H44" s="18" t="str">
        <f ca="1">IF(J44="","",INDEX(leagueroster, MATCH(SUMPRODUCT(LARGE((INDEX(lownet, , )=J44)*(ids),COUNTIF(INDEX(lownet, , ), J44)-COUNTIF(J$8:J44,J44)+1)), INDEX(leagueroster, , 2), 0), 1))</f>
        <v>Blind Draw #2</v>
      </c>
      <c r="I44" s="19" t="str">
        <f t="shared" ca="1" si="14"/>
        <v>BD</v>
      </c>
      <c r="J44" s="19">
        <f ca="1">IFERROR(SMALL(INDEX(lownet, , ), ROWS(J$8:J44)), "")</f>
        <v>38</v>
      </c>
      <c r="K44" s="19">
        <f ca="1">IF(J44="","", SUMPRODUCT(LARGE((INDEX(netscores, , )=J44)*(ids=VLOOKUP(H44, leagueroster, 2, FALSE))*(weeks), COUNTIFS(J$8:J44, J44, H$8:H44, H44))))</f>
        <v>17</v>
      </c>
      <c r="L44" s="51"/>
      <c r="M44" s="29">
        <f ca="1">IF(N44="", "", IF(P44&lt;&gt;P43, ROWS(M$7:M43), ""))</f>
        <v>37</v>
      </c>
      <c r="N44" s="18" t="str">
        <f ca="1">IF(P44="","",INDEX(leagueroster, MATCH(SUMPRODUCT(LARGE((INDEX(seasonptsavg, , )=P44)*(ids),COUNTIF(INDEX(seasonptsavg, , ), P44)-COUNTIF(P$8:P44,P44)+1)), INDEX(leagueroster, , 2), 0), 1))</f>
        <v>Zbuka, Pat</v>
      </c>
      <c r="O44" s="19" t="str">
        <f t="shared" ca="1" si="15"/>
        <v>4P</v>
      </c>
      <c r="P44" s="21">
        <f ca="1">IFERROR(LARGE(seasonptsavg, ROWS(P$8:P44)), "")</f>
        <v>7.75</v>
      </c>
      <c r="Q44" s="19">
        <f t="shared" ca="1" si="16"/>
        <v>62</v>
      </c>
      <c r="R44" s="19">
        <f t="shared" ca="1" si="17"/>
        <v>7</v>
      </c>
      <c r="S44" s="51"/>
      <c r="T44" s="29" t="str">
        <f ca="1">IF(U44="", "", IF(W44&lt;&gt;W43, ROWS(T$7:T43), ""))</f>
        <v/>
      </c>
      <c r="U44" s="18" t="str">
        <f ca="1">IF(W44="","",INDEX(leagueroster, MATCH(SUMPRODUCT(LARGE((INDEX(seasongross, , )=W44)*(ids),COUNTIF(INDEX(seasongross, , ), W44)-COUNTIF(W$8:W44,W44)+1)), INDEX(leagueroster, , 2), 0), 1))</f>
        <v/>
      </c>
      <c r="V44" s="19" t="str">
        <f t="shared" ca="1" si="18"/>
        <v/>
      </c>
      <c r="W44" s="21" t="str">
        <f ca="1">IFERROR(SMALL(seasongross, ROWS(W$8:W44)), "")</f>
        <v/>
      </c>
      <c r="X44" s="19" t="str">
        <f t="shared" ca="1" si="19"/>
        <v/>
      </c>
      <c r="Y44" s="51"/>
      <c r="Z44" s="29">
        <f ca="1">IF(AA44="", "", IF(AC44&lt;&gt;AC43, ROWS(Z$7:Z43), ""))</f>
        <v>37</v>
      </c>
      <c r="AA44" s="18" t="str">
        <f ca="1">IF(AC44="","",INDEX(leagueroster, MATCH(SUMPRODUCT(LARGE((INDEX(seasonnet, , )=AC44)*(ids),COUNTIF(INDEX(seasonnet, , ), AC44)-COUNTIF(AC$8:AC44,AC44)+1)), INDEX(leagueroster, , 2), 0), 1))</f>
        <v>Dombrowski, Jerry - gold tees</v>
      </c>
      <c r="AB44" s="19" t="str">
        <f t="shared" ca="1" si="20"/>
        <v>SUBS</v>
      </c>
      <c r="AC44" s="21">
        <f ca="1">IFERROR(SMALL(seasonnet, ROWS(AC$8:AC44)), "")</f>
        <v>41.5</v>
      </c>
      <c r="AD44" s="19">
        <f t="shared" ca="1" si="21"/>
        <v>8</v>
      </c>
      <c r="AE44" s="51"/>
      <c r="AF44" s="29" t="str">
        <f ca="1">IF(AG44="", "", IF(AI44&lt;&gt;AI43, ROWS(AF$7:AF43), ""))</f>
        <v/>
      </c>
      <c r="AG44" s="18" t="str">
        <f ca="1">IF(AI44="","",INDEX(leagueroster, MATCH(SUMPRODUCT(LARGE((INDEX(seasonbirds, , )=AI44)*(ids),COUNTIF(INDEX(seasonbirds, , ), AI44)-COUNTIF(AI$8:AI44,AI44)+1)), INDEX(leagueroster, , 2), 0), 1))</f>
        <v/>
      </c>
      <c r="AH44" s="19" t="str">
        <f t="shared" ca="1" si="22"/>
        <v/>
      </c>
      <c r="AI44" s="19" t="str">
        <f ca="1">IF(LARGE(seasonbirds, ROWS(AI$8:AI44))&lt;&gt;0,LARGE(seasonbirds, ROWS(AI$8:AI44)), "")</f>
        <v/>
      </c>
      <c r="AJ44" s="19" t="str">
        <f t="shared" ca="1" si="23"/>
        <v/>
      </c>
      <c r="AK44" s="51"/>
      <c r="AL44" s="29" t="str">
        <f>IF(AM44="", "", IF(AO44&lt;&gt;AO43, ROWS(AL$7:AL43), ""))</f>
        <v/>
      </c>
      <c r="AN44" s="19"/>
      <c r="AQ44" s="51"/>
      <c r="AR44" s="29" t="str">
        <f>IF(AS44="", "", IF(AT44&lt;&gt;AT43, ROWS(AR$7:AR43), ""))</f>
        <v/>
      </c>
      <c r="AS44" s="18" t="str" cm="1">
        <f t="array" ref="AS44">IF(AT44="","",INDEX(leagueroster, MATCH(SUMPRODUCT(LARGE((INDEX(teamlownet,,)=AT44)*(ids),COUNTIF(INDEX(teamlownet, ,), AT44)-COUNTIF(AT$8:AT44,AT44)+1)), INDEX(leagueroster, , 2), 0), 1))</f>
        <v/>
      </c>
      <c r="AT44" s="59" t="str">
        <f>IF(ROWS(AT$8:AT44)&lt;=$AR$6, SMALL(INDEX(teamlownet, ,), ROWS(AT$8:AT44)), "")</f>
        <v/>
      </c>
      <c r="AU44" s="51"/>
      <c r="AV44" s="29" t="str">
        <f>IF(AW44="", "", IF(AX44&lt;&gt;AX43, ROWS(AV$7:AV43), ""))</f>
        <v/>
      </c>
      <c r="AY44" s="51"/>
    </row>
    <row r="45" spans="1:51" x14ac:dyDescent="0.2">
      <c r="A45" s="29">
        <f ca="1">IF(B45="", "", IF(D45&lt;&gt;D44, ROWS(A$7:A44), ""))</f>
        <v>38</v>
      </c>
      <c r="B45" s="18" t="str">
        <f ca="1">IF(D45="","",INDEX(leagueroster, MATCH(SUMPRODUCT(LARGE((INDEX(lowgross, , )=D45)*(ids),COUNTIF(INDEX(lowgross, , ), D45)-COUNTIF(D$8:D45,D45)+1)), INDEX(leagueroster, , 2), 0), 1))</f>
        <v>Cox, Marcus</v>
      </c>
      <c r="C45" s="19" t="str">
        <f t="shared" ca="1" si="13"/>
        <v>HS</v>
      </c>
      <c r="D45" s="19">
        <f ca="1">IFERROR(SMALL(INDEX(lowgross, , ), ROWS(D$8:D45)), "")</f>
        <v>51</v>
      </c>
      <c r="E45" s="19">
        <f ca="1">IF(D45="","", SUMPRODUCT(LARGE((INDEX(scores, , )=D45)*(ids=VLOOKUP(B45, leagueroster, 2, FALSE))*(weeks), COUNTIFS(D$8:D45, D45, B$8:B45, B45))))</f>
        <v>14</v>
      </c>
      <c r="F45" s="51"/>
      <c r="G45" s="29" t="str">
        <f ca="1">IF(H45="", "", IF(J45&lt;&gt;J44, ROWS(G$7:G44), ""))</f>
        <v/>
      </c>
      <c r="H45" s="18" t="str">
        <f ca="1">IF(J45="","",INDEX(leagueroster, MATCH(SUMPRODUCT(LARGE((INDEX(lownet, , )=J45)*(ids),COUNTIF(INDEX(lownet, , ), J45)-COUNTIF(J$8:J45,J45)+1)), INDEX(leagueroster, , 2), 0), 1))</f>
        <v>Blind Draw #3</v>
      </c>
      <c r="I45" s="19" t="str">
        <f t="shared" ca="1" si="14"/>
        <v>BD</v>
      </c>
      <c r="J45" s="19">
        <f ca="1">IFERROR(SMALL(INDEX(lownet, , ), ROWS(J$8:J45)), "")</f>
        <v>38</v>
      </c>
      <c r="K45" s="19">
        <f ca="1">IF(J45="","", SUMPRODUCT(LARGE((INDEX(netscores, , )=J45)*(ids=VLOOKUP(H45, leagueroster, 2, FALSE))*(weeks), COUNTIFS(J$8:J45, J45, H$8:H45, H45))))</f>
        <v>17</v>
      </c>
      <c r="L45" s="51"/>
      <c r="M45" s="29">
        <f ca="1">IF(N45="", "", IF(P45&lt;&gt;P44, ROWS(M$7:M44), ""))</f>
        <v>38</v>
      </c>
      <c r="N45" s="18" t="str">
        <f ca="1">IF(P45="","",INDEX(leagueroster, MATCH(SUMPRODUCT(LARGE((INDEX(seasonptsavg, , )=P45)*(ids),COUNTIF(INDEX(seasonptsavg, , ), P45)-COUNTIF(P$8:P45,P45)+1)), INDEX(leagueroster, , 2), 0), 1))</f>
        <v>Newsome, Gregg - gold tees</v>
      </c>
      <c r="O45" s="19" t="str">
        <f t="shared" ca="1" si="15"/>
        <v>HS</v>
      </c>
      <c r="P45" s="21">
        <f ca="1">IFERROR(LARGE(seasonptsavg, ROWS(P$8:P45)), "")</f>
        <v>7.7333333333333334</v>
      </c>
      <c r="Q45" s="19">
        <f t="shared" ca="1" si="16"/>
        <v>116</v>
      </c>
      <c r="R45" s="19">
        <f t="shared" ca="1" si="17"/>
        <v>14</v>
      </c>
      <c r="S45" s="51"/>
      <c r="T45" s="29" t="str">
        <f ca="1">IF(U45="", "", IF(W45&lt;&gt;W44, ROWS(T$7:T44), ""))</f>
        <v/>
      </c>
      <c r="U45" s="18" t="str">
        <f ca="1">IF(W45="","",INDEX(leagueroster, MATCH(SUMPRODUCT(LARGE((INDEX(seasongross, , )=W45)*(ids),COUNTIF(INDEX(seasongross, , ), W45)-COUNTIF(W$8:W45,W45)+1)), INDEX(leagueroster, , 2), 0), 1))</f>
        <v/>
      </c>
      <c r="V45" s="19" t="str">
        <f t="shared" ca="1" si="18"/>
        <v/>
      </c>
      <c r="W45" s="21" t="str">
        <f ca="1">IFERROR(SMALL(seasongross, ROWS(W$8:W45)), "")</f>
        <v/>
      </c>
      <c r="X45" s="19" t="str">
        <f t="shared" ca="1" si="19"/>
        <v/>
      </c>
      <c r="Y45" s="51"/>
      <c r="Z45" s="29">
        <f ca="1">IF(AA45="", "", IF(AC45&lt;&gt;AC44, ROWS(Z$7:Z44), ""))</f>
        <v>38</v>
      </c>
      <c r="AA45" s="18" t="str">
        <f ca="1">IF(AC45="","",INDEX(leagueroster, MATCH(SUMPRODUCT(LARGE((INDEX(seasonnet, , )=AC45)*(ids),COUNTIF(INDEX(seasonnet, , ), AC45)-COUNTIF(AC$8:AC45,AC45)+1)), INDEX(leagueroster, , 2), 0), 1))</f>
        <v>Reed, Rich</v>
      </c>
      <c r="AB45" s="19" t="str">
        <f t="shared" ca="1" si="20"/>
        <v>4P</v>
      </c>
      <c r="AC45" s="21">
        <f ca="1">IFERROR(SMALL(seasonnet, ROWS(AC$8:AC45)), "")</f>
        <v>43.333333333333336</v>
      </c>
      <c r="AD45" s="19">
        <f t="shared" ca="1" si="21"/>
        <v>9</v>
      </c>
      <c r="AE45" s="51"/>
      <c r="AF45" s="29" t="str">
        <f ca="1">IF(AG45="", "", IF(AI45&lt;&gt;AI44, ROWS(AF$7:AF44), ""))</f>
        <v/>
      </c>
      <c r="AG45" s="18" t="str">
        <f ca="1">IF(AI45="","",INDEX(leagueroster, MATCH(SUMPRODUCT(LARGE((INDEX(seasonbirds, , )=AI45)*(ids),COUNTIF(INDEX(seasonbirds, , ), AI45)-COUNTIF(AI$8:AI45,AI45)+1)), INDEX(leagueroster, , 2), 0), 1))</f>
        <v/>
      </c>
      <c r="AH45" s="19" t="str">
        <f t="shared" ca="1" si="22"/>
        <v/>
      </c>
      <c r="AI45" s="19" t="str">
        <f ca="1">IF(LARGE(seasonbirds, ROWS(AI$8:AI45))&lt;&gt;0,LARGE(seasonbirds, ROWS(AI$8:AI45)), "")</f>
        <v/>
      </c>
      <c r="AJ45" s="19" t="str">
        <f t="shared" ca="1" si="23"/>
        <v/>
      </c>
      <c r="AK45" s="51"/>
      <c r="AL45" s="29" t="str">
        <f>IF(AM45="", "", IF(AO45&lt;&gt;AO44, ROWS(AL$7:AL44), ""))</f>
        <v/>
      </c>
      <c r="AN45" s="19"/>
      <c r="AQ45" s="51"/>
      <c r="AR45" s="29" t="str">
        <f>IF(AS45="", "", IF(AT45&lt;&gt;AT44, ROWS(AR$7:AR44), ""))</f>
        <v/>
      </c>
      <c r="AS45" s="18" t="str" cm="1">
        <f t="array" ref="AS45">IF(AT45="","",INDEX(leagueroster, MATCH(SUMPRODUCT(LARGE((INDEX(teamlownet,,)=AT45)*(ids),COUNTIF(INDEX(teamlownet, ,), AT45)-COUNTIF(AT$8:AT45,AT45)+1)), INDEX(leagueroster, , 2), 0), 1))</f>
        <v/>
      </c>
      <c r="AT45" s="59" t="str">
        <f>IF(ROWS(AT$8:AT45)&lt;=$AR$6, SMALL(INDEX(teamlownet, ,), ROWS(AT$8:AT45)), "")</f>
        <v/>
      </c>
      <c r="AU45" s="51"/>
      <c r="AV45" s="29" t="str">
        <f>IF(AW45="", "", IF(AX45&lt;&gt;AX44, ROWS(AV$7:AV44), ""))</f>
        <v/>
      </c>
      <c r="AY45" s="51"/>
    </row>
    <row r="46" spans="1:51" x14ac:dyDescent="0.2">
      <c r="A46" s="29" t="str">
        <f ca="1">IF(B46="", "", IF(D46&lt;&gt;D45, ROWS(A$7:A45), ""))</f>
        <v/>
      </c>
      <c r="B46" s="18" t="str">
        <f ca="1">IF(D46="","",INDEX(leagueroster, MATCH(SUMPRODUCT(LARGE((INDEX(lowgross, , )=D46)*(ids),COUNTIF(INDEX(lowgross, , ), D46)-COUNTIF(D$8:D46,D46)+1)), INDEX(leagueroster, , 2), 0), 1))</f>
        <v>Dombrowski, Jerry - gold tees</v>
      </c>
      <c r="C46" s="19" t="str">
        <f t="shared" ca="1" si="13"/>
        <v>SUBS</v>
      </c>
      <c r="D46" s="19">
        <f ca="1">IFERROR(SMALL(INDEX(lowgross, , ), ROWS(D$8:D46)), "")</f>
        <v>51</v>
      </c>
      <c r="E46" s="19">
        <f ca="1">IF(D46="","", SUMPRODUCT(LARGE((INDEX(scores, , )=D46)*(ids=VLOOKUP(B46, leagueroster, 2, FALSE))*(weeks), COUNTIFS(D$8:D46, D46, B$8:B46, B46))))</f>
        <v>7</v>
      </c>
      <c r="F46" s="51"/>
      <c r="G46" s="29" t="str">
        <f ca="1">IF(H46="", "", IF(J46&lt;&gt;J45, ROWS(G$7:G45), ""))</f>
        <v/>
      </c>
      <c r="H46" s="18" t="str">
        <f ca="1">IF(J46="","",INDEX(leagueroster, MATCH(SUMPRODUCT(LARGE((INDEX(lownet, , )=J46)*(ids),COUNTIF(INDEX(lownet, , ), J46)-COUNTIF(J$8:J46,J46)+1)), INDEX(leagueroster, , 2), 0), 1))</f>
        <v>Blind Draw #4</v>
      </c>
      <c r="I46" s="19" t="str">
        <f t="shared" ca="1" si="14"/>
        <v>BD</v>
      </c>
      <c r="J46" s="19">
        <f ca="1">IFERROR(SMALL(INDEX(lownet, , ), ROWS(J$8:J46)), "")</f>
        <v>38</v>
      </c>
      <c r="K46" s="19">
        <f ca="1">IF(J46="","", SUMPRODUCT(LARGE((INDEX(netscores, , )=J46)*(ids=VLOOKUP(H46, leagueroster, 2, FALSE))*(weeks), COUNTIFS(J$8:J46, J46, H$8:H46, H46))))</f>
        <v>17</v>
      </c>
      <c r="L46" s="51"/>
      <c r="M46" s="29">
        <f ca="1">IF(N46="", "", IF(P46&lt;&gt;P45, ROWS(M$7:M45), ""))</f>
        <v>39</v>
      </c>
      <c r="N46" s="18" t="str">
        <f ca="1">IF(P46="","",INDEX(leagueroster, MATCH(SUMPRODUCT(LARGE((INDEX(seasonptsavg, , )=P46)*(ids),COUNTIF(INDEX(seasonptsavg, , ), P46)-COUNTIF(P$8:P46,P46)+1)), INDEX(leagueroster, , 2), 0), 1))</f>
        <v>Howe, Fred - gold tees</v>
      </c>
      <c r="O46" s="19" t="str">
        <f t="shared" ca="1" si="15"/>
        <v>WYC</v>
      </c>
      <c r="P46" s="21">
        <f ca="1">IFERROR(LARGE(seasonptsavg, ROWS(P$8:P46)), "")</f>
        <v>4.25</v>
      </c>
      <c r="Q46" s="19">
        <f t="shared" ca="1" si="16"/>
        <v>17</v>
      </c>
      <c r="R46" s="19">
        <f t="shared" ca="1" si="17"/>
        <v>5</v>
      </c>
      <c r="S46" s="51"/>
      <c r="T46" s="29" t="str">
        <f ca="1">IF(U46="", "", IF(W46&lt;&gt;W45, ROWS(T$7:T45), ""))</f>
        <v/>
      </c>
      <c r="U46" s="18" t="str">
        <f ca="1">IF(W46="","",INDEX(leagueroster, MATCH(SUMPRODUCT(LARGE((INDEX(seasongross, , )=W46)*(ids),COUNTIF(INDEX(seasongross, , ), W46)-COUNTIF(W$8:W46,W46)+1)), INDEX(leagueroster, , 2), 0), 1))</f>
        <v/>
      </c>
      <c r="V46" s="19" t="str">
        <f t="shared" ca="1" si="18"/>
        <v/>
      </c>
      <c r="W46" s="21" t="str">
        <f ca="1">IFERROR(SMALL(seasongross, ROWS(W$8:W46)), "")</f>
        <v/>
      </c>
      <c r="X46" s="19" t="str">
        <f t="shared" ca="1" si="19"/>
        <v/>
      </c>
      <c r="Y46" s="51"/>
      <c r="Z46" s="29">
        <f ca="1">IF(AA46="", "", IF(AC46&lt;&gt;AC45, ROWS(Z$7:Z45), ""))</f>
        <v>39</v>
      </c>
      <c r="AA46" s="18" t="str">
        <f ca="1">IF(AC46="","",INDEX(leagueroster, MATCH(SUMPRODUCT(LARGE((INDEX(seasonnet, , )=AC46)*(ids),COUNTIF(INDEX(seasonnet, , ), AC46)-COUNTIF(AC$8:AC46,AC46)+1)), INDEX(leagueroster, , 2), 0), 1))</f>
        <v>Howe, Fred - gold tees</v>
      </c>
      <c r="AB46" s="19" t="str">
        <f t="shared" ca="1" si="20"/>
        <v>WYC</v>
      </c>
      <c r="AC46" s="21">
        <f ca="1">IFERROR(SMALL(seasonnet, ROWS(AC$8:AC46)), "")</f>
        <v>52</v>
      </c>
      <c r="AD46" s="19">
        <f t="shared" ca="1" si="21"/>
        <v>5</v>
      </c>
      <c r="AE46" s="51"/>
      <c r="AF46" s="29" t="str">
        <f ca="1">IF(AG46="", "", IF(AI46&lt;&gt;AI45, ROWS(AF$7:AF45), ""))</f>
        <v/>
      </c>
      <c r="AG46" s="18" t="str">
        <f ca="1">IF(AI46="","",INDEX(leagueroster, MATCH(SUMPRODUCT(LARGE((INDEX(seasonbirds, , )=AI46)*(ids),COUNTIF(INDEX(seasonbirds, , ), AI46)-COUNTIF(AI$8:AI46,AI46)+1)), INDEX(leagueroster, , 2), 0), 1))</f>
        <v/>
      </c>
      <c r="AH46" s="19" t="str">
        <f t="shared" ca="1" si="22"/>
        <v/>
      </c>
      <c r="AI46" s="19" t="str">
        <f ca="1">IF(LARGE(seasonbirds, ROWS(AI$8:AI46))&lt;&gt;0,LARGE(seasonbirds, ROWS(AI$8:AI46)), "")</f>
        <v/>
      </c>
      <c r="AJ46" s="19" t="str">
        <f t="shared" ca="1" si="23"/>
        <v/>
      </c>
      <c r="AK46" s="51"/>
      <c r="AL46" s="29" t="str">
        <f>IF(AM46="", "", IF(AO46&lt;&gt;AO45, ROWS(AL$7:AL45), ""))</f>
        <v/>
      </c>
      <c r="AN46" s="19"/>
      <c r="AQ46" s="51"/>
      <c r="AR46" s="29" t="str">
        <f>IF(AS46="", "", IF(AT46&lt;&gt;AT45, ROWS(AR$7:AR45), ""))</f>
        <v/>
      </c>
      <c r="AS46" s="18" t="str" cm="1">
        <f t="array" ref="AS46">IF(AT46="","",INDEX(leagueroster, MATCH(SUMPRODUCT(LARGE((INDEX(teamlownet,,)=AT46)*(ids),COUNTIF(INDEX(teamlownet, ,), AT46)-COUNTIF(AT$8:AT46,AT46)+1)), INDEX(leagueroster, , 2), 0), 1))</f>
        <v/>
      </c>
      <c r="AT46" s="59" t="str">
        <f>IF(ROWS(AT$8:AT46)&lt;=$AR$6, SMALL(INDEX(teamlownet, ,), ROWS(AT$8:AT46)), "")</f>
        <v/>
      </c>
      <c r="AU46" s="51"/>
      <c r="AV46" s="29" t="str">
        <f>IF(AW46="", "", IF(AX46&lt;&gt;AX45, ROWS(AV$7:AV45), ""))</f>
        <v/>
      </c>
      <c r="AY46" s="51"/>
    </row>
    <row r="47" spans="1:51" x14ac:dyDescent="0.2">
      <c r="A47" s="29" t="str">
        <f ca="1">IF(B47="", "", IF(D47&lt;&gt;D46, ROWS(A$7:A46), ""))</f>
        <v/>
      </c>
      <c r="B47" s="18" t="str">
        <f ca="1">IF(D47="","",INDEX(leagueroster, MATCH(SUMPRODUCT(LARGE((INDEX(lowgross, , )=D47)*(ids),COUNTIF(INDEX(lowgross, , ), D47)-COUNTIF(D$8:D47,D47)+1)), INDEX(leagueroster, , 2), 0), 1))</f>
        <v>Okonak, Tom - green tees</v>
      </c>
      <c r="C47" s="19" t="str">
        <f t="shared" ca="1" si="13"/>
        <v>MMC</v>
      </c>
      <c r="D47" s="19">
        <f ca="1">IFERROR(SMALL(INDEX(lowgross, , ), ROWS(D$8:D47)), "")</f>
        <v>51</v>
      </c>
      <c r="E47" s="19">
        <f ca="1">IF(D47="","", SUMPRODUCT(LARGE((INDEX(scores, , )=D47)*(ids=VLOOKUP(B47, leagueroster, 2, FALSE))*(weeks), COUNTIFS(D$8:D47, D47, B$8:B47, B47))))</f>
        <v>5</v>
      </c>
      <c r="F47" s="51"/>
      <c r="G47" s="29" t="str">
        <f ca="1">IF(H47="", "", IF(J47&lt;&gt;J46, ROWS(G$7:G46), ""))</f>
        <v/>
      </c>
      <c r="H47" s="18" t="str">
        <f ca="1">IF(J47="","",INDEX(leagueroster, MATCH(SUMPRODUCT(LARGE((INDEX(lownet, , )=J47)*(ids),COUNTIF(INDEX(lownet, , ), J47)-COUNTIF(J$8:J47,J47)+1)), INDEX(leagueroster, , 2), 0), 1))</f>
        <v>Fitch, Dennis - gold tees</v>
      </c>
      <c r="I47" s="19" t="str">
        <f t="shared" ca="1" si="14"/>
        <v>ACE</v>
      </c>
      <c r="J47" s="19">
        <f ca="1">IFERROR(SMALL(INDEX(lownet, , ), ROWS(J$8:J47)), "")</f>
        <v>38</v>
      </c>
      <c r="K47" s="19">
        <f ca="1">IF(J47="","", SUMPRODUCT(LARGE((INDEX(netscores, , )=J47)*(ids=VLOOKUP(H47, leagueroster, 2, FALSE))*(weeks), COUNTIFS(J$8:J47, J47, H$8:H47, H47))))</f>
        <v>13</v>
      </c>
      <c r="L47" s="51"/>
      <c r="M47" s="29" t="str">
        <f ca="1">IF(N47="", "", IF(P47&lt;&gt;P46, ROWS(M$7:M46), ""))</f>
        <v/>
      </c>
      <c r="N47" s="18" t="str">
        <f ca="1">IF(P47="","",INDEX(leagueroster, MATCH(SUMPRODUCT(LARGE((INDEX(seasonptsavg, , )=P47)*(ids),COUNTIF(INDEX(seasonptsavg, , ), P47)-COUNTIF(P$8:P47,P47)+1)), INDEX(leagueroster, , 2), 0), 1))</f>
        <v/>
      </c>
      <c r="O47" s="19" t="str">
        <f t="shared" ca="1" si="15"/>
        <v/>
      </c>
      <c r="P47" s="21" t="str">
        <f ca="1">IFERROR(LARGE(seasonptsavg, ROWS(P$8:P47)), "")</f>
        <v/>
      </c>
      <c r="Q47" s="19" t="str">
        <f t="shared" ca="1" si="16"/>
        <v/>
      </c>
      <c r="R47" s="19" t="str">
        <f t="shared" ca="1" si="17"/>
        <v/>
      </c>
      <c r="S47" s="51"/>
      <c r="T47" s="29" t="str">
        <f ca="1">IF(U47="", "", IF(W47&lt;&gt;W46, ROWS(T$7:T46), ""))</f>
        <v/>
      </c>
      <c r="U47" s="18" t="str">
        <f ca="1">IF(W47="","",INDEX(leagueroster, MATCH(SUMPRODUCT(LARGE((INDEX(seasongross, , )=W47)*(ids),COUNTIF(INDEX(seasongross, , ), W47)-COUNTIF(W$8:W47,W47)+1)), INDEX(leagueroster, , 2), 0), 1))</f>
        <v/>
      </c>
      <c r="V47" s="19" t="str">
        <f t="shared" ca="1" si="18"/>
        <v/>
      </c>
      <c r="W47" s="21" t="str">
        <f ca="1">IFERROR(SMALL(seasongross, ROWS(W$8:W47)), "")</f>
        <v/>
      </c>
      <c r="X47" s="19" t="str">
        <f t="shared" ca="1" si="19"/>
        <v/>
      </c>
      <c r="Y47" s="51"/>
      <c r="Z47" s="29" t="str">
        <f ca="1">IF(AA47="", "", IF(AC47&lt;&gt;AC46, ROWS(Z$7:Z46), ""))</f>
        <v/>
      </c>
      <c r="AA47" s="18" t="str">
        <f ca="1">IF(AC47="","",INDEX(leagueroster, MATCH(SUMPRODUCT(LARGE((INDEX(seasonnet, , )=AC47)*(ids),COUNTIF(INDEX(seasonnet, , ), AC47)-COUNTIF(AC$8:AC47,AC47)+1)), INDEX(leagueroster, , 2), 0), 1))</f>
        <v/>
      </c>
      <c r="AB47" s="19" t="str">
        <f t="shared" ca="1" si="20"/>
        <v/>
      </c>
      <c r="AC47" s="21" t="str">
        <f ca="1">IFERROR(SMALL(seasonnet, ROWS(AC$8:AC47)), "")</f>
        <v/>
      </c>
      <c r="AD47" s="19" t="str">
        <f t="shared" ca="1" si="21"/>
        <v/>
      </c>
      <c r="AE47" s="51"/>
      <c r="AF47" s="29" t="str">
        <f ca="1">IF(AG47="", "", IF(AI47&lt;&gt;AI46, ROWS(AF$7:AF46), ""))</f>
        <v/>
      </c>
      <c r="AG47" s="18" t="str">
        <f ca="1">IF(AI47="","",INDEX(leagueroster, MATCH(SUMPRODUCT(LARGE((INDEX(seasonbirds, , )=AI47)*(ids),COUNTIF(INDEX(seasonbirds, , ), AI47)-COUNTIF(AI$8:AI47,AI47)+1)), INDEX(leagueroster, , 2), 0), 1))</f>
        <v/>
      </c>
      <c r="AH47" s="19" t="str">
        <f t="shared" ca="1" si="22"/>
        <v/>
      </c>
      <c r="AI47" s="19" t="str">
        <f ca="1">IF(LARGE(seasonbirds, ROWS(AI$8:AI47))&lt;&gt;0,LARGE(seasonbirds, ROWS(AI$8:AI47)), "")</f>
        <v/>
      </c>
      <c r="AJ47" s="19" t="str">
        <f t="shared" ca="1" si="23"/>
        <v/>
      </c>
      <c r="AK47" s="51"/>
      <c r="AL47" s="29" t="str">
        <f>IF(AM47="", "", IF(AO47&lt;&gt;AO46, ROWS(AL$7:AL46), ""))</f>
        <v/>
      </c>
      <c r="AN47" s="19"/>
      <c r="AQ47" s="51"/>
      <c r="AR47" s="29" t="str">
        <f>IF(AS47="", "", IF(AT47&lt;&gt;AT46, ROWS(AR$7:AR46), ""))</f>
        <v/>
      </c>
      <c r="AS47" s="18" t="str" cm="1">
        <f t="array" ref="AS47">IF(AT47="","",INDEX(leagueroster, MATCH(SUMPRODUCT(LARGE((INDEX(teamlownet,,)=AT47)*(ids),COUNTIF(INDEX(teamlownet, ,), AT47)-COUNTIF(AT$8:AT47,AT47)+1)), INDEX(leagueroster, , 2), 0), 1))</f>
        <v/>
      </c>
      <c r="AT47" s="59" t="str">
        <f>IF(ROWS(AT$8:AT47)&lt;=$AR$6, SMALL(INDEX(teamlownet, ,), ROWS(AT$8:AT47)), "")</f>
        <v/>
      </c>
      <c r="AU47" s="51"/>
      <c r="AV47" s="29" t="str">
        <f>IF(AW47="", "", IF(AX47&lt;&gt;AX46, ROWS(AV$7:AV46), ""))</f>
        <v/>
      </c>
      <c r="AY47" s="51"/>
    </row>
    <row r="48" spans="1:51" x14ac:dyDescent="0.2">
      <c r="A48" s="29">
        <f ca="1">IF(B48="", "", IF(D48&lt;&gt;D47, ROWS(A$7:A47), ""))</f>
        <v>41</v>
      </c>
      <c r="B48" s="18" t="str">
        <f ca="1">IF(D48="","",INDEX(leagueroster, MATCH(SUMPRODUCT(LARGE((INDEX(lowgross, , )=D48)*(ids),COUNTIF(INDEX(lowgross, , ), D48)-COUNTIF(D$8:D48,D48)+1)), INDEX(leagueroster, , 2), 0), 1))</f>
        <v>Hawkins, Rick - C</v>
      </c>
      <c r="C48" s="19" t="str">
        <f t="shared" ca="1" si="13"/>
        <v>MMC</v>
      </c>
      <c r="D48" s="19">
        <f ca="1">IFERROR(SMALL(INDEX(lowgross, , ), ROWS(D$8:D48)), "")</f>
        <v>52</v>
      </c>
      <c r="E48" s="19">
        <f ca="1">IF(D48="","", SUMPRODUCT(LARGE((INDEX(scores, , )=D48)*(ids=VLOOKUP(B48, leagueroster, 2, FALSE))*(weeks), COUNTIFS(D$8:D48, D48, B$8:B48, B48))))</f>
        <v>16</v>
      </c>
      <c r="F48" s="51"/>
      <c r="G48" s="29" t="str">
        <f ca="1">IF(H48="", "", IF(J48&lt;&gt;J47, ROWS(G$7:G47), ""))</f>
        <v/>
      </c>
      <c r="H48" s="18" t="str">
        <f ca="1">IF(J48="","",INDEX(leagueroster, MATCH(SUMPRODUCT(LARGE((INDEX(lownet, , )=J48)*(ids),COUNTIF(INDEX(lownet, , ), J48)-COUNTIF(J$8:J48,J48)+1)), INDEX(leagueroster, , 2), 0), 1))</f>
        <v>Reese, Felix</v>
      </c>
      <c r="I48" s="19" t="str">
        <f t="shared" ca="1" si="14"/>
        <v>SUBS</v>
      </c>
      <c r="J48" s="19">
        <f ca="1">IFERROR(SMALL(INDEX(lownet, , ), ROWS(J$8:J48)), "")</f>
        <v>38</v>
      </c>
      <c r="K48" s="19">
        <f ca="1">IF(J48="","", SUMPRODUCT(LARGE((INDEX(netscores, , )=J48)*(ids=VLOOKUP(H48, leagueroster, 2, FALSE))*(weeks), COUNTIFS(J$8:J48, J48, H$8:H48, H48))))</f>
        <v>3</v>
      </c>
      <c r="L48" s="51"/>
      <c r="M48" s="29" t="str">
        <f ca="1">IF(N48="", "", IF(P48&lt;&gt;P47, ROWS(M$7:M47), ""))</f>
        <v/>
      </c>
      <c r="N48" s="18" t="str">
        <f ca="1">IF(P48="","",INDEX(leagueroster, MATCH(SUMPRODUCT(LARGE((INDEX(seasonptsavg, , )=P48)*(ids),COUNTIF(INDEX(seasonptsavg, , ), P48)-COUNTIF(P$8:P48,P48)+1)), INDEX(leagueroster, , 2), 0), 1))</f>
        <v/>
      </c>
      <c r="O48" s="19" t="str">
        <f ca="1">IF(N48="", "", VLOOKUP(N48, leagueroster, 3, FALSE))</f>
        <v/>
      </c>
      <c r="P48" s="21" t="str">
        <f ca="1">IFERROR(LARGE(seasonptsavg, ROWS(P$8:P48)), "")</f>
        <v/>
      </c>
      <c r="Q48" s="19" t="str">
        <f ca="1">IF(N48="", "", INDEX(seasonpts, MATCH(VLOOKUP(N48, leagueroster, 2, FALSE), ids, 0), ))</f>
        <v/>
      </c>
      <c r="R48" s="19" t="str">
        <f ca="1">IF(N48="", "", INDEX(seasonrds, MATCH(VLOOKUP(N48, leagueroster, 2, FALSE), ids, 0), ))</f>
        <v/>
      </c>
      <c r="S48" s="51"/>
      <c r="T48" s="29" t="str">
        <f ca="1">IF(U48="", "", IF(W48&lt;&gt;W47, ROWS(T$7:T47), ""))</f>
        <v/>
      </c>
      <c r="U48" s="18" t="str">
        <f ca="1">IF(W48="","",INDEX(leagueroster, MATCH(SUMPRODUCT(LARGE((INDEX(seasongross, , )=W48)*(ids),COUNTIF(INDEX(seasongross, , ), W48)-COUNTIF(W$8:W48,W48)+1)), INDEX(leagueroster, , 2), 0), 1))</f>
        <v/>
      </c>
      <c r="V48" s="19" t="str">
        <f t="shared" ca="1" si="18"/>
        <v/>
      </c>
      <c r="W48" s="21" t="str">
        <f ca="1">IFERROR(SMALL(seasongross, ROWS(W$8:W48)), "")</f>
        <v/>
      </c>
      <c r="X48" s="19" t="str">
        <f t="shared" ca="1" si="19"/>
        <v/>
      </c>
      <c r="Y48" s="51"/>
      <c r="Z48" s="29" t="str">
        <f ca="1">IF(AA48="", "", IF(AC48&lt;&gt;AC47, ROWS(Z$7:Z47), ""))</f>
        <v/>
      </c>
      <c r="AA48" s="18" t="str">
        <f ca="1">IF(AC48="","",INDEX(leagueroster, MATCH(SUMPRODUCT(LARGE((INDEX(seasonnet, , )=AC48)*(ids),COUNTIF(INDEX(seasonnet, , ), AC48)-COUNTIF(AC$8:AC48,AC48)+1)), INDEX(leagueroster, , 2), 0), 1))</f>
        <v/>
      </c>
      <c r="AB48" s="19" t="str">
        <f ca="1">IF(AA48="", "", VLOOKUP(AA48, leagueroster, 3, FALSE))</f>
        <v/>
      </c>
      <c r="AC48" s="21" t="str">
        <f ca="1">IFERROR(SMALL(seasonnet, ROWS(AC$8:AC48)), "")</f>
        <v/>
      </c>
      <c r="AD48" s="19" t="str">
        <f ca="1">IF(AA48="", "", INDEX(seasonrds, MATCH(VLOOKUP(AA48, leagueroster, 2, FALSE), ids, 0), ))</f>
        <v/>
      </c>
      <c r="AE48" s="51"/>
      <c r="AF48" s="29" t="str">
        <f ca="1">IF(AG48="", "", IF(AI48&lt;&gt;AI47, ROWS(AF$7:AF47), ""))</f>
        <v/>
      </c>
      <c r="AG48" s="18" t="str">
        <f ca="1">IF(AI48="","",INDEX(leagueroster, MATCH(SUMPRODUCT(LARGE((INDEX(seasonbirds, , )=AI48)*(ids),COUNTIF(INDEX(seasonbirds, , ), AI48)-COUNTIF(AI$8:AI48,AI48)+1)), INDEX(leagueroster, , 2), 0), 1))</f>
        <v/>
      </c>
      <c r="AH48" s="19" t="str">
        <f t="shared" ca="1" si="22"/>
        <v/>
      </c>
      <c r="AI48" s="19" t="str">
        <f ca="1">IF(LARGE(seasonbirds, ROWS(AI$8:AI48))&lt;&gt;0,LARGE(seasonbirds, ROWS(AI$8:AI48)), "")</f>
        <v/>
      </c>
      <c r="AJ48" s="19" t="str">
        <f t="shared" ca="1" si="23"/>
        <v/>
      </c>
      <c r="AK48" s="51"/>
      <c r="AL48" s="29" t="str">
        <f>IF(AM48="", "", IF(AO48&lt;&gt;AO47, ROWS(AL$7:AL47), ""))</f>
        <v/>
      </c>
      <c r="AN48" s="19"/>
      <c r="AQ48" s="51"/>
      <c r="AR48" s="29" t="str">
        <f>IF(AS48="", "", IF(AT48&lt;&gt;AT47, ROWS(AR$7:AR47), ""))</f>
        <v/>
      </c>
      <c r="AS48" s="18" t="str" cm="1">
        <f t="array" ref="AS48">IF(AT48="","",INDEX(leagueroster, MATCH(SUMPRODUCT(LARGE((INDEX(teamlownet,,)=AT48)*(ids),COUNTIF(INDEX(teamlownet, ,), AT48)-COUNTIF(AT$8:AT48,AT48)+1)), INDEX(leagueroster, , 2), 0), 1))</f>
        <v/>
      </c>
      <c r="AT48" s="59" t="str">
        <f>IF(ROWS(AT$8:AT48)&lt;=$AR$6, SMALL(INDEX(teamlownet, ,), ROWS(AT$8:AT48)), "")</f>
        <v/>
      </c>
      <c r="AU48" s="51"/>
      <c r="AV48" s="29" t="str">
        <f>IF(AW48="", "", IF(AX48&lt;&gt;AX47, ROWS(AV$7:AV47), ""))</f>
        <v/>
      </c>
      <c r="AY48" s="51"/>
    </row>
    <row r="49" spans="1:51" x14ac:dyDescent="0.2">
      <c r="A49" s="29" t="str">
        <f ca="1">IF(B49="", "", IF(D49&lt;&gt;D48, ROWS(A$7:A48), ""))</f>
        <v/>
      </c>
      <c r="B49" s="18" t="str">
        <f ca="1">IF(D49="","",INDEX(leagueroster, MATCH(SUMPRODUCT(LARGE((INDEX(lowgross, , )=D49)*(ids),COUNTIF(INDEX(lowgross, , ), D49)-COUNTIF(D$8:D49,D49)+1)), INDEX(leagueroster, , 2), 0), 1))</f>
        <v>Piccari, Steve</v>
      </c>
      <c r="C49" s="19" t="str">
        <f t="shared" ref="C49:C64" ca="1" si="24">IF(B49="", "", VLOOKUP(B49, leagueroster, 3, FALSE))</f>
        <v>SUBS</v>
      </c>
      <c r="D49" s="19">
        <f ca="1">IFERROR(SMALL(INDEX(lowgross, , ), ROWS(D$8:D49)), "")</f>
        <v>52</v>
      </c>
      <c r="F49" s="51"/>
      <c r="G49" s="29" t="str">
        <f ca="1">IF(H49="", "", IF(J49&lt;&gt;J48, ROWS(G$7:G48), ""))</f>
        <v/>
      </c>
      <c r="H49" s="18" t="str">
        <f ca="1">IF(J49="","",INDEX(leagueroster, MATCH(SUMPRODUCT(LARGE((INDEX(lownet, , )=J49)*(ids),COUNTIF(INDEX(lownet, , ), J49)-COUNTIF(J$8:J49,J49)+1)), INDEX(leagueroster, , 2), 0), 1))</f>
        <v>Sanders, Jim - C</v>
      </c>
      <c r="I49" s="19" t="str">
        <f t="shared" ref="I49:I64" ca="1" si="25">IF(H49="", "", VLOOKUP(H49, leagueroster, 3, FALSE))</f>
        <v>MET</v>
      </c>
      <c r="J49" s="19">
        <f ca="1">IFERROR(SMALL(INDEX(lownet, , ), ROWS(J$8:J49)), "")</f>
        <v>38</v>
      </c>
      <c r="L49" s="51"/>
      <c r="M49" s="29" t="str">
        <f ca="1">IF(N49="", "", IF(P49&lt;&gt;P48, ROWS(M$7:M48), ""))</f>
        <v/>
      </c>
      <c r="N49" s="18" t="str">
        <f ca="1">IF(P49="","",INDEX(leagueroster, MATCH(SUMPRODUCT(LARGE((INDEX(seasonptsavg, , )=P49)*(ids),COUNTIF(INDEX(seasonptsavg, , ), P49)-COUNTIF(P$8:P49,P49)+1)), INDEX(leagueroster, , 2), 0), 1))</f>
        <v/>
      </c>
      <c r="O49" s="19" t="str">
        <f ca="1">IF(N49="", "", VLOOKUP(N49, leagueroster, 3, FALSE))</f>
        <v/>
      </c>
      <c r="P49" s="21" t="str">
        <f ca="1">IFERROR(LARGE(seasonptsavg, ROWS(P$8:P49)), "")</f>
        <v/>
      </c>
      <c r="Q49" s="19" t="str">
        <f ca="1">IF(N49="", "", INDEX(seasonpts, MATCH(VLOOKUP(N49, leagueroster, 2, FALSE), ids, 0), ))</f>
        <v/>
      </c>
      <c r="R49" s="19" t="str">
        <f ca="1">IF(N49="", "", INDEX(seasonrds, MATCH(VLOOKUP(N49, leagueroster, 2, FALSE), ids, 0), ))</f>
        <v/>
      </c>
      <c r="S49" s="51"/>
      <c r="T49" s="29" t="str">
        <f ca="1">IF(U49="", "", IF(W49&lt;&gt;W48, ROWS(T$7:T48), ""))</f>
        <v/>
      </c>
      <c r="U49" s="18" t="str">
        <f ca="1">IF(W49="","",INDEX(leagueroster, MATCH(SUMPRODUCT(LARGE((INDEX(seasongross, , )=W49)*(ids),COUNTIF(INDEX(seasongross, , ), W49)-COUNTIF(W$8:W49,W49)+1)), INDEX(leagueroster, , 2), 0), 1))</f>
        <v/>
      </c>
      <c r="V49" s="19" t="str">
        <f t="shared" ref="V49:V55" ca="1" si="26">IF(U49="", "", VLOOKUP(U49, leagueroster, 3, FALSE))</f>
        <v/>
      </c>
      <c r="W49" s="21" t="str">
        <f ca="1">IFERROR(SMALL(seasongross, ROWS(W$8:W49)), "")</f>
        <v/>
      </c>
      <c r="X49" s="19" t="str">
        <f t="shared" ref="X49:X55" ca="1" si="27">IF(U49="", "", INDEX(seasonrds, MATCH(VLOOKUP(U49, leagueroster, 2, FALSE), ids, 0), ))</f>
        <v/>
      </c>
      <c r="Y49" s="51"/>
      <c r="Z49" s="29" t="str">
        <f ca="1">IF(AA49="", "", IF(AC49&lt;&gt;AC48, ROWS(Z$7:Z48), ""))</f>
        <v/>
      </c>
      <c r="AA49" s="18" t="str">
        <f ca="1">IF(AC49="","",INDEX(leagueroster, MATCH(SUMPRODUCT(LARGE((INDEX(seasonnet, , )=AC49)*(ids),COUNTIF(INDEX(seasonnet, , ), AC49)-COUNTIF(AC$8:AC49,AC49)+1)), INDEX(leagueroster, , 2), 0), 1))</f>
        <v/>
      </c>
      <c r="AB49" s="19" t="str">
        <f ca="1">IF(AA49="", "", VLOOKUP(AA49, leagueroster, 3, FALSE))</f>
        <v/>
      </c>
      <c r="AC49" s="21" t="str">
        <f ca="1">IFERROR(SMALL(seasonnet, ROWS(AC$8:AC49)), "")</f>
        <v/>
      </c>
      <c r="AD49" s="19" t="str">
        <f ca="1">IF(AA49="", "", INDEX(seasonrds, MATCH(VLOOKUP(AA49, leagueroster, 2, FALSE), ids, 0), ))</f>
        <v/>
      </c>
      <c r="AE49" s="51"/>
      <c r="AF49" s="29"/>
      <c r="AH49" s="19"/>
      <c r="AK49" s="51"/>
      <c r="AL49" s="29"/>
      <c r="AN49" s="19"/>
      <c r="AQ49" s="51"/>
      <c r="AR49" s="29" t="str">
        <f>IF(AS49="", "", IF(AT49&lt;&gt;AT48, ROWS(AR$7:AR48), ""))</f>
        <v/>
      </c>
      <c r="AS49" s="18" t="str" cm="1">
        <f t="array" ref="AS49">IF(AT49="","",INDEX(leagueroster, MATCH(SUMPRODUCT(LARGE((INDEX(teamlownet,,)=AT49)*(ids),COUNTIF(INDEX(teamlownet, ,), AT49)-COUNTIF(AT$8:AT49,AT49)+1)), INDEX(leagueroster, , 2), 0), 1))</f>
        <v/>
      </c>
      <c r="AT49" s="59" t="str">
        <f>IF(ROWS(AT$8:AT49)&lt;=$AR$6, SMALL(INDEX(teamlownet, ,), ROWS(AT$8:AT49)), "")</f>
        <v/>
      </c>
      <c r="AU49" s="51"/>
      <c r="AY49" s="51"/>
    </row>
    <row r="50" spans="1:51" x14ac:dyDescent="0.2">
      <c r="A50" s="29" t="str">
        <f ca="1">IF(B50="", "", IF(D50&lt;&gt;D49, ROWS(A$7:A49), ""))</f>
        <v/>
      </c>
      <c r="B50" s="18" t="str">
        <f ca="1">IF(D50="","",INDEX(leagueroster, MATCH(SUMPRODUCT(LARGE((INDEX(lowgross, , )=D50)*(ids),COUNTIF(INDEX(lowgross, , ), D50)-COUNTIF(D$8:D50,D50)+1)), INDEX(leagueroster, , 2), 0), 1))</f>
        <v>Williams, Jerry - C</v>
      </c>
      <c r="C50" s="19" t="str">
        <f t="shared" ca="1" si="24"/>
        <v>HS</v>
      </c>
      <c r="D50" s="19">
        <f ca="1">IFERROR(SMALL(INDEX(lowgross, , ), ROWS(D$8:D50)), "")</f>
        <v>52</v>
      </c>
      <c r="F50" s="51"/>
      <c r="G50" s="29">
        <f ca="1">IF(H50="", "", IF(J50&lt;&gt;J49, ROWS(G$7:G49), ""))</f>
        <v>43</v>
      </c>
      <c r="H50" s="18" t="str">
        <f ca="1">IF(J50="","",INDEX(leagueroster, MATCH(SUMPRODUCT(LARGE((INDEX(lownet, , )=J50)*(ids),COUNTIF(INDEX(lownet, , ), J50)-COUNTIF(J$8:J50,J50)+1)), INDEX(leagueroster, , 2), 0), 1))</f>
        <v>Haslar, Dave - gold tees</v>
      </c>
      <c r="I50" s="19" t="str">
        <f t="shared" ca="1" si="25"/>
        <v>SUBS</v>
      </c>
      <c r="J50" s="19">
        <f ca="1">IFERROR(SMALL(INDEX(lownet, , ), ROWS(J$8:J50)), "")</f>
        <v>39</v>
      </c>
      <c r="L50" s="51"/>
      <c r="M50" s="29" t="str">
        <f ca="1">IF(N50="", "", IF(P50&lt;&gt;P49, ROWS(M$7:M49), ""))</f>
        <v/>
      </c>
      <c r="N50" s="18" t="str">
        <f ca="1">IF(P50="","",INDEX(leagueroster, MATCH(SUMPRODUCT(LARGE((INDEX(seasonptsavg, , )=P50)*(ids),COUNTIF(INDEX(seasonptsavg, , ), P50)-COUNTIF(P$8:P50,P50)+1)), INDEX(leagueroster, , 2), 0), 1))</f>
        <v/>
      </c>
      <c r="O50" s="19" t="str">
        <f t="shared" ref="O50:O55" ca="1" si="28">IF(N50="", "", VLOOKUP(N50, leagueroster, 3, FALSE))</f>
        <v/>
      </c>
      <c r="P50" s="21" t="str">
        <f ca="1">IFERROR(LARGE(seasonptsavg, ROWS(P$8:P50)), "")</f>
        <v/>
      </c>
      <c r="Q50" s="19" t="str">
        <f t="shared" ref="Q50:Q55" ca="1" si="29">IF(N50="", "", INDEX(seasonpts, MATCH(VLOOKUP(N50, leagueroster, 2, FALSE), ids, 0), ))</f>
        <v/>
      </c>
      <c r="R50" s="19" t="str">
        <f t="shared" ref="R50:R55" ca="1" si="30">IF(N50="", "", INDEX(seasonrds, MATCH(VLOOKUP(N50, leagueroster, 2, FALSE), ids, 0), ))</f>
        <v/>
      </c>
      <c r="S50" s="51"/>
      <c r="T50" s="29" t="str">
        <f ca="1">IF(U50="", "", IF(W50&lt;&gt;W49, ROWS(T$7:T49), ""))</f>
        <v/>
      </c>
      <c r="U50" s="18" t="str">
        <f ca="1">IF(W50="","",INDEX(leagueroster, MATCH(SUMPRODUCT(LARGE((INDEX(seasongross, , )=W50)*(ids),COUNTIF(INDEX(seasongross, , ), W50)-COUNTIF(W$8:W50,W50)+1)), INDEX(leagueroster, , 2), 0), 1))</f>
        <v/>
      </c>
      <c r="V50" s="19" t="str">
        <f t="shared" ca="1" si="26"/>
        <v/>
      </c>
      <c r="W50" s="21" t="str">
        <f ca="1">IFERROR(SMALL(seasongross, ROWS(W$8:W50)), "")</f>
        <v/>
      </c>
      <c r="X50" s="19" t="str">
        <f t="shared" ca="1" si="27"/>
        <v/>
      </c>
      <c r="Y50" s="51"/>
      <c r="Z50" s="29" t="str">
        <f ca="1">IF(AA50="", "", IF(AC50&lt;&gt;AC49, ROWS(Z$7:Z49), ""))</f>
        <v/>
      </c>
      <c r="AA50" s="18" t="str">
        <f ca="1">IF(AC50="","",INDEX(leagueroster, MATCH(SUMPRODUCT(LARGE((INDEX(seasonnet, , )=AC50)*(ids),COUNTIF(INDEX(seasonnet, , ), AC50)-COUNTIF(AC$8:AC50,AC50)+1)), INDEX(leagueroster, , 2), 0), 1))</f>
        <v/>
      </c>
      <c r="AB50" s="19" t="str">
        <f t="shared" ref="AB50:AB55" ca="1" si="31">IF(AA50="", "", VLOOKUP(AA50, leagueroster, 3, FALSE))</f>
        <v/>
      </c>
      <c r="AC50" s="21" t="str">
        <f ca="1">IFERROR(SMALL(seasonnet, ROWS(AC$8:AC50)), "")</f>
        <v/>
      </c>
      <c r="AD50" s="19" t="str">
        <f t="shared" ref="AD50:AD55" ca="1" si="32">IF(AA50="", "", INDEX(seasonrds, MATCH(VLOOKUP(AA50, leagueroster, 2, FALSE), ids, 0), ))</f>
        <v/>
      </c>
      <c r="AE50" s="51"/>
      <c r="AF50" s="29"/>
      <c r="AH50" s="19"/>
      <c r="AK50" s="51"/>
      <c r="AL50" s="29"/>
      <c r="AN50" s="19"/>
      <c r="AQ50" s="51"/>
      <c r="AR50" s="29" t="str">
        <f>IF(AS50="", "", IF(AT50&lt;&gt;AT49, ROWS(AR$7:AR49), ""))</f>
        <v/>
      </c>
      <c r="AS50" s="18" t="str" cm="1">
        <f t="array" ref="AS50">IF(AT50="","",INDEX(leagueroster, MATCH(SUMPRODUCT(LARGE((INDEX(teamlownet,,)=AT50)*(ids),COUNTIF(INDEX(teamlownet, ,), AT50)-COUNTIF(AT$8:AT50,AT50)+1)), INDEX(leagueroster, , 2), 0), 1))</f>
        <v/>
      </c>
      <c r="AT50" s="59" t="str">
        <f>IF(ROWS(AT$8:AT50)&lt;=$AR$6, SMALL(INDEX(teamlownet, ,), ROWS(AT$8:AT50)), "")</f>
        <v/>
      </c>
      <c r="AU50" s="51"/>
      <c r="AY50" s="51"/>
    </row>
    <row r="51" spans="1:51" x14ac:dyDescent="0.2">
      <c r="A51" s="29" t="str">
        <f ca="1">IF(B51="", "", IF(D51&lt;&gt;D50, ROWS(A$7:A50), ""))</f>
        <v/>
      </c>
      <c r="B51" s="18" t="str">
        <f ca="1">IF(D51="","",INDEX(leagueroster, MATCH(SUMPRODUCT(LARGE((INDEX(lowgross, , )=D51)*(ids),COUNTIF(INDEX(lowgross, , ), D51)-COUNTIF(D$8:D51,D51)+1)), INDEX(leagueroster, , 2), 0), 1))</f>
        <v>Vassas, Jim</v>
      </c>
      <c r="C51" s="19" t="str">
        <f t="shared" ca="1" si="24"/>
        <v>SUBS</v>
      </c>
      <c r="D51" s="19">
        <f ca="1">IFERROR(SMALL(INDEX(lowgross, , ), ROWS(D$8:D51)), "")</f>
        <v>52</v>
      </c>
      <c r="F51" s="51"/>
      <c r="G51" s="29" t="str">
        <f ca="1">IF(H51="", "", IF(J51&lt;&gt;J50, ROWS(G$7:G50), ""))</f>
        <v/>
      </c>
      <c r="H51" s="18" t="str">
        <f ca="1">IF(J51="","",INDEX(leagueroster, MATCH(SUMPRODUCT(LARGE((INDEX(lownet, , )=J51)*(ids),COUNTIF(INDEX(lownet, , ), J51)-COUNTIF(J$8:J51,J51)+1)), INDEX(leagueroster, , 2), 0), 1))</f>
        <v>Jones, Ron</v>
      </c>
      <c r="I51" s="19" t="str">
        <f t="shared" ca="1" si="25"/>
        <v>SUBS</v>
      </c>
      <c r="J51" s="19">
        <f ca="1">IFERROR(SMALL(INDEX(lownet, , ), ROWS(J$8:J51)), "")</f>
        <v>39</v>
      </c>
      <c r="L51" s="51"/>
      <c r="M51" s="29" t="str">
        <f ca="1">IF(N51="", "", IF(P51&lt;&gt;P50, ROWS(M$7:M50), ""))</f>
        <v/>
      </c>
      <c r="N51" s="18" t="str">
        <f ca="1">IF(P51="","",INDEX(leagueroster, MATCH(SUMPRODUCT(LARGE((INDEX(seasonptsavg, , )=P51)*(ids),COUNTIF(INDEX(seasonptsavg, , ), P51)-COUNTIF(P$8:P51,P51)+1)), INDEX(leagueroster, , 2), 0), 1))</f>
        <v/>
      </c>
      <c r="O51" s="19" t="str">
        <f t="shared" ca="1" si="28"/>
        <v/>
      </c>
      <c r="P51" s="21" t="str">
        <f ca="1">IFERROR(LARGE(seasonptsavg, ROWS(P$8:P51)), "")</f>
        <v/>
      </c>
      <c r="Q51" s="19" t="str">
        <f t="shared" ca="1" si="29"/>
        <v/>
      </c>
      <c r="R51" s="19" t="str">
        <f t="shared" ca="1" si="30"/>
        <v/>
      </c>
      <c r="S51" s="51"/>
      <c r="T51" s="29" t="str">
        <f ca="1">IF(U51="", "", IF(W51&lt;&gt;W50, ROWS(T$7:T50), ""))</f>
        <v/>
      </c>
      <c r="U51" s="18" t="str">
        <f ca="1">IF(W51="","",INDEX(leagueroster, MATCH(SUMPRODUCT(LARGE((INDEX(seasongross, , )=W51)*(ids),COUNTIF(INDEX(seasongross, , ), W51)-COUNTIF(W$8:W51,W51)+1)), INDEX(leagueroster, , 2), 0), 1))</f>
        <v/>
      </c>
      <c r="V51" s="19" t="str">
        <f t="shared" ca="1" si="26"/>
        <v/>
      </c>
      <c r="W51" s="21" t="str">
        <f ca="1">IFERROR(SMALL(seasongross, ROWS(W$8:W51)), "")</f>
        <v/>
      </c>
      <c r="X51" s="19" t="str">
        <f t="shared" ca="1" si="27"/>
        <v/>
      </c>
      <c r="Y51" s="51"/>
      <c r="Z51" s="29" t="str">
        <f ca="1">IF(AA51="", "", IF(AC51&lt;&gt;AC50, ROWS(Z$7:Z50), ""))</f>
        <v/>
      </c>
      <c r="AA51" s="18" t="str">
        <f ca="1">IF(AC51="","",INDEX(leagueroster, MATCH(SUMPRODUCT(LARGE((INDEX(seasonnet, , )=AC51)*(ids),COUNTIF(INDEX(seasonnet, , ), AC51)-COUNTIF(AC$8:AC51,AC51)+1)), INDEX(leagueroster, , 2), 0), 1))</f>
        <v/>
      </c>
      <c r="AB51" s="19" t="str">
        <f t="shared" ca="1" si="31"/>
        <v/>
      </c>
      <c r="AC51" s="21" t="str">
        <f ca="1">IFERROR(SMALL(seasonnet, ROWS(AC$8:AC51)), "")</f>
        <v/>
      </c>
      <c r="AD51" s="19" t="str">
        <f t="shared" ca="1" si="32"/>
        <v/>
      </c>
      <c r="AE51" s="51"/>
      <c r="AF51" s="29"/>
      <c r="AH51" s="19"/>
      <c r="AK51" s="51"/>
      <c r="AL51" s="29"/>
      <c r="AN51" s="19"/>
      <c r="AQ51" s="51"/>
      <c r="AR51" s="29" t="str">
        <f>IF(AS51="", "", IF(AT51&lt;&gt;AT50, ROWS(AR$7:AR50), ""))</f>
        <v/>
      </c>
      <c r="AS51" s="18" t="str" cm="1">
        <f t="array" ref="AS51">IF(AT51="","",INDEX(leagueroster, MATCH(SUMPRODUCT(LARGE((INDEX(teamlownet,,)=AT51)*(ids),COUNTIF(INDEX(teamlownet, ,), AT51)-COUNTIF(AT$8:AT51,AT51)+1)), INDEX(leagueroster, , 2), 0), 1))</f>
        <v/>
      </c>
      <c r="AT51" s="59" t="str">
        <f>IF(ROWS(AT$8:AT51)&lt;=$AR$6, SMALL(INDEX(teamlownet, ,), ROWS(AT$8:AT51)), "")</f>
        <v/>
      </c>
      <c r="AU51" s="51"/>
      <c r="AY51" s="51"/>
    </row>
    <row r="52" spans="1:51" x14ac:dyDescent="0.2">
      <c r="A52" s="29">
        <f ca="1">IF(B52="", "", IF(D52&lt;&gt;D51, ROWS(A$7:A51), ""))</f>
        <v>45</v>
      </c>
      <c r="B52" s="18" t="str">
        <f ca="1">IF(D52="","",INDEX(leagueroster, MATCH(SUMPRODUCT(LARGE((INDEX(lowgross, , )=D52)*(ids),COUNTIF(INDEX(lowgross, , ), D52)-COUNTIF(D$8:D52,D52)+1)), INDEX(leagueroster, , 2), 0), 1))</f>
        <v>Newsome, Gregg - gold tees</v>
      </c>
      <c r="C52" s="19" t="str">
        <f t="shared" ca="1" si="24"/>
        <v>HS</v>
      </c>
      <c r="D52" s="19">
        <f ca="1">IFERROR(SMALL(INDEX(lowgross, , ), ROWS(D$8:D52)), "")</f>
        <v>53</v>
      </c>
      <c r="F52" s="51"/>
      <c r="G52" s="29">
        <f ca="1">IF(H52="", "", IF(J52&lt;&gt;J51, ROWS(G$7:G51), ""))</f>
        <v>45</v>
      </c>
      <c r="H52" s="18" t="str">
        <f ca="1">IF(J52="","",INDEX(leagueroster, MATCH(SUMPRODUCT(LARGE((INDEX(lownet, , )=J52)*(ids),COUNTIF(INDEX(lownet, , ), J52)-COUNTIF(J$8:J52,J52)+1)), INDEX(leagueroster, , 2), 0), 1))</f>
        <v>Piccari, Steve</v>
      </c>
      <c r="I52" s="19" t="str">
        <f t="shared" ca="1" si="25"/>
        <v>SUBS</v>
      </c>
      <c r="J52" s="19">
        <f ca="1">IFERROR(SMALL(INDEX(lownet, , ), ROWS(J$8:J52)), "")</f>
        <v>40</v>
      </c>
      <c r="L52" s="51"/>
      <c r="M52" s="29" t="str">
        <f ca="1">IF(N52="", "", IF(P52&lt;&gt;P51, ROWS(M$7:M51), ""))</f>
        <v/>
      </c>
      <c r="N52" s="18" t="str">
        <f ca="1">IF(P52="","",INDEX(leagueroster, MATCH(SUMPRODUCT(LARGE((INDEX(seasonptsavg, , )=P52)*(ids),COUNTIF(INDEX(seasonptsavg, , ), P52)-COUNTIF(P$8:P52,P52)+1)), INDEX(leagueroster, , 2), 0), 1))</f>
        <v/>
      </c>
      <c r="O52" s="19" t="str">
        <f t="shared" ca="1" si="28"/>
        <v/>
      </c>
      <c r="P52" s="21" t="str">
        <f ca="1">IFERROR(LARGE(seasonptsavg, ROWS(P$8:P52)), "")</f>
        <v/>
      </c>
      <c r="Q52" s="19" t="str">
        <f t="shared" ca="1" si="29"/>
        <v/>
      </c>
      <c r="R52" s="19" t="str">
        <f t="shared" ca="1" si="30"/>
        <v/>
      </c>
      <c r="S52" s="51"/>
      <c r="T52" s="29" t="str">
        <f ca="1">IF(U52="", "", IF(W52&lt;&gt;W51, ROWS(T$7:T51), ""))</f>
        <v/>
      </c>
      <c r="U52" s="18" t="str">
        <f ca="1">IF(W52="","",INDEX(leagueroster, MATCH(SUMPRODUCT(LARGE((INDEX(seasongross, , )=W52)*(ids),COUNTIF(INDEX(seasongross, , ), W52)-COUNTIF(W$8:W52,W52)+1)), INDEX(leagueroster, , 2), 0), 1))</f>
        <v/>
      </c>
      <c r="V52" s="19" t="str">
        <f t="shared" ca="1" si="26"/>
        <v/>
      </c>
      <c r="W52" s="21" t="str">
        <f ca="1">IFERROR(SMALL(seasongross, ROWS(W$8:W52)), "")</f>
        <v/>
      </c>
      <c r="X52" s="19" t="str">
        <f t="shared" ca="1" si="27"/>
        <v/>
      </c>
      <c r="Y52" s="51"/>
      <c r="Z52" s="29" t="str">
        <f ca="1">IF(AA52="", "", IF(AC52&lt;&gt;AC51, ROWS(Z$7:Z51), ""))</f>
        <v/>
      </c>
      <c r="AA52" s="18" t="str">
        <f ca="1">IF(AC52="","",INDEX(leagueroster, MATCH(SUMPRODUCT(LARGE((INDEX(seasonnet, , )=AC52)*(ids),COUNTIF(INDEX(seasonnet, , ), AC52)-COUNTIF(AC$8:AC52,AC52)+1)), INDEX(leagueroster, , 2), 0), 1))</f>
        <v/>
      </c>
      <c r="AB52" s="19" t="str">
        <f t="shared" ca="1" si="31"/>
        <v/>
      </c>
      <c r="AC52" s="21" t="str">
        <f ca="1">IFERROR(SMALL(seasonnet, ROWS(AC$8:AC52)), "")</f>
        <v/>
      </c>
      <c r="AD52" s="19" t="str">
        <f t="shared" ca="1" si="32"/>
        <v/>
      </c>
      <c r="AE52" s="51"/>
      <c r="AF52" s="29"/>
      <c r="AH52" s="19"/>
      <c r="AK52" s="51"/>
      <c r="AL52" s="29"/>
      <c r="AN52" s="19"/>
      <c r="AQ52" s="51"/>
      <c r="AR52" s="29" t="str">
        <f>IF(AS52="", "", IF(AT52&lt;&gt;AT51, ROWS(AR$7:AR51), ""))</f>
        <v/>
      </c>
      <c r="AS52" s="18" t="str" cm="1">
        <f t="array" ref="AS52">IF(AT52="","",INDEX(leagueroster, MATCH(SUMPRODUCT(LARGE((INDEX(teamlownet,,)=AT52)*(ids),COUNTIF(INDEX(teamlownet, ,), AT52)-COUNTIF(AT$8:AT52,AT52)+1)), INDEX(leagueroster, , 2), 0), 1))</f>
        <v/>
      </c>
      <c r="AT52" s="59" t="str">
        <f>IF(ROWS(AT$8:AT52)&lt;=$AR$6, SMALL(INDEX(teamlownet, ,), ROWS(AT$8:AT52)), "")</f>
        <v/>
      </c>
      <c r="AU52" s="51"/>
      <c r="AY52" s="51"/>
    </row>
    <row r="53" spans="1:51" x14ac:dyDescent="0.2">
      <c r="A53" s="29">
        <f ca="1">IF(B53="", "", IF(D53&lt;&gt;D52, ROWS(A$7:A52), ""))</f>
        <v>46</v>
      </c>
      <c r="B53" s="18" t="str">
        <f ca="1">IF(D53="","",INDEX(leagueroster, MATCH(SUMPRODUCT(LARGE((INDEX(lowgross, , )=D53)*(ids),COUNTIF(INDEX(lowgross, , ), D53)-COUNTIF(D$8:D53,D53)+1)), INDEX(leagueroster, , 2), 0), 1))</f>
        <v>Jones, Ron</v>
      </c>
      <c r="C53" s="19" t="str">
        <f t="shared" ca="1" si="24"/>
        <v>SUBS</v>
      </c>
      <c r="D53" s="19">
        <f ca="1">IFERROR(SMALL(INDEX(lowgross, , ), ROWS(D$8:D53)), "")</f>
        <v>54</v>
      </c>
      <c r="F53" s="51"/>
      <c r="G53" s="29" t="str">
        <f ca="1">IF(H53="", "", IF(J53&lt;&gt;J52, ROWS(G$7:G52), ""))</f>
        <v/>
      </c>
      <c r="H53" s="18" t="str">
        <f ca="1">IF(J53="","",INDEX(leagueroster, MATCH(SUMPRODUCT(LARGE((INDEX(lownet, , )=J53)*(ids),COUNTIF(INDEX(lownet, , ), J53)-COUNTIF(J$8:J53,J53)+1)), INDEX(leagueroster, , 2), 0), 1))</f>
        <v>Shrestha, Bishnu</v>
      </c>
      <c r="I53" s="19" t="str">
        <f t="shared" ca="1" si="25"/>
        <v>SUBS</v>
      </c>
      <c r="J53" s="19">
        <f ca="1">IFERROR(SMALL(INDEX(lownet, , ), ROWS(J$8:J53)), "")</f>
        <v>40</v>
      </c>
      <c r="L53" s="51"/>
      <c r="M53" s="29" t="str">
        <f ca="1">IF(N53="", "", IF(P53&lt;&gt;P52, ROWS(M$7:M52), ""))</f>
        <v/>
      </c>
      <c r="N53" s="18" t="str">
        <f ca="1">IF(P53="","",INDEX(leagueroster, MATCH(SUMPRODUCT(LARGE((INDEX(seasonptsavg, , )=P53)*(ids),COUNTIF(INDEX(seasonptsavg, , ), P53)-COUNTIF(P$8:P53,P53)+1)), INDEX(leagueroster, , 2), 0), 1))</f>
        <v/>
      </c>
      <c r="O53" s="19" t="str">
        <f t="shared" ca="1" si="28"/>
        <v/>
      </c>
      <c r="P53" s="21" t="str">
        <f ca="1">IFERROR(LARGE(seasonptsavg, ROWS(P$8:P53)), "")</f>
        <v/>
      </c>
      <c r="Q53" s="19" t="str">
        <f t="shared" ca="1" si="29"/>
        <v/>
      </c>
      <c r="R53" s="19" t="str">
        <f t="shared" ca="1" si="30"/>
        <v/>
      </c>
      <c r="S53" s="51"/>
      <c r="T53" s="29" t="str">
        <f ca="1">IF(U53="", "", IF(W53&lt;&gt;W52, ROWS(T$7:T52), ""))</f>
        <v/>
      </c>
      <c r="U53" s="18" t="str">
        <f ca="1">IF(W53="","",INDEX(leagueroster, MATCH(SUMPRODUCT(LARGE((INDEX(seasongross, , )=W53)*(ids),COUNTIF(INDEX(seasongross, , ), W53)-COUNTIF(W$8:W53,W53)+1)), INDEX(leagueroster, , 2), 0), 1))</f>
        <v/>
      </c>
      <c r="V53" s="19" t="str">
        <f t="shared" ca="1" si="26"/>
        <v/>
      </c>
      <c r="W53" s="21" t="str">
        <f ca="1">IFERROR(SMALL(seasongross, ROWS(W$8:W53)), "")</f>
        <v/>
      </c>
      <c r="X53" s="19" t="str">
        <f t="shared" ca="1" si="27"/>
        <v/>
      </c>
      <c r="Y53" s="51"/>
      <c r="Z53" s="29" t="str">
        <f ca="1">IF(AA53="", "", IF(AC53&lt;&gt;AC52, ROWS(Z$7:Z52), ""))</f>
        <v/>
      </c>
      <c r="AA53" s="18" t="str">
        <f ca="1">IF(AC53="","",INDEX(leagueroster, MATCH(SUMPRODUCT(LARGE((INDEX(seasonnet, , )=AC53)*(ids),COUNTIF(INDEX(seasonnet, , ), AC53)-COUNTIF(AC$8:AC53,AC53)+1)), INDEX(leagueroster, , 2), 0), 1))</f>
        <v/>
      </c>
      <c r="AB53" s="19" t="str">
        <f t="shared" ca="1" si="31"/>
        <v/>
      </c>
      <c r="AC53" s="21" t="str">
        <f ca="1">IFERROR(SMALL(seasonnet, ROWS(AC$8:AC53)), "")</f>
        <v/>
      </c>
      <c r="AD53" s="19" t="str">
        <f t="shared" ca="1" si="32"/>
        <v/>
      </c>
      <c r="AE53" s="51"/>
      <c r="AF53" s="29"/>
      <c r="AH53" s="19"/>
      <c r="AK53" s="51"/>
      <c r="AL53" s="29"/>
      <c r="AN53" s="19"/>
      <c r="AQ53" s="51"/>
      <c r="AR53" s="29" t="str">
        <f>IF(AS53="", "", IF(AT53&lt;&gt;AT52, ROWS(AR$7:AR52), ""))</f>
        <v/>
      </c>
      <c r="AS53" s="18" t="str" cm="1">
        <f t="array" ref="AS53">IF(AT53="","",INDEX(leagueroster, MATCH(SUMPRODUCT(LARGE((INDEX(teamlownet,,)=AT53)*(ids),COUNTIF(INDEX(teamlownet, ,), AT53)-COUNTIF(AT$8:AT53,AT53)+1)), INDEX(leagueroster, , 2), 0), 1))</f>
        <v/>
      </c>
      <c r="AT53" s="59" t="str">
        <f>IF(ROWS(AT$8:AT53)&lt;=$AR$6, SMALL(INDEX(teamlownet, ,), ROWS(AT$8:AT53)), "")</f>
        <v/>
      </c>
      <c r="AU53" s="51"/>
      <c r="AY53" s="51"/>
    </row>
    <row r="54" spans="1:51" x14ac:dyDescent="0.2">
      <c r="A54" s="29">
        <f ca="1">IF(B54="", "", IF(D54&lt;&gt;D53, ROWS(A$7:A53), ""))</f>
        <v>47</v>
      </c>
      <c r="B54" s="18" t="str">
        <f ca="1">IF(D54="","",INDEX(leagueroster, MATCH(SUMPRODUCT(LARGE((INDEX(lowgross, , )=D54)*(ids),COUNTIF(INDEX(lowgross, , ), D54)-COUNTIF(D$8:D54,D54)+1)), INDEX(leagueroster, , 2), 0), 1))</f>
        <v>Fitch, Dennis - gold tees</v>
      </c>
      <c r="C54" s="19" t="str">
        <f t="shared" ca="1" si="24"/>
        <v>ACE</v>
      </c>
      <c r="D54" s="19">
        <f ca="1">IFERROR(SMALL(INDEX(lowgross, , ), ROWS(D$8:D54)), "")</f>
        <v>56</v>
      </c>
      <c r="F54" s="51"/>
      <c r="G54" s="29">
        <f ca="1">IF(H54="", "", IF(J54&lt;&gt;J53, ROWS(G$7:G53), ""))</f>
        <v>47</v>
      </c>
      <c r="H54" s="18" t="str">
        <f ca="1">IF(J54="","",INDEX(leagueroster, MATCH(SUMPRODUCT(LARGE((INDEX(lownet, , )=J54)*(ids),COUNTIF(INDEX(lownet, , ), J54)-COUNTIF(J$8:J54,J54)+1)), INDEX(leagueroster, , 2), 0), 1))</f>
        <v>Okonak, Tom - green tees</v>
      </c>
      <c r="I54" s="19" t="str">
        <f t="shared" ca="1" si="25"/>
        <v>MMC</v>
      </c>
      <c r="J54" s="19">
        <f ca="1">IFERROR(SMALL(INDEX(lownet, , ), ROWS(J$8:J54)), "")</f>
        <v>41</v>
      </c>
      <c r="L54" s="51"/>
      <c r="M54" s="29" t="str">
        <f ca="1">IF(N54="", "", IF(P54&lt;&gt;P53, ROWS(M$7:M53), ""))</f>
        <v/>
      </c>
      <c r="N54" s="18" t="str">
        <f ca="1">IF(P54="","",INDEX(leagueroster, MATCH(SUMPRODUCT(LARGE((INDEX(seasonptsavg, , )=P54)*(ids),COUNTIF(INDEX(seasonptsavg, , ), P54)-COUNTIF(P$8:P54,P54)+1)), INDEX(leagueroster, , 2), 0), 1))</f>
        <v/>
      </c>
      <c r="O54" s="19" t="str">
        <f t="shared" ca="1" si="28"/>
        <v/>
      </c>
      <c r="P54" s="21" t="str">
        <f ca="1">IFERROR(LARGE(seasonptsavg, ROWS(P$8:P54)), "")</f>
        <v/>
      </c>
      <c r="Q54" s="19" t="str">
        <f t="shared" ca="1" si="29"/>
        <v/>
      </c>
      <c r="R54" s="19" t="str">
        <f t="shared" ca="1" si="30"/>
        <v/>
      </c>
      <c r="S54" s="51"/>
      <c r="T54" s="29" t="str">
        <f ca="1">IF(U54="", "", IF(W54&lt;&gt;W53, ROWS(T$7:T53), ""))</f>
        <v/>
      </c>
      <c r="U54" s="18" t="str">
        <f ca="1">IF(W54="","",INDEX(leagueroster, MATCH(SUMPRODUCT(LARGE((INDEX(seasongross, , )=W54)*(ids),COUNTIF(INDEX(seasongross, , ), W54)-COUNTIF(W$8:W54,W54)+1)), INDEX(leagueroster, , 2), 0), 1))</f>
        <v/>
      </c>
      <c r="V54" s="19" t="str">
        <f t="shared" ca="1" si="26"/>
        <v/>
      </c>
      <c r="W54" s="21" t="str">
        <f ca="1">IFERROR(SMALL(seasongross, ROWS(W$8:W54)), "")</f>
        <v/>
      </c>
      <c r="X54" s="19" t="str">
        <f t="shared" ca="1" si="27"/>
        <v/>
      </c>
      <c r="Y54" s="51"/>
      <c r="Z54" s="29" t="str">
        <f ca="1">IF(AA54="", "", IF(AC54&lt;&gt;AC53, ROWS(Z$7:Z53), ""))</f>
        <v/>
      </c>
      <c r="AA54" s="18" t="str">
        <f ca="1">IF(AC54="","",INDEX(leagueroster, MATCH(SUMPRODUCT(LARGE((INDEX(seasonnet, , )=AC54)*(ids),COUNTIF(INDEX(seasonnet, , ), AC54)-COUNTIF(AC$8:AC54,AC54)+1)), INDEX(leagueroster, , 2), 0), 1))</f>
        <v/>
      </c>
      <c r="AB54" s="19" t="str">
        <f t="shared" ca="1" si="31"/>
        <v/>
      </c>
      <c r="AC54" s="21" t="str">
        <f ca="1">IFERROR(SMALL(seasonnet, ROWS(AC$8:AC54)), "")</f>
        <v/>
      </c>
      <c r="AD54" s="19" t="str">
        <f t="shared" ca="1" si="32"/>
        <v/>
      </c>
      <c r="AE54" s="51"/>
      <c r="AF54" s="29"/>
      <c r="AH54" s="19"/>
      <c r="AK54" s="51"/>
      <c r="AL54" s="29"/>
      <c r="AN54" s="19"/>
      <c r="AQ54" s="51"/>
      <c r="AR54" s="29" t="str">
        <f>IF(AS54="", "", IF(AT54&lt;&gt;AT53, ROWS(AR$7:AR53), ""))</f>
        <v/>
      </c>
      <c r="AS54" s="18" t="str" cm="1">
        <f t="array" ref="AS54">IF(AT54="","",INDEX(leagueroster, MATCH(SUMPRODUCT(LARGE((INDEX(teamlownet,,)=AT54)*(ids),COUNTIF(INDEX(teamlownet, ,), AT54)-COUNTIF(AT$8:AT54,AT54)+1)), INDEX(leagueroster, , 2), 0), 1))</f>
        <v/>
      </c>
      <c r="AT54" s="59" t="str">
        <f>IF(ROWS(AT$8:AT54)&lt;=$AR$6, SMALL(INDEX(teamlownet, ,), ROWS(AT$8:AT54)), "")</f>
        <v/>
      </c>
      <c r="AU54" s="51"/>
      <c r="AY54" s="51"/>
    </row>
    <row r="55" spans="1:51" x14ac:dyDescent="0.2">
      <c r="A55" s="29">
        <f ca="1">IF(B55="", "", IF(D55&lt;&gt;D54, ROWS(A$7:A54), ""))</f>
        <v>48</v>
      </c>
      <c r="B55" s="18" t="str">
        <f ca="1">IF(D55="","",INDEX(leagueroster, MATCH(SUMPRODUCT(LARGE((INDEX(lowgross, , )=D55)*(ids),COUNTIF(INDEX(lowgross, , ), D55)-COUNTIF(D$8:D55,D55)+1)), INDEX(leagueroster, , 2), 0), 1))</f>
        <v>Shrestha, Bishnu</v>
      </c>
      <c r="C55" s="19" t="str">
        <f t="shared" ca="1" si="24"/>
        <v>SUBS</v>
      </c>
      <c r="D55" s="19">
        <f ca="1">IFERROR(SMALL(INDEX(lowgross, , ), ROWS(D$8:D55)), "")</f>
        <v>60</v>
      </c>
      <c r="F55" s="51"/>
      <c r="G55" s="29">
        <f ca="1">IF(H55="", "", IF(J55&lt;&gt;J54, ROWS(G$7:G54), ""))</f>
        <v>48</v>
      </c>
      <c r="H55" s="18" t="str">
        <f ca="1">IF(J55="","",INDEX(leagueroster, MATCH(SUMPRODUCT(LARGE((INDEX(lownet, , )=J55)*(ids),COUNTIF(INDEX(lownet, , ), J55)-COUNTIF(J$8:J55,J55)+1)), INDEX(leagueroster, , 2), 0), 1))</f>
        <v>Vassas, Jim</v>
      </c>
      <c r="I55" s="19" t="str">
        <f t="shared" ca="1" si="25"/>
        <v>SUBS</v>
      </c>
      <c r="J55" s="19">
        <f ca="1">IFERROR(SMALL(INDEX(lownet, , ), ROWS(J$8:J55)), "")</f>
        <v>43</v>
      </c>
      <c r="L55" s="51"/>
      <c r="M55" s="29" t="str">
        <f ca="1">IF(N55="", "", IF(P55&lt;&gt;P54, ROWS(M$7:M54), ""))</f>
        <v/>
      </c>
      <c r="N55" s="18" t="str">
        <f ca="1">IF(P55="","",INDEX(leagueroster, MATCH(SUMPRODUCT(LARGE((INDEX(seasonptsavg, , )=P55)*(ids),COUNTIF(INDEX(seasonptsavg, , ), P55)-COUNTIF(P$8:P55,P55)+1)), INDEX(leagueroster, , 2), 0), 1))</f>
        <v/>
      </c>
      <c r="O55" s="19" t="str">
        <f t="shared" ca="1" si="28"/>
        <v/>
      </c>
      <c r="P55" s="21" t="str">
        <f ca="1">IFERROR(LARGE(seasonptsavg, ROWS(P$8:P55)), "")</f>
        <v/>
      </c>
      <c r="Q55" s="19" t="str">
        <f t="shared" ca="1" si="29"/>
        <v/>
      </c>
      <c r="R55" s="19" t="str">
        <f t="shared" ca="1" si="30"/>
        <v/>
      </c>
      <c r="S55" s="51"/>
      <c r="T55" s="29" t="str">
        <f ca="1">IF(U55="", "", IF(W55&lt;&gt;W54, ROWS(T$7:T54), ""))</f>
        <v/>
      </c>
      <c r="U55" s="18" t="str">
        <f ca="1">IF(W55="","",INDEX(leagueroster, MATCH(SUMPRODUCT(LARGE((INDEX(seasongross, , )=W55)*(ids),COUNTIF(INDEX(seasongross, , ), W55)-COUNTIF(W$8:W55,W55)+1)), INDEX(leagueroster, , 2), 0), 1))</f>
        <v/>
      </c>
      <c r="V55" s="19" t="str">
        <f t="shared" ca="1" si="26"/>
        <v/>
      </c>
      <c r="W55" s="21" t="str">
        <f ca="1">IFERROR(SMALL(seasongross, ROWS(W$8:W55)), "")</f>
        <v/>
      </c>
      <c r="X55" s="19" t="str">
        <f t="shared" ca="1" si="27"/>
        <v/>
      </c>
      <c r="Y55" s="51"/>
      <c r="Z55" s="29" t="str">
        <f ca="1">IF(AA55="", "", IF(AC55&lt;&gt;AC54, ROWS(Z$7:Z54), ""))</f>
        <v/>
      </c>
      <c r="AA55" s="18" t="str">
        <f ca="1">IF(AC55="","",INDEX(leagueroster, MATCH(SUMPRODUCT(LARGE((INDEX(seasonnet, , )=AC55)*(ids),COUNTIF(INDEX(seasonnet, , ), AC55)-COUNTIF(AC$8:AC55,AC55)+1)), INDEX(leagueroster, , 2), 0), 1))</f>
        <v/>
      </c>
      <c r="AB55" s="19" t="str">
        <f t="shared" ca="1" si="31"/>
        <v/>
      </c>
      <c r="AC55" s="21" t="str">
        <f ca="1">IFERROR(SMALL(seasonnet, ROWS(AC$8:AC55)), "")</f>
        <v/>
      </c>
      <c r="AD55" s="19" t="str">
        <f t="shared" ca="1" si="32"/>
        <v/>
      </c>
      <c r="AE55" s="51"/>
      <c r="AF55" s="29"/>
      <c r="AH55" s="19"/>
      <c r="AK55" s="51"/>
      <c r="AL55" s="29"/>
      <c r="AN55" s="19"/>
      <c r="AQ55" s="51"/>
      <c r="AR55" s="29" t="str">
        <f>IF(AS55="", "", IF(AT55&lt;&gt;AT54, ROWS(AR$7:AR54), ""))</f>
        <v/>
      </c>
      <c r="AS55" s="18" t="str" cm="1">
        <f t="array" ref="AS55">IF(AT55="","",INDEX(leagueroster, MATCH(SUMPRODUCT(LARGE((INDEX(teamlownet,,)=AT55)*(ids),COUNTIF(INDEX(teamlownet, ,), AT55)-COUNTIF(AT$8:AT55,AT55)+1)), INDEX(leagueroster, , 2), 0), 1))</f>
        <v/>
      </c>
      <c r="AT55" s="59" t="str">
        <f>IF(ROWS(AT$8:AT55)&lt;=$AR$6, SMALL(INDEX(teamlownet, ,), ROWS(AT$8:AT55)), "")</f>
        <v/>
      </c>
      <c r="AU55" s="51"/>
      <c r="AY55" s="51"/>
    </row>
    <row r="56" spans="1:51" x14ac:dyDescent="0.2">
      <c r="A56" s="29">
        <f ca="1">IF(B56="", "", IF(D56&lt;&gt;D55, ROWS(A$7:A55), ""))</f>
        <v>49</v>
      </c>
      <c r="B56" s="18" t="str">
        <f ca="1">IF(D56="","",INDEX(leagueroster, MATCH(SUMPRODUCT(LARGE((INDEX(lowgross, , )=D56)*(ids),COUNTIF(INDEX(lowgross, , ), D56)-COUNTIF(D$8:D56,D56)+1)), INDEX(leagueroster, , 2), 0), 1))</f>
        <v>Schloss, Rich</v>
      </c>
      <c r="C56" s="19" t="str">
        <f t="shared" ca="1" si="24"/>
        <v>SUBS</v>
      </c>
      <c r="D56" s="19">
        <f ca="1">IFERROR(SMALL(INDEX(lowgross, , ), ROWS(D$8:D56)), "")</f>
        <v>64</v>
      </c>
      <c r="F56" s="51"/>
      <c r="G56" s="29">
        <f ca="1">IF(H56="", "", IF(J56&lt;&gt;J55, ROWS(G$7:G55), ""))</f>
        <v>49</v>
      </c>
      <c r="H56" s="18" t="str">
        <f ca="1">IF(J56="","",INDEX(leagueroster, MATCH(SUMPRODUCT(LARGE((INDEX(lownet, , )=J56)*(ids),COUNTIF(INDEX(lownet, , ), J56)-COUNTIF(J$8:J56,J56)+1)), INDEX(leagueroster, , 2), 0), 1))</f>
        <v>Schloss, Rich</v>
      </c>
      <c r="I56" s="19" t="str">
        <f t="shared" ca="1" si="25"/>
        <v>SUBS</v>
      </c>
      <c r="J56" s="19">
        <f ca="1">IFERROR(SMALL(INDEX(lownet, , ), ROWS(J$8:J56)), "")</f>
        <v>44</v>
      </c>
      <c r="L56" s="51"/>
      <c r="M56" s="29" t="str">
        <f ca="1">IF(N56="", "", IF(P56&lt;&gt;P55, ROWS(M$7:M55), ""))</f>
        <v/>
      </c>
      <c r="N56" s="18" t="str">
        <f ca="1">IF(P56="","",INDEX(leagueroster, MATCH(SUMPRODUCT(LARGE((INDEX(seasonptsavg, , )=P56)*(ids),COUNTIF(INDEX(seasonptsavg, , ), P56)-COUNTIF(P$8:P56,P56)+1)), INDEX(leagueroster, , 2), 0), 1))</f>
        <v/>
      </c>
      <c r="O56" s="19" t="str">
        <f t="shared" ref="O56:O61" ca="1" si="33">IF(N56="", "", VLOOKUP(N56, leagueroster, 3, FALSE))</f>
        <v/>
      </c>
      <c r="P56" s="21" t="str">
        <f ca="1">IFERROR(LARGE(seasonptsavg, ROWS(P$8:P56)), "")</f>
        <v/>
      </c>
      <c r="Q56" s="19" t="str">
        <f t="shared" ref="Q56:Q61" ca="1" si="34">IF(N56="", "", INDEX(seasonpts, MATCH(VLOOKUP(N56, leagueroster, 2, FALSE), ids, 0), ))</f>
        <v/>
      </c>
      <c r="R56" s="19" t="str">
        <f t="shared" ref="R56:R61" ca="1" si="35">IF(N56="", "", INDEX(seasonrds, MATCH(VLOOKUP(N56, leagueroster, 2, FALSE), ids, 0), ))</f>
        <v/>
      </c>
      <c r="S56" s="51"/>
      <c r="T56" s="29" t="str">
        <f ca="1">IF(U56="", "", IF(W56&lt;&gt;W55, ROWS(T$7:T55), ""))</f>
        <v/>
      </c>
      <c r="U56" s="18" t="str">
        <f ca="1">IF(W56="","",INDEX(leagueroster, MATCH(SUMPRODUCT(LARGE((INDEX(seasongross, , )=W56)*(ids),COUNTIF(INDEX(seasongross, , ), W56)-COUNTIF(W$8:W56,W56)+1)), INDEX(leagueroster, , 2), 0), 1))</f>
        <v/>
      </c>
      <c r="V56" s="19" t="str">
        <f t="shared" ref="V56:V61" ca="1" si="36">IF(U56="", "", VLOOKUP(U56, leagueroster, 3, FALSE))</f>
        <v/>
      </c>
      <c r="W56" s="21" t="str">
        <f ca="1">IFERROR(SMALL(seasongross, ROWS(W$8:W56)), "")</f>
        <v/>
      </c>
      <c r="X56" s="19" t="str">
        <f t="shared" ref="X56:X61" ca="1" si="37">IF(U56="", "", INDEX(seasonrds, MATCH(VLOOKUP(U56, leagueroster, 2, FALSE), ids, 0), ))</f>
        <v/>
      </c>
      <c r="Y56" s="51"/>
      <c r="Z56" s="29" t="str">
        <f ca="1">IF(AA56="", "", IF(AC56&lt;&gt;AC55, ROWS(Z$7:Z55), ""))</f>
        <v/>
      </c>
      <c r="AA56" s="18" t="str">
        <f ca="1">IF(AC56="","",INDEX(leagueroster, MATCH(SUMPRODUCT(LARGE((INDEX(seasonnet, , )=AC56)*(ids),COUNTIF(INDEX(seasonnet, , ), AC56)-COUNTIF(AC$8:AC56,AC56)+1)), INDEX(leagueroster, , 2), 0), 1))</f>
        <v/>
      </c>
      <c r="AB56" s="19" t="str">
        <f t="shared" ref="AB56:AB61" ca="1" si="38">IF(AA56="", "", VLOOKUP(AA56, leagueroster, 3, FALSE))</f>
        <v/>
      </c>
      <c r="AC56" s="21" t="str">
        <f ca="1">IFERROR(SMALL(seasonnet, ROWS(AC$8:AC56)), "")</f>
        <v/>
      </c>
      <c r="AD56" s="19" t="str">
        <f t="shared" ref="AD56:AD61" ca="1" si="39">IF(AA56="", "", INDEX(seasonrds, MATCH(VLOOKUP(AA56, leagueroster, 2, FALSE), ids, 0), ))</f>
        <v/>
      </c>
      <c r="AE56" s="51"/>
      <c r="AF56" s="29"/>
      <c r="AH56" s="19"/>
      <c r="AK56" s="51"/>
      <c r="AL56" s="29"/>
      <c r="AN56" s="19"/>
      <c r="AQ56" s="51"/>
      <c r="AR56" s="29" t="str">
        <f>IF(AS56="", "", IF(AT56&lt;&gt;AT55, ROWS(AR$7:AR55), ""))</f>
        <v/>
      </c>
      <c r="AS56" s="18" t="str" cm="1">
        <f t="array" ref="AS56">IF(AT56="","",INDEX(leagueroster, MATCH(SUMPRODUCT(LARGE((INDEX(teamlownet,,)=AT56)*(ids),COUNTIF(INDEX(teamlownet, ,), AT56)-COUNTIF(AT$8:AT56,AT56)+1)), INDEX(leagueroster, , 2), 0), 1))</f>
        <v/>
      </c>
      <c r="AT56" s="59" t="str">
        <f>IF(ROWS(AT$8:AT56)&lt;=$AR$6, SMALL(INDEX(teamlownet, ,), ROWS(AT$8:AT56)), "")</f>
        <v/>
      </c>
      <c r="AU56" s="51"/>
      <c r="AY56" s="51"/>
    </row>
    <row r="57" spans="1:51" x14ac:dyDescent="0.2">
      <c r="A57" s="29">
        <f ca="1">IF(B57="", "", IF(D57&lt;&gt;D56, ROWS(A$7:A56), ""))</f>
        <v>50</v>
      </c>
      <c r="B57" s="18" t="str">
        <f ca="1">IF(D57="","",INDEX(leagueroster, MATCH(SUMPRODUCT(LARGE((INDEX(lowgross, , )=D57)*(ids),COUNTIF(INDEX(lowgross, , ), D57)-COUNTIF(D$8:D57,D57)+1)), INDEX(leagueroster, , 2), 0), 1))</f>
        <v>Howe, Fred - gold tees</v>
      </c>
      <c r="C57" s="19" t="str">
        <f t="shared" ca="1" si="24"/>
        <v>WYC</v>
      </c>
      <c r="D57" s="19">
        <f ca="1">IFERROR(SMALL(INDEX(lowgross, , ), ROWS(D$8:D57)), "")</f>
        <v>67</v>
      </c>
      <c r="F57" s="51"/>
      <c r="G57" s="29">
        <f ca="1">IF(H57="", "", IF(J57&lt;&gt;J56, ROWS(G$7:G56), ""))</f>
        <v>50</v>
      </c>
      <c r="H57" s="18" t="str">
        <f ca="1">IF(J57="","",INDEX(leagueroster, MATCH(SUMPRODUCT(LARGE((INDEX(lownet, , )=J57)*(ids),COUNTIF(INDEX(lownet, , ), J57)-COUNTIF(J$8:J57,J57)+1)), INDEX(leagueroster, , 2), 0), 1))</f>
        <v>Howe, Fred - gold tees</v>
      </c>
      <c r="I57" s="19" t="str">
        <f t="shared" ca="1" si="25"/>
        <v>WYC</v>
      </c>
      <c r="J57" s="19">
        <f ca="1">IFERROR(SMALL(INDEX(lownet, , ), ROWS(J$8:J57)), "")</f>
        <v>47</v>
      </c>
      <c r="L57" s="51"/>
      <c r="M57" s="29" t="str">
        <f ca="1">IF(N57="", "", IF(P57&lt;&gt;P56, ROWS(M$7:M56), ""))</f>
        <v/>
      </c>
      <c r="N57" s="18" t="str">
        <f ca="1">IF(P57="","",INDEX(leagueroster, MATCH(SUMPRODUCT(LARGE((INDEX(seasonptsavg, , )=P57)*(ids),COUNTIF(INDEX(seasonptsavg, , ), P57)-COUNTIF(P$8:P57,P57)+1)), INDEX(leagueroster, , 2), 0), 1))</f>
        <v/>
      </c>
      <c r="O57" s="19" t="str">
        <f t="shared" ca="1" si="33"/>
        <v/>
      </c>
      <c r="P57" s="21" t="str">
        <f ca="1">IFERROR(LARGE(seasonptsavg, ROWS(P$8:P57)), "")</f>
        <v/>
      </c>
      <c r="Q57" s="19" t="str">
        <f t="shared" ca="1" si="34"/>
        <v/>
      </c>
      <c r="R57" s="19" t="str">
        <f t="shared" ca="1" si="35"/>
        <v/>
      </c>
      <c r="S57" s="51"/>
      <c r="T57" s="29" t="str">
        <f ca="1">IF(U57="", "", IF(W57&lt;&gt;W56, ROWS(T$7:T56), ""))</f>
        <v/>
      </c>
      <c r="U57" s="18" t="str">
        <f ca="1">IF(W57="","",INDEX(leagueroster, MATCH(SUMPRODUCT(LARGE((INDEX(seasongross, , )=W57)*(ids),COUNTIF(INDEX(seasongross, , ), W57)-COUNTIF(W$8:W57,W57)+1)), INDEX(leagueroster, , 2), 0), 1))</f>
        <v/>
      </c>
      <c r="V57" s="19" t="str">
        <f t="shared" ca="1" si="36"/>
        <v/>
      </c>
      <c r="W57" s="21" t="str">
        <f ca="1">IFERROR(SMALL(seasongross, ROWS(W$8:W57)), "")</f>
        <v/>
      </c>
      <c r="X57" s="19" t="str">
        <f t="shared" ca="1" si="37"/>
        <v/>
      </c>
      <c r="Y57" s="51"/>
      <c r="Z57" s="29" t="str">
        <f ca="1">IF(AA57="", "", IF(AC57&lt;&gt;AC56, ROWS(Z$7:Z56), ""))</f>
        <v/>
      </c>
      <c r="AA57" s="18" t="str">
        <f ca="1">IF(AC57="","",INDEX(leagueroster, MATCH(SUMPRODUCT(LARGE((INDEX(seasonnet, , )=AC57)*(ids),COUNTIF(INDEX(seasonnet, , ), AC57)-COUNTIF(AC$8:AC57,AC57)+1)), INDEX(leagueroster, , 2), 0), 1))</f>
        <v/>
      </c>
      <c r="AB57" s="19" t="str">
        <f t="shared" ca="1" si="38"/>
        <v/>
      </c>
      <c r="AC57" s="21" t="str">
        <f ca="1">IFERROR(SMALL(seasonnet, ROWS(AC$8:AC57)), "")</f>
        <v/>
      </c>
      <c r="AD57" s="19" t="str">
        <f t="shared" ca="1" si="39"/>
        <v/>
      </c>
      <c r="AE57" s="51"/>
      <c r="AF57" s="29"/>
      <c r="AH57" s="19"/>
      <c r="AK57" s="51"/>
      <c r="AL57" s="29"/>
      <c r="AN57" s="19"/>
      <c r="AQ57" s="51"/>
      <c r="AR57" s="29" t="str">
        <f>IF(AS57="", "", IF(AT57&lt;&gt;AT56, ROWS(AR$7:AR56), ""))</f>
        <v/>
      </c>
      <c r="AS57" s="18" t="str" cm="1">
        <f t="array" ref="AS57">IF(AT57="","",INDEX(leagueroster, MATCH(SUMPRODUCT(LARGE((INDEX(teamlownet,,)=AT57)*(ids),COUNTIF(INDEX(teamlownet, ,), AT57)-COUNTIF(AT$8:AT57,AT57)+1)), INDEX(leagueroster, , 2), 0), 1))</f>
        <v/>
      </c>
      <c r="AT57" s="59" t="str">
        <f>IF(ROWS(AT$8:AT57)&lt;=$AR$6, SMALL(INDEX(teamlownet, ,), ROWS(AT$8:AT57)), "")</f>
        <v/>
      </c>
      <c r="AU57" s="51"/>
      <c r="AY57" s="51"/>
    </row>
    <row r="58" spans="1:51" x14ac:dyDescent="0.2">
      <c r="A58" s="29" t="str">
        <f ca="1">IF(B58="", "", IF(D58&lt;&gt;D57, ROWS(A$7:A57), ""))</f>
        <v/>
      </c>
      <c r="B58" s="18" t="str">
        <f ca="1">IF(D58="","",INDEX(leagueroster, MATCH(SUMPRODUCT(LARGE((INDEX(lowgross, , )=D58)*(ids),COUNTIF(INDEX(lowgross, , ), D58)-COUNTIF(D$8:D58,D58)+1)), INDEX(leagueroster, , 2), 0), 1))</f>
        <v/>
      </c>
      <c r="C58" s="19" t="str">
        <f t="shared" ca="1" si="24"/>
        <v/>
      </c>
      <c r="D58" s="19" t="str">
        <f ca="1">IFERROR(SMALL(INDEX(lowgross, , ), ROWS(D$8:D58)), "")</f>
        <v/>
      </c>
      <c r="F58" s="51"/>
      <c r="G58" s="29" t="str">
        <f ca="1">IF(H58="", "", IF(J58&lt;&gt;J57, ROWS(G$7:G57), ""))</f>
        <v/>
      </c>
      <c r="H58" s="18" t="str">
        <f ca="1">IF(J58="","",INDEX(leagueroster, MATCH(SUMPRODUCT(LARGE((INDEX(lownet, , )=J58)*(ids),COUNTIF(INDEX(lownet, , ), J58)-COUNTIF(J$8:J58,J58)+1)), INDEX(leagueroster, , 2), 0), 1))</f>
        <v/>
      </c>
      <c r="I58" s="19" t="str">
        <f t="shared" ca="1" si="25"/>
        <v/>
      </c>
      <c r="J58" s="19" t="str">
        <f ca="1">IFERROR(SMALL(INDEX(lownet, , ), ROWS(J$8:J58)), "")</f>
        <v/>
      </c>
      <c r="L58" s="51"/>
      <c r="M58" s="29" t="str">
        <f ca="1">IF(N58="", "", IF(P58&lt;&gt;P57, ROWS(M$7:M57), ""))</f>
        <v/>
      </c>
      <c r="N58" s="18" t="str">
        <f ca="1">IF(P58="","",INDEX(leagueroster, MATCH(SUMPRODUCT(LARGE((INDEX(seasonptsavg, , )=P58)*(ids),COUNTIF(INDEX(seasonptsavg, , ), P58)-COUNTIF(P$8:P58,P58)+1)), INDEX(leagueroster, , 2), 0), 1))</f>
        <v/>
      </c>
      <c r="O58" s="19" t="str">
        <f t="shared" ca="1" si="33"/>
        <v/>
      </c>
      <c r="P58" s="21" t="str">
        <f ca="1">IFERROR(LARGE(seasonptsavg, ROWS(P$8:P58)), "")</f>
        <v/>
      </c>
      <c r="Q58" s="19" t="str">
        <f t="shared" ca="1" si="34"/>
        <v/>
      </c>
      <c r="R58" s="19" t="str">
        <f t="shared" ca="1" si="35"/>
        <v/>
      </c>
      <c r="S58" s="51"/>
      <c r="T58" s="29" t="str">
        <f ca="1">IF(U58="", "", IF(W58&lt;&gt;W57, ROWS(T$7:T57), ""))</f>
        <v/>
      </c>
      <c r="U58" s="18" t="str">
        <f ca="1">IF(W58="","",INDEX(leagueroster, MATCH(SUMPRODUCT(LARGE((INDEX(seasongross, , )=W58)*(ids),COUNTIF(INDEX(seasongross, , ), W58)-COUNTIF(W$8:W58,W58)+1)), INDEX(leagueroster, , 2), 0), 1))</f>
        <v/>
      </c>
      <c r="V58" s="19" t="str">
        <f t="shared" ca="1" si="36"/>
        <v/>
      </c>
      <c r="W58" s="21" t="str">
        <f ca="1">IFERROR(SMALL(seasongross, ROWS(W$8:W58)), "")</f>
        <v/>
      </c>
      <c r="X58" s="19" t="str">
        <f t="shared" ca="1" si="37"/>
        <v/>
      </c>
      <c r="Y58" s="51"/>
      <c r="Z58" s="29" t="str">
        <f ca="1">IF(AA58="", "", IF(AC58&lt;&gt;AC57, ROWS(Z$7:Z57), ""))</f>
        <v/>
      </c>
      <c r="AA58" s="18" t="str">
        <f ca="1">IF(AC58="","",INDEX(leagueroster, MATCH(SUMPRODUCT(LARGE((INDEX(seasonnet, , )=AC58)*(ids),COUNTIF(INDEX(seasonnet, , ), AC58)-COUNTIF(AC$8:AC58,AC58)+1)), INDEX(leagueroster, , 2), 0), 1))</f>
        <v/>
      </c>
      <c r="AB58" s="19" t="str">
        <f t="shared" ca="1" si="38"/>
        <v/>
      </c>
      <c r="AC58" s="21" t="str">
        <f ca="1">IFERROR(SMALL(seasonnet, ROWS(AC$8:AC58)), "")</f>
        <v/>
      </c>
      <c r="AD58" s="19" t="str">
        <f t="shared" ca="1" si="39"/>
        <v/>
      </c>
      <c r="AE58" s="51"/>
      <c r="AF58" s="29"/>
      <c r="AH58" s="19"/>
      <c r="AK58" s="51"/>
      <c r="AL58" s="29"/>
      <c r="AN58" s="19"/>
      <c r="AQ58" s="51"/>
      <c r="AR58" s="29" t="str">
        <f>IF(AS58="", "", IF(AT58&lt;&gt;AT57, ROWS(AR$7:AR57), ""))</f>
        <v/>
      </c>
      <c r="AS58" s="18" t="str" cm="1">
        <f t="array" ref="AS58">IF(AT58="","",INDEX(leagueroster, MATCH(SUMPRODUCT(LARGE((INDEX(teamlownet,,)=AT58)*(ids),COUNTIF(INDEX(teamlownet, ,), AT58)-COUNTIF(AT$8:AT58,AT58)+1)), INDEX(leagueroster, , 2), 0), 1))</f>
        <v/>
      </c>
      <c r="AT58" s="59" t="str">
        <f>IF(ROWS(AT$8:AT58)&lt;=$AR$6, SMALL(INDEX(teamlownet, ,), ROWS(AT$8:AT58)), "")</f>
        <v/>
      </c>
      <c r="AU58" s="51"/>
      <c r="AY58" s="51"/>
    </row>
    <row r="59" spans="1:51" x14ac:dyDescent="0.2">
      <c r="A59" s="29" t="str">
        <f ca="1">IF(B59="", "", IF(D59&lt;&gt;D58, ROWS(A$7:A58), ""))</f>
        <v/>
      </c>
      <c r="B59" s="18" t="str">
        <f ca="1">IF(D59="","",INDEX(leagueroster, MATCH(SUMPRODUCT(LARGE((INDEX(lowgross, , )=D59)*(ids),COUNTIF(INDEX(lowgross, , ), D59)-COUNTIF(D$8:D59,D59)+1)), INDEX(leagueroster, , 2), 0), 1))</f>
        <v/>
      </c>
      <c r="C59" s="19" t="str">
        <f t="shared" ca="1" si="24"/>
        <v/>
      </c>
      <c r="D59" s="19" t="str">
        <f ca="1">IFERROR(SMALL(INDEX(lowgross, , ), ROWS(D$8:D59)), "")</f>
        <v/>
      </c>
      <c r="F59" s="51"/>
      <c r="G59" s="29" t="str">
        <f ca="1">IF(H59="", "", IF(J59&lt;&gt;J58, ROWS(G$7:G58), ""))</f>
        <v/>
      </c>
      <c r="H59" s="18" t="str">
        <f ca="1">IF(J59="","",INDEX(leagueroster, MATCH(SUMPRODUCT(LARGE((INDEX(lownet, , )=J59)*(ids),COUNTIF(INDEX(lownet, , ), J59)-COUNTIF(J$8:J59,J59)+1)), INDEX(leagueroster, , 2), 0), 1))</f>
        <v/>
      </c>
      <c r="I59" s="19" t="str">
        <f t="shared" ca="1" si="25"/>
        <v/>
      </c>
      <c r="J59" s="19" t="str">
        <f ca="1">IFERROR(SMALL(INDEX(lownet, , ), ROWS(J$8:J59)), "")</f>
        <v/>
      </c>
      <c r="L59" s="51"/>
      <c r="M59" s="29" t="str">
        <f ca="1">IF(N59="", "", IF(P59&lt;&gt;P58, ROWS(M$7:M58), ""))</f>
        <v/>
      </c>
      <c r="N59" s="18" t="str">
        <f ca="1">IF(P59="","",INDEX(leagueroster, MATCH(SUMPRODUCT(LARGE((INDEX(seasonptsavg, , )=P59)*(ids),COUNTIF(INDEX(seasonptsavg, , ), P59)-COUNTIF(P$8:P59,P59)+1)), INDEX(leagueroster, , 2), 0), 1))</f>
        <v/>
      </c>
      <c r="O59" s="19" t="str">
        <f t="shared" ca="1" si="33"/>
        <v/>
      </c>
      <c r="P59" s="21" t="str">
        <f ca="1">IFERROR(LARGE(seasonptsavg, ROWS(P$8:P59)), "")</f>
        <v/>
      </c>
      <c r="Q59" s="19" t="str">
        <f t="shared" ca="1" si="34"/>
        <v/>
      </c>
      <c r="R59" s="19" t="str">
        <f t="shared" ca="1" si="35"/>
        <v/>
      </c>
      <c r="S59" s="51"/>
      <c r="T59" s="29" t="str">
        <f ca="1">IF(U59="", "", IF(W59&lt;&gt;W58, ROWS(T$7:T58), ""))</f>
        <v/>
      </c>
      <c r="U59" s="18" t="str">
        <f ca="1">IF(W59="","",INDEX(leagueroster, MATCH(SUMPRODUCT(LARGE((INDEX(seasongross, , )=W59)*(ids),COUNTIF(INDEX(seasongross, , ), W59)-COUNTIF(W$8:W59,W59)+1)), INDEX(leagueroster, , 2), 0), 1))</f>
        <v/>
      </c>
      <c r="V59" s="19" t="str">
        <f t="shared" ca="1" si="36"/>
        <v/>
      </c>
      <c r="W59" s="21" t="str">
        <f ca="1">IFERROR(SMALL(seasongross, ROWS(W$8:W59)), "")</f>
        <v/>
      </c>
      <c r="X59" s="19" t="str">
        <f t="shared" ca="1" si="37"/>
        <v/>
      </c>
      <c r="Y59" s="51"/>
      <c r="Z59" s="29" t="str">
        <f ca="1">IF(AA59="", "", IF(AC59&lt;&gt;AC58, ROWS(Z$7:Z58), ""))</f>
        <v/>
      </c>
      <c r="AA59" s="18" t="str">
        <f ca="1">IF(AC59="","",INDEX(leagueroster, MATCH(SUMPRODUCT(LARGE((INDEX(seasonnet, , )=AC59)*(ids),COUNTIF(INDEX(seasonnet, , ), AC59)-COUNTIF(AC$8:AC59,AC59)+1)), INDEX(leagueroster, , 2), 0), 1))</f>
        <v/>
      </c>
      <c r="AB59" s="19" t="str">
        <f t="shared" ca="1" si="38"/>
        <v/>
      </c>
      <c r="AC59" s="21" t="str">
        <f ca="1">IFERROR(SMALL(seasonnet, ROWS(AC$8:AC59)), "")</f>
        <v/>
      </c>
      <c r="AD59" s="19" t="str">
        <f t="shared" ca="1" si="39"/>
        <v/>
      </c>
      <c r="AE59" s="51"/>
      <c r="AF59" s="29"/>
      <c r="AH59" s="19"/>
      <c r="AK59" s="51"/>
      <c r="AL59" s="29"/>
      <c r="AN59" s="19"/>
      <c r="AQ59" s="51"/>
      <c r="AR59" s="29" t="str">
        <f>IF(AS59="", "", IF(AT59&lt;&gt;AT58, ROWS(AR$7:AR58), ""))</f>
        <v/>
      </c>
      <c r="AS59" s="18" t="str" cm="1">
        <f t="array" ref="AS59">IF(AT59="","",INDEX(leagueroster, MATCH(SUMPRODUCT(LARGE((INDEX(teamlownet,,)=AT59)*(ids),COUNTIF(INDEX(teamlownet, ,), AT59)-COUNTIF(AT$8:AT59,AT59)+1)), INDEX(leagueroster, , 2), 0), 1))</f>
        <v/>
      </c>
      <c r="AT59" s="59" t="str">
        <f>IF(ROWS(AT$8:AT59)&lt;=$AR$6, SMALL(INDEX(teamlownet, ,), ROWS(AT$8:AT59)), "")</f>
        <v/>
      </c>
      <c r="AU59" s="51"/>
      <c r="AY59" s="51"/>
    </row>
    <row r="60" spans="1:51" x14ac:dyDescent="0.2">
      <c r="A60" s="29" t="str">
        <f ca="1">IF(B60="", "", IF(D60&lt;&gt;D59, ROWS(A$7:A59), ""))</f>
        <v/>
      </c>
      <c r="B60" s="18" t="str">
        <f ca="1">IF(D60="","",INDEX(leagueroster, MATCH(SUMPRODUCT(LARGE((INDEX(lowgross, , )=D60)*(ids),COUNTIF(INDEX(lowgross, , ), D60)-COUNTIF(D$8:D60,D60)+1)), INDEX(leagueroster, , 2), 0), 1))</f>
        <v/>
      </c>
      <c r="C60" s="19" t="str">
        <f t="shared" ca="1" si="24"/>
        <v/>
      </c>
      <c r="D60" s="19" t="str">
        <f ca="1">IFERROR(SMALL(INDEX(lowgross, , ), ROWS(D$8:D60)), "")</f>
        <v/>
      </c>
      <c r="F60" s="51"/>
      <c r="G60" s="29" t="str">
        <f ca="1">IF(H60="", "", IF(J60&lt;&gt;J59, ROWS(G$7:G59), ""))</f>
        <v/>
      </c>
      <c r="H60" s="18" t="str">
        <f ca="1">IF(J60="","",INDEX(leagueroster, MATCH(SUMPRODUCT(LARGE((INDEX(lownet, , )=J60)*(ids),COUNTIF(INDEX(lownet, , ), J60)-COUNTIF(J$8:J60,J60)+1)), INDEX(leagueroster, , 2), 0), 1))</f>
        <v/>
      </c>
      <c r="I60" s="19" t="str">
        <f t="shared" ca="1" si="25"/>
        <v/>
      </c>
      <c r="J60" s="19" t="str">
        <f ca="1">IFERROR(SMALL(INDEX(lownet, , ), ROWS(J$8:J60)), "")</f>
        <v/>
      </c>
      <c r="L60" s="51"/>
      <c r="M60" s="29" t="str">
        <f ca="1">IF(N60="", "", IF(P60&lt;&gt;P59, ROWS(M$7:M59), ""))</f>
        <v/>
      </c>
      <c r="N60" s="18" t="str">
        <f ca="1">IF(P60="","",INDEX(leagueroster, MATCH(SUMPRODUCT(LARGE((INDEX(seasonptsavg, , )=P60)*(ids),COUNTIF(INDEX(seasonptsavg, , ), P60)-COUNTIF(P$8:P60,P60)+1)), INDEX(leagueroster, , 2), 0), 1))</f>
        <v/>
      </c>
      <c r="O60" s="19" t="str">
        <f t="shared" ca="1" si="33"/>
        <v/>
      </c>
      <c r="P60" s="21" t="str">
        <f ca="1">IFERROR(LARGE(seasonptsavg, ROWS(P$8:P60)), "")</f>
        <v/>
      </c>
      <c r="Q60" s="19" t="str">
        <f t="shared" ca="1" si="34"/>
        <v/>
      </c>
      <c r="R60" s="19" t="str">
        <f t="shared" ca="1" si="35"/>
        <v/>
      </c>
      <c r="S60" s="51"/>
      <c r="T60" s="29" t="str">
        <f ca="1">IF(U60="", "", IF(W60&lt;&gt;W59, ROWS(T$7:T59), ""))</f>
        <v/>
      </c>
      <c r="U60" s="18" t="str">
        <f ca="1">IF(W60="","",INDEX(leagueroster, MATCH(SUMPRODUCT(LARGE((INDEX(seasongross, , )=W60)*(ids),COUNTIF(INDEX(seasongross, , ), W60)-COUNTIF(W$8:W60,W60)+1)), INDEX(leagueroster, , 2), 0), 1))</f>
        <v/>
      </c>
      <c r="V60" s="19" t="str">
        <f t="shared" ca="1" si="36"/>
        <v/>
      </c>
      <c r="W60" s="21" t="str">
        <f ca="1">IFERROR(SMALL(seasongross, ROWS(W$8:W60)), "")</f>
        <v/>
      </c>
      <c r="X60" s="19" t="str">
        <f t="shared" ca="1" si="37"/>
        <v/>
      </c>
      <c r="Y60" s="51"/>
      <c r="Z60" s="29" t="str">
        <f ca="1">IF(AA60="", "", IF(AC60&lt;&gt;AC59, ROWS(Z$7:Z59), ""))</f>
        <v/>
      </c>
      <c r="AA60" s="18" t="str">
        <f ca="1">IF(AC60="","",INDEX(leagueroster, MATCH(SUMPRODUCT(LARGE((INDEX(seasonnet, , )=AC60)*(ids),COUNTIF(INDEX(seasonnet, , ), AC60)-COUNTIF(AC$8:AC60,AC60)+1)), INDEX(leagueroster, , 2), 0), 1))</f>
        <v/>
      </c>
      <c r="AB60" s="19" t="str">
        <f t="shared" ca="1" si="38"/>
        <v/>
      </c>
      <c r="AC60" s="21" t="str">
        <f ca="1">IFERROR(SMALL(seasonnet, ROWS(AC$8:AC60)), "")</f>
        <v/>
      </c>
      <c r="AD60" s="19" t="str">
        <f t="shared" ca="1" si="39"/>
        <v/>
      </c>
      <c r="AE60" s="51"/>
      <c r="AF60" s="29"/>
      <c r="AH60" s="19"/>
      <c r="AK60" s="51"/>
      <c r="AL60" s="29"/>
      <c r="AN60" s="19"/>
      <c r="AQ60" s="51"/>
      <c r="AR60" s="29" t="str">
        <f>IF(AS60="", "", IF(AT60&lt;&gt;AT59, ROWS(AR$7:AR59), ""))</f>
        <v/>
      </c>
      <c r="AS60" s="18" t="str" cm="1">
        <f t="array" ref="AS60">IF(AT60="","",INDEX(leagueroster, MATCH(SUMPRODUCT(LARGE((INDEX(teamlownet,,)=AT60)*(ids),COUNTIF(INDEX(teamlownet, ,), AT60)-COUNTIF(AT$8:AT60,AT60)+1)), INDEX(leagueroster, , 2), 0), 1))</f>
        <v/>
      </c>
      <c r="AT60" s="59" t="str">
        <f>IF(ROWS(AT$8:AT60)&lt;=$AR$6, SMALL(INDEX(teamlownet, ,), ROWS(AT$8:AT60)), "")</f>
        <v/>
      </c>
      <c r="AU60" s="51"/>
      <c r="AY60" s="51"/>
    </row>
    <row r="61" spans="1:51" x14ac:dyDescent="0.2">
      <c r="A61" s="29" t="str">
        <f ca="1">IF(B61="", "", IF(D61&lt;&gt;D60, ROWS(A$7:A60), ""))</f>
        <v/>
      </c>
      <c r="B61" s="18" t="str">
        <f ca="1">IF(D61="","",INDEX(leagueroster, MATCH(SUMPRODUCT(LARGE((INDEX(lowgross, , )=D61)*(ids),COUNTIF(INDEX(lowgross, , ), D61)-COUNTIF(D$8:D61,D61)+1)), INDEX(leagueroster, , 2), 0), 1))</f>
        <v/>
      </c>
      <c r="C61" s="19" t="str">
        <f t="shared" ca="1" si="24"/>
        <v/>
      </c>
      <c r="D61" s="19" t="str">
        <f ca="1">IFERROR(SMALL(INDEX(lowgross, , ), ROWS(D$8:D61)), "")</f>
        <v/>
      </c>
      <c r="F61" s="51"/>
      <c r="G61" s="29" t="str">
        <f ca="1">IF(H61="", "", IF(J61&lt;&gt;J60, ROWS(G$7:G60), ""))</f>
        <v/>
      </c>
      <c r="H61" s="18" t="str">
        <f ca="1">IF(J61="","",INDEX(leagueroster, MATCH(SUMPRODUCT(LARGE((INDEX(lownet, , )=J61)*(ids),COUNTIF(INDEX(lownet, , ), J61)-COUNTIF(J$8:J61,J61)+1)), INDEX(leagueroster, , 2), 0), 1))</f>
        <v/>
      </c>
      <c r="I61" s="19" t="str">
        <f t="shared" ca="1" si="25"/>
        <v/>
      </c>
      <c r="J61" s="19" t="str">
        <f ca="1">IFERROR(SMALL(INDEX(lownet, , ), ROWS(J$8:J61)), "")</f>
        <v/>
      </c>
      <c r="L61" s="51"/>
      <c r="M61" s="29" t="str">
        <f ca="1">IF(N61="", "", IF(P61&lt;&gt;P60, ROWS(M$7:M60), ""))</f>
        <v/>
      </c>
      <c r="N61" s="18" t="str">
        <f ca="1">IF(P61="","",INDEX(leagueroster, MATCH(SUMPRODUCT(LARGE((INDEX(seasonptsavg, , )=P61)*(ids),COUNTIF(INDEX(seasonptsavg, , ), P61)-COUNTIF(P$8:P61,P61)+1)), INDEX(leagueroster, , 2), 0), 1))</f>
        <v/>
      </c>
      <c r="O61" s="19" t="str">
        <f t="shared" ca="1" si="33"/>
        <v/>
      </c>
      <c r="P61" s="21" t="str">
        <f ca="1">IFERROR(LARGE(seasonptsavg, ROWS(P$8:P61)), "")</f>
        <v/>
      </c>
      <c r="Q61" s="19" t="str">
        <f t="shared" ca="1" si="34"/>
        <v/>
      </c>
      <c r="R61" s="19" t="str">
        <f t="shared" ca="1" si="35"/>
        <v/>
      </c>
      <c r="S61" s="51"/>
      <c r="T61" s="29" t="str">
        <f ca="1">IF(U61="", "", IF(W61&lt;&gt;W60, ROWS(T$7:T60), ""))</f>
        <v/>
      </c>
      <c r="U61" s="18" t="str">
        <f ca="1">IF(W61="","",INDEX(leagueroster, MATCH(SUMPRODUCT(LARGE((INDEX(seasongross, , )=W61)*(ids),COUNTIF(INDEX(seasongross, , ), W61)-COUNTIF(W$8:W61,W61)+1)), INDEX(leagueroster, , 2), 0), 1))</f>
        <v/>
      </c>
      <c r="V61" s="19" t="str">
        <f t="shared" ca="1" si="36"/>
        <v/>
      </c>
      <c r="W61" s="21" t="str">
        <f ca="1">IFERROR(SMALL(seasongross, ROWS(W$8:W61)), "")</f>
        <v/>
      </c>
      <c r="X61" s="19" t="str">
        <f t="shared" ca="1" si="37"/>
        <v/>
      </c>
      <c r="Y61" s="51"/>
      <c r="Z61" s="29" t="str">
        <f ca="1">IF(AA61="", "", IF(AC61&lt;&gt;AC60, ROWS(Z$7:Z60), ""))</f>
        <v/>
      </c>
      <c r="AA61" s="18" t="str">
        <f ca="1">IF(AC61="","",INDEX(leagueroster, MATCH(SUMPRODUCT(LARGE((INDEX(seasonnet, , )=AC61)*(ids),COUNTIF(INDEX(seasonnet, , ), AC61)-COUNTIF(AC$8:AC61,AC61)+1)), INDEX(leagueroster, , 2), 0), 1))</f>
        <v/>
      </c>
      <c r="AB61" s="19" t="str">
        <f t="shared" ca="1" si="38"/>
        <v/>
      </c>
      <c r="AC61" s="21" t="str">
        <f ca="1">IFERROR(SMALL(seasonnet, ROWS(AC$8:AC61)), "")</f>
        <v/>
      </c>
      <c r="AD61" s="19" t="str">
        <f t="shared" ca="1" si="39"/>
        <v/>
      </c>
      <c r="AE61" s="51"/>
      <c r="AF61" s="29"/>
      <c r="AH61" s="19"/>
      <c r="AK61" s="51"/>
      <c r="AL61" s="29"/>
      <c r="AN61" s="19"/>
      <c r="AQ61" s="51"/>
      <c r="AR61" s="29" t="str">
        <f>IF(AS61="", "", IF(AT61&lt;&gt;AT60, ROWS(AR$7:AR60), ""))</f>
        <v/>
      </c>
      <c r="AS61" s="18" t="str" cm="1">
        <f t="array" ref="AS61">IF(AT61="","",INDEX(leagueroster, MATCH(SUMPRODUCT(LARGE((INDEX(teamlownet,,)=AT61)*(ids),COUNTIF(INDEX(teamlownet, ,), AT61)-COUNTIF(AT$8:AT61,AT61)+1)), INDEX(leagueroster, , 2), 0), 1))</f>
        <v/>
      </c>
      <c r="AT61" s="59" t="str">
        <f>IF(ROWS(AT$8:AT61)&lt;=$AR$6, SMALL(INDEX(teamlownet, ,), ROWS(AT$8:AT61)), "")</f>
        <v/>
      </c>
      <c r="AU61" s="51"/>
      <c r="AY61" s="51"/>
    </row>
    <row r="62" spans="1:51" x14ac:dyDescent="0.2">
      <c r="A62" s="29" t="str">
        <f ca="1">IF(B62="", "", IF(D62&lt;&gt;D61, ROWS(A$7:A61), ""))</f>
        <v/>
      </c>
      <c r="B62" s="18" t="str">
        <f ca="1">IF(D62="","",INDEX(leagueroster, MATCH(SUMPRODUCT(LARGE((INDEX(lowgross, , )=D62)*(ids),COUNTIF(INDEX(lowgross, , ), D62)-COUNTIF(D$8:D62,D62)+1)), INDEX(leagueroster, , 2), 0), 1))</f>
        <v/>
      </c>
      <c r="C62" s="19" t="str">
        <f t="shared" ca="1" si="24"/>
        <v/>
      </c>
      <c r="D62" s="19" t="str">
        <f ca="1">IFERROR(SMALL(INDEX(lowgross, , ), ROWS(D$8:D62)), "")</f>
        <v/>
      </c>
      <c r="F62" s="51"/>
      <c r="G62" s="29" t="str">
        <f ca="1">IF(H62="", "", IF(J62&lt;&gt;J61, ROWS(G$7:G61), ""))</f>
        <v/>
      </c>
      <c r="H62" s="18" t="str">
        <f ca="1">IF(J62="","",INDEX(leagueroster, MATCH(SUMPRODUCT(LARGE((INDEX(lownet, , )=J62)*(ids),COUNTIF(INDEX(lownet, , ), J62)-COUNTIF(J$8:J62,J62)+1)), INDEX(leagueroster, , 2), 0), 1))</f>
        <v/>
      </c>
      <c r="I62" s="19" t="str">
        <f t="shared" ca="1" si="25"/>
        <v/>
      </c>
      <c r="J62" s="19" t="str">
        <f ca="1">IFERROR(SMALL(INDEX(lownet, , ), ROWS(J$8:J62)), "")</f>
        <v/>
      </c>
      <c r="L62" s="51"/>
      <c r="M62" s="29" t="str">
        <f ca="1">IF(N62="", "", IF(P62&lt;&gt;P61, ROWS(M$7:M61), ""))</f>
        <v/>
      </c>
      <c r="N62" s="18" t="str">
        <f ca="1">IF(P62="","",INDEX(leagueroster, MATCH(SUMPRODUCT(LARGE((INDEX(seasonptsavg, , )=P62)*(ids),COUNTIF(INDEX(seasonptsavg, , ), P62)-COUNTIF(P$8:P62,P62)+1)), INDEX(leagueroster, , 2), 0), 1))</f>
        <v/>
      </c>
      <c r="O62" s="19" t="str">
        <f ca="1">IF(N62="", "", VLOOKUP(N62, leagueroster, 3, FALSE))</f>
        <v/>
      </c>
      <c r="P62" s="21" t="str">
        <f ca="1">IFERROR(LARGE(seasonptsavg, ROWS(P$8:P62)), "")</f>
        <v/>
      </c>
      <c r="Q62" s="19" t="str">
        <f ca="1">IF(N62="", "", INDEX(seasonpts, MATCH(VLOOKUP(N62, leagueroster, 2, FALSE), ids, 0), ))</f>
        <v/>
      </c>
      <c r="R62" s="19" t="str">
        <f ca="1">IF(N62="", "", INDEX(seasonrds, MATCH(VLOOKUP(N62, leagueroster, 2, FALSE), ids, 0), ))</f>
        <v/>
      </c>
      <c r="S62" s="51"/>
      <c r="T62" s="29" t="str">
        <f ca="1">IF(U62="", "", IF(W62&lt;&gt;W61, ROWS(T$7:T61), ""))</f>
        <v/>
      </c>
      <c r="U62" s="18" t="str">
        <f ca="1">IF(W62="","",INDEX(leagueroster, MATCH(SUMPRODUCT(LARGE((INDEX(seasongross, , )=W62)*(ids),COUNTIF(INDEX(seasongross, , ), W62)-COUNTIF(W$8:W62,W62)+1)), INDEX(leagueroster, , 2), 0), 1))</f>
        <v/>
      </c>
      <c r="V62" s="19" t="str">
        <f ca="1">IF(U62="", "", VLOOKUP(U62, leagueroster, 3, FALSE))</f>
        <v/>
      </c>
      <c r="W62" s="21" t="str">
        <f ca="1">IFERROR(SMALL(seasongross, ROWS(W$8:W62)), "")</f>
        <v/>
      </c>
      <c r="X62" s="19" t="str">
        <f ca="1">IF(U62="", "", INDEX(seasonrds, MATCH(VLOOKUP(U62, leagueroster, 2, FALSE), ids, 0), ))</f>
        <v/>
      </c>
      <c r="Y62" s="51"/>
      <c r="Z62" s="29" t="str">
        <f ca="1">IF(AA62="", "", IF(AC62&lt;&gt;AC61, ROWS(Z$7:Z61), ""))</f>
        <v/>
      </c>
      <c r="AA62" s="18" t="str">
        <f ca="1">IF(AC62="","",INDEX(leagueroster, MATCH(SUMPRODUCT(LARGE((INDEX(seasonnet, , )=AC62)*(ids),COUNTIF(INDEX(seasonnet, , ), AC62)-COUNTIF(AC$8:AC62,AC62)+1)), INDEX(leagueroster, , 2), 0), 1))</f>
        <v/>
      </c>
      <c r="AB62" s="19" t="str">
        <f ca="1">IF(AA62="", "", VLOOKUP(AA62, leagueroster, 3, FALSE))</f>
        <v/>
      </c>
      <c r="AC62" s="21" t="str">
        <f ca="1">IFERROR(SMALL(seasonnet, ROWS(AC$8:AC62)), "")</f>
        <v/>
      </c>
      <c r="AD62" s="19" t="str">
        <f ca="1">IF(AA62="", "", INDEX(seasonrds, MATCH(VLOOKUP(AA62, leagueroster, 2, FALSE), ids, 0), ))</f>
        <v/>
      </c>
      <c r="AE62" s="51"/>
      <c r="AF62" s="29"/>
      <c r="AH62" s="19"/>
      <c r="AK62" s="51"/>
      <c r="AL62" s="29"/>
      <c r="AN62" s="19"/>
      <c r="AQ62" s="51"/>
      <c r="AR62" s="29" t="str">
        <f>IF(AS62="", "", IF(AT62&lt;&gt;AT61, ROWS(AR$7:AR61), ""))</f>
        <v/>
      </c>
      <c r="AS62" s="18" t="str" cm="1">
        <f t="array" ref="AS62">IF(AT62="","",INDEX(leagueroster, MATCH(SUMPRODUCT(LARGE((INDEX(teamlownet,,)=AT62)*(ids),COUNTIF(INDEX(teamlownet, ,), AT62)-COUNTIF(AT$8:AT62,AT62)+1)), INDEX(leagueroster, , 2), 0), 1))</f>
        <v/>
      </c>
      <c r="AT62" s="59" t="str">
        <f>IF(ROWS(AT$8:AT62)&lt;=$AR$6, SMALL(INDEX(teamlownet, ,), ROWS(AT$8:AT62)), "")</f>
        <v/>
      </c>
      <c r="AU62" s="51"/>
      <c r="AY62" s="51"/>
    </row>
    <row r="63" spans="1:51" x14ac:dyDescent="0.2">
      <c r="A63" s="29" t="str">
        <f ca="1">IF(B63="", "", IF(D63&lt;&gt;D62, ROWS(A$7:A62), ""))</f>
        <v/>
      </c>
      <c r="B63" s="18" t="str">
        <f ca="1">IF(D63="","",INDEX(leagueroster, MATCH(SUMPRODUCT(LARGE((INDEX(lowgross, , )=D63)*(ids),COUNTIF(INDEX(lowgross, , ), D63)-COUNTIF(D$8:D63,D63)+1)), INDEX(leagueroster, , 2), 0), 1))</f>
        <v/>
      </c>
      <c r="C63" s="19" t="str">
        <f t="shared" ca="1" si="24"/>
        <v/>
      </c>
      <c r="D63" s="19" t="str">
        <f ca="1">IFERROR(SMALL(INDEX(lowgross, , ), ROWS(D$8:D63)), "")</f>
        <v/>
      </c>
      <c r="F63" s="51"/>
      <c r="G63" s="29" t="str">
        <f ca="1">IF(H63="", "", IF(J63&lt;&gt;J62, ROWS(G$7:G62), ""))</f>
        <v/>
      </c>
      <c r="H63" s="18" t="str">
        <f ca="1">IF(J63="","",INDEX(leagueroster, MATCH(SUMPRODUCT(LARGE((INDEX(lownet, , )=J63)*(ids),COUNTIF(INDEX(lownet, , ), J63)-COUNTIF(J$8:J63,J63)+1)), INDEX(leagueroster, , 2), 0), 1))</f>
        <v/>
      </c>
      <c r="I63" s="19" t="str">
        <f t="shared" ca="1" si="25"/>
        <v/>
      </c>
      <c r="J63" s="19" t="str">
        <f ca="1">IFERROR(SMALL(INDEX(lownet, , ), ROWS(J$8:J63)), "")</f>
        <v/>
      </c>
      <c r="L63" s="51"/>
      <c r="M63" s="29" t="str">
        <f ca="1">IF(N63="", "", IF(P63&lt;&gt;P62, ROWS(M$7:M62), ""))</f>
        <v/>
      </c>
      <c r="N63" s="18" t="str">
        <f ca="1">IF(P63="","",INDEX(leagueroster, MATCH(SUMPRODUCT(LARGE((INDEX(seasonptsavg, , )=P63)*(ids),COUNTIF(INDEX(seasonptsavg, , ), P63)-COUNTIF(P$8:P63,P63)+1)), INDEX(leagueroster, , 2), 0), 1))</f>
        <v/>
      </c>
      <c r="O63" s="19" t="str">
        <f ca="1">IF(N63="", "", VLOOKUP(N63, leagueroster, 3, FALSE))</f>
        <v/>
      </c>
      <c r="P63" s="21" t="str">
        <f ca="1">IFERROR(LARGE(seasonptsavg, ROWS(P$8:P63)), "")</f>
        <v/>
      </c>
      <c r="Q63" s="19" t="str">
        <f ca="1">IF(N63="", "", INDEX(seasonpts, MATCH(VLOOKUP(N63, leagueroster, 2, FALSE), ids, 0), ))</f>
        <v/>
      </c>
      <c r="R63" s="19" t="str">
        <f ca="1">IF(N63="", "", INDEX(seasonrds, MATCH(VLOOKUP(N63, leagueroster, 2, FALSE), ids, 0), ))</f>
        <v/>
      </c>
      <c r="S63" s="51"/>
      <c r="T63" s="29" t="str">
        <f ca="1">IF(U63="", "", IF(W63&lt;&gt;W62, ROWS(T$7:T62), ""))</f>
        <v/>
      </c>
      <c r="U63" s="18" t="str">
        <f ca="1">IF(W63="","",INDEX(leagueroster, MATCH(SUMPRODUCT(LARGE((INDEX(seasongross, , )=W63)*(ids),COUNTIF(INDEX(seasongross, , ), W63)-COUNTIF(W$8:W63,W63)+1)), INDEX(leagueroster, , 2), 0), 1))</f>
        <v/>
      </c>
      <c r="V63" s="19" t="str">
        <f ca="1">IF(U63="", "", VLOOKUP(U63, leagueroster, 3, FALSE))</f>
        <v/>
      </c>
      <c r="W63" s="21" t="str">
        <f ca="1">IFERROR(SMALL(seasongross, ROWS(W$8:W63)), "")</f>
        <v/>
      </c>
      <c r="X63" s="19" t="str">
        <f ca="1">IF(U63="", "", INDEX(seasonrds, MATCH(VLOOKUP(U63, leagueroster, 2, FALSE), ids, 0), ))</f>
        <v/>
      </c>
      <c r="Y63" s="51"/>
      <c r="Z63" s="29" t="str">
        <f ca="1">IF(AA63="", "", IF(AC63&lt;&gt;AC62, ROWS(Z$7:Z62), ""))</f>
        <v/>
      </c>
      <c r="AA63" s="18" t="str">
        <f ca="1">IF(AC63="","",INDEX(leagueroster, MATCH(SUMPRODUCT(LARGE((INDEX(seasonnet, , )=AC63)*(ids),COUNTIF(INDEX(seasonnet, , ), AC63)-COUNTIF(AC$8:AC63,AC63)+1)), INDEX(leagueroster, , 2), 0), 1))</f>
        <v/>
      </c>
      <c r="AB63" s="19" t="str">
        <f ca="1">IF(AA63="", "", VLOOKUP(AA63, leagueroster, 3, FALSE))</f>
        <v/>
      </c>
      <c r="AC63" s="21" t="str">
        <f ca="1">IFERROR(SMALL(seasonnet, ROWS(AC$8:AC63)), "")</f>
        <v/>
      </c>
      <c r="AD63" s="19" t="str">
        <f ca="1">IF(AA63="", "", INDEX(seasonrds, MATCH(VLOOKUP(AA63, leagueroster, 2, FALSE), ids, 0), ))</f>
        <v/>
      </c>
      <c r="AE63" s="51"/>
      <c r="AF63" s="29"/>
      <c r="AH63" s="19"/>
      <c r="AK63" s="51"/>
      <c r="AL63" s="29"/>
      <c r="AN63" s="19"/>
      <c r="AQ63" s="51"/>
      <c r="AR63" s="29" t="str">
        <f>IF(AS63="", "", IF(AT63&lt;&gt;AT62, ROWS(AR$7:AR62), ""))</f>
        <v/>
      </c>
      <c r="AS63" s="18" t="str" cm="1">
        <f t="array" ref="AS63">IF(AT63="","",INDEX(leagueroster, MATCH(SUMPRODUCT(LARGE((INDEX(teamlownet,,)=AT63)*(ids),COUNTIF(INDEX(teamlownet, ,), AT63)-COUNTIF(AT$8:AT63,AT63)+1)), INDEX(leagueroster, , 2), 0), 1))</f>
        <v/>
      </c>
      <c r="AT63" s="59" t="str">
        <f>IF(ROWS(AT$8:AT63)&lt;=$AR$6, SMALL(INDEX(teamlownet, ,), ROWS(AT$8:AT63)), "")</f>
        <v/>
      </c>
      <c r="AU63" s="51"/>
      <c r="AY63" s="51"/>
    </row>
    <row r="64" spans="1:51" x14ac:dyDescent="0.2">
      <c r="A64" s="29" t="str">
        <f ca="1">IF(B64="", "", IF(D64&lt;&gt;D63, ROWS(A$7:A63), ""))</f>
        <v/>
      </c>
      <c r="B64" s="18" t="str">
        <f ca="1">IF(D64="","",INDEX(leagueroster, MATCH(SUMPRODUCT(LARGE((INDEX(lowgross, , )=D64)*(ids),COUNTIF(INDEX(lowgross, , ), D64)-COUNTIF(D$8:D64,D64)+1)), INDEX(leagueroster, , 2), 0), 1))</f>
        <v/>
      </c>
      <c r="C64" s="19" t="str">
        <f t="shared" ca="1" si="24"/>
        <v/>
      </c>
      <c r="D64" s="19" t="str">
        <f ca="1">IFERROR(SMALL(INDEX(lowgross, , ), ROWS(D$8:D64)), "")</f>
        <v/>
      </c>
      <c r="F64" s="51"/>
      <c r="G64" s="29" t="str">
        <f ca="1">IF(H64="", "", IF(J64&lt;&gt;J63, ROWS(G$7:G63), ""))</f>
        <v/>
      </c>
      <c r="H64" s="18" t="str">
        <f ca="1">IF(J64="","",INDEX(leagueroster, MATCH(SUMPRODUCT(LARGE((INDEX(lownet, , )=J64)*(ids),COUNTIF(INDEX(lownet, , ), J64)-COUNTIF(J$8:J64,J64)+1)), INDEX(leagueroster, , 2), 0), 1))</f>
        <v/>
      </c>
      <c r="I64" s="19" t="str">
        <f t="shared" ca="1" si="25"/>
        <v/>
      </c>
      <c r="J64" s="19" t="str">
        <f ca="1">IFERROR(SMALL(INDEX(lownet, , ), ROWS(J$8:J64)), "")</f>
        <v/>
      </c>
      <c r="L64" s="51"/>
      <c r="M64" s="29"/>
      <c r="O64" s="19"/>
      <c r="P64" s="21"/>
      <c r="S64" s="51"/>
      <c r="T64" s="29"/>
      <c r="V64" s="19"/>
      <c r="W64" s="21"/>
      <c r="Y64" s="51"/>
      <c r="Z64" s="29"/>
      <c r="AB64" s="19"/>
      <c r="AC64" s="21"/>
      <c r="AE64" s="51"/>
      <c r="AF64" s="29"/>
      <c r="AH64" s="19"/>
      <c r="AK64" s="51"/>
      <c r="AL64" s="29"/>
      <c r="AN64" s="19"/>
      <c r="AQ64" s="51"/>
      <c r="AR64" s="29"/>
      <c r="AU64" s="51"/>
      <c r="AY64" s="51"/>
    </row>
    <row r="65" spans="1:51" x14ac:dyDescent="0.2">
      <c r="A65" s="29" t="str">
        <f ca="1">IF(B65="", "", IF(D65&lt;&gt;D64, ROWS(A$7:A64), ""))</f>
        <v/>
      </c>
      <c r="B65" s="18" t="str">
        <f ca="1">IF(D65="","",INDEX(leagueroster, MATCH(SUMPRODUCT(LARGE((INDEX(lowgross, , )=D65)*(ids),COUNTIF(INDEX(lowgross, , ), D65)-COUNTIF(D$8:D65,D65)+1)), INDEX(leagueroster, , 2), 0), 1))</f>
        <v/>
      </c>
      <c r="C65" s="19" t="str">
        <f t="shared" ref="C65:C78" ca="1" si="40">IF(B65="", "", VLOOKUP(B65, leagueroster, 3, FALSE))</f>
        <v/>
      </c>
      <c r="D65" s="19" t="str">
        <f ca="1">IFERROR(SMALL(INDEX(lowgross, , ), ROWS(D$8:D65)), "")</f>
        <v/>
      </c>
      <c r="F65" s="51"/>
      <c r="G65" s="29" t="str">
        <f ca="1">IF(H65="", "", IF(J65&lt;&gt;J64, ROWS(G$7:G64), ""))</f>
        <v/>
      </c>
      <c r="H65" s="18" t="str">
        <f ca="1">IF(J65="","",INDEX(leagueroster, MATCH(SUMPRODUCT(LARGE((INDEX(lownet, , )=J65)*(ids),COUNTIF(INDEX(lownet, , ), J65)-COUNTIF(J$8:J65,J65)+1)), INDEX(leagueroster, , 2), 0), 1))</f>
        <v/>
      </c>
      <c r="I65" s="19" t="str">
        <f t="shared" ref="I65:I77" ca="1" si="41">IF(H65="", "", VLOOKUP(H65, leagueroster, 3, FALSE))</f>
        <v/>
      </c>
      <c r="J65" s="19" t="str">
        <f ca="1">IFERROR(SMALL(INDEX(lownet, , ), ROWS(J$8:J65)), "")</f>
        <v/>
      </c>
      <c r="L65" s="51"/>
      <c r="M65" s="29"/>
      <c r="O65" s="19"/>
      <c r="P65" s="21"/>
      <c r="S65" s="51"/>
      <c r="T65" s="29"/>
      <c r="V65" s="19"/>
      <c r="W65" s="21"/>
      <c r="Y65" s="51"/>
      <c r="Z65" s="29"/>
      <c r="AB65" s="19"/>
      <c r="AC65" s="21"/>
      <c r="AE65" s="51"/>
      <c r="AF65" s="29"/>
      <c r="AH65" s="19"/>
      <c r="AK65" s="51"/>
      <c r="AL65" s="29"/>
      <c r="AN65" s="19"/>
      <c r="AQ65" s="51"/>
      <c r="AU65" s="51"/>
      <c r="AY65" s="51"/>
    </row>
    <row r="66" spans="1:51" x14ac:dyDescent="0.2">
      <c r="A66" s="29" t="str">
        <f ca="1">IF(B66="", "", IF(D66&lt;&gt;D65, ROWS(A$7:A65), ""))</f>
        <v/>
      </c>
      <c r="B66" s="18" t="str">
        <f ca="1">IF(D66="","",INDEX(leagueroster, MATCH(SUMPRODUCT(LARGE((INDEX(lowgross, , )=D66)*(ids),COUNTIF(INDEX(lowgross, , ), D66)-COUNTIF(D$8:D66,D66)+1)), INDEX(leagueroster, , 2), 0), 1))</f>
        <v/>
      </c>
      <c r="C66" s="19" t="str">
        <f t="shared" ca="1" si="40"/>
        <v/>
      </c>
      <c r="D66" s="19" t="str">
        <f ca="1">IFERROR(SMALL(INDEX(lowgross, , ), ROWS(D$8:D66)), "")</f>
        <v/>
      </c>
      <c r="F66" s="51"/>
      <c r="G66" s="29" t="str">
        <f ca="1">IF(H66="", "", IF(J66&lt;&gt;J65, ROWS(G$7:G65), ""))</f>
        <v/>
      </c>
      <c r="H66" s="18" t="str">
        <f ca="1">IF(J66="","",INDEX(leagueroster, MATCH(SUMPRODUCT(LARGE((INDEX(lownet, , )=J66)*(ids),COUNTIF(INDEX(lownet, , ), J66)-COUNTIF(J$8:J66,J66)+1)), INDEX(leagueroster, , 2), 0), 1))</f>
        <v/>
      </c>
      <c r="I66" s="19" t="str">
        <f t="shared" ca="1" si="41"/>
        <v/>
      </c>
      <c r="J66" s="19" t="str">
        <f ca="1">IFERROR(SMALL(INDEX(lownet, , ), ROWS(J$8:J66)), "")</f>
        <v/>
      </c>
      <c r="L66" s="51"/>
      <c r="M66" s="29"/>
      <c r="O66" s="19"/>
      <c r="P66" s="21"/>
      <c r="S66" s="51"/>
      <c r="T66" s="29"/>
      <c r="V66" s="19"/>
      <c r="W66" s="21"/>
      <c r="Y66" s="51"/>
      <c r="Z66" s="29"/>
      <c r="AB66" s="19"/>
      <c r="AC66" s="21"/>
      <c r="AE66" s="51"/>
      <c r="AF66" s="29"/>
      <c r="AH66" s="19"/>
      <c r="AK66" s="51"/>
      <c r="AL66" s="29"/>
      <c r="AN66" s="19"/>
      <c r="AQ66" s="51"/>
      <c r="AU66" s="51"/>
      <c r="AY66" s="51"/>
    </row>
    <row r="67" spans="1:51" x14ac:dyDescent="0.2">
      <c r="A67" s="29" t="str">
        <f ca="1">IF(B67="", "", IF(D67&lt;&gt;D66, ROWS(A$7:A66), ""))</f>
        <v/>
      </c>
      <c r="B67" s="18" t="str">
        <f ca="1">IF(D67="","",INDEX(leagueroster, MATCH(SUMPRODUCT(LARGE((INDEX(lowgross, , )=D67)*(ids),COUNTIF(INDEX(lowgross, , ), D67)-COUNTIF(D$8:D67,D67)+1)), INDEX(leagueroster, , 2), 0), 1))</f>
        <v/>
      </c>
      <c r="C67" s="19" t="str">
        <f t="shared" ca="1" si="40"/>
        <v/>
      </c>
      <c r="D67" s="19" t="str">
        <f ca="1">IFERROR(SMALL(INDEX(lowgross, , ), ROWS(D$8:D67)), "")</f>
        <v/>
      </c>
      <c r="F67" s="51"/>
      <c r="G67" s="29" t="str">
        <f ca="1">IF(H67="", "", IF(J67&lt;&gt;J66, ROWS(G$7:G66), ""))</f>
        <v/>
      </c>
      <c r="H67" s="18" t="str">
        <f ca="1">IF(J67="","",INDEX(leagueroster, MATCH(SUMPRODUCT(LARGE((INDEX(lownet, , )=J67)*(ids),COUNTIF(INDEX(lownet, , ), J67)-COUNTIF(J$8:J67,J67)+1)), INDEX(leagueroster, , 2), 0), 1))</f>
        <v/>
      </c>
      <c r="I67" s="19" t="str">
        <f t="shared" ca="1" si="41"/>
        <v/>
      </c>
      <c r="J67" s="19" t="str">
        <f ca="1">IFERROR(SMALL(INDEX(lownet, , ), ROWS(J$8:J67)), "")</f>
        <v/>
      </c>
      <c r="L67" s="51"/>
      <c r="M67" s="29"/>
      <c r="O67" s="19"/>
      <c r="P67" s="21"/>
      <c r="S67" s="51"/>
      <c r="T67" s="29"/>
      <c r="V67" s="19"/>
      <c r="W67" s="21"/>
      <c r="Y67" s="51"/>
      <c r="Z67" s="29"/>
      <c r="AB67" s="19"/>
      <c r="AC67" s="21"/>
      <c r="AE67" s="51"/>
      <c r="AF67" s="29"/>
      <c r="AH67" s="19"/>
      <c r="AK67" s="51"/>
      <c r="AL67" s="29"/>
      <c r="AN67" s="19"/>
      <c r="AQ67" s="51"/>
      <c r="AU67" s="51"/>
      <c r="AY67" s="51"/>
    </row>
    <row r="68" spans="1:51" x14ac:dyDescent="0.2">
      <c r="A68" s="29" t="str">
        <f ca="1">IF(B68="", "", IF(D68&lt;&gt;D67, ROWS(A$7:A67), ""))</f>
        <v/>
      </c>
      <c r="B68" s="18" t="str">
        <f ca="1">IF(D68="","",INDEX(leagueroster, MATCH(SUMPRODUCT(LARGE((INDEX(lowgross, , )=D68)*(ids),COUNTIF(INDEX(lowgross, , ), D68)-COUNTIF(D$8:D68,D68)+1)), INDEX(leagueroster, , 2), 0), 1))</f>
        <v/>
      </c>
      <c r="C68" s="19" t="str">
        <f t="shared" ca="1" si="40"/>
        <v/>
      </c>
      <c r="D68" s="19" t="str">
        <f ca="1">IFERROR(SMALL(INDEX(lowgross, , ), ROWS(D$8:D68)), "")</f>
        <v/>
      </c>
      <c r="F68" s="51"/>
      <c r="G68" s="29" t="str">
        <f ca="1">IF(H68="", "", IF(J68&lt;&gt;J67, ROWS(G$7:G67), ""))</f>
        <v/>
      </c>
      <c r="H68" s="18" t="str">
        <f ca="1">IF(J68="","",INDEX(leagueroster, MATCH(SUMPRODUCT(LARGE((INDEX(lownet, , )=J68)*(ids),COUNTIF(INDEX(lownet, , ), J68)-COUNTIF(J$8:J68,J68)+1)), INDEX(leagueroster, , 2), 0), 1))</f>
        <v/>
      </c>
      <c r="I68" s="19" t="str">
        <f t="shared" ca="1" si="41"/>
        <v/>
      </c>
      <c r="J68" s="19" t="str">
        <f ca="1">IFERROR(SMALL(INDEX(lownet, , ), ROWS(J$8:J68)), "")</f>
        <v/>
      </c>
      <c r="L68" s="51"/>
      <c r="M68" s="29"/>
      <c r="O68" s="19"/>
      <c r="P68" s="21"/>
      <c r="S68" s="51"/>
      <c r="T68" s="29"/>
      <c r="V68" s="19"/>
      <c r="W68" s="21"/>
      <c r="Y68" s="51"/>
      <c r="Z68" s="29"/>
      <c r="AB68" s="19"/>
      <c r="AC68" s="21"/>
      <c r="AE68" s="51"/>
      <c r="AF68" s="29"/>
      <c r="AH68" s="19"/>
      <c r="AK68" s="51"/>
      <c r="AL68" s="29"/>
      <c r="AN68" s="19"/>
      <c r="AQ68" s="51"/>
      <c r="AU68" s="51"/>
      <c r="AY68" s="51"/>
    </row>
    <row r="69" spans="1:51" x14ac:dyDescent="0.2">
      <c r="A69" s="29" t="str">
        <f ca="1">IF(B69="", "", IF(D69&lt;&gt;D68, ROWS(A$7:A68), ""))</f>
        <v/>
      </c>
      <c r="B69" s="18" t="str">
        <f ca="1">IF(D69="","",INDEX(leagueroster, MATCH(SUMPRODUCT(LARGE((INDEX(lowgross, , )=D69)*(ids),COUNTIF(INDEX(lowgross, , ), D69)-COUNTIF(D$8:D69,D69)+1)), INDEX(leagueroster, , 2), 0), 1))</f>
        <v/>
      </c>
      <c r="C69" s="19" t="str">
        <f t="shared" ca="1" si="40"/>
        <v/>
      </c>
      <c r="D69" s="19" t="str">
        <f ca="1">IFERROR(SMALL(INDEX(lowgross, , ), ROWS(D$8:D69)), "")</f>
        <v/>
      </c>
      <c r="F69" s="51"/>
      <c r="G69" s="29" t="str">
        <f ca="1">IF(H69="", "", IF(J69&lt;&gt;J68, ROWS(G$7:G68), ""))</f>
        <v/>
      </c>
      <c r="H69" s="18" t="str">
        <f ca="1">IF(J69="","",INDEX(leagueroster, MATCH(SUMPRODUCT(LARGE((INDEX(lownet, , )=J69)*(ids),COUNTIF(INDEX(lownet, , ), J69)-COUNTIF(J$8:J69,J69)+1)), INDEX(leagueroster, , 2), 0), 1))</f>
        <v/>
      </c>
      <c r="I69" s="19" t="str">
        <f t="shared" ca="1" si="41"/>
        <v/>
      </c>
      <c r="J69" s="19" t="str">
        <f ca="1">IFERROR(SMALL(INDEX(lownet, , ), ROWS(J$8:J69)), "")</f>
        <v/>
      </c>
      <c r="L69" s="51"/>
      <c r="M69" s="29"/>
      <c r="O69" s="19"/>
      <c r="P69" s="21"/>
      <c r="S69" s="51"/>
      <c r="T69" s="29"/>
      <c r="V69" s="19"/>
      <c r="W69" s="21"/>
      <c r="Y69" s="51"/>
      <c r="Z69" s="29"/>
      <c r="AB69" s="19"/>
      <c r="AC69" s="21"/>
      <c r="AE69" s="51"/>
      <c r="AF69" s="29"/>
      <c r="AH69" s="19"/>
      <c r="AK69" s="51"/>
      <c r="AL69" s="29"/>
      <c r="AN69" s="19"/>
      <c r="AQ69" s="51"/>
      <c r="AU69" s="51"/>
      <c r="AY69" s="51"/>
    </row>
    <row r="70" spans="1:51" x14ac:dyDescent="0.2">
      <c r="A70" s="29" t="str">
        <f ca="1">IF(B70="", "", IF(D70&lt;&gt;D69, ROWS(A$7:A69), ""))</f>
        <v/>
      </c>
      <c r="B70" s="18" t="str">
        <f ca="1">IF(D70="","",INDEX(leagueroster, MATCH(SUMPRODUCT(LARGE((INDEX(lowgross, , )=D70)*(ids),COUNTIF(INDEX(lowgross, , ), D70)-COUNTIF(D$8:D70,D70)+1)), INDEX(leagueroster, , 2), 0), 1))</f>
        <v/>
      </c>
      <c r="C70" s="19" t="str">
        <f t="shared" ca="1" si="40"/>
        <v/>
      </c>
      <c r="D70" s="19" t="str">
        <f ca="1">IFERROR(SMALL(INDEX(lowgross, , ), ROWS(D$8:D70)), "")</f>
        <v/>
      </c>
      <c r="F70" s="51"/>
      <c r="G70" s="29" t="str">
        <f ca="1">IF(H70="", "", IF(J70&lt;&gt;J69, ROWS(G$7:G69), ""))</f>
        <v/>
      </c>
      <c r="H70" s="18" t="str">
        <f ca="1">IF(J70="","",INDEX(leagueroster, MATCH(SUMPRODUCT(LARGE((INDEX(lownet, , )=J70)*(ids),COUNTIF(INDEX(lownet, , ), J70)-COUNTIF(J$8:J70,J70)+1)), INDEX(leagueroster, , 2), 0), 1))</f>
        <v/>
      </c>
      <c r="I70" s="19" t="str">
        <f t="shared" ca="1" si="41"/>
        <v/>
      </c>
      <c r="J70" s="19" t="str">
        <f ca="1">IFERROR(SMALL(INDEX(lownet, , ), ROWS(J$8:J70)), "")</f>
        <v/>
      </c>
      <c r="L70" s="51"/>
      <c r="M70" s="29"/>
      <c r="O70" s="19"/>
      <c r="P70" s="21"/>
      <c r="S70" s="51"/>
      <c r="T70" s="29"/>
      <c r="V70" s="19"/>
      <c r="W70" s="21"/>
      <c r="Y70" s="51"/>
      <c r="Z70" s="29"/>
      <c r="AB70" s="19"/>
      <c r="AC70" s="21"/>
      <c r="AE70" s="51"/>
      <c r="AF70" s="29"/>
      <c r="AH70" s="19"/>
      <c r="AK70" s="51"/>
      <c r="AL70" s="29"/>
      <c r="AN70" s="19"/>
      <c r="AQ70" s="51"/>
      <c r="AU70" s="51"/>
      <c r="AY70" s="51"/>
    </row>
    <row r="71" spans="1:51" x14ac:dyDescent="0.2">
      <c r="A71" s="29" t="str">
        <f ca="1">IF(B71="", "", IF(D71&lt;&gt;D70, ROWS(A$7:A70), ""))</f>
        <v/>
      </c>
      <c r="B71" s="18" t="str">
        <f ca="1">IF(D71="","",INDEX(leagueroster, MATCH(SUMPRODUCT(LARGE((INDEX(lowgross, , )=D71)*(ids),COUNTIF(INDEX(lowgross, , ), D71)-COUNTIF(D$8:D71,D71)+1)), INDEX(leagueroster, , 2), 0), 1))</f>
        <v/>
      </c>
      <c r="C71" s="19" t="str">
        <f t="shared" ca="1" si="40"/>
        <v/>
      </c>
      <c r="D71" s="19" t="str">
        <f ca="1">IFERROR(SMALL(INDEX(lowgross, , ), ROWS(D$8:D71)), "")</f>
        <v/>
      </c>
      <c r="F71" s="51"/>
      <c r="G71" s="29" t="str">
        <f ca="1">IF(H71="", "", IF(J71&lt;&gt;J70, ROWS(G$7:G70), ""))</f>
        <v/>
      </c>
      <c r="H71" s="18" t="str">
        <f ca="1">IF(J71="","",INDEX(leagueroster, MATCH(SUMPRODUCT(LARGE((INDEX(lownet, , )=J71)*(ids),COUNTIF(INDEX(lownet, , ), J71)-COUNTIF(J$8:J71,J71)+1)), INDEX(leagueroster, , 2), 0), 1))</f>
        <v/>
      </c>
      <c r="I71" s="19" t="str">
        <f t="shared" ca="1" si="41"/>
        <v/>
      </c>
      <c r="J71" s="19" t="str">
        <f ca="1">IFERROR(SMALL(INDEX(lownet, , ), ROWS(J$8:J71)), "")</f>
        <v/>
      </c>
      <c r="L71" s="51"/>
      <c r="M71" s="29"/>
      <c r="O71" s="19"/>
      <c r="P71" s="21"/>
      <c r="S71" s="51"/>
      <c r="T71" s="29"/>
      <c r="V71" s="19"/>
      <c r="W71" s="21"/>
      <c r="Y71" s="51"/>
      <c r="Z71" s="29"/>
      <c r="AB71" s="19"/>
      <c r="AC71" s="21"/>
      <c r="AE71" s="51"/>
      <c r="AF71" s="29"/>
      <c r="AH71" s="19"/>
      <c r="AK71" s="51"/>
      <c r="AL71" s="29"/>
      <c r="AN71" s="19"/>
      <c r="AQ71" s="51"/>
      <c r="AU71" s="51"/>
      <c r="AY71" s="51"/>
    </row>
    <row r="72" spans="1:51" x14ac:dyDescent="0.2">
      <c r="A72" s="29" t="str">
        <f ca="1">IF(B72="", "", IF(D72&lt;&gt;D71, ROWS(A$7:A71), ""))</f>
        <v/>
      </c>
      <c r="B72" s="18" t="str">
        <f ca="1">IF(D72="","",INDEX(leagueroster, MATCH(SUMPRODUCT(LARGE((INDEX(lowgross, , )=D72)*(ids),COUNTIF(INDEX(lowgross, , ), D72)-COUNTIF(D$8:D72,D72)+1)), INDEX(leagueroster, , 2), 0), 1))</f>
        <v/>
      </c>
      <c r="C72" s="19" t="str">
        <f t="shared" ca="1" si="40"/>
        <v/>
      </c>
      <c r="D72" s="19" t="str">
        <f ca="1">IFERROR(SMALL(INDEX(lowgross, , ), ROWS(D$8:D72)), "")</f>
        <v/>
      </c>
      <c r="E72" s="19" t="str">
        <f ca="1">IFERROR(SMALL(INDEX(lowgross, , ), ROWS(E$8:E72)), "")</f>
        <v/>
      </c>
      <c r="F72" s="51"/>
      <c r="G72" s="29" t="str">
        <f ca="1">IF(H72="", "", IF(J72&lt;&gt;J71, ROWS(G$7:G71), ""))</f>
        <v/>
      </c>
      <c r="H72" s="18" t="str">
        <f ca="1">IF(J72="","",INDEX(leagueroster, MATCH(SUMPRODUCT(LARGE((INDEX(lownet, , )=J72)*(ids),COUNTIF(INDEX(lownet, , ), J72)-COUNTIF(J$8:J72,J72)+1)), INDEX(leagueroster, , 2), 0), 1))</f>
        <v/>
      </c>
      <c r="I72" s="19" t="str">
        <f t="shared" ca="1" si="41"/>
        <v/>
      </c>
      <c r="J72" s="19" t="str">
        <f ca="1">IFERROR(SMALL(INDEX(lownet, , ), ROWS(J$8:J72)), "")</f>
        <v/>
      </c>
      <c r="L72" s="51"/>
      <c r="M72" s="29"/>
      <c r="O72" s="19"/>
      <c r="P72" s="21"/>
      <c r="S72" s="51"/>
      <c r="T72" s="29"/>
      <c r="V72" s="19"/>
      <c r="W72" s="21"/>
      <c r="Y72" s="51"/>
      <c r="Z72" s="29"/>
      <c r="AB72" s="19"/>
      <c r="AC72" s="21"/>
      <c r="AE72" s="51"/>
      <c r="AF72" s="29"/>
      <c r="AH72" s="19"/>
      <c r="AK72" s="51"/>
      <c r="AL72" s="29"/>
      <c r="AN72" s="19"/>
      <c r="AQ72" s="51"/>
      <c r="AU72" s="51"/>
      <c r="AY72" s="51"/>
    </row>
    <row r="73" spans="1:51" x14ac:dyDescent="0.2">
      <c r="A73" s="29" t="str">
        <f ca="1">IF(B73="", "", IF(D73&lt;&gt;D72, ROWS(A$7:A72), ""))</f>
        <v/>
      </c>
      <c r="B73" s="18" t="str">
        <f ca="1">IF(D73="","",INDEX(leagueroster, MATCH(SUMPRODUCT(LARGE((INDEX(lowgross, , )=D73)*(ids),COUNTIF(INDEX(lowgross, , ), D73)-COUNTIF(D$8:D73,D73)+1)), INDEX(leagueroster, , 2), 0), 1))</f>
        <v/>
      </c>
      <c r="C73" s="19" t="str">
        <f t="shared" ca="1" si="40"/>
        <v/>
      </c>
      <c r="D73" s="19" t="str">
        <f ca="1">IFERROR(SMALL(INDEX(lowgross, , ), ROWS(D$8:D73)), "")</f>
        <v/>
      </c>
      <c r="F73" s="51"/>
      <c r="G73" s="29" t="str">
        <f ca="1">IF(H73="", "", IF(J73&lt;&gt;J72, ROWS(G$7:G72), ""))</f>
        <v/>
      </c>
      <c r="H73" s="18" t="str">
        <f ca="1">IF(J73="","",INDEX(leagueroster, MATCH(SUMPRODUCT(LARGE((INDEX(lownet, , )=J73)*(ids),COUNTIF(INDEX(lownet, , ), J73)-COUNTIF(J$8:J73,J73)+1)), INDEX(leagueroster, , 2), 0), 1))</f>
        <v/>
      </c>
      <c r="I73" s="19" t="str">
        <f t="shared" ca="1" si="41"/>
        <v/>
      </c>
      <c r="J73" s="19" t="str">
        <f ca="1">IFERROR(SMALL(INDEX(lownet, , ), ROWS(J$8:J73)), "")</f>
        <v/>
      </c>
      <c r="L73" s="51"/>
      <c r="M73" s="29"/>
      <c r="O73" s="19"/>
      <c r="P73" s="21"/>
      <c r="S73" s="51"/>
      <c r="T73" s="29"/>
      <c r="V73" s="19"/>
      <c r="W73" s="21"/>
      <c r="Y73" s="51"/>
      <c r="Z73" s="29"/>
      <c r="AB73" s="19"/>
      <c r="AC73" s="21"/>
      <c r="AE73" s="51"/>
      <c r="AF73" s="29"/>
      <c r="AH73" s="19"/>
      <c r="AK73" s="51"/>
      <c r="AL73" s="29"/>
      <c r="AN73" s="19"/>
      <c r="AQ73" s="51"/>
      <c r="AU73" s="51"/>
      <c r="AY73" s="51"/>
    </row>
    <row r="74" spans="1:51" x14ac:dyDescent="0.2">
      <c r="A74" s="29" t="str">
        <f ca="1">IF(B74="", "", IF(D74&lt;&gt;D73, ROWS(A$7:A73), ""))</f>
        <v/>
      </c>
      <c r="B74" s="18" t="str">
        <f ca="1">IF(D74="","",INDEX(leagueroster, MATCH(SUMPRODUCT(LARGE((INDEX(lowgross, , )=D74)*(ids),COUNTIF(INDEX(lowgross, , ), D74)-COUNTIF(D$8:D74,D74)+1)), INDEX(leagueroster, , 2), 0), 1))</f>
        <v/>
      </c>
      <c r="C74" s="19" t="str">
        <f t="shared" ca="1" si="40"/>
        <v/>
      </c>
      <c r="D74" s="19" t="str">
        <f ca="1">IFERROR(SMALL(INDEX(lowgross, , ), ROWS(D$8:D74)), "")</f>
        <v/>
      </c>
      <c r="F74" s="51"/>
      <c r="G74" s="29" t="str">
        <f ca="1">IF(H74="", "", IF(J74&lt;&gt;J73, ROWS(G$7:G73), ""))</f>
        <v/>
      </c>
      <c r="H74" s="18" t="str">
        <f ca="1">IF(J74="","",INDEX(leagueroster, MATCH(SUMPRODUCT(LARGE((INDEX(lownet, , )=J74)*(ids),COUNTIF(INDEX(lownet, , ), J74)-COUNTIF(J$8:J74,J74)+1)), INDEX(leagueroster, , 2), 0), 1))</f>
        <v/>
      </c>
      <c r="I74" s="19" t="str">
        <f t="shared" ca="1" si="41"/>
        <v/>
      </c>
      <c r="J74" s="19" t="str">
        <f ca="1">IFERROR(SMALL(INDEX(lownet, , ), ROWS(J$8:J74)), "")</f>
        <v/>
      </c>
      <c r="L74" s="51"/>
      <c r="M74" s="29"/>
      <c r="O74" s="19"/>
      <c r="P74" s="21"/>
      <c r="S74" s="51"/>
      <c r="T74" s="29"/>
      <c r="V74" s="19"/>
      <c r="W74" s="21"/>
      <c r="Y74" s="51"/>
      <c r="Z74" s="29"/>
      <c r="AB74" s="19"/>
      <c r="AC74" s="21"/>
      <c r="AE74" s="51"/>
      <c r="AF74" s="29"/>
      <c r="AH74" s="19"/>
      <c r="AK74" s="51"/>
      <c r="AL74" s="29"/>
      <c r="AN74" s="19"/>
      <c r="AQ74" s="51"/>
      <c r="AU74" s="51"/>
      <c r="AY74" s="51"/>
    </row>
    <row r="75" spans="1:51" x14ac:dyDescent="0.2">
      <c r="A75" s="29" t="str">
        <f ca="1">IF(B75="", "", IF(D75&lt;&gt;D74, ROWS(A$7:A74), ""))</f>
        <v/>
      </c>
      <c r="B75" s="18" t="str">
        <f ca="1">IF(D75="","",INDEX(leagueroster, MATCH(SUMPRODUCT(LARGE((INDEX(lowgross, , )=D75)*(ids),COUNTIF(INDEX(lowgross, , ), D75)-COUNTIF(D$8:D75,D75)+1)), INDEX(leagueroster, , 2), 0), 1))</f>
        <v/>
      </c>
      <c r="C75" s="19" t="str">
        <f t="shared" ca="1" si="40"/>
        <v/>
      </c>
      <c r="D75" s="19" t="str">
        <f ca="1">IFERROR(SMALL(INDEX(lowgross, , ), ROWS(D$8:D75)), "")</f>
        <v/>
      </c>
      <c r="F75" s="51"/>
      <c r="G75" s="29" t="str">
        <f ca="1">IF(H75="", "", IF(J75&lt;&gt;J74, ROWS(G$7:G74), ""))</f>
        <v/>
      </c>
      <c r="H75" s="18" t="str">
        <f ca="1">IF(J75="","",INDEX(leagueroster, MATCH(SUMPRODUCT(LARGE((INDEX(lownet, , )=J75)*(ids),COUNTIF(INDEX(lownet, , ), J75)-COUNTIF(J$8:J75,J75)+1)), INDEX(leagueroster, , 2), 0), 1))</f>
        <v/>
      </c>
      <c r="I75" s="19" t="str">
        <f t="shared" ca="1" si="41"/>
        <v/>
      </c>
      <c r="J75" s="19" t="str">
        <f ca="1">IFERROR(SMALL(INDEX(lownet, , ), ROWS(J$8:J75)), "")</f>
        <v/>
      </c>
      <c r="L75" s="51"/>
      <c r="M75" s="29"/>
      <c r="O75" s="19"/>
      <c r="P75" s="21"/>
      <c r="S75" s="51"/>
      <c r="T75" s="29"/>
      <c r="V75" s="19"/>
      <c r="W75" s="21"/>
      <c r="Y75" s="51"/>
      <c r="Z75" s="29"/>
      <c r="AB75" s="19"/>
      <c r="AC75" s="21"/>
      <c r="AE75" s="51"/>
      <c r="AF75" s="29"/>
      <c r="AH75" s="19"/>
      <c r="AK75" s="51"/>
      <c r="AL75" s="29"/>
      <c r="AN75" s="19"/>
      <c r="AQ75" s="51"/>
      <c r="AU75" s="51"/>
      <c r="AY75" s="51"/>
    </row>
    <row r="76" spans="1:51" x14ac:dyDescent="0.2">
      <c r="A76" s="29" t="str">
        <f ca="1">IF(B76="", "", IF(D76&lt;&gt;D75, ROWS(A$7:A75), ""))</f>
        <v/>
      </c>
      <c r="B76" s="18" t="str">
        <f ca="1">IF(D76="","",INDEX(leagueroster, MATCH(SUMPRODUCT(LARGE((INDEX(lowgross, , )=D76)*(ids),COUNTIF(INDEX(lowgross, , ), D76)-COUNTIF(D$8:D76,D76)+1)), INDEX(leagueroster, , 2), 0), 1))</f>
        <v/>
      </c>
      <c r="C76" s="19" t="str">
        <f t="shared" ca="1" si="40"/>
        <v/>
      </c>
      <c r="D76" s="19" t="str">
        <f ca="1">IFERROR(SMALL(INDEX(lowgross, , ), ROWS(D$8:D76)), "")</f>
        <v/>
      </c>
      <c r="F76" s="51"/>
      <c r="G76" s="29" t="str">
        <f ca="1">IF(H76="", "", IF(J76&lt;&gt;J75, ROWS(G$7:G75), ""))</f>
        <v/>
      </c>
      <c r="H76" s="18" t="str">
        <f ca="1">IF(J76="","",INDEX(leagueroster, MATCH(SUMPRODUCT(LARGE((INDEX(lownet, , )=J76)*(ids),COUNTIF(INDEX(lownet, , ), J76)-COUNTIF(J$8:J76,J76)+1)), INDEX(leagueroster, , 2), 0), 1))</f>
        <v/>
      </c>
      <c r="I76" s="19" t="str">
        <f t="shared" ca="1" si="41"/>
        <v/>
      </c>
      <c r="J76" s="19" t="str">
        <f ca="1">IFERROR(SMALL(INDEX(lownet, , ), ROWS(J$8:J76)), "")</f>
        <v/>
      </c>
      <c r="L76" s="51"/>
      <c r="M76" s="29"/>
      <c r="O76" s="19"/>
      <c r="P76" s="21"/>
      <c r="S76" s="51"/>
      <c r="T76" s="29"/>
      <c r="V76" s="19"/>
      <c r="W76" s="21"/>
      <c r="Y76" s="51"/>
      <c r="Z76" s="29"/>
      <c r="AB76" s="19"/>
      <c r="AC76" s="21"/>
      <c r="AE76" s="51"/>
      <c r="AF76" s="29"/>
      <c r="AH76" s="19"/>
      <c r="AK76" s="51"/>
      <c r="AL76" s="29"/>
      <c r="AN76" s="19"/>
      <c r="AQ76" s="51"/>
      <c r="AU76" s="51"/>
      <c r="AY76" s="51"/>
    </row>
    <row r="77" spans="1:51" x14ac:dyDescent="0.2">
      <c r="A77" s="29"/>
      <c r="B77" s="18" t="str">
        <f ca="1">IF(D77="","",INDEX(leagueroster, MATCH(SUMPRODUCT(LARGE((INDEX(lowgross, , )=D77)*(ids),COUNTIF(INDEX(lowgross, , ), D77)-COUNTIF(D$8:D77,D77)+1)), INDEX(leagueroster, , 2), 0), 1))</f>
        <v/>
      </c>
      <c r="C77" s="19" t="str">
        <f t="shared" ca="1" si="40"/>
        <v/>
      </c>
      <c r="D77" s="19" t="str">
        <f ca="1">IFERROR(SMALL(INDEX(lowgross, , ), ROWS(D$8:D77)), "")</f>
        <v/>
      </c>
      <c r="F77" s="51"/>
      <c r="G77" s="29" t="str">
        <f ca="1">IF(H77="", "", IF(J77&lt;&gt;J76, ROWS(G$7:G76), ""))</f>
        <v/>
      </c>
      <c r="H77" s="18" t="str">
        <f ca="1">IF(J77="","",INDEX(leagueroster, MATCH(SUMPRODUCT(LARGE((INDEX(lownet, , )=J77)*(ids),COUNTIF(INDEX(lownet, , ), J77)-COUNTIF(J$8:J77,J77)+1)), INDEX(leagueroster, , 2), 0), 1))</f>
        <v/>
      </c>
      <c r="I77" s="19" t="str">
        <f t="shared" ca="1" si="41"/>
        <v/>
      </c>
      <c r="J77" s="19" t="str">
        <f ca="1">IFERROR(SMALL(INDEX(lownet, , ), ROWS(J$8:J77)), "")</f>
        <v/>
      </c>
      <c r="L77" s="51"/>
      <c r="M77" s="29"/>
      <c r="O77" s="19"/>
      <c r="P77" s="21"/>
      <c r="S77" s="51"/>
      <c r="T77" s="29"/>
      <c r="V77" s="19"/>
      <c r="W77" s="21"/>
      <c r="Y77" s="51"/>
      <c r="Z77" s="29"/>
      <c r="AB77" s="19"/>
      <c r="AC77" s="21"/>
      <c r="AE77" s="51"/>
      <c r="AF77" s="29"/>
      <c r="AH77" s="19"/>
      <c r="AK77" s="51"/>
      <c r="AL77" s="29"/>
      <c r="AN77" s="19"/>
      <c r="AQ77" s="51"/>
      <c r="AU77" s="51"/>
      <c r="AY77" s="51"/>
    </row>
    <row r="78" spans="1:51" x14ac:dyDescent="0.2">
      <c r="A78" s="29"/>
      <c r="B78" s="18" t="str">
        <f ca="1">IF(D78="","",INDEX(leagueroster, MATCH(SUMPRODUCT(LARGE((INDEX(lowgross, , )=D78)*(ids),COUNTIF(INDEX(lowgross, , ), D78)-COUNTIF(D$8:D78,D78)+1)), INDEX(leagueroster, , 2), 0), 1))</f>
        <v/>
      </c>
      <c r="C78" s="19" t="str">
        <f t="shared" ca="1" si="40"/>
        <v/>
      </c>
      <c r="D78" s="19" t="str">
        <f ca="1">IFERROR(SMALL(INDEX(lowgross, , ), ROWS(D$8:D78)), "")</f>
        <v/>
      </c>
      <c r="F78" s="51"/>
      <c r="G78" s="29"/>
      <c r="I78" s="19"/>
      <c r="L78" s="51"/>
      <c r="M78" s="29"/>
      <c r="O78" s="19"/>
      <c r="P78" s="21"/>
      <c r="S78" s="51"/>
      <c r="T78" s="29"/>
      <c r="V78" s="19"/>
      <c r="W78" s="21"/>
      <c r="Y78" s="51"/>
      <c r="Z78" s="29"/>
      <c r="AB78" s="19"/>
      <c r="AC78" s="21"/>
      <c r="AE78" s="51"/>
      <c r="AF78" s="29"/>
      <c r="AH78" s="19"/>
      <c r="AK78" s="51"/>
      <c r="AL78" s="29"/>
      <c r="AN78" s="19"/>
      <c r="AQ78" s="51"/>
      <c r="AU78" s="51"/>
      <c r="AY78" s="51"/>
    </row>
    <row r="79" spans="1:51" x14ac:dyDescent="0.2">
      <c r="A79" s="32"/>
      <c r="B79" s="33"/>
      <c r="C79" s="33"/>
      <c r="D79" s="32"/>
      <c r="E79" s="32"/>
      <c r="F79" s="32"/>
      <c r="G79" s="32"/>
      <c r="H79" s="33"/>
      <c r="I79" s="33"/>
      <c r="J79" s="32"/>
      <c r="K79" s="32"/>
      <c r="L79" s="32"/>
      <c r="M79" s="32"/>
      <c r="N79" s="33"/>
      <c r="O79" s="33"/>
      <c r="P79" s="32"/>
      <c r="Q79" s="32"/>
      <c r="R79" s="32"/>
      <c r="S79" s="32"/>
      <c r="T79" s="32"/>
      <c r="U79" s="33"/>
      <c r="V79" s="33"/>
      <c r="W79" s="32"/>
      <c r="X79" s="32"/>
      <c r="Y79" s="32"/>
      <c r="Z79" s="32"/>
      <c r="AA79" s="33"/>
      <c r="AB79" s="33"/>
      <c r="AC79" s="32"/>
      <c r="AD79" s="32"/>
      <c r="AE79" s="32"/>
      <c r="AF79" s="32"/>
      <c r="AG79" s="33"/>
      <c r="AH79" s="33"/>
      <c r="AI79" s="32"/>
      <c r="AJ79" s="32"/>
      <c r="AK79" s="32"/>
      <c r="AL79" s="32"/>
      <c r="AM79" s="33"/>
      <c r="AN79" s="33"/>
      <c r="AO79" s="32"/>
      <c r="AP79" s="32"/>
      <c r="AQ79" s="32"/>
      <c r="AR79" s="32"/>
      <c r="AS79" s="33"/>
      <c r="AT79" s="32"/>
      <c r="AU79" s="32"/>
      <c r="AV79" s="32"/>
      <c r="AW79" s="33"/>
      <c r="AX79" s="32"/>
      <c r="AY79" s="32"/>
    </row>
  </sheetData>
  <mergeCells count="4">
    <mergeCell ref="A1:AQ1"/>
    <mergeCell ref="A2:AQ2"/>
    <mergeCell ref="A3:AQ3"/>
    <mergeCell ref="A4:AQ4"/>
  </mergeCells>
  <pageMargins left="0.45" right="0.45" top="0.5" bottom="0.5" header="0.3" footer="0.3"/>
  <pageSetup scale="5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4BA18-E2B3-4796-9FEA-F557F6122CC9}">
  <sheetPr codeName="Sheet15"/>
  <dimension ref="A1:V45"/>
  <sheetViews>
    <sheetView workbookViewId="0">
      <selection sqref="A1:V1"/>
    </sheetView>
  </sheetViews>
  <sheetFormatPr defaultColWidth="9" defaultRowHeight="11.4" x14ac:dyDescent="0.2"/>
  <cols>
    <col min="1" max="1" width="20.33203125" style="153" bestFit="1" customWidth="1"/>
    <col min="2" max="2" width="12.33203125" style="198" bestFit="1" customWidth="1"/>
    <col min="3" max="3" width="9" style="153" hidden="1" customWidth="1"/>
    <col min="4" max="4" width="9" style="153"/>
    <col min="5" max="22" width="5.5546875" style="153" customWidth="1"/>
    <col min="23" max="16384" width="9" style="153"/>
  </cols>
  <sheetData>
    <row r="1" spans="1:22" ht="15.6" x14ac:dyDescent="0.3">
      <c r="A1" s="445" t="s">
        <v>0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</row>
    <row r="2" spans="1:22" ht="15.6" x14ac:dyDescent="0.3">
      <c r="A2" s="445" t="s">
        <v>1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</row>
    <row r="3" spans="1:22" ht="15.6" x14ac:dyDescent="0.3">
      <c r="A3" s="445">
        <v>2024</v>
      </c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</row>
    <row r="4" spans="1:22" ht="12" x14ac:dyDescent="0.25">
      <c r="A4" s="180"/>
      <c r="B4" s="181"/>
      <c r="C4" s="182"/>
      <c r="D4" s="183" t="s">
        <v>94</v>
      </c>
      <c r="E4" s="184">
        <v>3</v>
      </c>
      <c r="F4" s="184">
        <v>13</v>
      </c>
      <c r="G4" s="185">
        <v>5</v>
      </c>
      <c r="H4" s="184">
        <v>15</v>
      </c>
      <c r="I4" s="184">
        <v>17</v>
      </c>
      <c r="J4" s="185">
        <v>1</v>
      </c>
      <c r="K4" s="184">
        <v>9</v>
      </c>
      <c r="L4" s="184">
        <v>11</v>
      </c>
      <c r="M4" s="185">
        <v>7</v>
      </c>
      <c r="N4" s="184">
        <v>14</v>
      </c>
      <c r="O4" s="184">
        <v>12</v>
      </c>
      <c r="P4" s="185">
        <v>16</v>
      </c>
      <c r="Q4" s="184">
        <v>4</v>
      </c>
      <c r="R4" s="184">
        <v>6</v>
      </c>
      <c r="S4" s="185">
        <v>10</v>
      </c>
      <c r="T4" s="184">
        <v>18</v>
      </c>
      <c r="U4" s="184">
        <v>2</v>
      </c>
      <c r="V4" s="185">
        <v>8</v>
      </c>
    </row>
    <row r="5" spans="1:22" ht="12" x14ac:dyDescent="0.25">
      <c r="A5" s="180"/>
      <c r="B5" s="181"/>
      <c r="C5" s="182"/>
      <c r="D5" s="183" t="s">
        <v>95</v>
      </c>
      <c r="E5" s="184">
        <v>4</v>
      </c>
      <c r="F5" s="184">
        <v>5</v>
      </c>
      <c r="G5" s="185">
        <v>4</v>
      </c>
      <c r="H5" s="184">
        <v>3</v>
      </c>
      <c r="I5" s="184">
        <v>4</v>
      </c>
      <c r="J5" s="185">
        <v>4</v>
      </c>
      <c r="K5" s="184">
        <v>5</v>
      </c>
      <c r="L5" s="184">
        <v>3</v>
      </c>
      <c r="M5" s="185">
        <v>4</v>
      </c>
      <c r="N5" s="184">
        <v>4</v>
      </c>
      <c r="O5" s="184">
        <v>3</v>
      </c>
      <c r="P5" s="185">
        <v>4</v>
      </c>
      <c r="Q5" s="184">
        <v>4</v>
      </c>
      <c r="R5" s="184">
        <v>4</v>
      </c>
      <c r="S5" s="185">
        <v>5</v>
      </c>
      <c r="T5" s="184">
        <v>3</v>
      </c>
      <c r="U5" s="184">
        <v>4</v>
      </c>
      <c r="V5" s="185">
        <v>5</v>
      </c>
    </row>
    <row r="6" spans="1:22" ht="12" x14ac:dyDescent="0.25">
      <c r="A6" s="186" t="s">
        <v>83</v>
      </c>
      <c r="B6" s="186" t="s">
        <v>68</v>
      </c>
      <c r="C6" s="186"/>
      <c r="D6" s="187" t="s">
        <v>96</v>
      </c>
      <c r="E6" s="186">
        <v>1</v>
      </c>
      <c r="F6" s="186">
        <v>2</v>
      </c>
      <c r="G6" s="188">
        <v>3</v>
      </c>
      <c r="H6" s="186">
        <v>4</v>
      </c>
      <c r="I6" s="186">
        <v>5</v>
      </c>
      <c r="J6" s="188">
        <v>6</v>
      </c>
      <c r="K6" s="186">
        <v>7</v>
      </c>
      <c r="L6" s="186">
        <v>8</v>
      </c>
      <c r="M6" s="188">
        <v>9</v>
      </c>
      <c r="N6" s="186">
        <v>10</v>
      </c>
      <c r="O6" s="186">
        <v>11</v>
      </c>
      <c r="P6" s="188">
        <v>12</v>
      </c>
      <c r="Q6" s="186">
        <v>13</v>
      </c>
      <c r="R6" s="186">
        <v>14</v>
      </c>
      <c r="S6" s="188">
        <v>15</v>
      </c>
      <c r="T6" s="186">
        <v>16</v>
      </c>
      <c r="U6" s="186">
        <v>17</v>
      </c>
      <c r="V6" s="188">
        <v>18</v>
      </c>
    </row>
    <row r="7" spans="1:22" ht="12" hidden="1" x14ac:dyDescent="0.25">
      <c r="A7" s="189" t="s">
        <v>97</v>
      </c>
      <c r="B7" s="190" t="s">
        <v>98</v>
      </c>
      <c r="C7" s="190" t="s">
        <v>99</v>
      </c>
      <c r="D7" s="191"/>
      <c r="E7" s="182"/>
      <c r="F7" s="182"/>
      <c r="G7" s="192"/>
      <c r="H7" s="182"/>
      <c r="I7" s="182"/>
      <c r="J7" s="192"/>
      <c r="K7" s="182"/>
      <c r="L7" s="182"/>
      <c r="M7" s="192"/>
      <c r="N7" s="182"/>
      <c r="O7" s="182"/>
      <c r="P7" s="192"/>
      <c r="Q7" s="182"/>
      <c r="R7" s="182"/>
      <c r="S7" s="192"/>
      <c r="T7" s="182"/>
      <c r="U7" s="182"/>
      <c r="V7" s="192"/>
    </row>
    <row r="8" spans="1:22" ht="12" customHeight="1" x14ac:dyDescent="0.25">
      <c r="A8" s="361" t="s">
        <v>311</v>
      </c>
      <c r="B8" s="452">
        <v>7</v>
      </c>
      <c r="C8" s="193">
        <f>SUMIFS(Upload_Indiv[Tot_Birds],Upload_Indiv[[Player]:[Player]],$A8)</f>
        <v>7</v>
      </c>
      <c r="D8" s="200"/>
      <c r="E8" s="200">
        <f>SUMIFS(Upload_Indiv[Bird1],Upload_Indiv[[Player]:[Player]],$A8,Upload_Indiv[[Side]:[Side]],"Raintree Front")</f>
        <v>0</v>
      </c>
      <c r="F8" s="200">
        <f>SUMIFS(Upload_Indiv[Bird2],Upload_Indiv[[Player]:[Player]],$A8,Upload_Indiv[[Side]:[Side]],"Raintree Front")</f>
        <v>1</v>
      </c>
      <c r="G8" s="200">
        <f>SUMIFS(Upload_Indiv[Bird3],Upload_Indiv[[Player]:[Player]],$A8,Upload_Indiv[[Side]:[Side]],"Raintree Front")</f>
        <v>0</v>
      </c>
      <c r="H8" s="200">
        <f>SUMIFS(Upload_Indiv[Bird4],Upload_Indiv[[Player]:[Player]],$A8,Upload_Indiv[[Side]:[Side]],"Raintree Front")</f>
        <v>2</v>
      </c>
      <c r="I8" s="200">
        <f>SUMIFS(Upload_Indiv[Bird5],Upload_Indiv[[Player]:[Player]],$A8,Upload_Indiv[[Side]:[Side]],"Raintree Front")</f>
        <v>0</v>
      </c>
      <c r="J8" s="200">
        <f>SUMIFS(Upload_Indiv[Bird6],Upload_Indiv[[Player]:[Player]],$A8,Upload_Indiv[[Side]:[Side]],"Raintree Front")</f>
        <v>0</v>
      </c>
      <c r="K8" s="200">
        <f>SUMIFS(Upload_Indiv[Bird7],Upload_Indiv[[Player]:[Player]],$A8,Upload_Indiv[[Side]:[Side]],"Raintree Front")</f>
        <v>0</v>
      </c>
      <c r="L8" s="200">
        <f>SUMIFS(Upload_Indiv[Bird8],Upload_Indiv[[Player]:[Player]],$A8,Upload_Indiv[[Side]:[Side]],"Raintree Front")</f>
        <v>1</v>
      </c>
      <c r="M8" s="200">
        <f>SUMIFS(Upload_Indiv[Bird9],Upload_Indiv[[Player]:[Player]],$A8,Upload_Indiv[[Side]:[Side]],"Raintree Front")</f>
        <v>1</v>
      </c>
      <c r="N8" s="200">
        <f>SUMIFS(Upload_Indiv[Bird1],Upload_Indiv[[Player]:[Player]],$A8,Upload_Indiv[[Side]:[Side]],"Raintree Back")</f>
        <v>1</v>
      </c>
      <c r="O8" s="200">
        <f>SUMIFS(Upload_Indiv[Bird2],Upload_Indiv[[Player]:[Player]],$A8,Upload_Indiv[[Side]:[Side]],"Raintree Back")</f>
        <v>0</v>
      </c>
      <c r="P8" s="200">
        <f>SUMIFS(Upload_Indiv[Bird3],Upload_Indiv[[Player]:[Player]],$A8,Upload_Indiv[[Side]:[Side]],"Raintree Back")</f>
        <v>0</v>
      </c>
      <c r="Q8" s="200">
        <f>SUMIFS(Upload_Indiv[Bird4],Upload_Indiv[[Player]:[Player]],$A8,Upload_Indiv[[Side]:[Side]],"Raintree Back")</f>
        <v>0</v>
      </c>
      <c r="R8" s="200">
        <f>SUMIFS(Upload_Indiv[Bird5],Upload_Indiv[[Player]:[Player]],$A8,Upload_Indiv[[Side]:[Side]],"Raintree Back")</f>
        <v>0</v>
      </c>
      <c r="S8" s="200">
        <f>SUMIFS(Upload_Indiv[Bird6],Upload_Indiv[[Player]:[Player]],$A8,Upload_Indiv[[Side]:[Side]],"Raintree Back")</f>
        <v>0</v>
      </c>
      <c r="T8" s="200">
        <f>SUMIFS(Upload_Indiv[Bird7],Upload_Indiv[[Player]:[Player]],$A8,Upload_Indiv[[Side]:[Side]],"Raintree Back")</f>
        <v>0</v>
      </c>
      <c r="U8" s="200">
        <f>SUMIFS(Upload_Indiv[Bird8],Upload_Indiv[[Player]:[Player]],$A8,Upload_Indiv[[Side]:[Side]],"Raintree Back")</f>
        <v>0</v>
      </c>
      <c r="V8" s="200">
        <f>SUMIFS(Upload_Indiv[Bird9],Upload_Indiv[[Player]:[Player]],$A8,Upload_Indiv[[Side]:[Side]],"Raintree Back")</f>
        <v>1</v>
      </c>
    </row>
    <row r="9" spans="1:22" ht="12" customHeight="1" x14ac:dyDescent="0.25">
      <c r="A9" s="360" t="s">
        <v>156</v>
      </c>
      <c r="B9" s="455">
        <v>7</v>
      </c>
      <c r="C9" s="221">
        <f>SUMIFS(Upload_Indiv[Tot_Birds],Upload_Indiv[[Player]:[Player]],$A9)</f>
        <v>7</v>
      </c>
      <c r="D9" s="200"/>
      <c r="E9" s="200">
        <f>SUMIFS(Upload_Indiv[Bird1],Upload_Indiv[[Player]:[Player]],$A9,Upload_Indiv[[Side]:[Side]],"Raintree Front")</f>
        <v>0</v>
      </c>
      <c r="F9" s="200">
        <f>SUMIFS(Upload_Indiv[Bird2],Upload_Indiv[[Player]:[Player]],$A9,Upload_Indiv[[Side]:[Side]],"Raintree Front")</f>
        <v>1</v>
      </c>
      <c r="G9" s="200">
        <f>SUMIFS(Upload_Indiv[Bird3],Upload_Indiv[[Player]:[Player]],$A9,Upload_Indiv[[Side]:[Side]],"Raintree Front")</f>
        <v>0</v>
      </c>
      <c r="H9" s="200">
        <f>SUMIFS(Upload_Indiv[Bird4],Upload_Indiv[[Player]:[Player]],$A9,Upload_Indiv[[Side]:[Side]],"Raintree Front")</f>
        <v>0</v>
      </c>
      <c r="I9" s="200">
        <f>SUMIFS(Upload_Indiv[Bird5],Upload_Indiv[[Player]:[Player]],$A9,Upload_Indiv[[Side]:[Side]],"Raintree Front")</f>
        <v>0</v>
      </c>
      <c r="J9" s="200">
        <f>SUMIFS(Upload_Indiv[Bird6],Upload_Indiv[[Player]:[Player]],$A9,Upload_Indiv[[Side]:[Side]],"Raintree Front")</f>
        <v>1</v>
      </c>
      <c r="K9" s="200">
        <f>SUMIFS(Upload_Indiv[Bird7],Upload_Indiv[[Player]:[Player]],$A9,Upload_Indiv[[Side]:[Side]],"Raintree Front")</f>
        <v>0</v>
      </c>
      <c r="L9" s="200">
        <f>SUMIFS(Upload_Indiv[Bird8],Upload_Indiv[[Player]:[Player]],$A9,Upload_Indiv[[Side]:[Side]],"Raintree Front")</f>
        <v>0</v>
      </c>
      <c r="M9" s="200">
        <f>SUMIFS(Upload_Indiv[Bird9],Upload_Indiv[[Player]:[Player]],$A9,Upload_Indiv[[Side]:[Side]],"Raintree Front")</f>
        <v>0</v>
      </c>
      <c r="N9" s="200">
        <f>SUMIFS(Upload_Indiv[Bird1],Upload_Indiv[[Player]:[Player]],$A9,Upload_Indiv[[Side]:[Side]],"Raintree Back")</f>
        <v>0</v>
      </c>
      <c r="O9" s="200">
        <f>SUMIFS(Upload_Indiv[Bird2],Upload_Indiv[[Player]:[Player]],$A9,Upload_Indiv[[Side]:[Side]],"Raintree Back")</f>
        <v>0</v>
      </c>
      <c r="P9" s="200">
        <f>SUMIFS(Upload_Indiv[Bird3],Upload_Indiv[[Player]:[Player]],$A9,Upload_Indiv[[Side]:[Side]],"Raintree Back")</f>
        <v>1</v>
      </c>
      <c r="Q9" s="200">
        <f>SUMIFS(Upload_Indiv[Bird4],Upload_Indiv[[Player]:[Player]],$A9,Upload_Indiv[[Side]:[Side]],"Raintree Back")</f>
        <v>1</v>
      </c>
      <c r="R9" s="200">
        <f>SUMIFS(Upload_Indiv[Bird5],Upload_Indiv[[Player]:[Player]],$A9,Upload_Indiv[[Side]:[Side]],"Raintree Back")</f>
        <v>0</v>
      </c>
      <c r="S9" s="200">
        <f>SUMIFS(Upload_Indiv[Bird6],Upload_Indiv[[Player]:[Player]],$A9,Upload_Indiv[[Side]:[Side]],"Raintree Back")</f>
        <v>1</v>
      </c>
      <c r="T9" s="200">
        <f>SUMIFS(Upload_Indiv[Bird7],Upload_Indiv[[Player]:[Player]],$A9,Upload_Indiv[[Side]:[Side]],"Raintree Back")</f>
        <v>2</v>
      </c>
      <c r="U9" s="200">
        <f>SUMIFS(Upload_Indiv[Bird8],Upload_Indiv[[Player]:[Player]],$A9,Upload_Indiv[[Side]:[Side]],"Raintree Back")</f>
        <v>0</v>
      </c>
      <c r="V9" s="200">
        <f>SUMIFS(Upload_Indiv[Bird9],Upload_Indiv[[Player]:[Player]],$A9,Upload_Indiv[[Side]:[Side]],"Raintree Back")</f>
        <v>0</v>
      </c>
    </row>
    <row r="10" spans="1:22" ht="12" customHeight="1" x14ac:dyDescent="0.25">
      <c r="A10" s="361" t="s">
        <v>146</v>
      </c>
      <c r="B10" s="452">
        <v>5</v>
      </c>
      <c r="C10" s="221">
        <f>SUMIFS(Upload_Indiv[Tot_Birds],Upload_Indiv[[Player]:[Player]],$A10)</f>
        <v>5</v>
      </c>
      <c r="D10" s="200"/>
      <c r="E10" s="200">
        <f>SUMIFS(Upload_Indiv[Bird1],Upload_Indiv[[Player]:[Player]],$A10,Upload_Indiv[[Side]:[Side]],"Raintree Front")</f>
        <v>1</v>
      </c>
      <c r="F10" s="200">
        <f>SUMIFS(Upload_Indiv[Bird2],Upload_Indiv[[Player]:[Player]],$A10,Upload_Indiv[[Side]:[Side]],"Raintree Front")</f>
        <v>0</v>
      </c>
      <c r="G10" s="200">
        <f>SUMIFS(Upload_Indiv[Bird3],Upload_Indiv[[Player]:[Player]],$A10,Upload_Indiv[[Side]:[Side]],"Raintree Front")</f>
        <v>0</v>
      </c>
      <c r="H10" s="200">
        <f>SUMIFS(Upload_Indiv[Bird4],Upload_Indiv[[Player]:[Player]],$A10,Upload_Indiv[[Side]:[Side]],"Raintree Front")</f>
        <v>0</v>
      </c>
      <c r="I10" s="200">
        <f>SUMIFS(Upload_Indiv[Bird5],Upload_Indiv[[Player]:[Player]],$A10,Upload_Indiv[[Side]:[Side]],"Raintree Front")</f>
        <v>0</v>
      </c>
      <c r="J10" s="200">
        <f>SUMIFS(Upload_Indiv[Bird6],Upload_Indiv[[Player]:[Player]],$A10,Upload_Indiv[[Side]:[Side]],"Raintree Front")</f>
        <v>1</v>
      </c>
      <c r="K10" s="200">
        <f>SUMIFS(Upload_Indiv[Bird7],Upload_Indiv[[Player]:[Player]],$A10,Upload_Indiv[[Side]:[Side]],"Raintree Front")</f>
        <v>0</v>
      </c>
      <c r="L10" s="200">
        <f>SUMIFS(Upload_Indiv[Bird8],Upload_Indiv[[Player]:[Player]],$A10,Upload_Indiv[[Side]:[Side]],"Raintree Front")</f>
        <v>0</v>
      </c>
      <c r="M10" s="200">
        <f>SUMIFS(Upload_Indiv[Bird9],Upload_Indiv[[Player]:[Player]],$A10,Upload_Indiv[[Side]:[Side]],"Raintree Front")</f>
        <v>0</v>
      </c>
      <c r="N10" s="200">
        <f>SUMIFS(Upload_Indiv[Bird1],Upload_Indiv[[Player]:[Player]],$A10,Upload_Indiv[[Side]:[Side]],"Raintree Back")</f>
        <v>1</v>
      </c>
      <c r="O10" s="200">
        <f>SUMIFS(Upload_Indiv[Bird2],Upload_Indiv[[Player]:[Player]],$A10,Upload_Indiv[[Side]:[Side]],"Raintree Back")</f>
        <v>1</v>
      </c>
      <c r="P10" s="200">
        <f>SUMIFS(Upload_Indiv[Bird3],Upload_Indiv[[Player]:[Player]],$A10,Upload_Indiv[[Side]:[Side]],"Raintree Back")</f>
        <v>0</v>
      </c>
      <c r="Q10" s="200">
        <f>SUMIFS(Upload_Indiv[Bird4],Upload_Indiv[[Player]:[Player]],$A10,Upload_Indiv[[Side]:[Side]],"Raintree Back")</f>
        <v>0</v>
      </c>
      <c r="R10" s="200">
        <f>SUMIFS(Upload_Indiv[Bird5],Upload_Indiv[[Player]:[Player]],$A10,Upload_Indiv[[Side]:[Side]],"Raintree Back")</f>
        <v>1</v>
      </c>
      <c r="S10" s="200">
        <f>SUMIFS(Upload_Indiv[Bird6],Upload_Indiv[[Player]:[Player]],$A10,Upload_Indiv[[Side]:[Side]],"Raintree Back")</f>
        <v>0</v>
      </c>
      <c r="T10" s="200">
        <f>SUMIFS(Upload_Indiv[Bird7],Upload_Indiv[[Player]:[Player]],$A10,Upload_Indiv[[Side]:[Side]],"Raintree Back")</f>
        <v>0</v>
      </c>
      <c r="U10" s="200">
        <f>SUMIFS(Upload_Indiv[Bird8],Upload_Indiv[[Player]:[Player]],$A10,Upload_Indiv[[Side]:[Side]],"Raintree Back")</f>
        <v>0</v>
      </c>
      <c r="V10" s="200">
        <f>SUMIFS(Upload_Indiv[Bird9],Upload_Indiv[[Player]:[Player]],$A10,Upload_Indiv[[Side]:[Side]],"Raintree Back")</f>
        <v>0</v>
      </c>
    </row>
    <row r="11" spans="1:22" ht="12" customHeight="1" x14ac:dyDescent="0.25">
      <c r="A11" s="456" t="s">
        <v>100</v>
      </c>
      <c r="B11" s="455">
        <v>4</v>
      </c>
      <c r="C11" s="221">
        <f>SUMIFS(Upload_Indiv[Tot_Birds],Upload_Indiv[[Player]:[Player]],$A11)</f>
        <v>4</v>
      </c>
      <c r="D11" s="200"/>
      <c r="E11" s="200">
        <f>SUMIFS(Upload_Indiv[Bird1],Upload_Indiv[[Player]:[Player]],$A11,Upload_Indiv[[Side]:[Side]],"Raintree Front")</f>
        <v>1</v>
      </c>
      <c r="F11" s="200">
        <f>SUMIFS(Upload_Indiv[Bird2],Upload_Indiv[[Player]:[Player]],$A11,Upload_Indiv[[Side]:[Side]],"Raintree Front")</f>
        <v>1</v>
      </c>
      <c r="G11" s="200">
        <f>SUMIFS(Upload_Indiv[Bird3],Upload_Indiv[[Player]:[Player]],$A11,Upload_Indiv[[Side]:[Side]],"Raintree Front")</f>
        <v>0</v>
      </c>
      <c r="H11" s="200">
        <f>SUMIFS(Upload_Indiv[Bird4],Upload_Indiv[[Player]:[Player]],$A11,Upload_Indiv[[Side]:[Side]],"Raintree Front")</f>
        <v>0</v>
      </c>
      <c r="I11" s="200">
        <f>SUMIFS(Upload_Indiv[Bird5],Upload_Indiv[[Player]:[Player]],$A11,Upload_Indiv[[Side]:[Side]],"Raintree Front")</f>
        <v>1</v>
      </c>
      <c r="J11" s="200">
        <f>SUMIFS(Upload_Indiv[Bird6],Upload_Indiv[[Player]:[Player]],$A11,Upload_Indiv[[Side]:[Side]],"Raintree Front")</f>
        <v>0</v>
      </c>
      <c r="K11" s="200">
        <f>SUMIFS(Upload_Indiv[Bird7],Upload_Indiv[[Player]:[Player]],$A11,Upload_Indiv[[Side]:[Side]],"Raintree Front")</f>
        <v>0</v>
      </c>
      <c r="L11" s="200">
        <f>SUMIFS(Upload_Indiv[Bird8],Upload_Indiv[[Player]:[Player]],$A11,Upload_Indiv[[Side]:[Side]],"Raintree Front")</f>
        <v>0</v>
      </c>
      <c r="M11" s="200">
        <f>SUMIFS(Upload_Indiv[Bird9],Upload_Indiv[[Player]:[Player]],$A11,Upload_Indiv[[Side]:[Side]],"Raintree Front")</f>
        <v>0</v>
      </c>
      <c r="N11" s="200">
        <f>SUMIFS(Upload_Indiv[Bird1],Upload_Indiv[[Player]:[Player]],$A11,Upload_Indiv[[Side]:[Side]],"Raintree Back")</f>
        <v>0</v>
      </c>
      <c r="O11" s="200">
        <f>SUMIFS(Upload_Indiv[Bird2],Upload_Indiv[[Player]:[Player]],$A11,Upload_Indiv[[Side]:[Side]],"Raintree Back")</f>
        <v>0</v>
      </c>
      <c r="P11" s="200">
        <f>SUMIFS(Upload_Indiv[Bird3],Upload_Indiv[[Player]:[Player]],$A11,Upload_Indiv[[Side]:[Side]],"Raintree Back")</f>
        <v>0</v>
      </c>
      <c r="Q11" s="200">
        <f>SUMIFS(Upload_Indiv[Bird4],Upload_Indiv[[Player]:[Player]],$A11,Upload_Indiv[[Side]:[Side]],"Raintree Back")</f>
        <v>0</v>
      </c>
      <c r="R11" s="200">
        <f>SUMIFS(Upload_Indiv[Bird5],Upload_Indiv[[Player]:[Player]],$A11,Upload_Indiv[[Side]:[Side]],"Raintree Back")</f>
        <v>0</v>
      </c>
      <c r="S11" s="200">
        <f>SUMIFS(Upload_Indiv[Bird6],Upload_Indiv[[Player]:[Player]],$A11,Upload_Indiv[[Side]:[Side]],"Raintree Back")</f>
        <v>1</v>
      </c>
      <c r="T11" s="200">
        <f>SUMIFS(Upload_Indiv[Bird7],Upload_Indiv[[Player]:[Player]],$A11,Upload_Indiv[[Side]:[Side]],"Raintree Back")</f>
        <v>0</v>
      </c>
      <c r="U11" s="200">
        <f>SUMIFS(Upload_Indiv[Bird8],Upload_Indiv[[Player]:[Player]],$A11,Upload_Indiv[[Side]:[Side]],"Raintree Back")</f>
        <v>0</v>
      </c>
      <c r="V11" s="200">
        <f>SUMIFS(Upload_Indiv[Bird9],Upload_Indiv[[Player]:[Player]],$A11,Upload_Indiv[[Side]:[Side]],"Raintree Back")</f>
        <v>0</v>
      </c>
    </row>
    <row r="12" spans="1:22" ht="12" customHeight="1" x14ac:dyDescent="0.25">
      <c r="A12" s="361" t="s">
        <v>433</v>
      </c>
      <c r="B12" s="452">
        <v>3</v>
      </c>
      <c r="C12" s="221">
        <f>SUMIFS(Upload_Indiv[Tot_Birds],Upload_Indiv[[Player]:[Player]],$A12)</f>
        <v>3</v>
      </c>
      <c r="D12" s="200"/>
      <c r="E12" s="200">
        <f>SUMIFS(Upload_Indiv[Bird1],Upload_Indiv[[Player]:[Player]],$A12,Upload_Indiv[[Side]:[Side]],"Raintree Front")</f>
        <v>0</v>
      </c>
      <c r="F12" s="200">
        <f>SUMIFS(Upload_Indiv[Bird2],Upload_Indiv[[Player]:[Player]],$A12,Upload_Indiv[[Side]:[Side]],"Raintree Front")</f>
        <v>0</v>
      </c>
      <c r="G12" s="200">
        <f>SUMIFS(Upload_Indiv[Bird3],Upload_Indiv[[Player]:[Player]],$A12,Upload_Indiv[[Side]:[Side]],"Raintree Front")</f>
        <v>0</v>
      </c>
      <c r="H12" s="200">
        <f>SUMIFS(Upload_Indiv[Bird4],Upload_Indiv[[Player]:[Player]],$A12,Upload_Indiv[[Side]:[Side]],"Raintree Front")</f>
        <v>0</v>
      </c>
      <c r="I12" s="200">
        <f>SUMIFS(Upload_Indiv[Bird5],Upload_Indiv[[Player]:[Player]],$A12,Upload_Indiv[[Side]:[Side]],"Raintree Front")</f>
        <v>0</v>
      </c>
      <c r="J12" s="200">
        <f>SUMIFS(Upload_Indiv[Bird6],Upload_Indiv[[Player]:[Player]],$A12,Upload_Indiv[[Side]:[Side]],"Raintree Front")</f>
        <v>0</v>
      </c>
      <c r="K12" s="200">
        <f>SUMIFS(Upload_Indiv[Bird7],Upload_Indiv[[Player]:[Player]],$A12,Upload_Indiv[[Side]:[Side]],"Raintree Front")</f>
        <v>0</v>
      </c>
      <c r="L12" s="200">
        <f>SUMIFS(Upload_Indiv[Bird8],Upload_Indiv[[Player]:[Player]],$A12,Upload_Indiv[[Side]:[Side]],"Raintree Front")</f>
        <v>0</v>
      </c>
      <c r="M12" s="200">
        <f>SUMIFS(Upload_Indiv[Bird9],Upload_Indiv[[Player]:[Player]],$A12,Upload_Indiv[[Side]:[Side]],"Raintree Front")</f>
        <v>0</v>
      </c>
      <c r="N12" s="200">
        <f>SUMIFS(Upload_Indiv[Bird1],Upload_Indiv[[Player]:[Player]],$A12,Upload_Indiv[[Side]:[Side]],"Raintree Back")</f>
        <v>0</v>
      </c>
      <c r="O12" s="200">
        <f>SUMIFS(Upload_Indiv[Bird2],Upload_Indiv[[Player]:[Player]],$A12,Upload_Indiv[[Side]:[Side]],"Raintree Back")</f>
        <v>0</v>
      </c>
      <c r="P12" s="200">
        <f>SUMIFS(Upload_Indiv[Bird3],Upload_Indiv[[Player]:[Player]],$A12,Upload_Indiv[[Side]:[Side]],"Raintree Back")</f>
        <v>0</v>
      </c>
      <c r="Q12" s="200">
        <f>SUMIFS(Upload_Indiv[Bird4],Upload_Indiv[[Player]:[Player]],$A12,Upload_Indiv[[Side]:[Side]],"Raintree Back")</f>
        <v>1</v>
      </c>
      <c r="R12" s="200">
        <f>SUMIFS(Upload_Indiv[Bird5],Upload_Indiv[[Player]:[Player]],$A12,Upload_Indiv[[Side]:[Side]],"Raintree Back")</f>
        <v>0</v>
      </c>
      <c r="S12" s="200">
        <f>SUMIFS(Upload_Indiv[Bird6],Upload_Indiv[[Player]:[Player]],$A12,Upload_Indiv[[Side]:[Side]],"Raintree Back")</f>
        <v>2</v>
      </c>
      <c r="T12" s="200">
        <f>SUMIFS(Upload_Indiv[Bird7],Upload_Indiv[[Player]:[Player]],$A12,Upload_Indiv[[Side]:[Side]],"Raintree Back")</f>
        <v>0</v>
      </c>
      <c r="U12" s="200">
        <f>SUMIFS(Upload_Indiv[Bird8],Upload_Indiv[[Player]:[Player]],$A12,Upload_Indiv[[Side]:[Side]],"Raintree Back")</f>
        <v>0</v>
      </c>
      <c r="V12" s="200">
        <f>SUMIFS(Upload_Indiv[Bird9],Upload_Indiv[[Player]:[Player]],$A12,Upload_Indiv[[Side]:[Side]],"Raintree Back")</f>
        <v>0</v>
      </c>
    </row>
    <row r="13" spans="1:22" ht="12" customHeight="1" x14ac:dyDescent="0.25">
      <c r="A13" s="361" t="s">
        <v>300</v>
      </c>
      <c r="B13" s="452">
        <v>3</v>
      </c>
      <c r="C13" s="193">
        <f>SUMIFS(Upload_Indiv[Tot_Birds],Upload_Indiv[[Player]:[Player]],$A13)</f>
        <v>3</v>
      </c>
      <c r="D13" s="200"/>
      <c r="E13" s="200">
        <f>SUMIFS(Upload_Indiv[Bird1],Upload_Indiv[[Player]:[Player]],$A13,Upload_Indiv[[Side]:[Side]],"Raintree Front")</f>
        <v>0</v>
      </c>
      <c r="F13" s="200">
        <f>SUMIFS(Upload_Indiv[Bird2],Upload_Indiv[[Player]:[Player]],$A13,Upload_Indiv[[Side]:[Side]],"Raintree Front")</f>
        <v>0</v>
      </c>
      <c r="G13" s="200">
        <f>SUMIFS(Upload_Indiv[Bird3],Upload_Indiv[[Player]:[Player]],$A13,Upload_Indiv[[Side]:[Side]],"Raintree Front")</f>
        <v>0</v>
      </c>
      <c r="H13" s="200">
        <f>SUMIFS(Upload_Indiv[Bird4],Upload_Indiv[[Player]:[Player]],$A13,Upload_Indiv[[Side]:[Side]],"Raintree Front")</f>
        <v>0</v>
      </c>
      <c r="I13" s="200">
        <f>SUMIFS(Upload_Indiv[Bird5],Upload_Indiv[[Player]:[Player]],$A13,Upload_Indiv[[Side]:[Side]],"Raintree Front")</f>
        <v>0</v>
      </c>
      <c r="J13" s="200">
        <f>SUMIFS(Upload_Indiv[Bird6],Upload_Indiv[[Player]:[Player]],$A13,Upload_Indiv[[Side]:[Side]],"Raintree Front")</f>
        <v>0</v>
      </c>
      <c r="K13" s="200">
        <f>SUMIFS(Upload_Indiv[Bird7],Upload_Indiv[[Player]:[Player]],$A13,Upload_Indiv[[Side]:[Side]],"Raintree Front")</f>
        <v>0</v>
      </c>
      <c r="L13" s="200">
        <f>SUMIFS(Upload_Indiv[Bird8],Upload_Indiv[[Player]:[Player]],$A13,Upload_Indiv[[Side]:[Side]],"Raintree Front")</f>
        <v>0</v>
      </c>
      <c r="M13" s="200">
        <f>SUMIFS(Upload_Indiv[Bird9],Upload_Indiv[[Player]:[Player]],$A13,Upload_Indiv[[Side]:[Side]],"Raintree Front")</f>
        <v>0</v>
      </c>
      <c r="N13" s="200">
        <f>SUMIFS(Upload_Indiv[Bird1],Upload_Indiv[[Player]:[Player]],$A13,Upload_Indiv[[Side]:[Side]],"Raintree Back")</f>
        <v>1</v>
      </c>
      <c r="O13" s="200">
        <f>SUMIFS(Upload_Indiv[Bird2],Upload_Indiv[[Player]:[Player]],$A13,Upload_Indiv[[Side]:[Side]],"Raintree Back")</f>
        <v>1</v>
      </c>
      <c r="P13" s="200">
        <f>SUMIFS(Upload_Indiv[Bird3],Upload_Indiv[[Player]:[Player]],$A13,Upload_Indiv[[Side]:[Side]],"Raintree Back")</f>
        <v>0</v>
      </c>
      <c r="Q13" s="200">
        <f>SUMIFS(Upload_Indiv[Bird4],Upload_Indiv[[Player]:[Player]],$A13,Upload_Indiv[[Side]:[Side]],"Raintree Back")</f>
        <v>0</v>
      </c>
      <c r="R13" s="200">
        <f>SUMIFS(Upload_Indiv[Bird5],Upload_Indiv[[Player]:[Player]],$A13,Upload_Indiv[[Side]:[Side]],"Raintree Back")</f>
        <v>0</v>
      </c>
      <c r="S13" s="200">
        <f>SUMIFS(Upload_Indiv[Bird6],Upload_Indiv[[Player]:[Player]],$A13,Upload_Indiv[[Side]:[Side]],"Raintree Back")</f>
        <v>0</v>
      </c>
      <c r="T13" s="200">
        <f>SUMIFS(Upload_Indiv[Bird7],Upload_Indiv[[Player]:[Player]],$A13,Upload_Indiv[[Side]:[Side]],"Raintree Back")</f>
        <v>1</v>
      </c>
      <c r="U13" s="200">
        <f>SUMIFS(Upload_Indiv[Bird8],Upload_Indiv[[Player]:[Player]],$A13,Upload_Indiv[[Side]:[Side]],"Raintree Back")</f>
        <v>0</v>
      </c>
      <c r="V13" s="200">
        <f>SUMIFS(Upload_Indiv[Bird9],Upload_Indiv[[Player]:[Player]],$A13,Upload_Indiv[[Side]:[Side]],"Raintree Back")</f>
        <v>0</v>
      </c>
    </row>
    <row r="14" spans="1:22" ht="12" customHeight="1" x14ac:dyDescent="0.25">
      <c r="A14" s="458" t="s">
        <v>163</v>
      </c>
      <c r="B14" s="457">
        <v>3</v>
      </c>
      <c r="C14" s="221">
        <f>SUMIFS(Upload_Indiv[Tot_Birds],Upload_Indiv[[Player]:[Player]],$A14)</f>
        <v>3</v>
      </c>
      <c r="D14" s="200"/>
      <c r="E14" s="200">
        <f>SUMIFS(Upload_Indiv[Bird1],Upload_Indiv[[Player]:[Player]],$A14,Upload_Indiv[[Side]:[Side]],"Raintree Front")</f>
        <v>0</v>
      </c>
      <c r="F14" s="200">
        <f>SUMIFS(Upload_Indiv[Bird2],Upload_Indiv[[Player]:[Player]],$A14,Upload_Indiv[[Side]:[Side]],"Raintree Front")</f>
        <v>1</v>
      </c>
      <c r="G14" s="200">
        <f>SUMIFS(Upload_Indiv[Bird3],Upload_Indiv[[Player]:[Player]],$A14,Upload_Indiv[[Side]:[Side]],"Raintree Front")</f>
        <v>0</v>
      </c>
      <c r="H14" s="200">
        <f>SUMIFS(Upload_Indiv[Bird4],Upload_Indiv[[Player]:[Player]],$A14,Upload_Indiv[[Side]:[Side]],"Raintree Front")</f>
        <v>0</v>
      </c>
      <c r="I14" s="200">
        <f>SUMIFS(Upload_Indiv[Bird5],Upload_Indiv[[Player]:[Player]],$A14,Upload_Indiv[[Side]:[Side]],"Raintree Front")</f>
        <v>0</v>
      </c>
      <c r="J14" s="200">
        <f>SUMIFS(Upload_Indiv[Bird6],Upload_Indiv[[Player]:[Player]],$A14,Upload_Indiv[[Side]:[Side]],"Raintree Front")</f>
        <v>0</v>
      </c>
      <c r="K14" s="200">
        <f>SUMIFS(Upload_Indiv[Bird7],Upload_Indiv[[Player]:[Player]],$A14,Upload_Indiv[[Side]:[Side]],"Raintree Front")</f>
        <v>0</v>
      </c>
      <c r="L14" s="200">
        <f>SUMIFS(Upload_Indiv[Bird8],Upload_Indiv[[Player]:[Player]],$A14,Upload_Indiv[[Side]:[Side]],"Raintree Front")</f>
        <v>0</v>
      </c>
      <c r="M14" s="200">
        <f>SUMIFS(Upload_Indiv[Bird9],Upload_Indiv[[Player]:[Player]],$A14,Upload_Indiv[[Side]:[Side]],"Raintree Front")</f>
        <v>0</v>
      </c>
      <c r="N14" s="200">
        <f>SUMIFS(Upload_Indiv[Bird1],Upload_Indiv[[Player]:[Player]],$A14,Upload_Indiv[[Side]:[Side]],"Raintree Back")</f>
        <v>1</v>
      </c>
      <c r="O14" s="200">
        <f>SUMIFS(Upload_Indiv[Bird2],Upload_Indiv[[Player]:[Player]],$A14,Upload_Indiv[[Side]:[Side]],"Raintree Back")</f>
        <v>1</v>
      </c>
      <c r="P14" s="200">
        <f>SUMIFS(Upload_Indiv[Bird3],Upload_Indiv[[Player]:[Player]],$A14,Upload_Indiv[[Side]:[Side]],"Raintree Back")</f>
        <v>0</v>
      </c>
      <c r="Q14" s="200">
        <f>SUMIFS(Upload_Indiv[Bird4],Upload_Indiv[[Player]:[Player]],$A14,Upload_Indiv[[Side]:[Side]],"Raintree Back")</f>
        <v>0</v>
      </c>
      <c r="R14" s="200">
        <f>SUMIFS(Upload_Indiv[Bird5],Upload_Indiv[[Player]:[Player]],$A14,Upload_Indiv[[Side]:[Side]],"Raintree Back")</f>
        <v>0</v>
      </c>
      <c r="S14" s="200">
        <f>SUMIFS(Upload_Indiv[Bird6],Upload_Indiv[[Player]:[Player]],$A14,Upload_Indiv[[Side]:[Side]],"Raintree Back")</f>
        <v>0</v>
      </c>
      <c r="T14" s="200">
        <f>SUMIFS(Upload_Indiv[Bird7],Upload_Indiv[[Player]:[Player]],$A14,Upload_Indiv[[Side]:[Side]],"Raintree Back")</f>
        <v>0</v>
      </c>
      <c r="U14" s="200">
        <f>SUMIFS(Upload_Indiv[Bird8],Upload_Indiv[[Player]:[Player]],$A14,Upload_Indiv[[Side]:[Side]],"Raintree Back")</f>
        <v>0</v>
      </c>
      <c r="V14" s="200">
        <f>SUMIFS(Upload_Indiv[Bird9],Upload_Indiv[[Player]:[Player]],$A14,Upload_Indiv[[Side]:[Side]],"Raintree Back")</f>
        <v>0</v>
      </c>
    </row>
    <row r="15" spans="1:22" ht="12" customHeight="1" x14ac:dyDescent="0.25">
      <c r="A15" s="361" t="s">
        <v>274</v>
      </c>
      <c r="B15" s="452">
        <v>3</v>
      </c>
      <c r="C15" s="221">
        <f>SUMIFS(Upload_Indiv[Tot_Birds],Upload_Indiv[[Player]:[Player]],$A15)</f>
        <v>3</v>
      </c>
      <c r="D15" s="200"/>
      <c r="E15" s="200">
        <f>SUMIFS(Upload_Indiv[Bird1],Upload_Indiv[[Player]:[Player]],$A15,Upload_Indiv[[Side]:[Side]],"Raintree Front")</f>
        <v>0</v>
      </c>
      <c r="F15" s="200">
        <f>SUMIFS(Upload_Indiv[Bird2],Upload_Indiv[[Player]:[Player]],$A15,Upload_Indiv[[Side]:[Side]],"Raintree Front")</f>
        <v>1</v>
      </c>
      <c r="G15" s="200">
        <f>SUMIFS(Upload_Indiv[Bird3],Upload_Indiv[[Player]:[Player]],$A15,Upload_Indiv[[Side]:[Side]],"Raintree Front")</f>
        <v>0</v>
      </c>
      <c r="H15" s="200">
        <f>SUMIFS(Upload_Indiv[Bird4],Upload_Indiv[[Player]:[Player]],$A15,Upload_Indiv[[Side]:[Side]],"Raintree Front")</f>
        <v>1</v>
      </c>
      <c r="I15" s="200">
        <f>SUMIFS(Upload_Indiv[Bird5],Upload_Indiv[[Player]:[Player]],$A15,Upload_Indiv[[Side]:[Side]],"Raintree Front")</f>
        <v>0</v>
      </c>
      <c r="J15" s="200">
        <f>SUMIFS(Upload_Indiv[Bird6],Upload_Indiv[[Player]:[Player]],$A15,Upload_Indiv[[Side]:[Side]],"Raintree Front")</f>
        <v>0</v>
      </c>
      <c r="K15" s="200">
        <f>SUMIFS(Upload_Indiv[Bird7],Upload_Indiv[[Player]:[Player]],$A15,Upload_Indiv[[Side]:[Side]],"Raintree Front")</f>
        <v>0</v>
      </c>
      <c r="L15" s="200">
        <f>SUMIFS(Upload_Indiv[Bird8],Upload_Indiv[[Player]:[Player]],$A15,Upload_Indiv[[Side]:[Side]],"Raintree Front")</f>
        <v>0</v>
      </c>
      <c r="M15" s="200">
        <f>SUMIFS(Upload_Indiv[Bird9],Upload_Indiv[[Player]:[Player]],$A15,Upload_Indiv[[Side]:[Side]],"Raintree Front")</f>
        <v>0</v>
      </c>
      <c r="N15" s="200">
        <f>SUMIFS(Upload_Indiv[Bird1],Upload_Indiv[[Player]:[Player]],$A15,Upload_Indiv[[Side]:[Side]],"Raintree Back")</f>
        <v>0</v>
      </c>
      <c r="O15" s="200">
        <f>SUMIFS(Upload_Indiv[Bird2],Upload_Indiv[[Player]:[Player]],$A15,Upload_Indiv[[Side]:[Side]],"Raintree Back")</f>
        <v>0</v>
      </c>
      <c r="P15" s="200">
        <f>SUMIFS(Upload_Indiv[Bird3],Upload_Indiv[[Player]:[Player]],$A15,Upload_Indiv[[Side]:[Side]],"Raintree Back")</f>
        <v>0</v>
      </c>
      <c r="Q15" s="200">
        <f>SUMIFS(Upload_Indiv[Bird4],Upload_Indiv[[Player]:[Player]],$A15,Upload_Indiv[[Side]:[Side]],"Raintree Back")</f>
        <v>0</v>
      </c>
      <c r="R15" s="200">
        <f>SUMIFS(Upload_Indiv[Bird5],Upload_Indiv[[Player]:[Player]],$A15,Upload_Indiv[[Side]:[Side]],"Raintree Back")</f>
        <v>0</v>
      </c>
      <c r="S15" s="200">
        <f>SUMIFS(Upload_Indiv[Bird6],Upload_Indiv[[Player]:[Player]],$A15,Upload_Indiv[[Side]:[Side]],"Raintree Back")</f>
        <v>1</v>
      </c>
      <c r="T15" s="200">
        <f>SUMIFS(Upload_Indiv[Bird7],Upload_Indiv[[Player]:[Player]],$A15,Upload_Indiv[[Side]:[Side]],"Raintree Back")</f>
        <v>0</v>
      </c>
      <c r="U15" s="200">
        <f>SUMIFS(Upload_Indiv[Bird8],Upload_Indiv[[Player]:[Player]],$A15,Upload_Indiv[[Side]:[Side]],"Raintree Back")</f>
        <v>0</v>
      </c>
      <c r="V15" s="200">
        <f>SUMIFS(Upload_Indiv[Bird9],Upload_Indiv[[Player]:[Player]],$A15,Upload_Indiv[[Side]:[Side]],"Raintree Back")</f>
        <v>0</v>
      </c>
    </row>
    <row r="16" spans="1:22" ht="12" customHeight="1" x14ac:dyDescent="0.25">
      <c r="A16" s="361" t="s">
        <v>513</v>
      </c>
      <c r="B16" s="452">
        <v>2</v>
      </c>
      <c r="C16" s="221">
        <f>SUMIFS(Upload_Indiv[Tot_Birds],Upload_Indiv[[Player]:[Player]],$A16)</f>
        <v>2</v>
      </c>
      <c r="D16" s="200"/>
      <c r="E16" s="200">
        <f>SUMIFS(Upload_Indiv[Bird1],Upload_Indiv[[Player]:[Player]],$A16,Upload_Indiv[[Side]:[Side]],"Raintree Front")</f>
        <v>0</v>
      </c>
      <c r="F16" s="200">
        <f>SUMIFS(Upload_Indiv[Bird2],Upload_Indiv[[Player]:[Player]],$A16,Upload_Indiv[[Side]:[Side]],"Raintree Front")</f>
        <v>0</v>
      </c>
      <c r="G16" s="200">
        <f>SUMIFS(Upload_Indiv[Bird3],Upload_Indiv[[Player]:[Player]],$A16,Upload_Indiv[[Side]:[Side]],"Raintree Front")</f>
        <v>0</v>
      </c>
      <c r="H16" s="200">
        <f>SUMIFS(Upload_Indiv[Bird4],Upload_Indiv[[Player]:[Player]],$A16,Upload_Indiv[[Side]:[Side]],"Raintree Front")</f>
        <v>0</v>
      </c>
      <c r="I16" s="200">
        <f>SUMIFS(Upload_Indiv[Bird5],Upload_Indiv[[Player]:[Player]],$A16,Upload_Indiv[[Side]:[Side]],"Raintree Front")</f>
        <v>0</v>
      </c>
      <c r="J16" s="200">
        <f>SUMIFS(Upload_Indiv[Bird6],Upload_Indiv[[Player]:[Player]],$A16,Upload_Indiv[[Side]:[Side]],"Raintree Front")</f>
        <v>0</v>
      </c>
      <c r="K16" s="200">
        <f>SUMIFS(Upload_Indiv[Bird7],Upload_Indiv[[Player]:[Player]],$A16,Upload_Indiv[[Side]:[Side]],"Raintree Front")</f>
        <v>0</v>
      </c>
      <c r="L16" s="200">
        <f>SUMIFS(Upload_Indiv[Bird8],Upload_Indiv[[Player]:[Player]],$A16,Upload_Indiv[[Side]:[Side]],"Raintree Front")</f>
        <v>0</v>
      </c>
      <c r="M16" s="200">
        <f>SUMIFS(Upload_Indiv[Bird9],Upload_Indiv[[Player]:[Player]],$A16,Upload_Indiv[[Side]:[Side]],"Raintree Front")</f>
        <v>0</v>
      </c>
      <c r="N16" s="200">
        <f>SUMIFS(Upload_Indiv[Bird1],Upload_Indiv[[Player]:[Player]],$A16,Upload_Indiv[[Side]:[Side]],"Raintree Back")</f>
        <v>1</v>
      </c>
      <c r="O16" s="200">
        <f>SUMIFS(Upload_Indiv[Bird2],Upload_Indiv[[Player]:[Player]],$A16,Upload_Indiv[[Side]:[Side]],"Raintree Back")</f>
        <v>0</v>
      </c>
      <c r="P16" s="200">
        <f>SUMIFS(Upload_Indiv[Bird3],Upload_Indiv[[Player]:[Player]],$A16,Upload_Indiv[[Side]:[Side]],"Raintree Back")</f>
        <v>0</v>
      </c>
      <c r="Q16" s="200">
        <f>SUMIFS(Upload_Indiv[Bird4],Upload_Indiv[[Player]:[Player]],$A16,Upload_Indiv[[Side]:[Side]],"Raintree Back")</f>
        <v>1</v>
      </c>
      <c r="R16" s="200">
        <f>SUMIFS(Upload_Indiv[Bird5],Upload_Indiv[[Player]:[Player]],$A16,Upload_Indiv[[Side]:[Side]],"Raintree Back")</f>
        <v>0</v>
      </c>
      <c r="S16" s="200">
        <f>SUMIFS(Upload_Indiv[Bird6],Upload_Indiv[[Player]:[Player]],$A16,Upload_Indiv[[Side]:[Side]],"Raintree Back")</f>
        <v>0</v>
      </c>
      <c r="T16" s="200">
        <f>SUMIFS(Upload_Indiv[Bird7],Upload_Indiv[[Player]:[Player]],$A16,Upload_Indiv[[Side]:[Side]],"Raintree Back")</f>
        <v>0</v>
      </c>
      <c r="U16" s="200">
        <f>SUMIFS(Upload_Indiv[Bird8],Upload_Indiv[[Player]:[Player]],$A16,Upload_Indiv[[Side]:[Side]],"Raintree Back")</f>
        <v>0</v>
      </c>
      <c r="V16" s="200">
        <f>SUMIFS(Upload_Indiv[Bird9],Upload_Indiv[[Player]:[Player]],$A16,Upload_Indiv[[Side]:[Side]],"Raintree Back")</f>
        <v>0</v>
      </c>
    </row>
    <row r="17" spans="1:22" ht="12" customHeight="1" x14ac:dyDescent="0.25">
      <c r="A17" s="361" t="s">
        <v>258</v>
      </c>
      <c r="B17" s="452">
        <v>2</v>
      </c>
      <c r="C17" s="221">
        <f>SUMIFS(Upload_Indiv[Tot_Birds],Upload_Indiv[[Player]:[Player]],$A17)</f>
        <v>2</v>
      </c>
      <c r="D17" s="200"/>
      <c r="E17" s="200">
        <f>SUMIFS(Upload_Indiv[Bird1],Upload_Indiv[[Player]:[Player]],$A17,Upload_Indiv[[Side]:[Side]],"Raintree Front")</f>
        <v>0</v>
      </c>
      <c r="F17" s="200">
        <f>SUMIFS(Upload_Indiv[Bird2],Upload_Indiv[[Player]:[Player]],$A17,Upload_Indiv[[Side]:[Side]],"Raintree Front")</f>
        <v>0</v>
      </c>
      <c r="G17" s="200">
        <f>SUMIFS(Upload_Indiv[Bird3],Upload_Indiv[[Player]:[Player]],$A17,Upload_Indiv[[Side]:[Side]],"Raintree Front")</f>
        <v>0</v>
      </c>
      <c r="H17" s="200">
        <f>SUMIFS(Upload_Indiv[Bird4],Upload_Indiv[[Player]:[Player]],$A17,Upload_Indiv[[Side]:[Side]],"Raintree Front")</f>
        <v>1</v>
      </c>
      <c r="I17" s="200">
        <f>SUMIFS(Upload_Indiv[Bird5],Upload_Indiv[[Player]:[Player]],$A17,Upload_Indiv[[Side]:[Side]],"Raintree Front")</f>
        <v>0</v>
      </c>
      <c r="J17" s="200">
        <f>SUMIFS(Upload_Indiv[Bird6],Upload_Indiv[[Player]:[Player]],$A17,Upload_Indiv[[Side]:[Side]],"Raintree Front")</f>
        <v>0</v>
      </c>
      <c r="K17" s="200">
        <f>SUMIFS(Upload_Indiv[Bird7],Upload_Indiv[[Player]:[Player]],$A17,Upload_Indiv[[Side]:[Side]],"Raintree Front")</f>
        <v>0</v>
      </c>
      <c r="L17" s="200">
        <f>SUMIFS(Upload_Indiv[Bird8],Upload_Indiv[[Player]:[Player]],$A17,Upload_Indiv[[Side]:[Side]],"Raintree Front")</f>
        <v>0</v>
      </c>
      <c r="M17" s="200">
        <f>SUMIFS(Upload_Indiv[Bird9],Upload_Indiv[[Player]:[Player]],$A17,Upload_Indiv[[Side]:[Side]],"Raintree Front")</f>
        <v>0</v>
      </c>
      <c r="N17" s="200">
        <f>SUMIFS(Upload_Indiv[Bird1],Upload_Indiv[[Player]:[Player]],$A17,Upload_Indiv[[Side]:[Side]],"Raintree Back")</f>
        <v>0</v>
      </c>
      <c r="O17" s="200">
        <f>SUMIFS(Upload_Indiv[Bird2],Upload_Indiv[[Player]:[Player]],$A17,Upload_Indiv[[Side]:[Side]],"Raintree Back")</f>
        <v>0</v>
      </c>
      <c r="P17" s="200">
        <f>SUMIFS(Upload_Indiv[Bird3],Upload_Indiv[[Player]:[Player]],$A17,Upload_Indiv[[Side]:[Side]],"Raintree Back")</f>
        <v>0</v>
      </c>
      <c r="Q17" s="200">
        <f>SUMIFS(Upload_Indiv[Bird4],Upload_Indiv[[Player]:[Player]],$A17,Upload_Indiv[[Side]:[Side]],"Raintree Back")</f>
        <v>0</v>
      </c>
      <c r="R17" s="200">
        <f>SUMIFS(Upload_Indiv[Bird5],Upload_Indiv[[Player]:[Player]],$A17,Upload_Indiv[[Side]:[Side]],"Raintree Back")</f>
        <v>0</v>
      </c>
      <c r="S17" s="200">
        <f>SUMIFS(Upload_Indiv[Bird6],Upload_Indiv[[Player]:[Player]],$A17,Upload_Indiv[[Side]:[Side]],"Raintree Back")</f>
        <v>0</v>
      </c>
      <c r="T17" s="200">
        <f>SUMIFS(Upload_Indiv[Bird7],Upload_Indiv[[Player]:[Player]],$A17,Upload_Indiv[[Side]:[Side]],"Raintree Back")</f>
        <v>0</v>
      </c>
      <c r="U17" s="200">
        <f>SUMIFS(Upload_Indiv[Bird8],Upload_Indiv[[Player]:[Player]],$A17,Upload_Indiv[[Side]:[Side]],"Raintree Back")</f>
        <v>0</v>
      </c>
      <c r="V17" s="200">
        <f>SUMIFS(Upload_Indiv[Bird9],Upload_Indiv[[Player]:[Player]],$A17,Upload_Indiv[[Side]:[Side]],"Raintree Back")</f>
        <v>1</v>
      </c>
    </row>
    <row r="18" spans="1:22" ht="12" customHeight="1" x14ac:dyDescent="0.25">
      <c r="A18" s="361" t="s">
        <v>102</v>
      </c>
      <c r="B18" s="452">
        <v>2</v>
      </c>
      <c r="C18" s="193">
        <f>SUMIFS(Upload_Indiv[Tot_Birds],Upload_Indiv[[Player]:[Player]],$A18)</f>
        <v>2</v>
      </c>
      <c r="D18" s="200"/>
      <c r="E18" s="200">
        <f>SUMIFS(Upload_Indiv[Bird1],Upload_Indiv[[Player]:[Player]],$A18,Upload_Indiv[[Side]:[Side]],"Raintree Front")</f>
        <v>0</v>
      </c>
      <c r="F18" s="200">
        <f>SUMIFS(Upload_Indiv[Bird2],Upload_Indiv[[Player]:[Player]],$A18,Upload_Indiv[[Side]:[Side]],"Raintree Front")</f>
        <v>1</v>
      </c>
      <c r="G18" s="200">
        <f>SUMIFS(Upload_Indiv[Bird3],Upload_Indiv[[Player]:[Player]],$A18,Upload_Indiv[[Side]:[Side]],"Raintree Front")</f>
        <v>1</v>
      </c>
      <c r="H18" s="200">
        <f>SUMIFS(Upload_Indiv[Bird4],Upload_Indiv[[Player]:[Player]],$A18,Upload_Indiv[[Side]:[Side]],"Raintree Front")</f>
        <v>0</v>
      </c>
      <c r="I18" s="200">
        <f>SUMIFS(Upload_Indiv[Bird5],Upload_Indiv[[Player]:[Player]],$A18,Upload_Indiv[[Side]:[Side]],"Raintree Front")</f>
        <v>0</v>
      </c>
      <c r="J18" s="200">
        <f>SUMIFS(Upload_Indiv[Bird6],Upload_Indiv[[Player]:[Player]],$A18,Upload_Indiv[[Side]:[Side]],"Raintree Front")</f>
        <v>0</v>
      </c>
      <c r="K18" s="200">
        <f>SUMIFS(Upload_Indiv[Bird7],Upload_Indiv[[Player]:[Player]],$A18,Upload_Indiv[[Side]:[Side]],"Raintree Front")</f>
        <v>0</v>
      </c>
      <c r="L18" s="200">
        <f>SUMIFS(Upload_Indiv[Bird8],Upload_Indiv[[Player]:[Player]],$A18,Upload_Indiv[[Side]:[Side]],"Raintree Front")</f>
        <v>0</v>
      </c>
      <c r="M18" s="200">
        <f>SUMIFS(Upload_Indiv[Bird9],Upload_Indiv[[Player]:[Player]],$A18,Upload_Indiv[[Side]:[Side]],"Raintree Front")</f>
        <v>0</v>
      </c>
      <c r="N18" s="200">
        <f>SUMIFS(Upload_Indiv[Bird1],Upload_Indiv[[Player]:[Player]],$A18,Upload_Indiv[[Side]:[Side]],"Raintree Back")</f>
        <v>0</v>
      </c>
      <c r="O18" s="200">
        <f>SUMIFS(Upload_Indiv[Bird2],Upload_Indiv[[Player]:[Player]],$A18,Upload_Indiv[[Side]:[Side]],"Raintree Back")</f>
        <v>0</v>
      </c>
      <c r="P18" s="200">
        <f>SUMIFS(Upload_Indiv[Bird3],Upload_Indiv[[Player]:[Player]],$A18,Upload_Indiv[[Side]:[Side]],"Raintree Back")</f>
        <v>0</v>
      </c>
      <c r="Q18" s="200">
        <f>SUMIFS(Upload_Indiv[Bird4],Upload_Indiv[[Player]:[Player]],$A18,Upload_Indiv[[Side]:[Side]],"Raintree Back")</f>
        <v>0</v>
      </c>
      <c r="R18" s="200">
        <f>SUMIFS(Upload_Indiv[Bird5],Upload_Indiv[[Player]:[Player]],$A18,Upload_Indiv[[Side]:[Side]],"Raintree Back")</f>
        <v>0</v>
      </c>
      <c r="S18" s="200">
        <f>SUMIFS(Upload_Indiv[Bird6],Upload_Indiv[[Player]:[Player]],$A18,Upload_Indiv[[Side]:[Side]],"Raintree Back")</f>
        <v>0</v>
      </c>
      <c r="T18" s="200">
        <f>SUMIFS(Upload_Indiv[Bird7],Upload_Indiv[[Player]:[Player]],$A18,Upload_Indiv[[Side]:[Side]],"Raintree Back")</f>
        <v>0</v>
      </c>
      <c r="U18" s="200">
        <f>SUMIFS(Upload_Indiv[Bird8],Upload_Indiv[[Player]:[Player]],$A18,Upload_Indiv[[Side]:[Side]],"Raintree Back")</f>
        <v>0</v>
      </c>
      <c r="V18" s="200">
        <f>SUMIFS(Upload_Indiv[Bird9],Upload_Indiv[[Player]:[Player]],$A18,Upload_Indiv[[Side]:[Side]],"Raintree Back")</f>
        <v>0</v>
      </c>
    </row>
    <row r="19" spans="1:22" ht="12" customHeight="1" x14ac:dyDescent="0.25">
      <c r="A19" s="361" t="s">
        <v>317</v>
      </c>
      <c r="B19" s="452">
        <v>2</v>
      </c>
      <c r="C19" s="193">
        <f>SUMIFS(Upload_Indiv[Tot_Birds],Upload_Indiv[[Player]:[Player]],$A19)</f>
        <v>2</v>
      </c>
      <c r="D19" s="200"/>
      <c r="E19" s="200">
        <f>SUMIFS(Upload_Indiv[Bird1],Upload_Indiv[[Player]:[Player]],$A19,Upload_Indiv[[Side]:[Side]],"Raintree Front")</f>
        <v>0</v>
      </c>
      <c r="F19" s="200">
        <f>SUMIFS(Upload_Indiv[Bird2],Upload_Indiv[[Player]:[Player]],$A19,Upload_Indiv[[Side]:[Side]],"Raintree Front")</f>
        <v>0</v>
      </c>
      <c r="G19" s="200">
        <f>SUMIFS(Upload_Indiv[Bird3],Upload_Indiv[[Player]:[Player]],$A19,Upload_Indiv[[Side]:[Side]],"Raintree Front")</f>
        <v>0</v>
      </c>
      <c r="H19" s="200">
        <f>SUMIFS(Upload_Indiv[Bird4],Upload_Indiv[[Player]:[Player]],$A19,Upload_Indiv[[Side]:[Side]],"Raintree Front")</f>
        <v>0</v>
      </c>
      <c r="I19" s="200">
        <f>SUMIFS(Upload_Indiv[Bird5],Upload_Indiv[[Player]:[Player]],$A19,Upload_Indiv[[Side]:[Side]],"Raintree Front")</f>
        <v>0</v>
      </c>
      <c r="J19" s="200">
        <f>SUMIFS(Upload_Indiv[Bird6],Upload_Indiv[[Player]:[Player]],$A19,Upload_Indiv[[Side]:[Side]],"Raintree Front")</f>
        <v>0</v>
      </c>
      <c r="K19" s="200">
        <f>SUMIFS(Upload_Indiv[Bird7],Upload_Indiv[[Player]:[Player]],$A19,Upload_Indiv[[Side]:[Side]],"Raintree Front")</f>
        <v>0</v>
      </c>
      <c r="L19" s="200">
        <f>SUMIFS(Upload_Indiv[Bird8],Upload_Indiv[[Player]:[Player]],$A19,Upload_Indiv[[Side]:[Side]],"Raintree Front")</f>
        <v>0</v>
      </c>
      <c r="M19" s="200">
        <f>SUMIFS(Upload_Indiv[Bird9],Upload_Indiv[[Player]:[Player]],$A19,Upload_Indiv[[Side]:[Side]],"Raintree Front")</f>
        <v>0</v>
      </c>
      <c r="N19" s="200">
        <f>SUMIFS(Upload_Indiv[Bird1],Upload_Indiv[[Player]:[Player]],$A19,Upload_Indiv[[Side]:[Side]],"Raintree Back")</f>
        <v>0</v>
      </c>
      <c r="O19" s="200">
        <f>SUMIFS(Upload_Indiv[Bird2],Upload_Indiv[[Player]:[Player]],$A19,Upload_Indiv[[Side]:[Side]],"Raintree Back")</f>
        <v>0</v>
      </c>
      <c r="P19" s="200">
        <f>SUMIFS(Upload_Indiv[Bird3],Upload_Indiv[[Player]:[Player]],$A19,Upload_Indiv[[Side]:[Side]],"Raintree Back")</f>
        <v>0</v>
      </c>
      <c r="Q19" s="200">
        <f>SUMIFS(Upload_Indiv[Bird4],Upload_Indiv[[Player]:[Player]],$A19,Upload_Indiv[[Side]:[Side]],"Raintree Back")</f>
        <v>0</v>
      </c>
      <c r="R19" s="200">
        <f>SUMIFS(Upload_Indiv[Bird5],Upload_Indiv[[Player]:[Player]],$A19,Upload_Indiv[[Side]:[Side]],"Raintree Back")</f>
        <v>1</v>
      </c>
      <c r="S19" s="200">
        <f>SUMIFS(Upload_Indiv[Bird6],Upload_Indiv[[Player]:[Player]],$A19,Upload_Indiv[[Side]:[Side]],"Raintree Back")</f>
        <v>1</v>
      </c>
      <c r="T19" s="200">
        <f>SUMIFS(Upload_Indiv[Bird7],Upload_Indiv[[Player]:[Player]],$A19,Upload_Indiv[[Side]:[Side]],"Raintree Back")</f>
        <v>0</v>
      </c>
      <c r="U19" s="200">
        <f>SUMIFS(Upload_Indiv[Bird8],Upload_Indiv[[Player]:[Player]],$A19,Upload_Indiv[[Side]:[Side]],"Raintree Back")</f>
        <v>0</v>
      </c>
      <c r="V19" s="200">
        <f>SUMIFS(Upload_Indiv[Bird9],Upload_Indiv[[Player]:[Player]],$A19,Upload_Indiv[[Side]:[Side]],"Raintree Back")</f>
        <v>0</v>
      </c>
    </row>
    <row r="20" spans="1:22" ht="12" customHeight="1" x14ac:dyDescent="0.25">
      <c r="A20" s="361" t="s">
        <v>485</v>
      </c>
      <c r="B20" s="452">
        <v>1</v>
      </c>
      <c r="C20" s="221">
        <f>SUMIFS(Upload_Indiv[Tot_Birds],Upload_Indiv[[Player]:[Player]],$A20)</f>
        <v>1</v>
      </c>
      <c r="D20" s="200"/>
      <c r="E20" s="200">
        <f>SUMIFS(Upload_Indiv[Bird1],Upload_Indiv[[Player]:[Player]],$A20,Upload_Indiv[[Side]:[Side]],"Raintree Front")</f>
        <v>0</v>
      </c>
      <c r="F20" s="200">
        <f>SUMIFS(Upload_Indiv[Bird2],Upload_Indiv[[Player]:[Player]],$A20,Upload_Indiv[[Side]:[Side]],"Raintree Front")</f>
        <v>0</v>
      </c>
      <c r="G20" s="200">
        <f>SUMIFS(Upload_Indiv[Bird3],Upload_Indiv[[Player]:[Player]],$A20,Upload_Indiv[[Side]:[Side]],"Raintree Front")</f>
        <v>0</v>
      </c>
      <c r="H20" s="200">
        <f>SUMIFS(Upload_Indiv[Bird4],Upload_Indiv[[Player]:[Player]],$A20,Upload_Indiv[[Side]:[Side]],"Raintree Front")</f>
        <v>0</v>
      </c>
      <c r="I20" s="200">
        <f>SUMIFS(Upload_Indiv[Bird5],Upload_Indiv[[Player]:[Player]],$A20,Upload_Indiv[[Side]:[Side]],"Raintree Front")</f>
        <v>0</v>
      </c>
      <c r="J20" s="200">
        <f>SUMIFS(Upload_Indiv[Bird6],Upload_Indiv[[Player]:[Player]],$A20,Upload_Indiv[[Side]:[Side]],"Raintree Front")</f>
        <v>0</v>
      </c>
      <c r="K20" s="200">
        <f>SUMIFS(Upload_Indiv[Bird7],Upload_Indiv[[Player]:[Player]],$A20,Upload_Indiv[[Side]:[Side]],"Raintree Front")</f>
        <v>0</v>
      </c>
      <c r="L20" s="200">
        <f>SUMIFS(Upload_Indiv[Bird8],Upload_Indiv[[Player]:[Player]],$A20,Upload_Indiv[[Side]:[Side]],"Raintree Front")</f>
        <v>0</v>
      </c>
      <c r="M20" s="200">
        <f>SUMIFS(Upload_Indiv[Bird9],Upload_Indiv[[Player]:[Player]],$A20,Upload_Indiv[[Side]:[Side]],"Raintree Front")</f>
        <v>0</v>
      </c>
      <c r="N20" s="200">
        <f>SUMIFS(Upload_Indiv[Bird1],Upload_Indiv[[Player]:[Player]],$A20,Upload_Indiv[[Side]:[Side]],"Raintree Back")</f>
        <v>1</v>
      </c>
      <c r="O20" s="200">
        <f>SUMIFS(Upload_Indiv[Bird2],Upload_Indiv[[Player]:[Player]],$A20,Upload_Indiv[[Side]:[Side]],"Raintree Back")</f>
        <v>0</v>
      </c>
      <c r="P20" s="200">
        <f>SUMIFS(Upload_Indiv[Bird3],Upload_Indiv[[Player]:[Player]],$A20,Upload_Indiv[[Side]:[Side]],"Raintree Back")</f>
        <v>0</v>
      </c>
      <c r="Q20" s="200">
        <f>SUMIFS(Upload_Indiv[Bird4],Upload_Indiv[[Player]:[Player]],$A20,Upload_Indiv[[Side]:[Side]],"Raintree Back")</f>
        <v>0</v>
      </c>
      <c r="R20" s="200">
        <f>SUMIFS(Upload_Indiv[Bird5],Upload_Indiv[[Player]:[Player]],$A20,Upload_Indiv[[Side]:[Side]],"Raintree Back")</f>
        <v>0</v>
      </c>
      <c r="S20" s="200">
        <f>SUMIFS(Upload_Indiv[Bird6],Upload_Indiv[[Player]:[Player]],$A20,Upload_Indiv[[Side]:[Side]],"Raintree Back")</f>
        <v>0</v>
      </c>
      <c r="T20" s="200">
        <f>SUMIFS(Upload_Indiv[Bird7],Upload_Indiv[[Player]:[Player]],$A20,Upload_Indiv[[Side]:[Side]],"Raintree Back")</f>
        <v>0</v>
      </c>
      <c r="U20" s="200">
        <f>SUMIFS(Upload_Indiv[Bird8],Upload_Indiv[[Player]:[Player]],$A20,Upload_Indiv[[Side]:[Side]],"Raintree Back")</f>
        <v>0</v>
      </c>
      <c r="V20" s="200">
        <f>SUMIFS(Upload_Indiv[Bird9],Upload_Indiv[[Player]:[Player]],$A20,Upload_Indiv[[Side]:[Side]],"Raintree Back")</f>
        <v>0</v>
      </c>
    </row>
    <row r="21" spans="1:22" ht="12" x14ac:dyDescent="0.25">
      <c r="A21" s="361" t="s">
        <v>101</v>
      </c>
      <c r="B21" s="452">
        <v>1</v>
      </c>
      <c r="C21" s="221">
        <f>SUMIFS(Upload_Indiv[Tot_Birds],Upload_Indiv[[Player]:[Player]],$A21)</f>
        <v>1</v>
      </c>
      <c r="D21" s="200"/>
      <c r="E21" s="200">
        <f>SUMIFS(Upload_Indiv[Bird1],Upload_Indiv[[Player]:[Player]],$A21,Upload_Indiv[[Side]:[Side]],"Raintree Front")</f>
        <v>0</v>
      </c>
      <c r="F21" s="200">
        <f>SUMIFS(Upload_Indiv[Bird2],Upload_Indiv[[Player]:[Player]],$A21,Upload_Indiv[[Side]:[Side]],"Raintree Front")</f>
        <v>0</v>
      </c>
      <c r="G21" s="200">
        <f>SUMIFS(Upload_Indiv[Bird3],Upload_Indiv[[Player]:[Player]],$A21,Upload_Indiv[[Side]:[Side]],"Raintree Front")</f>
        <v>0</v>
      </c>
      <c r="H21" s="200">
        <f>SUMIFS(Upload_Indiv[Bird4],Upload_Indiv[[Player]:[Player]],$A21,Upload_Indiv[[Side]:[Side]],"Raintree Front")</f>
        <v>0</v>
      </c>
      <c r="I21" s="200">
        <f>SUMIFS(Upload_Indiv[Bird5],Upload_Indiv[[Player]:[Player]],$A21,Upload_Indiv[[Side]:[Side]],"Raintree Front")</f>
        <v>0</v>
      </c>
      <c r="J21" s="200">
        <f>SUMIFS(Upload_Indiv[Bird6],Upload_Indiv[[Player]:[Player]],$A21,Upload_Indiv[[Side]:[Side]],"Raintree Front")</f>
        <v>0</v>
      </c>
      <c r="K21" s="200">
        <f>SUMIFS(Upload_Indiv[Bird7],Upload_Indiv[[Player]:[Player]],$A21,Upload_Indiv[[Side]:[Side]],"Raintree Front")</f>
        <v>1</v>
      </c>
      <c r="L21" s="200">
        <f>SUMIFS(Upload_Indiv[Bird8],Upload_Indiv[[Player]:[Player]],$A21,Upload_Indiv[[Side]:[Side]],"Raintree Front")</f>
        <v>0</v>
      </c>
      <c r="M21" s="200">
        <f>SUMIFS(Upload_Indiv[Bird9],Upload_Indiv[[Player]:[Player]],$A21,Upload_Indiv[[Side]:[Side]],"Raintree Front")</f>
        <v>0</v>
      </c>
      <c r="N21" s="200">
        <f>SUMIFS(Upload_Indiv[Bird1],Upload_Indiv[[Player]:[Player]],$A21,Upload_Indiv[[Side]:[Side]],"Raintree Back")</f>
        <v>0</v>
      </c>
      <c r="O21" s="200">
        <f>SUMIFS(Upload_Indiv[Bird2],Upload_Indiv[[Player]:[Player]],$A21,Upload_Indiv[[Side]:[Side]],"Raintree Back")</f>
        <v>0</v>
      </c>
      <c r="P21" s="200">
        <f>SUMIFS(Upload_Indiv[Bird3],Upload_Indiv[[Player]:[Player]],$A21,Upload_Indiv[[Side]:[Side]],"Raintree Back")</f>
        <v>0</v>
      </c>
      <c r="Q21" s="200">
        <f>SUMIFS(Upload_Indiv[Bird4],Upload_Indiv[[Player]:[Player]],$A21,Upload_Indiv[[Side]:[Side]],"Raintree Back")</f>
        <v>0</v>
      </c>
      <c r="R21" s="200">
        <f>SUMIFS(Upload_Indiv[Bird5],Upload_Indiv[[Player]:[Player]],$A21,Upload_Indiv[[Side]:[Side]],"Raintree Back")</f>
        <v>0</v>
      </c>
      <c r="S21" s="200">
        <f>SUMIFS(Upload_Indiv[Bird6],Upload_Indiv[[Player]:[Player]],$A21,Upload_Indiv[[Side]:[Side]],"Raintree Back")</f>
        <v>0</v>
      </c>
      <c r="T21" s="200">
        <f>SUMIFS(Upload_Indiv[Bird7],Upload_Indiv[[Player]:[Player]],$A21,Upload_Indiv[[Side]:[Side]],"Raintree Back")</f>
        <v>0</v>
      </c>
      <c r="U21" s="200">
        <f>SUMIFS(Upload_Indiv[Bird8],Upload_Indiv[[Player]:[Player]],$A21,Upload_Indiv[[Side]:[Side]],"Raintree Back")</f>
        <v>0</v>
      </c>
      <c r="V21" s="200">
        <f>SUMIFS(Upload_Indiv[Bird9],Upload_Indiv[[Player]:[Player]],$A21,Upload_Indiv[[Side]:[Side]],"Raintree Back")</f>
        <v>0</v>
      </c>
    </row>
    <row r="22" spans="1:22" ht="12" x14ac:dyDescent="0.25">
      <c r="A22" s="361" t="s">
        <v>309</v>
      </c>
      <c r="B22" s="452">
        <v>1</v>
      </c>
      <c r="C22" s="221">
        <f>SUMIFS(Upload_Indiv[Tot_Birds],Upload_Indiv[[Player]:[Player]],$A22)</f>
        <v>1</v>
      </c>
      <c r="D22" s="200"/>
      <c r="E22" s="200">
        <f>SUMIFS(Upload_Indiv[Bird1],Upload_Indiv[[Player]:[Player]],$A22,Upload_Indiv[[Side]:[Side]],"Raintree Front")</f>
        <v>0</v>
      </c>
      <c r="F22" s="200">
        <f>SUMIFS(Upload_Indiv[Bird2],Upload_Indiv[[Player]:[Player]],$A22,Upload_Indiv[[Side]:[Side]],"Raintree Front")</f>
        <v>0</v>
      </c>
      <c r="G22" s="200">
        <f>SUMIFS(Upload_Indiv[Bird3],Upload_Indiv[[Player]:[Player]],$A22,Upload_Indiv[[Side]:[Side]],"Raintree Front")</f>
        <v>1</v>
      </c>
      <c r="H22" s="200">
        <f>SUMIFS(Upload_Indiv[Bird4],Upload_Indiv[[Player]:[Player]],$A22,Upload_Indiv[[Side]:[Side]],"Raintree Front")</f>
        <v>0</v>
      </c>
      <c r="I22" s="200">
        <f>SUMIFS(Upload_Indiv[Bird5],Upload_Indiv[[Player]:[Player]],$A22,Upload_Indiv[[Side]:[Side]],"Raintree Front")</f>
        <v>0</v>
      </c>
      <c r="J22" s="200">
        <f>SUMIFS(Upload_Indiv[Bird6],Upload_Indiv[[Player]:[Player]],$A22,Upload_Indiv[[Side]:[Side]],"Raintree Front")</f>
        <v>0</v>
      </c>
      <c r="K22" s="200">
        <f>SUMIFS(Upload_Indiv[Bird7],Upload_Indiv[[Player]:[Player]],$A22,Upload_Indiv[[Side]:[Side]],"Raintree Front")</f>
        <v>0</v>
      </c>
      <c r="L22" s="200">
        <f>SUMIFS(Upload_Indiv[Bird8],Upload_Indiv[[Player]:[Player]],$A22,Upload_Indiv[[Side]:[Side]],"Raintree Front")</f>
        <v>0</v>
      </c>
      <c r="M22" s="200">
        <f>SUMIFS(Upload_Indiv[Bird9],Upload_Indiv[[Player]:[Player]],$A22,Upload_Indiv[[Side]:[Side]],"Raintree Front")</f>
        <v>0</v>
      </c>
      <c r="N22" s="200">
        <f>SUMIFS(Upload_Indiv[Bird1],Upload_Indiv[[Player]:[Player]],$A22,Upload_Indiv[[Side]:[Side]],"Raintree Back")</f>
        <v>0</v>
      </c>
      <c r="O22" s="200">
        <f>SUMIFS(Upload_Indiv[Bird2],Upload_Indiv[[Player]:[Player]],$A22,Upload_Indiv[[Side]:[Side]],"Raintree Back")</f>
        <v>0</v>
      </c>
      <c r="P22" s="200">
        <f>SUMIFS(Upload_Indiv[Bird3],Upload_Indiv[[Player]:[Player]],$A22,Upload_Indiv[[Side]:[Side]],"Raintree Back")</f>
        <v>0</v>
      </c>
      <c r="Q22" s="200">
        <f>SUMIFS(Upload_Indiv[Bird4],Upload_Indiv[[Player]:[Player]],$A22,Upload_Indiv[[Side]:[Side]],"Raintree Back")</f>
        <v>0</v>
      </c>
      <c r="R22" s="200">
        <f>SUMIFS(Upload_Indiv[Bird5],Upload_Indiv[[Player]:[Player]],$A22,Upload_Indiv[[Side]:[Side]],"Raintree Back")</f>
        <v>0</v>
      </c>
      <c r="S22" s="200">
        <f>SUMIFS(Upload_Indiv[Bird6],Upload_Indiv[[Player]:[Player]],$A22,Upload_Indiv[[Side]:[Side]],"Raintree Back")</f>
        <v>0</v>
      </c>
      <c r="T22" s="200">
        <f>SUMIFS(Upload_Indiv[Bird7],Upload_Indiv[[Player]:[Player]],$A22,Upload_Indiv[[Side]:[Side]],"Raintree Back")</f>
        <v>0</v>
      </c>
      <c r="U22" s="200">
        <f>SUMIFS(Upload_Indiv[Bird8],Upload_Indiv[[Player]:[Player]],$A22,Upload_Indiv[[Side]:[Side]],"Raintree Back")</f>
        <v>0</v>
      </c>
      <c r="V22" s="200">
        <f>SUMIFS(Upload_Indiv[Bird9],Upload_Indiv[[Player]:[Player]],$A22,Upload_Indiv[[Side]:[Side]],"Raintree Back")</f>
        <v>0</v>
      </c>
    </row>
    <row r="23" spans="1:22" ht="12" x14ac:dyDescent="0.25">
      <c r="A23" s="373" t="s">
        <v>158</v>
      </c>
      <c r="B23" s="457">
        <v>1</v>
      </c>
      <c r="C23" s="221">
        <f>SUMIFS(Upload_Indiv[Tot_Birds],Upload_Indiv[[Player]:[Player]],$A23)</f>
        <v>1</v>
      </c>
      <c r="D23" s="200"/>
      <c r="E23" s="200">
        <f>SUMIFS(Upload_Indiv[Bird1],Upload_Indiv[[Player]:[Player]],$A23,Upload_Indiv[[Side]:[Side]],"Raintree Front")</f>
        <v>0</v>
      </c>
      <c r="F23" s="200">
        <f>SUMIFS(Upload_Indiv[Bird2],Upload_Indiv[[Player]:[Player]],$A23,Upload_Indiv[[Side]:[Side]],"Raintree Front")</f>
        <v>0</v>
      </c>
      <c r="G23" s="200">
        <f>SUMIFS(Upload_Indiv[Bird3],Upload_Indiv[[Player]:[Player]],$A23,Upload_Indiv[[Side]:[Side]],"Raintree Front")</f>
        <v>0</v>
      </c>
      <c r="H23" s="200">
        <f>SUMIFS(Upload_Indiv[Bird4],Upload_Indiv[[Player]:[Player]],$A23,Upload_Indiv[[Side]:[Side]],"Raintree Front")</f>
        <v>0</v>
      </c>
      <c r="I23" s="200">
        <f>SUMIFS(Upload_Indiv[Bird5],Upload_Indiv[[Player]:[Player]],$A23,Upload_Indiv[[Side]:[Side]],"Raintree Front")</f>
        <v>0</v>
      </c>
      <c r="J23" s="200">
        <f>SUMIFS(Upload_Indiv[Bird6],Upload_Indiv[[Player]:[Player]],$A23,Upload_Indiv[[Side]:[Side]],"Raintree Front")</f>
        <v>0</v>
      </c>
      <c r="K23" s="200">
        <f>SUMIFS(Upload_Indiv[Bird7],Upload_Indiv[[Player]:[Player]],$A23,Upload_Indiv[[Side]:[Side]],"Raintree Front")</f>
        <v>0</v>
      </c>
      <c r="L23" s="200">
        <f>SUMIFS(Upload_Indiv[Bird8],Upload_Indiv[[Player]:[Player]],$A23,Upload_Indiv[[Side]:[Side]],"Raintree Front")</f>
        <v>0</v>
      </c>
      <c r="M23" s="200">
        <f>SUMIFS(Upload_Indiv[Bird9],Upload_Indiv[[Player]:[Player]],$A23,Upload_Indiv[[Side]:[Side]],"Raintree Front")</f>
        <v>0</v>
      </c>
      <c r="N23" s="200">
        <f>SUMIFS(Upload_Indiv[Bird1],Upload_Indiv[[Player]:[Player]],$A23,Upload_Indiv[[Side]:[Side]],"Raintree Back")</f>
        <v>0</v>
      </c>
      <c r="O23" s="200">
        <f>SUMIFS(Upload_Indiv[Bird2],Upload_Indiv[[Player]:[Player]],$A23,Upload_Indiv[[Side]:[Side]],"Raintree Back")</f>
        <v>0</v>
      </c>
      <c r="P23" s="200">
        <f>SUMIFS(Upload_Indiv[Bird3],Upload_Indiv[[Player]:[Player]],$A23,Upload_Indiv[[Side]:[Side]],"Raintree Back")</f>
        <v>0</v>
      </c>
      <c r="Q23" s="200">
        <f>SUMIFS(Upload_Indiv[Bird4],Upload_Indiv[[Player]:[Player]],$A23,Upload_Indiv[[Side]:[Side]],"Raintree Back")</f>
        <v>0</v>
      </c>
      <c r="R23" s="200">
        <f>SUMIFS(Upload_Indiv[Bird5],Upload_Indiv[[Player]:[Player]],$A23,Upload_Indiv[[Side]:[Side]],"Raintree Back")</f>
        <v>0</v>
      </c>
      <c r="S23" s="200">
        <f>SUMIFS(Upload_Indiv[Bird6],Upload_Indiv[[Player]:[Player]],$A23,Upload_Indiv[[Side]:[Side]],"Raintree Back")</f>
        <v>1</v>
      </c>
      <c r="T23" s="200">
        <f>SUMIFS(Upload_Indiv[Bird7],Upload_Indiv[[Player]:[Player]],$A23,Upload_Indiv[[Side]:[Side]],"Raintree Back")</f>
        <v>0</v>
      </c>
      <c r="U23" s="200">
        <f>SUMIFS(Upload_Indiv[Bird8],Upload_Indiv[[Player]:[Player]],$A23,Upload_Indiv[[Side]:[Side]],"Raintree Back")</f>
        <v>0</v>
      </c>
      <c r="V23" s="200">
        <f>SUMIFS(Upload_Indiv[Bird9],Upload_Indiv[[Player]:[Player]],$A23,Upload_Indiv[[Side]:[Side]],"Raintree Back")</f>
        <v>0</v>
      </c>
    </row>
    <row r="24" spans="1:22" ht="12" x14ac:dyDescent="0.25">
      <c r="A24" s="373" t="s">
        <v>153</v>
      </c>
      <c r="B24" s="457">
        <v>1</v>
      </c>
      <c r="C24" s="221">
        <f>SUMIFS(Upload_Indiv[Tot_Birds],Upload_Indiv[[Player]:[Player]],$A24)</f>
        <v>1</v>
      </c>
      <c r="D24" s="200"/>
      <c r="E24" s="200">
        <f>SUMIFS(Upload_Indiv[Bird1],Upload_Indiv[[Player]:[Player]],$A24,Upload_Indiv[[Side]:[Side]],"Raintree Front")</f>
        <v>0</v>
      </c>
      <c r="F24" s="200">
        <f>SUMIFS(Upload_Indiv[Bird2],Upload_Indiv[[Player]:[Player]],$A24,Upload_Indiv[[Side]:[Side]],"Raintree Front")</f>
        <v>0</v>
      </c>
      <c r="G24" s="200">
        <f>SUMIFS(Upload_Indiv[Bird3],Upload_Indiv[[Player]:[Player]],$A24,Upload_Indiv[[Side]:[Side]],"Raintree Front")</f>
        <v>0</v>
      </c>
      <c r="H24" s="200">
        <f>SUMIFS(Upload_Indiv[Bird4],Upload_Indiv[[Player]:[Player]],$A24,Upload_Indiv[[Side]:[Side]],"Raintree Front")</f>
        <v>0</v>
      </c>
      <c r="I24" s="200">
        <f>SUMIFS(Upload_Indiv[Bird5],Upload_Indiv[[Player]:[Player]],$A24,Upload_Indiv[[Side]:[Side]],"Raintree Front")</f>
        <v>0</v>
      </c>
      <c r="J24" s="200">
        <f>SUMIFS(Upload_Indiv[Bird6],Upload_Indiv[[Player]:[Player]],$A24,Upload_Indiv[[Side]:[Side]],"Raintree Front")</f>
        <v>0</v>
      </c>
      <c r="K24" s="200">
        <f>SUMIFS(Upload_Indiv[Bird7],Upload_Indiv[[Player]:[Player]],$A24,Upload_Indiv[[Side]:[Side]],"Raintree Front")</f>
        <v>0</v>
      </c>
      <c r="L24" s="200">
        <f>SUMIFS(Upload_Indiv[Bird8],Upload_Indiv[[Player]:[Player]],$A24,Upload_Indiv[[Side]:[Side]],"Raintree Front")</f>
        <v>0</v>
      </c>
      <c r="M24" s="200">
        <f>SUMIFS(Upload_Indiv[Bird9],Upload_Indiv[[Player]:[Player]],$A24,Upload_Indiv[[Side]:[Side]],"Raintree Front")</f>
        <v>1</v>
      </c>
      <c r="N24" s="200">
        <f>SUMIFS(Upload_Indiv[Bird1],Upload_Indiv[[Player]:[Player]],$A24,Upload_Indiv[[Side]:[Side]],"Raintree Back")</f>
        <v>0</v>
      </c>
      <c r="O24" s="200">
        <f>SUMIFS(Upload_Indiv[Bird2],Upload_Indiv[[Player]:[Player]],$A24,Upload_Indiv[[Side]:[Side]],"Raintree Back")</f>
        <v>0</v>
      </c>
      <c r="P24" s="200">
        <f>SUMIFS(Upload_Indiv[Bird3],Upload_Indiv[[Player]:[Player]],$A24,Upload_Indiv[[Side]:[Side]],"Raintree Back")</f>
        <v>0</v>
      </c>
      <c r="Q24" s="200">
        <f>SUMIFS(Upload_Indiv[Bird4],Upload_Indiv[[Player]:[Player]],$A24,Upload_Indiv[[Side]:[Side]],"Raintree Back")</f>
        <v>0</v>
      </c>
      <c r="R24" s="200">
        <f>SUMIFS(Upload_Indiv[Bird5],Upload_Indiv[[Player]:[Player]],$A24,Upload_Indiv[[Side]:[Side]],"Raintree Back")</f>
        <v>0</v>
      </c>
      <c r="S24" s="200">
        <f>SUMIFS(Upload_Indiv[Bird6],Upload_Indiv[[Player]:[Player]],$A24,Upload_Indiv[[Side]:[Side]],"Raintree Back")</f>
        <v>0</v>
      </c>
      <c r="T24" s="200">
        <f>SUMIFS(Upload_Indiv[Bird7],Upload_Indiv[[Player]:[Player]],$A24,Upload_Indiv[[Side]:[Side]],"Raintree Back")</f>
        <v>0</v>
      </c>
      <c r="U24" s="200">
        <f>SUMIFS(Upload_Indiv[Bird8],Upload_Indiv[[Player]:[Player]],$A24,Upload_Indiv[[Side]:[Side]],"Raintree Back")</f>
        <v>0</v>
      </c>
      <c r="V24" s="200">
        <f>SUMIFS(Upload_Indiv[Bird9],Upload_Indiv[[Player]:[Player]],$A24,Upload_Indiv[[Side]:[Side]],"Raintree Back")</f>
        <v>0</v>
      </c>
    </row>
    <row r="25" spans="1:22" ht="12" x14ac:dyDescent="0.25">
      <c r="A25" s="361" t="s">
        <v>155</v>
      </c>
      <c r="B25" s="452">
        <v>1</v>
      </c>
      <c r="C25" s="221">
        <f>SUMIFS(Upload_Indiv[Tot_Birds],Upload_Indiv[[Player]:[Player]],$A25)</f>
        <v>1</v>
      </c>
      <c r="D25" s="200"/>
      <c r="E25" s="200">
        <f>SUMIFS(Upload_Indiv[Bird1],Upload_Indiv[[Player]:[Player]],$A25,Upload_Indiv[[Side]:[Side]],"Raintree Front")</f>
        <v>0</v>
      </c>
      <c r="F25" s="200">
        <f>SUMIFS(Upload_Indiv[Bird2],Upload_Indiv[[Player]:[Player]],$A25,Upload_Indiv[[Side]:[Side]],"Raintree Front")</f>
        <v>0</v>
      </c>
      <c r="G25" s="200">
        <f>SUMIFS(Upload_Indiv[Bird3],Upload_Indiv[[Player]:[Player]],$A25,Upload_Indiv[[Side]:[Side]],"Raintree Front")</f>
        <v>0</v>
      </c>
      <c r="H25" s="200">
        <f>SUMIFS(Upload_Indiv[Bird4],Upload_Indiv[[Player]:[Player]],$A25,Upload_Indiv[[Side]:[Side]],"Raintree Front")</f>
        <v>0</v>
      </c>
      <c r="I25" s="200">
        <f>SUMIFS(Upload_Indiv[Bird5],Upload_Indiv[[Player]:[Player]],$A25,Upload_Indiv[[Side]:[Side]],"Raintree Front")</f>
        <v>0</v>
      </c>
      <c r="J25" s="200">
        <f>SUMIFS(Upload_Indiv[Bird6],Upload_Indiv[[Player]:[Player]],$A25,Upload_Indiv[[Side]:[Side]],"Raintree Front")</f>
        <v>0</v>
      </c>
      <c r="K25" s="200">
        <f>SUMIFS(Upload_Indiv[Bird7],Upload_Indiv[[Player]:[Player]],$A25,Upload_Indiv[[Side]:[Side]],"Raintree Front")</f>
        <v>0</v>
      </c>
      <c r="L25" s="200">
        <f>SUMIFS(Upload_Indiv[Bird8],Upload_Indiv[[Player]:[Player]],$A25,Upload_Indiv[[Side]:[Side]],"Raintree Front")</f>
        <v>0</v>
      </c>
      <c r="M25" s="200">
        <f>SUMIFS(Upload_Indiv[Bird9],Upload_Indiv[[Player]:[Player]],$A25,Upload_Indiv[[Side]:[Side]],"Raintree Front")</f>
        <v>1</v>
      </c>
      <c r="N25" s="200">
        <f>SUMIFS(Upload_Indiv[Bird1],Upload_Indiv[[Player]:[Player]],$A25,Upload_Indiv[[Side]:[Side]],"Raintree Back")</f>
        <v>0</v>
      </c>
      <c r="O25" s="200">
        <f>SUMIFS(Upload_Indiv[Bird2],Upload_Indiv[[Player]:[Player]],$A25,Upload_Indiv[[Side]:[Side]],"Raintree Back")</f>
        <v>0</v>
      </c>
      <c r="P25" s="200">
        <f>SUMIFS(Upload_Indiv[Bird3],Upload_Indiv[[Player]:[Player]],$A25,Upload_Indiv[[Side]:[Side]],"Raintree Back")</f>
        <v>0</v>
      </c>
      <c r="Q25" s="200">
        <f>SUMIFS(Upload_Indiv[Bird4],Upload_Indiv[[Player]:[Player]],$A25,Upload_Indiv[[Side]:[Side]],"Raintree Back")</f>
        <v>0</v>
      </c>
      <c r="R25" s="200">
        <f>SUMIFS(Upload_Indiv[Bird5],Upload_Indiv[[Player]:[Player]],$A25,Upload_Indiv[[Side]:[Side]],"Raintree Back")</f>
        <v>0</v>
      </c>
      <c r="S25" s="200">
        <f>SUMIFS(Upload_Indiv[Bird6],Upload_Indiv[[Player]:[Player]],$A25,Upload_Indiv[[Side]:[Side]],"Raintree Back")</f>
        <v>0</v>
      </c>
      <c r="T25" s="200">
        <f>SUMIFS(Upload_Indiv[Bird7],Upload_Indiv[[Player]:[Player]],$A25,Upload_Indiv[[Side]:[Side]],"Raintree Back")</f>
        <v>0</v>
      </c>
      <c r="U25" s="200">
        <f>SUMIFS(Upload_Indiv[Bird8],Upload_Indiv[[Player]:[Player]],$A25,Upload_Indiv[[Side]:[Side]],"Raintree Back")</f>
        <v>0</v>
      </c>
      <c r="V25" s="200">
        <f>SUMIFS(Upload_Indiv[Bird9],Upload_Indiv[[Player]:[Player]],$A25,Upload_Indiv[[Side]:[Side]],"Raintree Back")</f>
        <v>0</v>
      </c>
    </row>
    <row r="26" spans="1:22" ht="12" x14ac:dyDescent="0.25">
      <c r="A26" s="361" t="s">
        <v>267</v>
      </c>
      <c r="B26" s="452">
        <v>1</v>
      </c>
      <c r="C26" s="221">
        <f>SUMIFS(Upload_Indiv[Tot_Birds],Upload_Indiv[[Player]:[Player]],$A26)</f>
        <v>1</v>
      </c>
      <c r="D26" s="200"/>
      <c r="E26" s="200">
        <f>SUMIFS(Upload_Indiv[Bird1],Upload_Indiv[[Player]:[Player]],$A26,Upload_Indiv[[Side]:[Side]],"Raintree Front")</f>
        <v>0</v>
      </c>
      <c r="F26" s="200">
        <f>SUMIFS(Upload_Indiv[Bird2],Upload_Indiv[[Player]:[Player]],$A26,Upload_Indiv[[Side]:[Side]],"Raintree Front")</f>
        <v>0</v>
      </c>
      <c r="G26" s="200">
        <f>SUMIFS(Upload_Indiv[Bird3],Upload_Indiv[[Player]:[Player]],$A26,Upload_Indiv[[Side]:[Side]],"Raintree Front")</f>
        <v>0</v>
      </c>
      <c r="H26" s="200">
        <f>SUMIFS(Upload_Indiv[Bird4],Upload_Indiv[[Player]:[Player]],$A26,Upload_Indiv[[Side]:[Side]],"Raintree Front")</f>
        <v>0</v>
      </c>
      <c r="I26" s="200">
        <f>SUMIFS(Upload_Indiv[Bird5],Upload_Indiv[[Player]:[Player]],$A26,Upload_Indiv[[Side]:[Side]],"Raintree Front")</f>
        <v>0</v>
      </c>
      <c r="J26" s="200">
        <f>SUMIFS(Upload_Indiv[Bird6],Upload_Indiv[[Player]:[Player]],$A26,Upload_Indiv[[Side]:[Side]],"Raintree Front")</f>
        <v>0</v>
      </c>
      <c r="K26" s="200">
        <f>SUMIFS(Upload_Indiv[Bird7],Upload_Indiv[[Player]:[Player]],$A26,Upload_Indiv[[Side]:[Side]],"Raintree Front")</f>
        <v>1</v>
      </c>
      <c r="L26" s="200">
        <f>SUMIFS(Upload_Indiv[Bird8],Upload_Indiv[[Player]:[Player]],$A26,Upload_Indiv[[Side]:[Side]],"Raintree Front")</f>
        <v>0</v>
      </c>
      <c r="M26" s="200">
        <f>SUMIFS(Upload_Indiv[Bird9],Upload_Indiv[[Player]:[Player]],$A26,Upload_Indiv[[Side]:[Side]],"Raintree Front")</f>
        <v>0</v>
      </c>
      <c r="N26" s="200">
        <f>SUMIFS(Upload_Indiv[Bird1],Upload_Indiv[[Player]:[Player]],$A26,Upload_Indiv[[Side]:[Side]],"Raintree Back")</f>
        <v>0</v>
      </c>
      <c r="O26" s="200">
        <f>SUMIFS(Upload_Indiv[Bird2],Upload_Indiv[[Player]:[Player]],$A26,Upload_Indiv[[Side]:[Side]],"Raintree Back")</f>
        <v>0</v>
      </c>
      <c r="P26" s="200">
        <f>SUMIFS(Upload_Indiv[Bird3],Upload_Indiv[[Player]:[Player]],$A26,Upload_Indiv[[Side]:[Side]],"Raintree Back")</f>
        <v>0</v>
      </c>
      <c r="Q26" s="200">
        <f>SUMIFS(Upload_Indiv[Bird4],Upload_Indiv[[Player]:[Player]],$A26,Upload_Indiv[[Side]:[Side]],"Raintree Back")</f>
        <v>0</v>
      </c>
      <c r="R26" s="200">
        <f>SUMIFS(Upload_Indiv[Bird5],Upload_Indiv[[Player]:[Player]],$A26,Upload_Indiv[[Side]:[Side]],"Raintree Back")</f>
        <v>0</v>
      </c>
      <c r="S26" s="200">
        <f>SUMIFS(Upload_Indiv[Bird6],Upload_Indiv[[Player]:[Player]],$A26,Upload_Indiv[[Side]:[Side]],"Raintree Back")</f>
        <v>0</v>
      </c>
      <c r="T26" s="200">
        <f>SUMIFS(Upload_Indiv[Bird7],Upload_Indiv[[Player]:[Player]],$A26,Upload_Indiv[[Side]:[Side]],"Raintree Back")</f>
        <v>0</v>
      </c>
      <c r="U26" s="200">
        <f>SUMIFS(Upload_Indiv[Bird8],Upload_Indiv[[Player]:[Player]],$A26,Upload_Indiv[[Side]:[Side]],"Raintree Back")</f>
        <v>0</v>
      </c>
      <c r="V26" s="200">
        <f>SUMIFS(Upload_Indiv[Bird9],Upload_Indiv[[Player]:[Player]],$A26,Upload_Indiv[[Side]:[Side]],"Raintree Back")</f>
        <v>0</v>
      </c>
    </row>
    <row r="27" spans="1:22" ht="12" x14ac:dyDescent="0.25">
      <c r="A27" s="361" t="s">
        <v>148</v>
      </c>
      <c r="B27" s="452">
        <v>1</v>
      </c>
      <c r="C27" s="221">
        <f>SUMIFS(Upload_Indiv[Tot_Birds],Upload_Indiv[[Player]:[Player]],$A27)</f>
        <v>1</v>
      </c>
      <c r="D27" s="200"/>
      <c r="E27" s="200">
        <f>SUMIFS(Upload_Indiv[Bird1],Upload_Indiv[[Player]:[Player]],$A27,Upload_Indiv[[Side]:[Side]],"Raintree Front")</f>
        <v>0</v>
      </c>
      <c r="F27" s="200">
        <f>SUMIFS(Upload_Indiv[Bird2],Upload_Indiv[[Player]:[Player]],$A27,Upload_Indiv[[Side]:[Side]],"Raintree Front")</f>
        <v>0</v>
      </c>
      <c r="G27" s="200">
        <f>SUMIFS(Upload_Indiv[Bird3],Upload_Indiv[[Player]:[Player]],$A27,Upload_Indiv[[Side]:[Side]],"Raintree Front")</f>
        <v>0</v>
      </c>
      <c r="H27" s="200">
        <f>SUMIFS(Upload_Indiv[Bird4],Upload_Indiv[[Player]:[Player]],$A27,Upload_Indiv[[Side]:[Side]],"Raintree Front")</f>
        <v>0</v>
      </c>
      <c r="I27" s="200">
        <f>SUMIFS(Upload_Indiv[Bird5],Upload_Indiv[[Player]:[Player]],$A27,Upload_Indiv[[Side]:[Side]],"Raintree Front")</f>
        <v>0</v>
      </c>
      <c r="J27" s="200">
        <f>SUMIFS(Upload_Indiv[Bird6],Upload_Indiv[[Player]:[Player]],$A27,Upload_Indiv[[Side]:[Side]],"Raintree Front")</f>
        <v>1</v>
      </c>
      <c r="K27" s="200">
        <f>SUMIFS(Upload_Indiv[Bird7],Upload_Indiv[[Player]:[Player]],$A27,Upload_Indiv[[Side]:[Side]],"Raintree Front")</f>
        <v>0</v>
      </c>
      <c r="L27" s="200">
        <f>SUMIFS(Upload_Indiv[Bird8],Upload_Indiv[[Player]:[Player]],$A27,Upload_Indiv[[Side]:[Side]],"Raintree Front")</f>
        <v>0</v>
      </c>
      <c r="M27" s="200">
        <f>SUMIFS(Upload_Indiv[Bird9],Upload_Indiv[[Player]:[Player]],$A27,Upload_Indiv[[Side]:[Side]],"Raintree Front")</f>
        <v>0</v>
      </c>
      <c r="N27" s="200">
        <f>SUMIFS(Upload_Indiv[Bird1],Upload_Indiv[[Player]:[Player]],$A27,Upload_Indiv[[Side]:[Side]],"Raintree Back")</f>
        <v>0</v>
      </c>
      <c r="O27" s="200">
        <f>SUMIFS(Upload_Indiv[Bird2],Upload_Indiv[[Player]:[Player]],$A27,Upload_Indiv[[Side]:[Side]],"Raintree Back")</f>
        <v>0</v>
      </c>
      <c r="P27" s="200">
        <f>SUMIFS(Upload_Indiv[Bird3],Upload_Indiv[[Player]:[Player]],$A27,Upload_Indiv[[Side]:[Side]],"Raintree Back")</f>
        <v>0</v>
      </c>
      <c r="Q27" s="200">
        <f>SUMIFS(Upload_Indiv[Bird4],Upload_Indiv[[Player]:[Player]],$A27,Upload_Indiv[[Side]:[Side]],"Raintree Back")</f>
        <v>0</v>
      </c>
      <c r="R27" s="200">
        <f>SUMIFS(Upload_Indiv[Bird5],Upload_Indiv[[Player]:[Player]],$A27,Upload_Indiv[[Side]:[Side]],"Raintree Back")</f>
        <v>0</v>
      </c>
      <c r="S27" s="200">
        <f>SUMIFS(Upload_Indiv[Bird6],Upload_Indiv[[Player]:[Player]],$A27,Upload_Indiv[[Side]:[Side]],"Raintree Back")</f>
        <v>0</v>
      </c>
      <c r="T27" s="200">
        <f>SUMIFS(Upload_Indiv[Bird7],Upload_Indiv[[Player]:[Player]],$A27,Upload_Indiv[[Side]:[Side]],"Raintree Back")</f>
        <v>0</v>
      </c>
      <c r="U27" s="200">
        <f>SUMIFS(Upload_Indiv[Bird8],Upload_Indiv[[Player]:[Player]],$A27,Upload_Indiv[[Side]:[Side]],"Raintree Back")</f>
        <v>0</v>
      </c>
      <c r="V27" s="200">
        <f>SUMIFS(Upload_Indiv[Bird9],Upload_Indiv[[Player]:[Player]],$A27,Upload_Indiv[[Side]:[Side]],"Raintree Back")</f>
        <v>0</v>
      </c>
    </row>
    <row r="28" spans="1:22" ht="12" x14ac:dyDescent="0.25">
      <c r="A28" s="361" t="s">
        <v>320</v>
      </c>
      <c r="B28" s="452">
        <v>1</v>
      </c>
      <c r="C28" s="221">
        <f>SUMIFS(Upload_Indiv[Tot_Birds],Upload_Indiv[[Player]:[Player]],$A28)</f>
        <v>1</v>
      </c>
      <c r="D28" s="200"/>
      <c r="E28" s="200">
        <f>SUMIFS(Upload_Indiv[Bird1],Upload_Indiv[[Player]:[Player]],$A28,Upload_Indiv[[Side]:[Side]],"Raintree Front")</f>
        <v>0</v>
      </c>
      <c r="F28" s="200">
        <f>SUMIFS(Upload_Indiv[Bird2],Upload_Indiv[[Player]:[Player]],$A28,Upload_Indiv[[Side]:[Side]],"Raintree Front")</f>
        <v>0</v>
      </c>
      <c r="G28" s="200">
        <f>SUMIFS(Upload_Indiv[Bird3],Upload_Indiv[[Player]:[Player]],$A28,Upload_Indiv[[Side]:[Side]],"Raintree Front")</f>
        <v>0</v>
      </c>
      <c r="H28" s="200">
        <f>SUMIFS(Upload_Indiv[Bird4],Upload_Indiv[[Player]:[Player]],$A28,Upload_Indiv[[Side]:[Side]],"Raintree Front")</f>
        <v>0</v>
      </c>
      <c r="I28" s="200">
        <f>SUMIFS(Upload_Indiv[Bird5],Upload_Indiv[[Player]:[Player]],$A28,Upload_Indiv[[Side]:[Side]],"Raintree Front")</f>
        <v>0</v>
      </c>
      <c r="J28" s="200">
        <f>SUMIFS(Upload_Indiv[Bird6],Upload_Indiv[[Player]:[Player]],$A28,Upload_Indiv[[Side]:[Side]],"Raintree Front")</f>
        <v>0</v>
      </c>
      <c r="K28" s="200">
        <f>SUMIFS(Upload_Indiv[Bird7],Upload_Indiv[[Player]:[Player]],$A28,Upload_Indiv[[Side]:[Side]],"Raintree Front")</f>
        <v>0</v>
      </c>
      <c r="L28" s="200">
        <f>SUMIFS(Upload_Indiv[Bird8],Upload_Indiv[[Player]:[Player]],$A28,Upload_Indiv[[Side]:[Side]],"Raintree Front")</f>
        <v>1</v>
      </c>
      <c r="M28" s="200">
        <f>SUMIFS(Upload_Indiv[Bird9],Upload_Indiv[[Player]:[Player]],$A28,Upload_Indiv[[Side]:[Side]],"Raintree Front")</f>
        <v>0</v>
      </c>
      <c r="N28" s="200">
        <f>SUMIFS(Upload_Indiv[Bird1],Upload_Indiv[[Player]:[Player]],$A28,Upload_Indiv[[Side]:[Side]],"Raintree Back")</f>
        <v>0</v>
      </c>
      <c r="O28" s="200">
        <f>SUMIFS(Upload_Indiv[Bird2],Upload_Indiv[[Player]:[Player]],$A28,Upload_Indiv[[Side]:[Side]],"Raintree Back")</f>
        <v>0</v>
      </c>
      <c r="P28" s="200">
        <f>SUMIFS(Upload_Indiv[Bird3],Upload_Indiv[[Player]:[Player]],$A28,Upload_Indiv[[Side]:[Side]],"Raintree Back")</f>
        <v>0</v>
      </c>
      <c r="Q28" s="200">
        <f>SUMIFS(Upload_Indiv[Bird4],Upload_Indiv[[Player]:[Player]],$A28,Upload_Indiv[[Side]:[Side]],"Raintree Back")</f>
        <v>0</v>
      </c>
      <c r="R28" s="200">
        <f>SUMIFS(Upload_Indiv[Bird5],Upload_Indiv[[Player]:[Player]],$A28,Upload_Indiv[[Side]:[Side]],"Raintree Back")</f>
        <v>0</v>
      </c>
      <c r="S28" s="200">
        <f>SUMIFS(Upload_Indiv[Bird6],Upload_Indiv[[Player]:[Player]],$A28,Upload_Indiv[[Side]:[Side]],"Raintree Back")</f>
        <v>0</v>
      </c>
      <c r="T28" s="200">
        <f>SUMIFS(Upload_Indiv[Bird7],Upload_Indiv[[Player]:[Player]],$A28,Upload_Indiv[[Side]:[Side]],"Raintree Back")</f>
        <v>0</v>
      </c>
      <c r="U28" s="200">
        <f>SUMIFS(Upload_Indiv[Bird8],Upload_Indiv[[Player]:[Player]],$A28,Upload_Indiv[[Side]:[Side]],"Raintree Back")</f>
        <v>0</v>
      </c>
      <c r="V28" s="200">
        <f>SUMIFS(Upload_Indiv[Bird9],Upload_Indiv[[Player]:[Player]],$A28,Upload_Indiv[[Side]:[Side]],"Raintree Back")</f>
        <v>0</v>
      </c>
    </row>
    <row r="29" spans="1:22" ht="12" x14ac:dyDescent="0.25">
      <c r="A29" s="196" t="s">
        <v>103</v>
      </c>
      <c r="B29" s="452">
        <v>52</v>
      </c>
      <c r="C29" s="221">
        <f>SUMIFS(Upload_Indiv[Tot_Birds],Upload_Indiv[[Player]:[Player]],$A29)</f>
        <v>0</v>
      </c>
      <c r="D29" s="200"/>
      <c r="E29" s="200">
        <f>SUMIFS(Upload_Indiv[Bird1],Upload_Indiv[[Player]:[Player]],$A29,Upload_Indiv[[Side]:[Side]],"Raintree Front")</f>
        <v>0</v>
      </c>
      <c r="F29" s="200">
        <f>SUMIFS(Upload_Indiv[Bird2],Upload_Indiv[[Player]:[Player]],$A29,Upload_Indiv[[Side]:[Side]],"Raintree Front")</f>
        <v>0</v>
      </c>
      <c r="G29" s="200">
        <f>SUMIFS(Upload_Indiv[Bird3],Upload_Indiv[[Player]:[Player]],$A29,Upload_Indiv[[Side]:[Side]],"Raintree Front")</f>
        <v>0</v>
      </c>
      <c r="H29" s="200">
        <f>SUMIFS(Upload_Indiv[Bird4],Upload_Indiv[[Player]:[Player]],$A29,Upload_Indiv[[Side]:[Side]],"Raintree Front")</f>
        <v>0</v>
      </c>
      <c r="I29" s="200">
        <f>SUMIFS(Upload_Indiv[Bird5],Upload_Indiv[[Player]:[Player]],$A29,Upload_Indiv[[Side]:[Side]],"Raintree Front")</f>
        <v>0</v>
      </c>
      <c r="J29" s="200">
        <f>SUMIFS(Upload_Indiv[Bird6],Upload_Indiv[[Player]:[Player]],$A29,Upload_Indiv[[Side]:[Side]],"Raintree Front")</f>
        <v>0</v>
      </c>
      <c r="K29" s="200">
        <f>SUMIFS(Upload_Indiv[Bird7],Upload_Indiv[[Player]:[Player]],$A29,Upload_Indiv[[Side]:[Side]],"Raintree Front")</f>
        <v>0</v>
      </c>
      <c r="L29" s="200">
        <f>SUMIFS(Upload_Indiv[Bird8],Upload_Indiv[[Player]:[Player]],$A29,Upload_Indiv[[Side]:[Side]],"Raintree Front")</f>
        <v>0</v>
      </c>
      <c r="M29" s="200">
        <f>SUMIFS(Upload_Indiv[Bird9],Upload_Indiv[[Player]:[Player]],$A29,Upload_Indiv[[Side]:[Side]],"Raintree Front")</f>
        <v>0</v>
      </c>
      <c r="N29" s="200">
        <f>SUMIFS(Upload_Indiv[Bird1],Upload_Indiv[[Player]:[Player]],$A29,Upload_Indiv[[Side]:[Side]],"Raintree Back")</f>
        <v>0</v>
      </c>
      <c r="O29" s="200">
        <f>SUMIFS(Upload_Indiv[Bird2],Upload_Indiv[[Player]:[Player]],$A29,Upload_Indiv[[Side]:[Side]],"Raintree Back")</f>
        <v>0</v>
      </c>
      <c r="P29" s="200">
        <f>SUMIFS(Upload_Indiv[Bird3],Upload_Indiv[[Player]:[Player]],$A29,Upload_Indiv[[Side]:[Side]],"Raintree Back")</f>
        <v>0</v>
      </c>
      <c r="Q29" s="200">
        <f>SUMIFS(Upload_Indiv[Bird4],Upload_Indiv[[Player]:[Player]],$A29,Upload_Indiv[[Side]:[Side]],"Raintree Back")</f>
        <v>0</v>
      </c>
      <c r="R29" s="200">
        <f>SUMIFS(Upload_Indiv[Bird5],Upload_Indiv[[Player]:[Player]],$A29,Upload_Indiv[[Side]:[Side]],"Raintree Back")</f>
        <v>0</v>
      </c>
      <c r="S29" s="200">
        <f>SUMIFS(Upload_Indiv[Bird6],Upload_Indiv[[Player]:[Player]],$A29,Upload_Indiv[[Side]:[Side]],"Raintree Back")</f>
        <v>0</v>
      </c>
      <c r="T29" s="200">
        <f>SUMIFS(Upload_Indiv[Bird7],Upload_Indiv[[Player]:[Player]],$A29,Upload_Indiv[[Side]:[Side]],"Raintree Back")</f>
        <v>0</v>
      </c>
      <c r="U29" s="200">
        <f>SUMIFS(Upload_Indiv[Bird8],Upload_Indiv[[Player]:[Player]],$A29,Upload_Indiv[[Side]:[Side]],"Raintree Back")</f>
        <v>0</v>
      </c>
      <c r="V29" s="200">
        <f>SUMIFS(Upload_Indiv[Bird9],Upload_Indiv[[Player]:[Player]],$A29,Upload_Indiv[[Side]:[Side]],"Raintree Back")</f>
        <v>0</v>
      </c>
    </row>
    <row r="30" spans="1:22" ht="13.2" x14ac:dyDescent="0.25">
      <c r="A30"/>
      <c r="B30"/>
      <c r="C30" s="221">
        <f>SUMIFS(Upload_Indiv[Tot_Birds],Upload_Indiv[[Player]:[Player]],$A30)</f>
        <v>0</v>
      </c>
      <c r="D30" s="200"/>
      <c r="E30" s="200">
        <f>SUMIFS(Upload_Indiv[Bird1],Upload_Indiv[[Player]:[Player]],$A30,Upload_Indiv[[Side]:[Side]],"Raintree Front")</f>
        <v>0</v>
      </c>
      <c r="F30" s="200">
        <f>SUMIFS(Upload_Indiv[Bird2],Upload_Indiv[[Player]:[Player]],$A30,Upload_Indiv[[Side]:[Side]],"Raintree Front")</f>
        <v>0</v>
      </c>
      <c r="G30" s="200">
        <f>SUMIFS(Upload_Indiv[Bird3],Upload_Indiv[[Player]:[Player]],$A30,Upload_Indiv[[Side]:[Side]],"Raintree Front")</f>
        <v>0</v>
      </c>
      <c r="H30" s="200">
        <f>SUMIFS(Upload_Indiv[Bird4],Upload_Indiv[[Player]:[Player]],$A30,Upload_Indiv[[Side]:[Side]],"Raintree Front")</f>
        <v>0</v>
      </c>
      <c r="I30" s="200">
        <f>SUMIFS(Upload_Indiv[Bird5],Upload_Indiv[[Player]:[Player]],$A30,Upload_Indiv[[Side]:[Side]],"Raintree Front")</f>
        <v>0</v>
      </c>
      <c r="J30" s="200">
        <f>SUMIFS(Upload_Indiv[Bird6],Upload_Indiv[[Player]:[Player]],$A30,Upload_Indiv[[Side]:[Side]],"Raintree Front")</f>
        <v>0</v>
      </c>
      <c r="K30" s="200">
        <f>SUMIFS(Upload_Indiv[Bird7],Upload_Indiv[[Player]:[Player]],$A30,Upload_Indiv[[Side]:[Side]],"Raintree Front")</f>
        <v>0</v>
      </c>
      <c r="L30" s="200">
        <f>SUMIFS(Upload_Indiv[Bird8],Upload_Indiv[[Player]:[Player]],$A30,Upload_Indiv[[Side]:[Side]],"Raintree Front")</f>
        <v>0</v>
      </c>
      <c r="M30" s="200">
        <f>SUMIFS(Upload_Indiv[Bird9],Upload_Indiv[[Player]:[Player]],$A30,Upload_Indiv[[Side]:[Side]],"Raintree Front")</f>
        <v>0</v>
      </c>
      <c r="N30" s="200">
        <f>SUMIFS(Upload_Indiv[Bird1],Upload_Indiv[[Player]:[Player]],$A30,Upload_Indiv[[Side]:[Side]],"Raintree Back")</f>
        <v>0</v>
      </c>
      <c r="O30" s="200">
        <f>SUMIFS(Upload_Indiv[Bird2],Upload_Indiv[[Player]:[Player]],$A30,Upload_Indiv[[Side]:[Side]],"Raintree Back")</f>
        <v>0</v>
      </c>
      <c r="P30" s="200">
        <f>SUMIFS(Upload_Indiv[Bird3],Upload_Indiv[[Player]:[Player]],$A30,Upload_Indiv[[Side]:[Side]],"Raintree Back")</f>
        <v>0</v>
      </c>
      <c r="Q30" s="200">
        <f>SUMIFS(Upload_Indiv[Bird4],Upload_Indiv[[Player]:[Player]],$A30,Upload_Indiv[[Side]:[Side]],"Raintree Back")</f>
        <v>0</v>
      </c>
      <c r="R30" s="200">
        <f>SUMIFS(Upload_Indiv[Bird5],Upload_Indiv[[Player]:[Player]],$A30,Upload_Indiv[[Side]:[Side]],"Raintree Back")</f>
        <v>0</v>
      </c>
      <c r="S30" s="200">
        <f>SUMIFS(Upload_Indiv[Bird6],Upload_Indiv[[Player]:[Player]],$A30,Upload_Indiv[[Side]:[Side]],"Raintree Back")</f>
        <v>0</v>
      </c>
      <c r="T30" s="200">
        <f>SUMIFS(Upload_Indiv[Bird7],Upload_Indiv[[Player]:[Player]],$A30,Upload_Indiv[[Side]:[Side]],"Raintree Back")</f>
        <v>0</v>
      </c>
      <c r="U30" s="200">
        <f>SUMIFS(Upload_Indiv[Bird8],Upload_Indiv[[Player]:[Player]],$A30,Upload_Indiv[[Side]:[Side]],"Raintree Back")</f>
        <v>0</v>
      </c>
      <c r="V30" s="200">
        <f>SUMIFS(Upload_Indiv[Bird9],Upload_Indiv[[Player]:[Player]],$A30,Upload_Indiv[[Side]:[Side]],"Raintree Back")</f>
        <v>0</v>
      </c>
    </row>
    <row r="31" spans="1:22" ht="13.2" x14ac:dyDescent="0.25">
      <c r="A31"/>
      <c r="B31"/>
      <c r="C31" s="222"/>
      <c r="D31" s="200"/>
      <c r="E31" s="200">
        <f>SUMIFS(Upload_Indiv[Bird1],Upload_Indiv[[Player]:[Player]],$A31,Upload_Indiv[[Side]:[Side]],"Raintree Front")</f>
        <v>0</v>
      </c>
      <c r="F31" s="200">
        <f>SUMIFS(Upload_Indiv[Bird2],Upload_Indiv[[Player]:[Player]],$A31,Upload_Indiv[[Side]:[Side]],"Raintree Front")</f>
        <v>0</v>
      </c>
      <c r="G31" s="200">
        <f>SUMIFS(Upload_Indiv[Bird3],Upload_Indiv[[Player]:[Player]],$A31,Upload_Indiv[[Side]:[Side]],"Raintree Front")</f>
        <v>0</v>
      </c>
      <c r="H31" s="200">
        <f>SUMIFS(Upload_Indiv[Bird4],Upload_Indiv[[Player]:[Player]],$A31,Upload_Indiv[[Side]:[Side]],"Raintree Front")</f>
        <v>0</v>
      </c>
      <c r="I31" s="200">
        <f>SUMIFS(Upload_Indiv[Bird5],Upload_Indiv[[Player]:[Player]],$A31,Upload_Indiv[[Side]:[Side]],"Raintree Front")</f>
        <v>0</v>
      </c>
      <c r="J31" s="200">
        <f>SUMIFS(Upload_Indiv[Bird6],Upload_Indiv[[Player]:[Player]],$A31,Upload_Indiv[[Side]:[Side]],"Raintree Front")</f>
        <v>0</v>
      </c>
      <c r="K31" s="200">
        <f>SUMIFS(Upload_Indiv[Bird7],Upload_Indiv[[Player]:[Player]],$A31,Upload_Indiv[[Side]:[Side]],"Raintree Front")</f>
        <v>0</v>
      </c>
      <c r="L31" s="200">
        <f>SUMIFS(Upload_Indiv[Bird8],Upload_Indiv[[Player]:[Player]],$A31,Upload_Indiv[[Side]:[Side]],"Raintree Front")</f>
        <v>0</v>
      </c>
      <c r="M31" s="200">
        <f>SUMIFS(Upload_Indiv[Bird9],Upload_Indiv[[Player]:[Player]],$A31,Upload_Indiv[[Side]:[Side]],"Raintree Front")</f>
        <v>0</v>
      </c>
      <c r="N31" s="200">
        <f>SUMIFS(Upload_Indiv[Bird1],Upload_Indiv[[Player]:[Player]],$A31,Upload_Indiv[[Side]:[Side]],"Raintree Back")</f>
        <v>0</v>
      </c>
      <c r="O31" s="200">
        <f>SUMIFS(Upload_Indiv[Bird2],Upload_Indiv[[Player]:[Player]],$A31,Upload_Indiv[[Side]:[Side]],"Raintree Back")</f>
        <v>0</v>
      </c>
      <c r="P31" s="200">
        <f>SUMIFS(Upload_Indiv[Bird3],Upload_Indiv[[Player]:[Player]],$A31,Upload_Indiv[[Side]:[Side]],"Raintree Back")</f>
        <v>0</v>
      </c>
      <c r="Q31" s="200">
        <f>SUMIFS(Upload_Indiv[Bird4],Upload_Indiv[[Player]:[Player]],$A31,Upload_Indiv[[Side]:[Side]],"Raintree Back")</f>
        <v>0</v>
      </c>
      <c r="R31" s="200">
        <f>SUMIFS(Upload_Indiv[Bird5],Upload_Indiv[[Player]:[Player]],$A31,Upload_Indiv[[Side]:[Side]],"Raintree Back")</f>
        <v>0</v>
      </c>
      <c r="S31" s="200">
        <f>SUMIFS(Upload_Indiv[Bird6],Upload_Indiv[[Player]:[Player]],$A31,Upload_Indiv[[Side]:[Side]],"Raintree Back")</f>
        <v>0</v>
      </c>
      <c r="T31" s="200">
        <f>SUMIFS(Upload_Indiv[Bird7],Upload_Indiv[[Player]:[Player]],$A31,Upload_Indiv[[Side]:[Side]],"Raintree Back")</f>
        <v>0</v>
      </c>
      <c r="U31" s="200">
        <f>SUMIFS(Upload_Indiv[Bird8],Upload_Indiv[[Player]:[Player]],$A31,Upload_Indiv[[Side]:[Side]],"Raintree Back")</f>
        <v>0</v>
      </c>
      <c r="V31" s="200">
        <f>SUMIFS(Upload_Indiv[Bird9],Upload_Indiv[[Player]:[Player]],$A31,Upload_Indiv[[Side]:[Side]],"Raintree Back")</f>
        <v>0</v>
      </c>
    </row>
    <row r="32" spans="1:22" ht="13.2" x14ac:dyDescent="0.25">
      <c r="A32"/>
      <c r="B32"/>
      <c r="C32" s="197"/>
      <c r="D32" s="200"/>
      <c r="E32" s="200">
        <f>SUMIFS(Upload_Indiv[Bird1],Upload_Indiv[[Player]:[Player]],$A32,Upload_Indiv[[Side]:[Side]],"Raintree Front")</f>
        <v>0</v>
      </c>
      <c r="F32" s="200">
        <f>SUMIFS(Upload_Indiv[Bird2],Upload_Indiv[[Player]:[Player]],$A32,Upload_Indiv[[Side]:[Side]],"Raintree Front")</f>
        <v>0</v>
      </c>
      <c r="G32" s="200">
        <f>SUMIFS(Upload_Indiv[Bird3],Upload_Indiv[[Player]:[Player]],$A32,Upload_Indiv[[Side]:[Side]],"Raintree Front")</f>
        <v>0</v>
      </c>
      <c r="H32" s="200">
        <f>SUMIFS(Upload_Indiv[Bird4],Upload_Indiv[[Player]:[Player]],$A32,Upload_Indiv[[Side]:[Side]],"Raintree Front")</f>
        <v>0</v>
      </c>
      <c r="I32" s="200">
        <f>SUMIFS(Upload_Indiv[Bird5],Upload_Indiv[[Player]:[Player]],$A32,Upload_Indiv[[Side]:[Side]],"Raintree Front")</f>
        <v>0</v>
      </c>
      <c r="J32" s="200">
        <f>SUMIFS(Upload_Indiv[Bird6],Upload_Indiv[[Player]:[Player]],$A32,Upload_Indiv[[Side]:[Side]],"Raintree Front")</f>
        <v>0</v>
      </c>
      <c r="K32" s="200">
        <f>SUMIFS(Upload_Indiv[Bird7],Upload_Indiv[[Player]:[Player]],$A32,Upload_Indiv[[Side]:[Side]],"Raintree Front")</f>
        <v>0</v>
      </c>
      <c r="L32" s="200">
        <f>SUMIFS(Upload_Indiv[Bird8],Upload_Indiv[[Player]:[Player]],$A32,Upload_Indiv[[Side]:[Side]],"Raintree Front")</f>
        <v>0</v>
      </c>
      <c r="M32" s="200">
        <f>SUMIFS(Upload_Indiv[Bird9],Upload_Indiv[[Player]:[Player]],$A32,Upload_Indiv[[Side]:[Side]],"Raintree Front")</f>
        <v>0</v>
      </c>
      <c r="N32" s="200">
        <f>SUMIFS(Upload_Indiv[Bird1],Upload_Indiv[[Player]:[Player]],$A32,Upload_Indiv[[Side]:[Side]],"Raintree Back")</f>
        <v>0</v>
      </c>
      <c r="O32" s="200">
        <f>SUMIFS(Upload_Indiv[Bird2],Upload_Indiv[[Player]:[Player]],$A32,Upload_Indiv[[Side]:[Side]],"Raintree Back")</f>
        <v>0</v>
      </c>
      <c r="P32" s="200">
        <f>SUMIFS(Upload_Indiv[Bird3],Upload_Indiv[[Player]:[Player]],$A32,Upload_Indiv[[Side]:[Side]],"Raintree Back")</f>
        <v>0</v>
      </c>
      <c r="Q32" s="200">
        <f>SUMIFS(Upload_Indiv[Bird4],Upload_Indiv[[Player]:[Player]],$A32,Upload_Indiv[[Side]:[Side]],"Raintree Back")</f>
        <v>0</v>
      </c>
      <c r="R32" s="200">
        <f>SUMIFS(Upload_Indiv[Bird5],Upload_Indiv[[Player]:[Player]],$A32,Upload_Indiv[[Side]:[Side]],"Raintree Back")</f>
        <v>0</v>
      </c>
      <c r="S32" s="200">
        <f>SUMIFS(Upload_Indiv[Bird6],Upload_Indiv[[Player]:[Player]],$A32,Upload_Indiv[[Side]:[Side]],"Raintree Back")</f>
        <v>0</v>
      </c>
      <c r="T32" s="200">
        <f>SUMIFS(Upload_Indiv[Bird7],Upload_Indiv[[Player]:[Player]],$A32,Upload_Indiv[[Side]:[Side]],"Raintree Back")</f>
        <v>0</v>
      </c>
      <c r="U32" s="200">
        <f>SUMIFS(Upload_Indiv[Bird8],Upload_Indiv[[Player]:[Player]],$A32,Upload_Indiv[[Side]:[Side]],"Raintree Back")</f>
        <v>0</v>
      </c>
      <c r="V32" s="200">
        <f>SUMIFS(Upload_Indiv[Bird9],Upload_Indiv[[Player]:[Player]],$A32,Upload_Indiv[[Side]:[Side]],"Raintree Back")</f>
        <v>0</v>
      </c>
    </row>
    <row r="33" spans="1:22" ht="13.2" x14ac:dyDescent="0.25">
      <c r="A33"/>
      <c r="B33"/>
      <c r="C33" s="197"/>
      <c r="D33" s="200"/>
      <c r="E33" s="200">
        <f>SUMIFS(Upload_Indiv[Bird1],Upload_Indiv[[Player]:[Player]],$A33,Upload_Indiv[[Side]:[Side]],"Raintree Front")</f>
        <v>0</v>
      </c>
      <c r="F33" s="200">
        <f>SUMIFS(Upload_Indiv[Bird2],Upload_Indiv[[Player]:[Player]],$A33,Upload_Indiv[[Side]:[Side]],"Raintree Front")</f>
        <v>0</v>
      </c>
      <c r="G33" s="200">
        <f>SUMIFS(Upload_Indiv[Bird3],Upload_Indiv[[Player]:[Player]],$A33,Upload_Indiv[[Side]:[Side]],"Raintree Front")</f>
        <v>0</v>
      </c>
      <c r="H33" s="200">
        <f>SUMIFS(Upload_Indiv[Bird4],Upload_Indiv[[Player]:[Player]],$A33,Upload_Indiv[[Side]:[Side]],"Raintree Front")</f>
        <v>0</v>
      </c>
      <c r="I33" s="200">
        <f>SUMIFS(Upload_Indiv[Bird5],Upload_Indiv[[Player]:[Player]],$A33,Upload_Indiv[[Side]:[Side]],"Raintree Front")</f>
        <v>0</v>
      </c>
      <c r="J33" s="200">
        <f>SUMIFS(Upload_Indiv[Bird6],Upload_Indiv[[Player]:[Player]],$A33,Upload_Indiv[[Side]:[Side]],"Raintree Front")</f>
        <v>0</v>
      </c>
      <c r="K33" s="200">
        <f>SUMIFS(Upload_Indiv[Bird7],Upload_Indiv[[Player]:[Player]],$A33,Upload_Indiv[[Side]:[Side]],"Raintree Front")</f>
        <v>0</v>
      </c>
      <c r="L33" s="200">
        <f>SUMIFS(Upload_Indiv[Bird8],Upload_Indiv[[Player]:[Player]],$A33,Upload_Indiv[[Side]:[Side]],"Raintree Front")</f>
        <v>0</v>
      </c>
      <c r="M33" s="200">
        <f>SUMIFS(Upload_Indiv[Bird9],Upload_Indiv[[Player]:[Player]],$A33,Upload_Indiv[[Side]:[Side]],"Raintree Front")</f>
        <v>0</v>
      </c>
      <c r="N33" s="200">
        <f>SUMIFS(Upload_Indiv[Bird1],Upload_Indiv[[Player]:[Player]],$A33,Upload_Indiv[[Side]:[Side]],"Raintree Back")</f>
        <v>0</v>
      </c>
      <c r="O33" s="200">
        <f>SUMIFS(Upload_Indiv[Bird2],Upload_Indiv[[Player]:[Player]],$A33,Upload_Indiv[[Side]:[Side]],"Raintree Back")</f>
        <v>0</v>
      </c>
      <c r="P33" s="200">
        <f>SUMIFS(Upload_Indiv[Bird3],Upload_Indiv[[Player]:[Player]],$A33,Upload_Indiv[[Side]:[Side]],"Raintree Back")</f>
        <v>0</v>
      </c>
      <c r="Q33" s="200">
        <f>SUMIFS(Upload_Indiv[Bird4],Upload_Indiv[[Player]:[Player]],$A33,Upload_Indiv[[Side]:[Side]],"Raintree Back")</f>
        <v>0</v>
      </c>
      <c r="R33" s="200">
        <f>SUMIFS(Upload_Indiv[Bird5],Upload_Indiv[[Player]:[Player]],$A33,Upload_Indiv[[Side]:[Side]],"Raintree Back")</f>
        <v>0</v>
      </c>
      <c r="S33" s="200">
        <f>SUMIFS(Upload_Indiv[Bird6],Upload_Indiv[[Player]:[Player]],$A33,Upload_Indiv[[Side]:[Side]],"Raintree Back")</f>
        <v>0</v>
      </c>
      <c r="T33" s="200">
        <f>SUMIFS(Upload_Indiv[Bird7],Upload_Indiv[[Player]:[Player]],$A33,Upload_Indiv[[Side]:[Side]],"Raintree Back")</f>
        <v>0</v>
      </c>
      <c r="U33" s="200">
        <f>SUMIFS(Upload_Indiv[Bird8],Upload_Indiv[[Player]:[Player]],$A33,Upload_Indiv[[Side]:[Side]],"Raintree Back")</f>
        <v>0</v>
      </c>
      <c r="V33" s="200">
        <f>SUMIFS(Upload_Indiv[Bird9],Upload_Indiv[[Player]:[Player]],$A33,Upload_Indiv[[Side]:[Side]],"Raintree Back")</f>
        <v>0</v>
      </c>
    </row>
    <row r="34" spans="1:22" ht="13.2" x14ac:dyDescent="0.25">
      <c r="A34"/>
      <c r="B34"/>
      <c r="C34" s="197"/>
      <c r="D34" s="200"/>
      <c r="E34" s="200">
        <f>SUMIFS(Upload_Indiv[Bird1],Upload_Indiv[[Player]:[Player]],$A34,Upload_Indiv[[Side]:[Side]],"Raintree Front")</f>
        <v>0</v>
      </c>
      <c r="F34" s="200">
        <f>SUMIFS(Upload_Indiv[Bird2],Upload_Indiv[[Player]:[Player]],$A34,Upload_Indiv[[Side]:[Side]],"Raintree Front")</f>
        <v>0</v>
      </c>
      <c r="G34" s="200">
        <f>SUMIFS(Upload_Indiv[Bird3],Upload_Indiv[[Player]:[Player]],$A34,Upload_Indiv[[Side]:[Side]],"Raintree Front")</f>
        <v>0</v>
      </c>
      <c r="H34" s="200">
        <f>SUMIFS(Upload_Indiv[Bird4],Upload_Indiv[[Player]:[Player]],$A34,Upload_Indiv[[Side]:[Side]],"Raintree Front")</f>
        <v>0</v>
      </c>
      <c r="I34" s="200">
        <f>SUMIFS(Upload_Indiv[Bird5],Upload_Indiv[[Player]:[Player]],$A34,Upload_Indiv[[Side]:[Side]],"Raintree Front")</f>
        <v>0</v>
      </c>
      <c r="J34" s="200">
        <f>SUMIFS(Upload_Indiv[Bird6],Upload_Indiv[[Player]:[Player]],$A34,Upload_Indiv[[Side]:[Side]],"Raintree Front")</f>
        <v>0</v>
      </c>
      <c r="K34" s="200">
        <f>SUMIFS(Upload_Indiv[Bird7],Upload_Indiv[[Player]:[Player]],$A34,Upload_Indiv[[Side]:[Side]],"Raintree Front")</f>
        <v>0</v>
      </c>
      <c r="L34" s="200">
        <f>SUMIFS(Upload_Indiv[Bird8],Upload_Indiv[[Player]:[Player]],$A34,Upload_Indiv[[Side]:[Side]],"Raintree Front")</f>
        <v>0</v>
      </c>
      <c r="M34" s="200">
        <f>SUMIFS(Upload_Indiv[Bird9],Upload_Indiv[[Player]:[Player]],$A34,Upload_Indiv[[Side]:[Side]],"Raintree Front")</f>
        <v>0</v>
      </c>
      <c r="N34" s="200">
        <f>SUMIFS(Upload_Indiv[Bird1],Upload_Indiv[[Player]:[Player]],$A34,Upload_Indiv[[Side]:[Side]],"Raintree Back")</f>
        <v>0</v>
      </c>
      <c r="O34" s="200">
        <f>SUMIFS(Upload_Indiv[Bird2],Upload_Indiv[[Player]:[Player]],$A34,Upload_Indiv[[Side]:[Side]],"Raintree Back")</f>
        <v>0</v>
      </c>
      <c r="P34" s="200">
        <f>SUMIFS(Upload_Indiv[Bird3],Upload_Indiv[[Player]:[Player]],$A34,Upload_Indiv[[Side]:[Side]],"Raintree Back")</f>
        <v>0</v>
      </c>
      <c r="Q34" s="200">
        <f>SUMIFS(Upload_Indiv[Bird4],Upload_Indiv[[Player]:[Player]],$A34,Upload_Indiv[[Side]:[Side]],"Raintree Back")</f>
        <v>0</v>
      </c>
      <c r="R34" s="200">
        <f>SUMIFS(Upload_Indiv[Bird5],Upload_Indiv[[Player]:[Player]],$A34,Upload_Indiv[[Side]:[Side]],"Raintree Back")</f>
        <v>0</v>
      </c>
      <c r="S34" s="200">
        <f>SUMIFS(Upload_Indiv[Bird6],Upload_Indiv[[Player]:[Player]],$A34,Upload_Indiv[[Side]:[Side]],"Raintree Back")</f>
        <v>0</v>
      </c>
      <c r="T34" s="200">
        <f>SUMIFS(Upload_Indiv[Bird7],Upload_Indiv[[Player]:[Player]],$A34,Upload_Indiv[[Side]:[Side]],"Raintree Back")</f>
        <v>0</v>
      </c>
      <c r="U34" s="200">
        <f>SUMIFS(Upload_Indiv[Bird8],Upload_Indiv[[Player]:[Player]],$A34,Upload_Indiv[[Side]:[Side]],"Raintree Back")</f>
        <v>0</v>
      </c>
      <c r="V34" s="200">
        <f>SUMIFS(Upload_Indiv[Bird9],Upload_Indiv[[Player]:[Player]],$A34,Upload_Indiv[[Side]:[Side]],"Raintree Back")</f>
        <v>0</v>
      </c>
    </row>
    <row r="35" spans="1:22" ht="13.2" x14ac:dyDescent="0.25">
      <c r="A35"/>
      <c r="B35"/>
      <c r="C35" s="199"/>
      <c r="D35" s="200"/>
      <c r="E35" s="200">
        <f>SUMIFS(Upload_Indiv[Bird1],Upload_Indiv[[Player]:[Player]],$A35,Upload_Indiv[[Side]:[Side]],"Raintree Front")</f>
        <v>0</v>
      </c>
      <c r="F35" s="200">
        <f>SUMIFS(Upload_Indiv[Bird2],Upload_Indiv[[Player]:[Player]],$A35,Upload_Indiv[[Side]:[Side]],"Raintree Front")</f>
        <v>0</v>
      </c>
      <c r="G35" s="200">
        <f>SUMIFS(Upload_Indiv[Bird3],Upload_Indiv[[Player]:[Player]],$A35,Upload_Indiv[[Side]:[Side]],"Raintree Front")</f>
        <v>0</v>
      </c>
      <c r="H35" s="200">
        <f>SUMIFS(Upload_Indiv[Bird4],Upload_Indiv[[Player]:[Player]],$A35,Upload_Indiv[[Side]:[Side]],"Raintree Front")</f>
        <v>0</v>
      </c>
      <c r="I35" s="200">
        <f>SUMIFS(Upload_Indiv[Bird5],Upload_Indiv[[Player]:[Player]],$A35,Upload_Indiv[[Side]:[Side]],"Raintree Front")</f>
        <v>0</v>
      </c>
      <c r="J35" s="200">
        <f>SUMIFS(Upload_Indiv[Bird6],Upload_Indiv[[Player]:[Player]],$A35,Upload_Indiv[[Side]:[Side]],"Raintree Front")</f>
        <v>0</v>
      </c>
      <c r="K35" s="200">
        <f>SUMIFS(Upload_Indiv[Bird7],Upload_Indiv[[Player]:[Player]],$A35,Upload_Indiv[[Side]:[Side]],"Raintree Front")</f>
        <v>0</v>
      </c>
      <c r="L35" s="200">
        <f>SUMIFS(Upload_Indiv[Bird8],Upload_Indiv[[Player]:[Player]],$A35,Upload_Indiv[[Side]:[Side]],"Raintree Front")</f>
        <v>0</v>
      </c>
      <c r="M35" s="200">
        <f>SUMIFS(Upload_Indiv[Bird9],Upload_Indiv[[Player]:[Player]],$A35,Upload_Indiv[[Side]:[Side]],"Raintree Front")</f>
        <v>0</v>
      </c>
      <c r="N35" s="200">
        <f>SUMIFS(Upload_Indiv[Bird1],Upload_Indiv[[Player]:[Player]],$A35,Upload_Indiv[[Side]:[Side]],"Raintree Back")</f>
        <v>0</v>
      </c>
      <c r="O35" s="200">
        <f>SUMIFS(Upload_Indiv[Bird2],Upload_Indiv[[Player]:[Player]],$A35,Upload_Indiv[[Side]:[Side]],"Raintree Back")</f>
        <v>0</v>
      </c>
      <c r="P35" s="200">
        <f>SUMIFS(Upload_Indiv[Bird3],Upload_Indiv[[Player]:[Player]],$A35,Upload_Indiv[[Side]:[Side]],"Raintree Back")</f>
        <v>0</v>
      </c>
      <c r="Q35" s="200">
        <f>SUMIFS(Upload_Indiv[Bird4],Upload_Indiv[[Player]:[Player]],$A35,Upload_Indiv[[Side]:[Side]],"Raintree Back")</f>
        <v>0</v>
      </c>
      <c r="R35" s="200">
        <f>SUMIFS(Upload_Indiv[Bird5],Upload_Indiv[[Player]:[Player]],$A35,Upload_Indiv[[Side]:[Side]],"Raintree Back")</f>
        <v>0</v>
      </c>
      <c r="S35" s="200">
        <f>SUMIFS(Upload_Indiv[Bird6],Upload_Indiv[[Player]:[Player]],$A35,Upload_Indiv[[Side]:[Side]],"Raintree Back")</f>
        <v>0</v>
      </c>
      <c r="T35" s="200">
        <f>SUMIFS(Upload_Indiv[Bird7],Upload_Indiv[[Player]:[Player]],$A35,Upload_Indiv[[Side]:[Side]],"Raintree Back")</f>
        <v>0</v>
      </c>
      <c r="U35" s="200">
        <f>SUMIFS(Upload_Indiv[Bird8],Upload_Indiv[[Player]:[Player]],$A35,Upload_Indiv[[Side]:[Side]],"Raintree Back")</f>
        <v>0</v>
      </c>
      <c r="V35" s="200">
        <f>SUMIFS(Upload_Indiv[Bird9],Upload_Indiv[[Player]:[Player]],$A35,Upload_Indiv[[Side]:[Side]],"Raintree Back")</f>
        <v>0</v>
      </c>
    </row>
    <row r="36" spans="1:22" ht="13.2" x14ac:dyDescent="0.25">
      <c r="A36"/>
      <c r="B36"/>
      <c r="C36" s="199"/>
      <c r="D36" s="200"/>
      <c r="E36" s="200">
        <f>SUMIFS(Upload_Indiv[Bird1],Upload_Indiv[[Player]:[Player]],$A36,Upload_Indiv[[Side]:[Side]],"Raintree Front")</f>
        <v>0</v>
      </c>
      <c r="F36" s="200">
        <f>SUMIFS(Upload_Indiv[Bird2],Upload_Indiv[[Player]:[Player]],$A36,Upload_Indiv[[Side]:[Side]],"Raintree Front")</f>
        <v>0</v>
      </c>
      <c r="G36" s="200">
        <f>SUMIFS(Upload_Indiv[Bird3],Upload_Indiv[[Player]:[Player]],$A36,Upload_Indiv[[Side]:[Side]],"Raintree Front")</f>
        <v>0</v>
      </c>
      <c r="H36" s="200">
        <f>SUMIFS(Upload_Indiv[Bird4],Upload_Indiv[[Player]:[Player]],$A36,Upload_Indiv[[Side]:[Side]],"Raintree Front")</f>
        <v>0</v>
      </c>
      <c r="I36" s="200">
        <f>SUMIFS(Upload_Indiv[Bird5],Upload_Indiv[[Player]:[Player]],$A36,Upload_Indiv[[Side]:[Side]],"Raintree Front")</f>
        <v>0</v>
      </c>
      <c r="J36" s="200">
        <f>SUMIFS(Upload_Indiv[Bird6],Upload_Indiv[[Player]:[Player]],$A36,Upload_Indiv[[Side]:[Side]],"Raintree Front")</f>
        <v>0</v>
      </c>
      <c r="K36" s="200">
        <f>SUMIFS(Upload_Indiv[Bird7],Upload_Indiv[[Player]:[Player]],$A36,Upload_Indiv[[Side]:[Side]],"Raintree Front")</f>
        <v>0</v>
      </c>
      <c r="L36" s="200">
        <f>SUMIFS(Upload_Indiv[Bird8],Upload_Indiv[[Player]:[Player]],$A36,Upload_Indiv[[Side]:[Side]],"Raintree Front")</f>
        <v>0</v>
      </c>
      <c r="M36" s="200">
        <f>SUMIFS(Upload_Indiv[Bird9],Upload_Indiv[[Player]:[Player]],$A36,Upload_Indiv[[Side]:[Side]],"Raintree Front")</f>
        <v>0</v>
      </c>
      <c r="N36" s="200">
        <f>SUMIFS(Upload_Indiv[Bird1],Upload_Indiv[[Player]:[Player]],$A36,Upload_Indiv[[Side]:[Side]],"Raintree Back")</f>
        <v>0</v>
      </c>
      <c r="O36" s="200">
        <f>SUMIFS(Upload_Indiv[Bird2],Upload_Indiv[[Player]:[Player]],$A36,Upload_Indiv[[Side]:[Side]],"Raintree Back")</f>
        <v>0</v>
      </c>
      <c r="P36" s="200">
        <f>SUMIFS(Upload_Indiv[Bird3],Upload_Indiv[[Player]:[Player]],$A36,Upload_Indiv[[Side]:[Side]],"Raintree Back")</f>
        <v>0</v>
      </c>
      <c r="Q36" s="200">
        <f>SUMIFS(Upload_Indiv[Bird4],Upload_Indiv[[Player]:[Player]],$A36,Upload_Indiv[[Side]:[Side]],"Raintree Back")</f>
        <v>0</v>
      </c>
      <c r="R36" s="200">
        <f>SUMIFS(Upload_Indiv[Bird5],Upload_Indiv[[Player]:[Player]],$A36,Upload_Indiv[[Side]:[Side]],"Raintree Back")</f>
        <v>0</v>
      </c>
      <c r="S36" s="200">
        <f>SUMIFS(Upload_Indiv[Bird6],Upload_Indiv[[Player]:[Player]],$A36,Upload_Indiv[[Side]:[Side]],"Raintree Back")</f>
        <v>0</v>
      </c>
      <c r="T36" s="200">
        <f>SUMIFS(Upload_Indiv[Bird7],Upload_Indiv[[Player]:[Player]],$A36,Upload_Indiv[[Side]:[Side]],"Raintree Back")</f>
        <v>0</v>
      </c>
      <c r="U36" s="200">
        <f>SUMIFS(Upload_Indiv[Bird8],Upload_Indiv[[Player]:[Player]],$A36,Upload_Indiv[[Side]:[Side]],"Raintree Back")</f>
        <v>0</v>
      </c>
      <c r="V36" s="200">
        <f>SUMIFS(Upload_Indiv[Bird9],Upload_Indiv[[Player]:[Player]],$A36,Upload_Indiv[[Side]:[Side]],"Raintree Back")</f>
        <v>0</v>
      </c>
    </row>
    <row r="37" spans="1:22" ht="13.2" x14ac:dyDescent="0.25">
      <c r="A37"/>
      <c r="B37"/>
      <c r="C37" s="199"/>
      <c r="D37" s="200"/>
      <c r="E37" s="200">
        <f>SUMIFS(Upload_Indiv[Bird1],Upload_Indiv[[Player]:[Player]],$A37,Upload_Indiv[[Side]:[Side]],"Raintree Front")</f>
        <v>0</v>
      </c>
      <c r="F37" s="200">
        <f>SUMIFS(Upload_Indiv[Bird2],Upload_Indiv[[Player]:[Player]],$A37,Upload_Indiv[[Side]:[Side]],"Raintree Front")</f>
        <v>0</v>
      </c>
      <c r="G37" s="200">
        <f>SUMIFS(Upload_Indiv[Bird3],Upload_Indiv[[Player]:[Player]],$A37,Upload_Indiv[[Side]:[Side]],"Raintree Front")</f>
        <v>0</v>
      </c>
      <c r="H37" s="200">
        <f>SUMIFS(Upload_Indiv[Bird4],Upload_Indiv[[Player]:[Player]],$A37,Upload_Indiv[[Side]:[Side]],"Raintree Front")</f>
        <v>0</v>
      </c>
      <c r="I37" s="200">
        <f>SUMIFS(Upload_Indiv[Bird5],Upload_Indiv[[Player]:[Player]],$A37,Upload_Indiv[[Side]:[Side]],"Raintree Front")</f>
        <v>0</v>
      </c>
      <c r="J37" s="200">
        <f>SUMIFS(Upload_Indiv[Bird6],Upload_Indiv[[Player]:[Player]],$A37,Upload_Indiv[[Side]:[Side]],"Raintree Front")</f>
        <v>0</v>
      </c>
      <c r="K37" s="200">
        <f>SUMIFS(Upload_Indiv[Bird7],Upload_Indiv[[Player]:[Player]],$A37,Upload_Indiv[[Side]:[Side]],"Raintree Front")</f>
        <v>0</v>
      </c>
      <c r="L37" s="200">
        <f>SUMIFS(Upload_Indiv[Bird8],Upload_Indiv[[Player]:[Player]],$A37,Upload_Indiv[[Side]:[Side]],"Raintree Front")</f>
        <v>0</v>
      </c>
      <c r="M37" s="200">
        <f>SUMIFS(Upload_Indiv[Bird9],Upload_Indiv[[Player]:[Player]],$A37,Upload_Indiv[[Side]:[Side]],"Raintree Front")</f>
        <v>0</v>
      </c>
      <c r="N37" s="200">
        <f>SUMIFS(Upload_Indiv[Bird1],Upload_Indiv[[Player]:[Player]],$A37,Upload_Indiv[[Side]:[Side]],"Raintree Back")</f>
        <v>0</v>
      </c>
      <c r="O37" s="200">
        <f>SUMIFS(Upload_Indiv[Bird2],Upload_Indiv[[Player]:[Player]],$A37,Upload_Indiv[[Side]:[Side]],"Raintree Back")</f>
        <v>0</v>
      </c>
      <c r="P37" s="200">
        <f>SUMIFS(Upload_Indiv[Bird3],Upload_Indiv[[Player]:[Player]],$A37,Upload_Indiv[[Side]:[Side]],"Raintree Back")</f>
        <v>0</v>
      </c>
      <c r="Q37" s="200">
        <f>SUMIFS(Upload_Indiv[Bird4],Upload_Indiv[[Player]:[Player]],$A37,Upload_Indiv[[Side]:[Side]],"Raintree Back")</f>
        <v>0</v>
      </c>
      <c r="R37" s="200">
        <f>SUMIFS(Upload_Indiv[Bird5],Upload_Indiv[[Player]:[Player]],$A37,Upload_Indiv[[Side]:[Side]],"Raintree Back")</f>
        <v>0</v>
      </c>
      <c r="S37" s="200">
        <f>SUMIFS(Upload_Indiv[Bird6],Upload_Indiv[[Player]:[Player]],$A37,Upload_Indiv[[Side]:[Side]],"Raintree Back")</f>
        <v>0</v>
      </c>
      <c r="T37" s="200">
        <f>SUMIFS(Upload_Indiv[Bird7],Upload_Indiv[[Player]:[Player]],$A37,Upload_Indiv[[Side]:[Side]],"Raintree Back")</f>
        <v>0</v>
      </c>
      <c r="U37" s="200">
        <f>SUMIFS(Upload_Indiv[Bird8],Upload_Indiv[[Player]:[Player]],$A37,Upload_Indiv[[Side]:[Side]],"Raintree Back")</f>
        <v>0</v>
      </c>
      <c r="V37" s="200">
        <f>SUMIFS(Upload_Indiv[Bird9],Upload_Indiv[[Player]:[Player]],$A37,Upload_Indiv[[Side]:[Side]],"Raintree Back")</f>
        <v>0</v>
      </c>
    </row>
    <row r="38" spans="1:22" ht="13.2" x14ac:dyDescent="0.25">
      <c r="A38"/>
      <c r="B38"/>
      <c r="C38" s="199"/>
      <c r="D38" s="200"/>
      <c r="E38" s="200">
        <f>SUMIFS(Upload_Indiv[Bird1],Upload_Indiv[[Player]:[Player]],$A38,Upload_Indiv[[Side]:[Side]],"Raintree Front")</f>
        <v>0</v>
      </c>
      <c r="F38" s="200">
        <f>SUMIFS(Upload_Indiv[Bird2],Upload_Indiv[[Player]:[Player]],$A38,Upload_Indiv[[Side]:[Side]],"Raintree Front")</f>
        <v>0</v>
      </c>
      <c r="G38" s="200">
        <f>SUMIFS(Upload_Indiv[Bird3],Upload_Indiv[[Player]:[Player]],$A38,Upload_Indiv[[Side]:[Side]],"Raintree Front")</f>
        <v>0</v>
      </c>
      <c r="H38" s="200">
        <f>SUMIFS(Upload_Indiv[Bird4],Upload_Indiv[[Player]:[Player]],$A38,Upload_Indiv[[Side]:[Side]],"Raintree Front")</f>
        <v>0</v>
      </c>
      <c r="I38" s="200">
        <f>SUMIFS(Upload_Indiv[Bird5],Upload_Indiv[[Player]:[Player]],$A38,Upload_Indiv[[Side]:[Side]],"Raintree Front")</f>
        <v>0</v>
      </c>
      <c r="J38" s="200">
        <f>SUMIFS(Upload_Indiv[Bird6],Upload_Indiv[[Player]:[Player]],$A38,Upload_Indiv[[Side]:[Side]],"Raintree Front")</f>
        <v>0</v>
      </c>
      <c r="K38" s="200">
        <f>SUMIFS(Upload_Indiv[Bird7],Upload_Indiv[[Player]:[Player]],$A38,Upload_Indiv[[Side]:[Side]],"Raintree Front")</f>
        <v>0</v>
      </c>
      <c r="L38" s="200">
        <f>SUMIFS(Upload_Indiv[Bird8],Upload_Indiv[[Player]:[Player]],$A38,Upload_Indiv[[Side]:[Side]],"Raintree Front")</f>
        <v>0</v>
      </c>
      <c r="M38" s="200">
        <f>SUMIFS(Upload_Indiv[Bird9],Upload_Indiv[[Player]:[Player]],$A38,Upload_Indiv[[Side]:[Side]],"Raintree Front")</f>
        <v>0</v>
      </c>
      <c r="N38" s="200">
        <f>SUMIFS(Upload_Indiv[Bird1],Upload_Indiv[[Player]:[Player]],$A38,Upload_Indiv[[Side]:[Side]],"Raintree Back")</f>
        <v>0</v>
      </c>
      <c r="O38" s="200">
        <f>SUMIFS(Upload_Indiv[Bird2],Upload_Indiv[[Player]:[Player]],$A38,Upload_Indiv[[Side]:[Side]],"Raintree Back")</f>
        <v>0</v>
      </c>
      <c r="P38" s="200">
        <f>SUMIFS(Upload_Indiv[Bird3],Upload_Indiv[[Player]:[Player]],$A38,Upload_Indiv[[Side]:[Side]],"Raintree Back")</f>
        <v>0</v>
      </c>
      <c r="Q38" s="200">
        <f>SUMIFS(Upload_Indiv[Bird4],Upload_Indiv[[Player]:[Player]],$A38,Upload_Indiv[[Side]:[Side]],"Raintree Back")</f>
        <v>0</v>
      </c>
      <c r="R38" s="200">
        <f>SUMIFS(Upload_Indiv[Bird5],Upload_Indiv[[Player]:[Player]],$A38,Upload_Indiv[[Side]:[Side]],"Raintree Back")</f>
        <v>0</v>
      </c>
      <c r="S38" s="200">
        <f>SUMIFS(Upload_Indiv[Bird6],Upload_Indiv[[Player]:[Player]],$A38,Upload_Indiv[[Side]:[Side]],"Raintree Back")</f>
        <v>0</v>
      </c>
      <c r="T38" s="200">
        <f>SUMIFS(Upload_Indiv[Bird7],Upload_Indiv[[Player]:[Player]],$A38,Upload_Indiv[[Side]:[Side]],"Raintree Back")</f>
        <v>0</v>
      </c>
      <c r="U38" s="200">
        <f>SUMIFS(Upload_Indiv[Bird8],Upload_Indiv[[Player]:[Player]],$A38,Upload_Indiv[[Side]:[Side]],"Raintree Back")</f>
        <v>0</v>
      </c>
      <c r="V38" s="200">
        <f>SUMIFS(Upload_Indiv[Bird9],Upload_Indiv[[Player]:[Player]],$A38,Upload_Indiv[[Side]:[Side]],"Raintree Back")</f>
        <v>0</v>
      </c>
    </row>
    <row r="39" spans="1:22" ht="13.2" x14ac:dyDescent="0.25">
      <c r="A39"/>
      <c r="B39"/>
      <c r="C39" s="199"/>
      <c r="D39" s="200"/>
      <c r="E39" s="200">
        <f>SUMIFS(Upload_Indiv[Bird1],Upload_Indiv[[Player]:[Player]],$A39,Upload_Indiv[[Side]:[Side]],"Raintree Front")</f>
        <v>0</v>
      </c>
      <c r="F39" s="200">
        <f>SUMIFS(Upload_Indiv[Bird2],Upload_Indiv[[Player]:[Player]],$A39,Upload_Indiv[[Side]:[Side]],"Raintree Front")</f>
        <v>0</v>
      </c>
      <c r="G39" s="200">
        <f>SUMIFS(Upload_Indiv[Bird3],Upload_Indiv[[Player]:[Player]],$A39,Upload_Indiv[[Side]:[Side]],"Raintree Front")</f>
        <v>0</v>
      </c>
      <c r="H39" s="200">
        <f>SUMIFS(Upload_Indiv[Bird4],Upload_Indiv[[Player]:[Player]],$A39,Upload_Indiv[[Side]:[Side]],"Raintree Front")</f>
        <v>0</v>
      </c>
      <c r="I39" s="200">
        <f>SUMIFS(Upload_Indiv[Bird5],Upload_Indiv[[Player]:[Player]],$A39,Upload_Indiv[[Side]:[Side]],"Raintree Front")</f>
        <v>0</v>
      </c>
      <c r="J39" s="200">
        <f>SUMIFS(Upload_Indiv[Bird6],Upload_Indiv[[Player]:[Player]],$A39,Upload_Indiv[[Side]:[Side]],"Raintree Front")</f>
        <v>0</v>
      </c>
      <c r="K39" s="200">
        <f>SUMIFS(Upload_Indiv[Bird7],Upload_Indiv[[Player]:[Player]],$A39,Upload_Indiv[[Side]:[Side]],"Raintree Front")</f>
        <v>0</v>
      </c>
      <c r="L39" s="200">
        <f>SUMIFS(Upload_Indiv[Bird8],Upload_Indiv[[Player]:[Player]],$A39,Upload_Indiv[[Side]:[Side]],"Raintree Front")</f>
        <v>0</v>
      </c>
      <c r="M39" s="200">
        <f>SUMIFS(Upload_Indiv[Bird9],Upload_Indiv[[Player]:[Player]],$A39,Upload_Indiv[[Side]:[Side]],"Raintree Front")</f>
        <v>0</v>
      </c>
      <c r="N39" s="200">
        <f>SUMIFS(Upload_Indiv[Bird1],Upload_Indiv[[Player]:[Player]],$A39,Upload_Indiv[[Side]:[Side]],"Raintree Back")</f>
        <v>0</v>
      </c>
      <c r="O39" s="200">
        <f>SUMIFS(Upload_Indiv[Bird2],Upload_Indiv[[Player]:[Player]],$A39,Upload_Indiv[[Side]:[Side]],"Raintree Back")</f>
        <v>0</v>
      </c>
      <c r="P39" s="200">
        <f>SUMIFS(Upload_Indiv[Bird3],Upload_Indiv[[Player]:[Player]],$A39,Upload_Indiv[[Side]:[Side]],"Raintree Back")</f>
        <v>0</v>
      </c>
      <c r="Q39" s="200">
        <f>SUMIFS(Upload_Indiv[Bird4],Upload_Indiv[[Player]:[Player]],$A39,Upload_Indiv[[Side]:[Side]],"Raintree Back")</f>
        <v>0</v>
      </c>
      <c r="R39" s="200">
        <f>SUMIFS(Upload_Indiv[Bird5],Upload_Indiv[[Player]:[Player]],$A39,Upload_Indiv[[Side]:[Side]],"Raintree Back")</f>
        <v>0</v>
      </c>
      <c r="S39" s="200">
        <f>SUMIFS(Upload_Indiv[Bird6],Upload_Indiv[[Player]:[Player]],$A39,Upload_Indiv[[Side]:[Side]],"Raintree Back")</f>
        <v>0</v>
      </c>
      <c r="T39" s="200">
        <f>SUMIFS(Upload_Indiv[Bird7],Upload_Indiv[[Player]:[Player]],$A39,Upload_Indiv[[Side]:[Side]],"Raintree Back")</f>
        <v>0</v>
      </c>
      <c r="U39" s="200">
        <f>SUMIFS(Upload_Indiv[Bird8],Upload_Indiv[[Player]:[Player]],$A39,Upload_Indiv[[Side]:[Side]],"Raintree Back")</f>
        <v>0</v>
      </c>
      <c r="V39" s="200">
        <f>SUMIFS(Upload_Indiv[Bird9],Upload_Indiv[[Player]:[Player]],$A39,Upload_Indiv[[Side]:[Side]],"Raintree Back")</f>
        <v>0</v>
      </c>
    </row>
    <row r="40" spans="1:22" ht="13.2" x14ac:dyDescent="0.25">
      <c r="A40"/>
      <c r="B40"/>
      <c r="C40" s="199"/>
      <c r="D40" s="200"/>
      <c r="E40" s="200">
        <f>SUMIFS(Upload_Indiv[Bird1],Upload_Indiv[[Player]:[Player]],$A40,Upload_Indiv[[Side]:[Side]],"Raintree Front")</f>
        <v>0</v>
      </c>
      <c r="F40" s="200">
        <f>SUMIFS(Upload_Indiv[Bird2],Upload_Indiv[[Player]:[Player]],$A40,Upload_Indiv[[Side]:[Side]],"Raintree Front")</f>
        <v>0</v>
      </c>
      <c r="G40" s="200">
        <f>SUMIFS(Upload_Indiv[Bird3],Upload_Indiv[[Player]:[Player]],$A40,Upload_Indiv[[Side]:[Side]],"Raintree Front")</f>
        <v>0</v>
      </c>
      <c r="H40" s="200">
        <f>SUMIFS(Upload_Indiv[Bird4],Upload_Indiv[[Player]:[Player]],$A40,Upload_Indiv[[Side]:[Side]],"Raintree Front")</f>
        <v>0</v>
      </c>
      <c r="I40" s="200">
        <f>SUMIFS(Upload_Indiv[Bird5],Upload_Indiv[[Player]:[Player]],$A40,Upload_Indiv[[Side]:[Side]],"Raintree Front")</f>
        <v>0</v>
      </c>
      <c r="J40" s="200">
        <f>SUMIFS(Upload_Indiv[Bird6],Upload_Indiv[[Player]:[Player]],$A40,Upload_Indiv[[Side]:[Side]],"Raintree Front")</f>
        <v>0</v>
      </c>
      <c r="K40" s="200">
        <f>SUMIFS(Upload_Indiv[Bird7],Upload_Indiv[[Player]:[Player]],$A40,Upload_Indiv[[Side]:[Side]],"Raintree Front")</f>
        <v>0</v>
      </c>
      <c r="L40" s="200">
        <f>SUMIFS(Upload_Indiv[Bird8],Upload_Indiv[[Player]:[Player]],$A40,Upload_Indiv[[Side]:[Side]],"Raintree Front")</f>
        <v>0</v>
      </c>
      <c r="M40" s="200">
        <f>SUMIFS(Upload_Indiv[Bird9],Upload_Indiv[[Player]:[Player]],$A40,Upload_Indiv[[Side]:[Side]],"Raintree Front")</f>
        <v>0</v>
      </c>
      <c r="N40" s="200">
        <f>SUMIFS(Upload_Indiv[Bird1],Upload_Indiv[[Player]:[Player]],$A40,Upload_Indiv[[Side]:[Side]],"Raintree Back")</f>
        <v>0</v>
      </c>
      <c r="O40" s="200">
        <f>SUMIFS(Upload_Indiv[Bird2],Upload_Indiv[[Player]:[Player]],$A40,Upload_Indiv[[Side]:[Side]],"Raintree Back")</f>
        <v>0</v>
      </c>
      <c r="P40" s="200">
        <f>SUMIFS(Upload_Indiv[Bird3],Upload_Indiv[[Player]:[Player]],$A40,Upload_Indiv[[Side]:[Side]],"Raintree Back")</f>
        <v>0</v>
      </c>
      <c r="Q40" s="200">
        <f>SUMIFS(Upload_Indiv[Bird4],Upload_Indiv[[Player]:[Player]],$A40,Upload_Indiv[[Side]:[Side]],"Raintree Back")</f>
        <v>0</v>
      </c>
      <c r="R40" s="200">
        <f>SUMIFS(Upload_Indiv[Bird5],Upload_Indiv[[Player]:[Player]],$A40,Upload_Indiv[[Side]:[Side]],"Raintree Back")</f>
        <v>0</v>
      </c>
      <c r="S40" s="200">
        <f>SUMIFS(Upload_Indiv[Bird6],Upload_Indiv[[Player]:[Player]],$A40,Upload_Indiv[[Side]:[Side]],"Raintree Back")</f>
        <v>0</v>
      </c>
      <c r="T40" s="200">
        <f>SUMIFS(Upload_Indiv[Bird7],Upload_Indiv[[Player]:[Player]],$A40,Upload_Indiv[[Side]:[Side]],"Raintree Back")</f>
        <v>0</v>
      </c>
      <c r="U40" s="200">
        <f>SUMIFS(Upload_Indiv[Bird8],Upload_Indiv[[Player]:[Player]],$A40,Upload_Indiv[[Side]:[Side]],"Raintree Back")</f>
        <v>0</v>
      </c>
      <c r="V40" s="200">
        <f>SUMIFS(Upload_Indiv[Bird9],Upload_Indiv[[Player]:[Player]],$A40,Upload_Indiv[[Side]:[Side]],"Raintree Back")</f>
        <v>0</v>
      </c>
    </row>
    <row r="41" spans="1:22" ht="13.2" x14ac:dyDescent="0.25">
      <c r="A41"/>
      <c r="B41"/>
      <c r="C41" s="199"/>
      <c r="D41" s="200"/>
      <c r="E41" s="200">
        <f>SUMIFS(Upload_Indiv[Bird1],Upload_Indiv[[Player]:[Player]],$A41,Upload_Indiv[[Side]:[Side]],"Raintree Front")</f>
        <v>0</v>
      </c>
      <c r="F41" s="200">
        <f>SUMIFS(Upload_Indiv[Bird2],Upload_Indiv[[Player]:[Player]],$A41,Upload_Indiv[[Side]:[Side]],"Raintree Front")</f>
        <v>0</v>
      </c>
      <c r="G41" s="200">
        <f>SUMIFS(Upload_Indiv[Bird3],Upload_Indiv[[Player]:[Player]],$A41,Upload_Indiv[[Side]:[Side]],"Raintree Front")</f>
        <v>0</v>
      </c>
      <c r="H41" s="200">
        <f>SUMIFS(Upload_Indiv[Bird4],Upload_Indiv[[Player]:[Player]],$A41,Upload_Indiv[[Side]:[Side]],"Raintree Front")</f>
        <v>0</v>
      </c>
      <c r="I41" s="200">
        <f>SUMIFS(Upload_Indiv[Bird5],Upload_Indiv[[Player]:[Player]],$A41,Upload_Indiv[[Side]:[Side]],"Raintree Front")</f>
        <v>0</v>
      </c>
      <c r="J41" s="200">
        <f>SUMIFS(Upload_Indiv[Bird6],Upload_Indiv[[Player]:[Player]],$A41,Upload_Indiv[[Side]:[Side]],"Raintree Front")</f>
        <v>0</v>
      </c>
      <c r="K41" s="200">
        <f>SUMIFS(Upload_Indiv[Bird7],Upload_Indiv[[Player]:[Player]],$A41,Upload_Indiv[[Side]:[Side]],"Raintree Front")</f>
        <v>0</v>
      </c>
      <c r="L41" s="200">
        <f>SUMIFS(Upload_Indiv[Bird8],Upload_Indiv[[Player]:[Player]],$A41,Upload_Indiv[[Side]:[Side]],"Raintree Front")</f>
        <v>0</v>
      </c>
      <c r="M41" s="200">
        <f>SUMIFS(Upload_Indiv[Bird9],Upload_Indiv[[Player]:[Player]],$A41,Upload_Indiv[[Side]:[Side]],"Raintree Front")</f>
        <v>0</v>
      </c>
      <c r="N41" s="200">
        <f>SUMIFS(Upload_Indiv[Bird1],Upload_Indiv[[Player]:[Player]],$A41,Upload_Indiv[[Side]:[Side]],"Raintree Back")</f>
        <v>0</v>
      </c>
      <c r="O41" s="200">
        <f>SUMIFS(Upload_Indiv[Bird2],Upload_Indiv[[Player]:[Player]],$A41,Upload_Indiv[[Side]:[Side]],"Raintree Back")</f>
        <v>0</v>
      </c>
      <c r="P41" s="200">
        <f>SUMIFS(Upload_Indiv[Bird3],Upload_Indiv[[Player]:[Player]],$A41,Upload_Indiv[[Side]:[Side]],"Raintree Back")</f>
        <v>0</v>
      </c>
      <c r="Q41" s="200">
        <f>SUMIFS(Upload_Indiv[Bird4],Upload_Indiv[[Player]:[Player]],$A41,Upload_Indiv[[Side]:[Side]],"Raintree Back")</f>
        <v>0</v>
      </c>
      <c r="R41" s="200">
        <f>SUMIFS(Upload_Indiv[Bird5],Upload_Indiv[[Player]:[Player]],$A41,Upload_Indiv[[Side]:[Side]],"Raintree Back")</f>
        <v>0</v>
      </c>
      <c r="S41" s="200">
        <f>SUMIFS(Upload_Indiv[Bird6],Upload_Indiv[[Player]:[Player]],$A41,Upload_Indiv[[Side]:[Side]],"Raintree Back")</f>
        <v>0</v>
      </c>
      <c r="T41" s="200">
        <f>SUMIFS(Upload_Indiv[Bird7],Upload_Indiv[[Player]:[Player]],$A41,Upload_Indiv[[Side]:[Side]],"Raintree Back")</f>
        <v>0</v>
      </c>
      <c r="U41" s="200">
        <f>SUMIFS(Upload_Indiv[Bird8],Upload_Indiv[[Player]:[Player]],$A41,Upload_Indiv[[Side]:[Side]],"Raintree Back")</f>
        <v>0</v>
      </c>
      <c r="V41" s="200">
        <f>SUMIFS(Upload_Indiv[Bird9],Upload_Indiv[[Player]:[Player]],$A41,Upload_Indiv[[Side]:[Side]],"Raintree Back")</f>
        <v>0</v>
      </c>
    </row>
    <row r="42" spans="1:22" ht="13.2" x14ac:dyDescent="0.25">
      <c r="A42"/>
      <c r="B42"/>
      <c r="C42" s="199"/>
      <c r="D42" s="200"/>
      <c r="E42" s="200">
        <f>SUMIFS(Upload_Indiv[Bird1],Upload_Indiv[[Player]:[Player]],$A42,Upload_Indiv[[Side]:[Side]],"Raintree Front")</f>
        <v>0</v>
      </c>
      <c r="F42" s="200">
        <f>SUMIFS(Upload_Indiv[Bird2],Upload_Indiv[[Player]:[Player]],$A42,Upload_Indiv[[Side]:[Side]],"Raintree Front")</f>
        <v>0</v>
      </c>
      <c r="G42" s="200">
        <f>SUMIFS(Upload_Indiv[Bird3],Upload_Indiv[[Player]:[Player]],$A42,Upload_Indiv[[Side]:[Side]],"Raintree Front")</f>
        <v>0</v>
      </c>
      <c r="H42" s="200">
        <f>SUMIFS(Upload_Indiv[Bird4],Upload_Indiv[[Player]:[Player]],$A42,Upload_Indiv[[Side]:[Side]],"Raintree Front")</f>
        <v>0</v>
      </c>
      <c r="I42" s="200">
        <f>SUMIFS(Upload_Indiv[Bird5],Upload_Indiv[[Player]:[Player]],$A42,Upload_Indiv[[Side]:[Side]],"Raintree Front")</f>
        <v>0</v>
      </c>
      <c r="J42" s="200">
        <f>SUMIFS(Upload_Indiv[Bird6],Upload_Indiv[[Player]:[Player]],$A42,Upload_Indiv[[Side]:[Side]],"Raintree Front")</f>
        <v>0</v>
      </c>
      <c r="K42" s="200">
        <f>SUMIFS(Upload_Indiv[Bird7],Upload_Indiv[[Player]:[Player]],$A42,Upload_Indiv[[Side]:[Side]],"Raintree Front")</f>
        <v>0</v>
      </c>
      <c r="L42" s="200">
        <f>SUMIFS(Upload_Indiv[Bird8],Upload_Indiv[[Player]:[Player]],$A42,Upload_Indiv[[Side]:[Side]],"Raintree Front")</f>
        <v>0</v>
      </c>
      <c r="M42" s="200">
        <f>SUMIFS(Upload_Indiv[Bird9],Upload_Indiv[[Player]:[Player]],$A42,Upload_Indiv[[Side]:[Side]],"Raintree Front")</f>
        <v>0</v>
      </c>
      <c r="N42" s="200">
        <f>SUMIFS(Upload_Indiv[Bird1],Upload_Indiv[[Player]:[Player]],$A42,Upload_Indiv[[Side]:[Side]],"Raintree Back")</f>
        <v>0</v>
      </c>
      <c r="O42" s="200">
        <f>SUMIFS(Upload_Indiv[Bird2],Upload_Indiv[[Player]:[Player]],$A42,Upload_Indiv[[Side]:[Side]],"Raintree Back")</f>
        <v>0</v>
      </c>
      <c r="P42" s="200">
        <f>SUMIFS(Upload_Indiv[Bird3],Upload_Indiv[[Player]:[Player]],$A42,Upload_Indiv[[Side]:[Side]],"Raintree Back")</f>
        <v>0</v>
      </c>
      <c r="Q42" s="200">
        <f>SUMIFS(Upload_Indiv[Bird4],Upload_Indiv[[Player]:[Player]],$A42,Upload_Indiv[[Side]:[Side]],"Raintree Back")</f>
        <v>0</v>
      </c>
      <c r="R42" s="200">
        <f>SUMIFS(Upload_Indiv[Bird5],Upload_Indiv[[Player]:[Player]],$A42,Upload_Indiv[[Side]:[Side]],"Raintree Back")</f>
        <v>0</v>
      </c>
      <c r="S42" s="200">
        <f>SUMIFS(Upload_Indiv[Bird6],Upload_Indiv[[Player]:[Player]],$A42,Upload_Indiv[[Side]:[Side]],"Raintree Back")</f>
        <v>0</v>
      </c>
      <c r="T42" s="200">
        <f>SUMIFS(Upload_Indiv[Bird7],Upload_Indiv[[Player]:[Player]],$A42,Upload_Indiv[[Side]:[Side]],"Raintree Back")</f>
        <v>0</v>
      </c>
      <c r="U42" s="200">
        <f>SUMIFS(Upload_Indiv[Bird8],Upload_Indiv[[Player]:[Player]],$A42,Upload_Indiv[[Side]:[Side]],"Raintree Back")</f>
        <v>0</v>
      </c>
      <c r="V42" s="200">
        <f>SUMIFS(Upload_Indiv[Bird9],Upload_Indiv[[Player]:[Player]],$A42,Upload_Indiv[[Side]:[Side]],"Raintree Back")</f>
        <v>0</v>
      </c>
    </row>
    <row r="43" spans="1:22" ht="13.2" x14ac:dyDescent="0.25">
      <c r="A43"/>
      <c r="B43"/>
      <c r="C43" s="199"/>
      <c r="D43" s="200"/>
      <c r="E43" s="200">
        <f>SUMIFS(Upload_Indiv[Bird1],Upload_Indiv[[Player]:[Player]],$A43,Upload_Indiv[[Side]:[Side]],"Raintree Front")</f>
        <v>0</v>
      </c>
      <c r="F43" s="200">
        <f>SUMIFS(Upload_Indiv[Bird2],Upload_Indiv[[Player]:[Player]],$A43,Upload_Indiv[[Side]:[Side]],"Raintree Front")</f>
        <v>0</v>
      </c>
      <c r="G43" s="200">
        <f>SUMIFS(Upload_Indiv[Bird3],Upload_Indiv[[Player]:[Player]],$A43,Upload_Indiv[[Side]:[Side]],"Raintree Front")</f>
        <v>0</v>
      </c>
      <c r="H43" s="200">
        <f>SUMIFS(Upload_Indiv[Bird4],Upload_Indiv[[Player]:[Player]],$A43,Upload_Indiv[[Side]:[Side]],"Raintree Front")</f>
        <v>0</v>
      </c>
      <c r="I43" s="200">
        <f>SUMIFS(Upload_Indiv[Bird5],Upload_Indiv[[Player]:[Player]],$A43,Upload_Indiv[[Side]:[Side]],"Raintree Front")</f>
        <v>0</v>
      </c>
      <c r="J43" s="200">
        <f>SUMIFS(Upload_Indiv[Bird6],Upload_Indiv[[Player]:[Player]],$A43,Upload_Indiv[[Side]:[Side]],"Raintree Front")</f>
        <v>0</v>
      </c>
      <c r="K43" s="200">
        <f>SUMIFS(Upload_Indiv[Bird7],Upload_Indiv[[Player]:[Player]],$A43,Upload_Indiv[[Side]:[Side]],"Raintree Front")</f>
        <v>0</v>
      </c>
      <c r="L43" s="200">
        <f>SUMIFS(Upload_Indiv[Bird8],Upload_Indiv[[Player]:[Player]],$A43,Upload_Indiv[[Side]:[Side]],"Raintree Front")</f>
        <v>0</v>
      </c>
      <c r="M43" s="200">
        <f>SUMIFS(Upload_Indiv[Bird9],Upload_Indiv[[Player]:[Player]],$A43,Upload_Indiv[[Side]:[Side]],"Raintree Front")</f>
        <v>0</v>
      </c>
      <c r="N43" s="200">
        <f>SUMIFS(Upload_Indiv[Bird1],Upload_Indiv[[Player]:[Player]],$A43,Upload_Indiv[[Side]:[Side]],"Raintree Back")</f>
        <v>0</v>
      </c>
      <c r="O43" s="200">
        <f>SUMIFS(Upload_Indiv[Bird2],Upload_Indiv[[Player]:[Player]],$A43,Upload_Indiv[[Side]:[Side]],"Raintree Back")</f>
        <v>0</v>
      </c>
      <c r="P43" s="200">
        <f>SUMIFS(Upload_Indiv[Bird3],Upload_Indiv[[Player]:[Player]],$A43,Upload_Indiv[[Side]:[Side]],"Raintree Back")</f>
        <v>0</v>
      </c>
      <c r="Q43" s="200">
        <f>SUMIFS(Upload_Indiv[Bird4],Upload_Indiv[[Player]:[Player]],$A43,Upload_Indiv[[Side]:[Side]],"Raintree Back")</f>
        <v>0</v>
      </c>
      <c r="R43" s="200">
        <f>SUMIFS(Upload_Indiv[Bird5],Upload_Indiv[[Player]:[Player]],$A43,Upload_Indiv[[Side]:[Side]],"Raintree Back")</f>
        <v>0</v>
      </c>
      <c r="S43" s="200">
        <f>SUMIFS(Upload_Indiv[Bird6],Upload_Indiv[[Player]:[Player]],$A43,Upload_Indiv[[Side]:[Side]],"Raintree Back")</f>
        <v>0</v>
      </c>
      <c r="T43" s="200">
        <f>SUMIFS(Upload_Indiv[Bird7],Upload_Indiv[[Player]:[Player]],$A43,Upload_Indiv[[Side]:[Side]],"Raintree Back")</f>
        <v>0</v>
      </c>
      <c r="U43" s="200">
        <f>SUMIFS(Upload_Indiv[Bird8],Upload_Indiv[[Player]:[Player]],$A43,Upload_Indiv[[Side]:[Side]],"Raintree Back")</f>
        <v>0</v>
      </c>
      <c r="V43" s="200">
        <f>SUMIFS(Upload_Indiv[Bird9],Upload_Indiv[[Player]:[Player]],$A43,Upload_Indiv[[Side]:[Side]],"Raintree Back")</f>
        <v>0</v>
      </c>
    </row>
    <row r="44" spans="1:22" ht="13.2" x14ac:dyDescent="0.25">
      <c r="A44"/>
      <c r="B44"/>
      <c r="C44" s="199"/>
      <c r="D44" s="200"/>
      <c r="E44" s="200">
        <f>SUMIFS(Upload_Indiv[Bird1],Upload_Indiv[[Player]:[Player]],$A44,Upload_Indiv[[Side]:[Side]],"Raintree Front")</f>
        <v>0</v>
      </c>
      <c r="F44" s="200">
        <f>SUMIFS(Upload_Indiv[Bird2],Upload_Indiv[[Player]:[Player]],$A44,Upload_Indiv[[Side]:[Side]],"Raintree Front")</f>
        <v>0</v>
      </c>
      <c r="G44" s="200">
        <f>SUMIFS(Upload_Indiv[Bird3],Upload_Indiv[[Player]:[Player]],$A44,Upload_Indiv[[Side]:[Side]],"Raintree Front")</f>
        <v>0</v>
      </c>
      <c r="H44" s="200">
        <f>SUMIFS(Upload_Indiv[Bird4],Upload_Indiv[[Player]:[Player]],$A44,Upload_Indiv[[Side]:[Side]],"Raintree Front")</f>
        <v>0</v>
      </c>
      <c r="I44" s="200">
        <f>SUMIFS(Upload_Indiv[Bird5],Upload_Indiv[[Player]:[Player]],$A44,Upload_Indiv[[Side]:[Side]],"Raintree Front")</f>
        <v>0</v>
      </c>
      <c r="J44" s="200">
        <f>SUMIFS(Upload_Indiv[Bird6],Upload_Indiv[[Player]:[Player]],$A44,Upload_Indiv[[Side]:[Side]],"Raintree Front")</f>
        <v>0</v>
      </c>
      <c r="K44" s="200">
        <f>SUMIFS(Upload_Indiv[Bird7],Upload_Indiv[[Player]:[Player]],$A44,Upload_Indiv[[Side]:[Side]],"Raintree Front")</f>
        <v>0</v>
      </c>
      <c r="L44" s="200">
        <f>SUMIFS(Upload_Indiv[Bird8],Upload_Indiv[[Player]:[Player]],$A44,Upload_Indiv[[Side]:[Side]],"Raintree Front")</f>
        <v>0</v>
      </c>
      <c r="M44" s="200">
        <f>SUMIFS(Upload_Indiv[Bird9],Upload_Indiv[[Player]:[Player]],$A44,Upload_Indiv[[Side]:[Side]],"Raintree Front")</f>
        <v>0</v>
      </c>
      <c r="N44" s="200">
        <f>SUMIFS(Upload_Indiv[Bird1],Upload_Indiv[[Player]:[Player]],$A44,Upload_Indiv[[Side]:[Side]],"Raintree Back")</f>
        <v>0</v>
      </c>
      <c r="O44" s="200">
        <f>SUMIFS(Upload_Indiv[Bird2],Upload_Indiv[[Player]:[Player]],$A44,Upload_Indiv[[Side]:[Side]],"Raintree Back")</f>
        <v>0</v>
      </c>
      <c r="P44" s="200">
        <f>SUMIFS(Upload_Indiv[Bird3],Upload_Indiv[[Player]:[Player]],$A44,Upload_Indiv[[Side]:[Side]],"Raintree Back")</f>
        <v>0</v>
      </c>
      <c r="Q44" s="200">
        <f>SUMIFS(Upload_Indiv[Bird4],Upload_Indiv[[Player]:[Player]],$A44,Upload_Indiv[[Side]:[Side]],"Raintree Back")</f>
        <v>0</v>
      </c>
      <c r="R44" s="200">
        <f>SUMIFS(Upload_Indiv[Bird5],Upload_Indiv[[Player]:[Player]],$A44,Upload_Indiv[[Side]:[Side]],"Raintree Back")</f>
        <v>0</v>
      </c>
      <c r="S44" s="200">
        <f>SUMIFS(Upload_Indiv[Bird6],Upload_Indiv[[Player]:[Player]],$A44,Upload_Indiv[[Side]:[Side]],"Raintree Back")</f>
        <v>0</v>
      </c>
      <c r="T44" s="200">
        <f>SUMIFS(Upload_Indiv[Bird7],Upload_Indiv[[Player]:[Player]],$A44,Upload_Indiv[[Side]:[Side]],"Raintree Back")</f>
        <v>0</v>
      </c>
      <c r="U44" s="200">
        <f>SUMIFS(Upload_Indiv[Bird8],Upload_Indiv[[Player]:[Player]],$A44,Upload_Indiv[[Side]:[Side]],"Raintree Back")</f>
        <v>0</v>
      </c>
      <c r="V44" s="200">
        <f>SUMIFS(Upload_Indiv[Bird9],Upload_Indiv[[Player]:[Player]],$A44,Upload_Indiv[[Side]:[Side]],"Raintree Back")</f>
        <v>0</v>
      </c>
    </row>
    <row r="45" spans="1:22" ht="13.2" x14ac:dyDescent="0.25">
      <c r="A45"/>
      <c r="B45"/>
      <c r="C45" s="199"/>
      <c r="D45" s="200"/>
      <c r="E45" s="200">
        <f>SUMIFS(Upload_Indiv[Bird1],Upload_Indiv[[Player]:[Player]],$A45,Upload_Indiv[[Side]:[Side]],"Raintree Front")</f>
        <v>0</v>
      </c>
      <c r="F45" s="200">
        <f>SUMIFS(Upload_Indiv[Bird2],Upload_Indiv[[Player]:[Player]],$A45,Upload_Indiv[[Side]:[Side]],"Raintree Front")</f>
        <v>0</v>
      </c>
      <c r="G45" s="200">
        <f>SUMIFS(Upload_Indiv[Bird3],Upload_Indiv[[Player]:[Player]],$A45,Upload_Indiv[[Side]:[Side]],"Raintree Front")</f>
        <v>0</v>
      </c>
      <c r="H45" s="200">
        <f>SUMIFS(Upload_Indiv[Bird4],Upload_Indiv[[Player]:[Player]],$A45,Upload_Indiv[[Side]:[Side]],"Raintree Front")</f>
        <v>0</v>
      </c>
      <c r="I45" s="200">
        <f>SUMIFS(Upload_Indiv[Bird5],Upload_Indiv[[Player]:[Player]],$A45,Upload_Indiv[[Side]:[Side]],"Raintree Front")</f>
        <v>0</v>
      </c>
      <c r="J45" s="200">
        <f>SUMIFS(Upload_Indiv[Bird6],Upload_Indiv[[Player]:[Player]],$A45,Upload_Indiv[[Side]:[Side]],"Raintree Front")</f>
        <v>0</v>
      </c>
      <c r="K45" s="200">
        <f>SUMIFS(Upload_Indiv[Bird7],Upload_Indiv[[Player]:[Player]],$A45,Upload_Indiv[[Side]:[Side]],"Raintree Front")</f>
        <v>0</v>
      </c>
      <c r="L45" s="200">
        <f>SUMIFS(Upload_Indiv[Bird8],Upload_Indiv[[Player]:[Player]],$A45,Upload_Indiv[[Side]:[Side]],"Raintree Front")</f>
        <v>0</v>
      </c>
      <c r="M45" s="200">
        <f>SUMIFS(Upload_Indiv[Bird9],Upload_Indiv[[Player]:[Player]],$A45,Upload_Indiv[[Side]:[Side]],"Raintree Front")</f>
        <v>0</v>
      </c>
      <c r="N45" s="200">
        <f>SUMIFS(Upload_Indiv[Bird1],Upload_Indiv[[Player]:[Player]],$A45,Upload_Indiv[[Side]:[Side]],"Raintree Back")</f>
        <v>0</v>
      </c>
      <c r="O45" s="200">
        <f>SUMIFS(Upload_Indiv[Bird2],Upload_Indiv[[Player]:[Player]],$A45,Upload_Indiv[[Side]:[Side]],"Raintree Back")</f>
        <v>0</v>
      </c>
      <c r="P45" s="200">
        <f>SUMIFS(Upload_Indiv[Bird3],Upload_Indiv[[Player]:[Player]],$A45,Upload_Indiv[[Side]:[Side]],"Raintree Back")</f>
        <v>0</v>
      </c>
      <c r="Q45" s="200">
        <f>SUMIFS(Upload_Indiv[Bird4],Upload_Indiv[[Player]:[Player]],$A45,Upload_Indiv[[Side]:[Side]],"Raintree Back")</f>
        <v>0</v>
      </c>
      <c r="R45" s="200">
        <f>SUMIFS(Upload_Indiv[Bird5],Upload_Indiv[[Player]:[Player]],$A45,Upload_Indiv[[Side]:[Side]],"Raintree Back")</f>
        <v>0</v>
      </c>
      <c r="S45" s="200">
        <f>SUMIFS(Upload_Indiv[Bird6],Upload_Indiv[[Player]:[Player]],$A45,Upload_Indiv[[Side]:[Side]],"Raintree Back")</f>
        <v>0</v>
      </c>
      <c r="T45" s="200">
        <f>SUMIFS(Upload_Indiv[Bird7],Upload_Indiv[[Player]:[Player]],$A45,Upload_Indiv[[Side]:[Side]],"Raintree Back")</f>
        <v>0</v>
      </c>
      <c r="U45" s="200">
        <f>SUMIFS(Upload_Indiv[Bird8],Upload_Indiv[[Player]:[Player]],$A45,Upload_Indiv[[Side]:[Side]],"Raintree Back")</f>
        <v>0</v>
      </c>
      <c r="V45" s="200">
        <f>SUMIFS(Upload_Indiv[Bird9],Upload_Indiv[[Player]:[Player]],$A45,Upload_Indiv[[Side]:[Side]],"Raintree Back")</f>
        <v>0</v>
      </c>
    </row>
  </sheetData>
  <mergeCells count="3">
    <mergeCell ref="A3:V3"/>
    <mergeCell ref="A2:V2"/>
    <mergeCell ref="A1:V1"/>
  </mergeCells>
  <conditionalFormatting sqref="E8:V45">
    <cfRule type="cellIs" dxfId="256" priority="7" operator="equal">
      <formula>0</formula>
    </cfRule>
  </conditionalFormatting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DCDA7-ADA5-4E67-BB0A-7672685FDD24}">
  <sheetPr codeName="Sheet18"/>
  <dimension ref="A1:V33"/>
  <sheetViews>
    <sheetView workbookViewId="0">
      <selection sqref="A1:V1"/>
    </sheetView>
  </sheetViews>
  <sheetFormatPr defaultRowHeight="13.2" x14ac:dyDescent="0.25"/>
  <cols>
    <col min="1" max="1" width="10.6640625" bestFit="1" customWidth="1"/>
    <col min="2" max="2" width="13.33203125" style="2" bestFit="1" customWidth="1"/>
    <col min="3" max="3" width="17.5546875" hidden="1" customWidth="1"/>
    <col min="5" max="22" width="5.5546875" customWidth="1"/>
  </cols>
  <sheetData>
    <row r="1" spans="1:22" s="153" customFormat="1" ht="15.6" x14ac:dyDescent="0.3">
      <c r="A1" s="445" t="s">
        <v>0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</row>
    <row r="2" spans="1:22" s="153" customFormat="1" ht="15.6" x14ac:dyDescent="0.3">
      <c r="A2" s="445" t="s">
        <v>1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</row>
    <row r="3" spans="1:22" s="153" customFormat="1" ht="15.6" x14ac:dyDescent="0.3">
      <c r="A3" s="445">
        <v>2024</v>
      </c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</row>
    <row r="4" spans="1:22" x14ac:dyDescent="0.25">
      <c r="A4" s="180"/>
      <c r="B4" s="181"/>
      <c r="C4" s="182"/>
      <c r="D4" s="183" t="s">
        <v>94</v>
      </c>
      <c r="E4" s="184">
        <v>3</v>
      </c>
      <c r="F4" s="184">
        <v>13</v>
      </c>
      <c r="G4" s="185">
        <v>5</v>
      </c>
      <c r="H4" s="184">
        <v>15</v>
      </c>
      <c r="I4" s="184">
        <v>17</v>
      </c>
      <c r="J4" s="185">
        <v>1</v>
      </c>
      <c r="K4" s="184">
        <v>9</v>
      </c>
      <c r="L4" s="184">
        <v>11</v>
      </c>
      <c r="M4" s="185">
        <v>7</v>
      </c>
      <c r="N4" s="184">
        <v>14</v>
      </c>
      <c r="O4" s="184">
        <v>12</v>
      </c>
      <c r="P4" s="185">
        <v>16</v>
      </c>
      <c r="Q4" s="184">
        <v>4</v>
      </c>
      <c r="R4" s="184">
        <v>6</v>
      </c>
      <c r="S4" s="185">
        <v>10</v>
      </c>
      <c r="T4" s="184">
        <v>18</v>
      </c>
      <c r="U4" s="184">
        <v>2</v>
      </c>
      <c r="V4" s="185">
        <v>8</v>
      </c>
    </row>
    <row r="5" spans="1:22" x14ac:dyDescent="0.25">
      <c r="A5" s="180"/>
      <c r="B5" s="181"/>
      <c r="C5" s="182"/>
      <c r="D5" s="183" t="s">
        <v>95</v>
      </c>
      <c r="E5" s="184">
        <v>4</v>
      </c>
      <c r="F5" s="184">
        <v>5</v>
      </c>
      <c r="G5" s="185">
        <v>4</v>
      </c>
      <c r="H5" s="184">
        <v>3</v>
      </c>
      <c r="I5" s="184">
        <v>4</v>
      </c>
      <c r="J5" s="185">
        <v>4</v>
      </c>
      <c r="K5" s="184">
        <v>5</v>
      </c>
      <c r="L5" s="184">
        <v>3</v>
      </c>
      <c r="M5" s="185">
        <v>4</v>
      </c>
      <c r="N5" s="184">
        <v>4</v>
      </c>
      <c r="O5" s="184">
        <v>3</v>
      </c>
      <c r="P5" s="185">
        <v>4</v>
      </c>
      <c r="Q5" s="184">
        <v>4</v>
      </c>
      <c r="R5" s="184">
        <v>4</v>
      </c>
      <c r="S5" s="185">
        <v>5</v>
      </c>
      <c r="T5" s="184">
        <v>3</v>
      </c>
      <c r="U5" s="184">
        <v>4</v>
      </c>
      <c r="V5" s="185">
        <v>5</v>
      </c>
    </row>
    <row r="6" spans="1:22" x14ac:dyDescent="0.25">
      <c r="A6" s="186" t="s">
        <v>83</v>
      </c>
      <c r="B6" s="186" t="s">
        <v>69</v>
      </c>
      <c r="C6" s="186"/>
      <c r="D6" s="187" t="s">
        <v>96</v>
      </c>
      <c r="E6" s="186">
        <v>1</v>
      </c>
      <c r="F6" s="186">
        <v>2</v>
      </c>
      <c r="G6" s="188">
        <v>3</v>
      </c>
      <c r="H6" s="186">
        <v>4</v>
      </c>
      <c r="I6" s="186">
        <v>5</v>
      </c>
      <c r="J6" s="188">
        <v>6</v>
      </c>
      <c r="K6" s="186">
        <v>7</v>
      </c>
      <c r="L6" s="186">
        <v>8</v>
      </c>
      <c r="M6" s="188">
        <v>9</v>
      </c>
      <c r="N6" s="186">
        <v>10</v>
      </c>
      <c r="O6" s="186">
        <v>11</v>
      </c>
      <c r="P6" s="188">
        <v>12</v>
      </c>
      <c r="Q6" s="186">
        <v>13</v>
      </c>
      <c r="R6" s="186">
        <v>14</v>
      </c>
      <c r="S6" s="188">
        <v>15</v>
      </c>
      <c r="T6" s="186">
        <v>16</v>
      </c>
      <c r="U6" s="186">
        <v>17</v>
      </c>
      <c r="V6" s="188">
        <v>18</v>
      </c>
    </row>
    <row r="7" spans="1:22" hidden="1" x14ac:dyDescent="0.25">
      <c r="A7" s="189" t="s">
        <v>97</v>
      </c>
      <c r="B7" s="190" t="s">
        <v>104</v>
      </c>
      <c r="C7" s="190" t="s">
        <v>99</v>
      </c>
      <c r="D7" s="191"/>
      <c r="E7" s="182"/>
      <c r="F7" s="182"/>
      <c r="G7" s="192"/>
      <c r="H7" s="182"/>
      <c r="I7" s="182"/>
      <c r="J7" s="192"/>
      <c r="K7" s="182"/>
      <c r="L7" s="182"/>
      <c r="M7" s="192"/>
      <c r="N7" s="182"/>
      <c r="O7" s="182"/>
      <c r="P7" s="192"/>
      <c r="Q7" s="182"/>
      <c r="R7" s="182"/>
      <c r="S7" s="192"/>
      <c r="T7" s="182"/>
      <c r="U7" s="182"/>
      <c r="V7" s="192"/>
    </row>
    <row r="8" spans="1:22" x14ac:dyDescent="0.25">
      <c r="A8" s="453" t="s">
        <v>153</v>
      </c>
      <c r="B8" s="454">
        <v>1</v>
      </c>
      <c r="C8" s="193">
        <f>SUMIFS(Upload_Indiv[Tot_Eagles],Upload_Indiv[[Player]:[Player]],$A8)</f>
        <v>1</v>
      </c>
      <c r="D8" s="194"/>
      <c r="E8" s="195">
        <f>SUMIFS(Upload_Indiv[Eagle1],Upload_Indiv[[Player]:[Player]],$A8,Upload_Indiv[[Side]:[Side]],"Raintree Front")</f>
        <v>0</v>
      </c>
      <c r="F8" s="195">
        <f>SUMIFS(Upload_Indiv[Eagle2],Upload_Indiv[[Player]:[Player]],$A8,Upload_Indiv[[Side]:[Side]],"Raintree Front")</f>
        <v>0</v>
      </c>
      <c r="G8" s="194">
        <f>SUMIFS(Upload_Indiv[Eagle3],Upload_Indiv[[Player]:[Player]],$A8,Upload_Indiv[[Side]:[Side]],"Raintree Front")</f>
        <v>0</v>
      </c>
      <c r="H8" s="195">
        <f>SUMIFS(Upload_Indiv[Eagle4],Upload_Indiv[[Player]:[Player]],$A8,Upload_Indiv[[Side]:[Side]],"Raintree Front")</f>
        <v>0</v>
      </c>
      <c r="I8" s="195">
        <f>SUMIFS(Upload_Indiv[Eagle5],Upload_Indiv[[Player]:[Player]],$A8,Upload_Indiv[[Side]:[Side]],"Raintree Front")</f>
        <v>0</v>
      </c>
      <c r="J8" s="194">
        <f>SUMIFS(Upload_Indiv[Eagle6],Upload_Indiv[[Player]:[Player]],$A8,Upload_Indiv[[Side]:[Side]],"Raintree Front")</f>
        <v>0</v>
      </c>
      <c r="K8" s="195">
        <f>SUMIFS(Upload_Indiv[Eagle7],Upload_Indiv[[Player]:[Player]],$A8,Upload_Indiv[[Side]:[Side]],"Raintree Front")</f>
        <v>0</v>
      </c>
      <c r="L8" s="195">
        <f>SUMIFS(Upload_Indiv[Eagle8],Upload_Indiv[[Player]:[Player]],$A8,Upload_Indiv[[Side]:[Side]],"Raintree Front")</f>
        <v>0</v>
      </c>
      <c r="M8" s="194">
        <f>SUMIFS(Upload_Indiv[Eagle9],Upload_Indiv[[Player]:[Player]],$A8,Upload_Indiv[[Side]:[Side]],"Raintree Front")</f>
        <v>0</v>
      </c>
      <c r="N8" s="195">
        <f>SUMIFS(Upload_Indiv[Eagle1],Upload_Indiv[[Player]:[Player]],$A8,Upload_Indiv[[Side]:[Side]],"Raintree Back")</f>
        <v>0</v>
      </c>
      <c r="O8" s="195">
        <f>SUMIFS(Upload_Indiv[Eagle2],Upload_Indiv[[Player]:[Player]],$A8,Upload_Indiv[[Side]:[Side]],"Raintree Back")</f>
        <v>0</v>
      </c>
      <c r="P8" s="194">
        <f>SUMIFS(Upload_Indiv[Eagle3],Upload_Indiv[[Player]:[Player]],$A8,Upload_Indiv[[Side]:[Side]],"Raintree Back")</f>
        <v>0</v>
      </c>
      <c r="Q8" s="195">
        <f>SUMIFS(Upload_Indiv[Eagle4],Upload_Indiv[[Player]:[Player]],$A8,Upload_Indiv[[Side]:[Side]],"Raintree Back")</f>
        <v>0</v>
      </c>
      <c r="R8" s="195">
        <f>SUMIFS(Upload_Indiv[Eagle5],Upload_Indiv[[Player]:[Player]],$A8,Upload_Indiv[[Side]:[Side]],"Raintree Back")</f>
        <v>0</v>
      </c>
      <c r="S8" s="194">
        <f>SUMIFS(Upload_Indiv[Eagle6],Upload_Indiv[[Player]:[Player]],$A8,Upload_Indiv[[Side]:[Side]],"Raintree Back")</f>
        <v>1</v>
      </c>
      <c r="T8" s="195">
        <f>SUMIFS(Upload_Indiv[Eagle7],Upload_Indiv[[Player]:[Player]],$A8,Upload_Indiv[[Side]:[Side]],"Raintree Back")</f>
        <v>0</v>
      </c>
      <c r="U8" s="195">
        <f>SUMIFS(Upload_Indiv[Eagle8],Upload_Indiv[[Player]:[Player]],$A8,Upload_Indiv[[Side]:[Side]],"Raintree Back")</f>
        <v>0</v>
      </c>
      <c r="V8" s="194">
        <f>SUMIFS(Upload_Indiv[Eagle9],Upload_Indiv[[Player]:[Player]],$A8,Upload_Indiv[[Side]:[Side]],"Raintree Back")</f>
        <v>0</v>
      </c>
    </row>
    <row r="9" spans="1:22" x14ac:dyDescent="0.25">
      <c r="A9" s="361" t="s">
        <v>433</v>
      </c>
      <c r="B9" s="452">
        <v>1</v>
      </c>
      <c r="C9" s="182"/>
      <c r="D9" s="194"/>
      <c r="E9" s="195">
        <f>SUMIFS(Upload_Indiv[Eagle1],Upload_Indiv[[Player]:[Player]],$A9,Upload_Indiv[[Side]:[Side]],"Raintree Front")</f>
        <v>0</v>
      </c>
      <c r="F9" s="195">
        <f>SUMIFS(Upload_Indiv[Eagle2],Upload_Indiv[[Player]:[Player]],$A9,Upload_Indiv[[Side]:[Side]],"Raintree Front")</f>
        <v>1</v>
      </c>
      <c r="G9" s="194">
        <f>SUMIFS(Upload_Indiv[Eagle3],Upload_Indiv[[Player]:[Player]],$A9,Upload_Indiv[[Side]:[Side]],"Raintree Front")</f>
        <v>0</v>
      </c>
      <c r="H9" s="195">
        <f>SUMIFS(Upload_Indiv[Eagle4],Upload_Indiv[[Player]:[Player]],$A9,Upload_Indiv[[Side]:[Side]],"Raintree Front")</f>
        <v>0</v>
      </c>
      <c r="I9" s="195">
        <f>SUMIFS(Upload_Indiv[Eagle5],Upload_Indiv[[Player]:[Player]],$A9,Upload_Indiv[[Side]:[Side]],"Raintree Front")</f>
        <v>0</v>
      </c>
      <c r="J9" s="194">
        <f>SUMIFS(Upload_Indiv[Eagle6],Upload_Indiv[[Player]:[Player]],$A9,Upload_Indiv[[Side]:[Side]],"Raintree Front")</f>
        <v>0</v>
      </c>
      <c r="K9" s="195">
        <f>SUMIFS(Upload_Indiv[Eagle7],Upload_Indiv[[Player]:[Player]],$A9,Upload_Indiv[[Side]:[Side]],"Raintree Front")</f>
        <v>0</v>
      </c>
      <c r="L9" s="195">
        <f>SUMIFS(Upload_Indiv[Eagle8],Upload_Indiv[[Player]:[Player]],$A9,Upload_Indiv[[Side]:[Side]],"Raintree Front")</f>
        <v>0</v>
      </c>
      <c r="M9" s="194">
        <f>SUMIFS(Upload_Indiv[Eagle9],Upload_Indiv[[Player]:[Player]],$A9,Upload_Indiv[[Side]:[Side]],"Raintree Front")</f>
        <v>0</v>
      </c>
      <c r="N9" s="195">
        <f>SUMIFS(Upload_Indiv[Eagle1],Upload_Indiv[[Player]:[Player]],$A9,Upload_Indiv[[Side]:[Side]],"Raintree Back")</f>
        <v>0</v>
      </c>
      <c r="O9" s="195">
        <f>SUMIFS(Upload_Indiv[Eagle2],Upload_Indiv[[Player]:[Player]],$A9,Upload_Indiv[[Side]:[Side]],"Raintree Back")</f>
        <v>0</v>
      </c>
      <c r="P9" s="194">
        <f>SUMIFS(Upload_Indiv[Eagle3],Upload_Indiv[[Player]:[Player]],$A9,Upload_Indiv[[Side]:[Side]],"Raintree Back")</f>
        <v>0</v>
      </c>
      <c r="Q9" s="195">
        <f>SUMIFS(Upload_Indiv[Eagle4],Upload_Indiv[[Player]:[Player]],$A9,Upload_Indiv[[Side]:[Side]],"Raintree Back")</f>
        <v>0</v>
      </c>
      <c r="R9" s="195">
        <f>SUMIFS(Upload_Indiv[Eagle5],Upload_Indiv[[Player]:[Player]],$A9,Upload_Indiv[[Side]:[Side]],"Raintree Back")</f>
        <v>0</v>
      </c>
      <c r="S9" s="194">
        <f>SUMIFS(Upload_Indiv[Eagle6],Upload_Indiv[[Player]:[Player]],$A9,Upload_Indiv[[Side]:[Side]],"Raintree Back")</f>
        <v>0</v>
      </c>
      <c r="T9" s="195">
        <f>SUMIFS(Upload_Indiv[Eagle7],Upload_Indiv[[Player]:[Player]],$A9,Upload_Indiv[[Side]:[Side]],"Raintree Back")</f>
        <v>0</v>
      </c>
      <c r="U9" s="195">
        <f>SUMIFS(Upload_Indiv[Eagle8],Upload_Indiv[[Player]:[Player]],$A9,Upload_Indiv[[Side]:[Side]],"Raintree Back")</f>
        <v>0</v>
      </c>
      <c r="V9" s="194">
        <f>SUMIFS(Upload_Indiv[Eagle9],Upload_Indiv[[Player]:[Player]],$A9,Upload_Indiv[[Side]:[Side]],"Raintree Back")</f>
        <v>0</v>
      </c>
    </row>
    <row r="10" spans="1:22" x14ac:dyDescent="0.25">
      <c r="A10" s="196" t="s">
        <v>103</v>
      </c>
      <c r="B10" s="452">
        <v>2</v>
      </c>
      <c r="C10" s="182"/>
      <c r="D10" s="200"/>
      <c r="E10" s="200">
        <f>SUMIFS(Upload_Indiv[Bird1],Upload_Indiv[[Player]:[Player]],$A10,Upload_Indiv[[Side]:[Side]],"Skyland Front")</f>
        <v>0</v>
      </c>
      <c r="F10" s="200">
        <f>SUMIFS(Upload_Indiv[Bird2],Upload_Indiv[[Player]:[Player]],$A10,Upload_Indiv[[Side]:[Side]],"Skyland Front")</f>
        <v>0</v>
      </c>
      <c r="G10" s="200">
        <f>SUMIFS(Upload_Indiv[Bird3],Upload_Indiv[[Player]:[Player]],$A10,Upload_Indiv[[Side]:[Side]],"Skyland Front")</f>
        <v>0</v>
      </c>
      <c r="H10" s="200">
        <f>SUMIFS(Upload_Indiv[Bird4],Upload_Indiv[[Player]:[Player]],$A10,Upload_Indiv[[Side]:[Side]],"Skyland Front")</f>
        <v>0</v>
      </c>
      <c r="I10" s="200">
        <f>SUMIFS(Upload_Indiv[Bird5],Upload_Indiv[[Player]:[Player]],$A10,Upload_Indiv[[Side]:[Side]],"Skyland Front")</f>
        <v>0</v>
      </c>
      <c r="J10" s="200">
        <f>SUMIFS(Upload_Indiv[Bird6],Upload_Indiv[[Player]:[Player]],$A10,Upload_Indiv[[Side]:[Side]],"Skyland Front")</f>
        <v>0</v>
      </c>
      <c r="K10" s="200">
        <f>SUMIFS(Upload_Indiv[Bird7],Upload_Indiv[[Player]:[Player]],$A10,Upload_Indiv[[Side]:[Side]],"Skyland Front")</f>
        <v>0</v>
      </c>
      <c r="L10" s="200">
        <f>SUMIFS(Upload_Indiv[Bird8],Upload_Indiv[[Player]:[Player]],$A10,Upload_Indiv[[Side]:[Side]],"Skyland Front")</f>
        <v>0</v>
      </c>
      <c r="M10" s="200">
        <f>SUMIFS(Upload_Indiv[Bird9],Upload_Indiv[[Player]:[Player]],$A10,Upload_Indiv[[Side]:[Side]],"Skyland Front")</f>
        <v>0</v>
      </c>
      <c r="N10" s="200">
        <f>SUMIFS(Upload_Indiv[Bird1],Upload_Indiv[[Player]:[Player]],$A10,Upload_Indiv[[Side]:[Side]],"Skyland Back")</f>
        <v>0</v>
      </c>
      <c r="O10" s="200">
        <f>SUMIFS(Upload_Indiv[Bird2],Upload_Indiv[[Player]:[Player]],$A10,Upload_Indiv[[Side]:[Side]],"Skyland Back")</f>
        <v>0</v>
      </c>
      <c r="P10" s="200">
        <f>SUMIFS(Upload_Indiv[Bird3],Upload_Indiv[[Player]:[Player]],$A10,Upload_Indiv[[Side]:[Side]],"Skyland Back")</f>
        <v>0</v>
      </c>
      <c r="Q10" s="200">
        <f>SUMIFS(Upload_Indiv[Bird4],Upload_Indiv[[Player]:[Player]],$A10,Upload_Indiv[[Side]:[Side]],"Skyland Back")</f>
        <v>0</v>
      </c>
      <c r="R10" s="200">
        <f>SUMIFS(Upload_Indiv[Bird5],Upload_Indiv[[Player]:[Player]],$A10,Upload_Indiv[[Side]:[Side]],"Skyland Back")</f>
        <v>0</v>
      </c>
      <c r="S10" s="200">
        <f>SUMIFS(Upload_Indiv[Bird6],Upload_Indiv[[Player]:[Player]],$A10,Upload_Indiv[[Side]:[Side]],"Skyland Back")</f>
        <v>0</v>
      </c>
      <c r="T10" s="200">
        <f>SUMIFS(Upload_Indiv[Bird7],Upload_Indiv[[Player]:[Player]],$A10,Upload_Indiv[[Side]:[Side]],"Skyland Back")</f>
        <v>0</v>
      </c>
      <c r="U10" s="200">
        <f>SUMIFS(Upload_Indiv[Bird8],Upload_Indiv[[Player]:[Player]],$A10,Upload_Indiv[[Side]:[Side]],"Skyland Back")</f>
        <v>0</v>
      </c>
      <c r="V10" s="200">
        <f>SUMIFS(Upload_Indiv[Bird9],Upload_Indiv[[Player]:[Player]],$A10,Upload_Indiv[[Side]:[Side]],"Skyland Back")</f>
        <v>0</v>
      </c>
    </row>
    <row r="11" spans="1:22" x14ac:dyDescent="0.25">
      <c r="B11"/>
      <c r="C11" s="182"/>
      <c r="D11" s="200"/>
      <c r="E11" s="200">
        <f>SUMIFS(Upload_Indiv[Bird1],Upload_Indiv[[Player]:[Player]],$A11,Upload_Indiv[[Side]:[Side]],"Skyland Front")</f>
        <v>0</v>
      </c>
      <c r="F11" s="200">
        <f>SUMIFS(Upload_Indiv[Bird2],Upload_Indiv[[Player]:[Player]],$A11,Upload_Indiv[[Side]:[Side]],"Skyland Front")</f>
        <v>0</v>
      </c>
      <c r="G11" s="200">
        <f>SUMIFS(Upload_Indiv[Bird3],Upload_Indiv[[Player]:[Player]],$A11,Upload_Indiv[[Side]:[Side]],"Skyland Front")</f>
        <v>0</v>
      </c>
      <c r="H11" s="200">
        <f>SUMIFS(Upload_Indiv[Bird4],Upload_Indiv[[Player]:[Player]],$A11,Upload_Indiv[[Side]:[Side]],"Skyland Front")</f>
        <v>0</v>
      </c>
      <c r="I11" s="200">
        <f>SUMIFS(Upload_Indiv[Bird5],Upload_Indiv[[Player]:[Player]],$A11,Upload_Indiv[[Side]:[Side]],"Skyland Front")</f>
        <v>0</v>
      </c>
      <c r="J11" s="200">
        <f>SUMIFS(Upload_Indiv[Bird6],Upload_Indiv[[Player]:[Player]],$A11,Upload_Indiv[[Side]:[Side]],"Skyland Front")</f>
        <v>0</v>
      </c>
      <c r="K11" s="200">
        <f>SUMIFS(Upload_Indiv[Bird7],Upload_Indiv[[Player]:[Player]],$A11,Upload_Indiv[[Side]:[Side]],"Skyland Front")</f>
        <v>0</v>
      </c>
      <c r="L11" s="200">
        <f>SUMIFS(Upload_Indiv[Bird8],Upload_Indiv[[Player]:[Player]],$A11,Upload_Indiv[[Side]:[Side]],"Skyland Front")</f>
        <v>0</v>
      </c>
      <c r="M11" s="200">
        <f>SUMIFS(Upload_Indiv[Bird9],Upload_Indiv[[Player]:[Player]],$A11,Upload_Indiv[[Side]:[Side]],"Skyland Front")</f>
        <v>0</v>
      </c>
      <c r="N11" s="200">
        <f>SUMIFS(Upload_Indiv[Bird1],Upload_Indiv[[Player]:[Player]],$A11,Upload_Indiv[[Side]:[Side]],"Skyland Back")</f>
        <v>0</v>
      </c>
      <c r="O11" s="200">
        <f>SUMIFS(Upload_Indiv[Bird2],Upload_Indiv[[Player]:[Player]],$A11,Upload_Indiv[[Side]:[Side]],"Skyland Back")</f>
        <v>0</v>
      </c>
      <c r="P11" s="200">
        <f>SUMIFS(Upload_Indiv[Bird3],Upload_Indiv[[Player]:[Player]],$A11,Upload_Indiv[[Side]:[Side]],"Skyland Back")</f>
        <v>0</v>
      </c>
      <c r="Q11" s="200">
        <f>SUMIFS(Upload_Indiv[Bird4],Upload_Indiv[[Player]:[Player]],$A11,Upload_Indiv[[Side]:[Side]],"Skyland Back")</f>
        <v>0</v>
      </c>
      <c r="R11" s="200">
        <f>SUMIFS(Upload_Indiv[Bird5],Upload_Indiv[[Player]:[Player]],$A11,Upload_Indiv[[Side]:[Side]],"Skyland Back")</f>
        <v>0</v>
      </c>
      <c r="S11" s="200">
        <f>SUMIFS(Upload_Indiv[Bird6],Upload_Indiv[[Player]:[Player]],$A11,Upload_Indiv[[Side]:[Side]],"Skyland Back")</f>
        <v>0</v>
      </c>
      <c r="T11" s="200">
        <f>SUMIFS(Upload_Indiv[Bird7],Upload_Indiv[[Player]:[Player]],$A11,Upload_Indiv[[Side]:[Side]],"Skyland Back")</f>
        <v>0</v>
      </c>
      <c r="U11" s="200">
        <f>SUMIFS(Upload_Indiv[Bird8],Upload_Indiv[[Player]:[Player]],$A11,Upload_Indiv[[Side]:[Side]],"Skyland Back")</f>
        <v>0</v>
      </c>
      <c r="V11" s="200">
        <f>SUMIFS(Upload_Indiv[Bird9],Upload_Indiv[[Player]:[Player]],$A11,Upload_Indiv[[Side]:[Side]],"Skyland Back")</f>
        <v>0</v>
      </c>
    </row>
    <row r="12" spans="1:22" x14ac:dyDescent="0.25">
      <c r="B12"/>
      <c r="C12" s="182"/>
      <c r="D12" s="201"/>
      <c r="E12" s="201">
        <f>SUMIFS(Upload_Indiv[Bird1],Upload_Indiv[[Player]:[Player]],$A12,Upload_Indiv[[Side]:[Side]],"Skyland Front")</f>
        <v>0</v>
      </c>
      <c r="F12" s="201">
        <f>SUMIFS(Upload_Indiv[Bird2],Upload_Indiv[[Player]:[Player]],$A12,Upload_Indiv[[Side]:[Side]],"Skyland Front")</f>
        <v>0</v>
      </c>
      <c r="G12" s="201">
        <f>SUMIFS(Upload_Indiv[Bird3],Upload_Indiv[[Player]:[Player]],$A12,Upload_Indiv[[Side]:[Side]],"Skyland Front")</f>
        <v>0</v>
      </c>
      <c r="H12" s="201">
        <f>SUMIFS(Upload_Indiv[Bird4],Upload_Indiv[[Player]:[Player]],$A12,Upload_Indiv[[Side]:[Side]],"Skyland Front")</f>
        <v>0</v>
      </c>
      <c r="I12" s="201">
        <f>SUMIFS(Upload_Indiv[Bird5],Upload_Indiv[[Player]:[Player]],$A12,Upload_Indiv[[Side]:[Side]],"Skyland Front")</f>
        <v>0</v>
      </c>
      <c r="J12" s="201">
        <f>SUMIFS(Upload_Indiv[Bird6],Upload_Indiv[[Player]:[Player]],$A12,Upload_Indiv[[Side]:[Side]],"Skyland Front")</f>
        <v>0</v>
      </c>
      <c r="K12" s="201">
        <f>SUMIFS(Upload_Indiv[Bird7],Upload_Indiv[[Player]:[Player]],$A12,Upload_Indiv[[Side]:[Side]],"Skyland Front")</f>
        <v>0</v>
      </c>
      <c r="L12" s="201">
        <f>SUMIFS(Upload_Indiv[Bird8],Upload_Indiv[[Player]:[Player]],$A12,Upload_Indiv[[Side]:[Side]],"Skyland Front")</f>
        <v>0</v>
      </c>
      <c r="M12" s="201">
        <f>SUMIFS(Upload_Indiv[Bird9],Upload_Indiv[[Player]:[Player]],$A12,Upload_Indiv[[Side]:[Side]],"Skyland Front")</f>
        <v>0</v>
      </c>
      <c r="N12" s="201">
        <f>SUMIFS(Upload_Indiv[Bird1],Upload_Indiv[[Player]:[Player]],$A12,Upload_Indiv[[Side]:[Side]],"Skyland Back")</f>
        <v>0</v>
      </c>
      <c r="O12" s="201">
        <f>SUMIFS(Upload_Indiv[Bird2],Upload_Indiv[[Player]:[Player]],$A12,Upload_Indiv[[Side]:[Side]],"Skyland Back")</f>
        <v>0</v>
      </c>
      <c r="P12" s="201">
        <f>SUMIFS(Upload_Indiv[Bird3],Upload_Indiv[[Player]:[Player]],$A12,Upload_Indiv[[Side]:[Side]],"Skyland Back")</f>
        <v>0</v>
      </c>
      <c r="Q12" s="201">
        <f>SUMIFS(Upload_Indiv[Bird4],Upload_Indiv[[Player]:[Player]],$A12,Upload_Indiv[[Side]:[Side]],"Skyland Back")</f>
        <v>0</v>
      </c>
      <c r="R12" s="201">
        <f>SUMIFS(Upload_Indiv[Bird5],Upload_Indiv[[Player]:[Player]],$A12,Upload_Indiv[[Side]:[Side]],"Skyland Back")</f>
        <v>0</v>
      </c>
      <c r="S12" s="201">
        <f>SUMIFS(Upload_Indiv[Bird6],Upload_Indiv[[Player]:[Player]],$A12,Upload_Indiv[[Side]:[Side]],"Skyland Back")</f>
        <v>0</v>
      </c>
      <c r="T12" s="201">
        <f>SUMIFS(Upload_Indiv[Bird7],Upload_Indiv[[Player]:[Player]],$A12,Upload_Indiv[[Side]:[Side]],"Skyland Back")</f>
        <v>0</v>
      </c>
      <c r="U12" s="201">
        <f>SUMIFS(Upload_Indiv[Bird8],Upload_Indiv[[Player]:[Player]],$A12,Upload_Indiv[[Side]:[Side]],"Skyland Back")</f>
        <v>0</v>
      </c>
      <c r="V12" s="201">
        <f>SUMIFS(Upload_Indiv[Bird9],Upload_Indiv[[Player]:[Player]],$A12,Upload_Indiv[[Side]:[Side]],"Skyland Back")</f>
        <v>0</v>
      </c>
    </row>
    <row r="13" spans="1:22" ht="15" x14ac:dyDescent="0.25">
      <c r="B13"/>
      <c r="D13" s="179"/>
      <c r="E13" s="179">
        <f>SUMIFS(Upload_Indiv[Bird1],Upload_Indiv[[Player]:[Player]],$A13,Upload_Indiv[[Side]:[Side]],"Skyland Front")</f>
        <v>0</v>
      </c>
      <c r="F13" s="179">
        <f>SUMIFS(Upload_Indiv[Bird2],Upload_Indiv[[Player]:[Player]],$A13,Upload_Indiv[[Side]:[Side]],"Skyland Front")</f>
        <v>0</v>
      </c>
      <c r="G13" s="179">
        <f>SUMIFS(Upload_Indiv[Bird3],Upload_Indiv[[Player]:[Player]],$A13,Upload_Indiv[[Side]:[Side]],"Skyland Front")</f>
        <v>0</v>
      </c>
      <c r="H13" s="179">
        <f>SUMIFS(Upload_Indiv[Bird4],Upload_Indiv[[Player]:[Player]],$A13,Upload_Indiv[[Side]:[Side]],"Skyland Front")</f>
        <v>0</v>
      </c>
      <c r="I13" s="179">
        <f>SUMIFS(Upload_Indiv[Bird5],Upload_Indiv[[Player]:[Player]],$A13,Upload_Indiv[[Side]:[Side]],"Skyland Front")</f>
        <v>0</v>
      </c>
      <c r="J13" s="179">
        <f>SUMIFS(Upload_Indiv[Bird6],Upload_Indiv[[Player]:[Player]],$A13,Upload_Indiv[[Side]:[Side]],"Skyland Front")</f>
        <v>0</v>
      </c>
      <c r="K13" s="179">
        <f>SUMIFS(Upload_Indiv[Bird7],Upload_Indiv[[Player]:[Player]],$A13,Upload_Indiv[[Side]:[Side]],"Skyland Front")</f>
        <v>0</v>
      </c>
      <c r="L13" s="179">
        <f>SUMIFS(Upload_Indiv[Bird8],Upload_Indiv[[Player]:[Player]],$A13,Upload_Indiv[[Side]:[Side]],"Skyland Front")</f>
        <v>0</v>
      </c>
      <c r="M13" s="179">
        <f>SUMIFS(Upload_Indiv[Bird9],Upload_Indiv[[Player]:[Player]],$A13,Upload_Indiv[[Side]:[Side]],"Skyland Front")</f>
        <v>0</v>
      </c>
      <c r="N13" s="179">
        <f>SUMIFS(Upload_Indiv[Bird1],Upload_Indiv[[Player]:[Player]],$A13,Upload_Indiv[[Side]:[Side]],"Skyland Back")</f>
        <v>0</v>
      </c>
      <c r="O13" s="179">
        <f>SUMIFS(Upload_Indiv[Bird2],Upload_Indiv[[Player]:[Player]],$A13,Upload_Indiv[[Side]:[Side]],"Skyland Back")</f>
        <v>0</v>
      </c>
      <c r="P13" s="179">
        <f>SUMIFS(Upload_Indiv[Bird3],Upload_Indiv[[Player]:[Player]],$A13,Upload_Indiv[[Side]:[Side]],"Skyland Back")</f>
        <v>0</v>
      </c>
      <c r="Q13" s="179">
        <f>SUMIFS(Upload_Indiv[Bird4],Upload_Indiv[[Player]:[Player]],$A13,Upload_Indiv[[Side]:[Side]],"Skyland Back")</f>
        <v>0</v>
      </c>
      <c r="R13" s="179">
        <f>SUMIFS(Upload_Indiv[Bird5],Upload_Indiv[[Player]:[Player]],$A13,Upload_Indiv[[Side]:[Side]],"Skyland Back")</f>
        <v>0</v>
      </c>
      <c r="S13" s="179">
        <f>SUMIFS(Upload_Indiv[Bird6],Upload_Indiv[[Player]:[Player]],$A13,Upload_Indiv[[Side]:[Side]],"Skyland Back")</f>
        <v>0</v>
      </c>
      <c r="T13" s="179">
        <f>SUMIFS(Upload_Indiv[Bird7],Upload_Indiv[[Player]:[Player]],$A13,Upload_Indiv[[Side]:[Side]],"Skyland Back")</f>
        <v>0</v>
      </c>
      <c r="U13" s="179">
        <f>SUMIFS(Upload_Indiv[Bird8],Upload_Indiv[[Player]:[Player]],$A13,Upload_Indiv[[Side]:[Side]],"Skyland Back")</f>
        <v>0</v>
      </c>
      <c r="V13" s="179">
        <f>SUMIFS(Upload_Indiv[Bird9],Upload_Indiv[[Player]:[Player]],$A13,Upload_Indiv[[Side]:[Side]],"Skyland Back")</f>
        <v>0</v>
      </c>
    </row>
    <row r="14" spans="1:22" ht="15" x14ac:dyDescent="0.25">
      <c r="B14"/>
      <c r="D14" s="179"/>
      <c r="E14" s="179">
        <f>SUMIFS(Upload_Indiv[Bird1],Upload_Indiv[[Player]:[Player]],$A14,Upload_Indiv[[Side]:[Side]],"Skyland Front")</f>
        <v>0</v>
      </c>
      <c r="F14" s="179">
        <f>SUMIFS(Upload_Indiv[Bird2],Upload_Indiv[[Player]:[Player]],$A14,Upload_Indiv[[Side]:[Side]],"Skyland Front")</f>
        <v>0</v>
      </c>
      <c r="G14" s="179">
        <f>SUMIFS(Upload_Indiv[Bird3],Upload_Indiv[[Player]:[Player]],$A14,Upload_Indiv[[Side]:[Side]],"Skyland Front")</f>
        <v>0</v>
      </c>
      <c r="H14" s="179">
        <f>SUMIFS(Upload_Indiv[Bird4],Upload_Indiv[[Player]:[Player]],$A14,Upload_Indiv[[Side]:[Side]],"Skyland Front")</f>
        <v>0</v>
      </c>
      <c r="I14" s="179">
        <f>SUMIFS(Upload_Indiv[Bird5],Upload_Indiv[[Player]:[Player]],$A14,Upload_Indiv[[Side]:[Side]],"Skyland Front")</f>
        <v>0</v>
      </c>
      <c r="J14" s="179">
        <f>SUMIFS(Upload_Indiv[Bird6],Upload_Indiv[[Player]:[Player]],$A14,Upload_Indiv[[Side]:[Side]],"Skyland Front")</f>
        <v>0</v>
      </c>
      <c r="K14" s="179">
        <f>SUMIFS(Upload_Indiv[Bird7],Upload_Indiv[[Player]:[Player]],$A14,Upload_Indiv[[Side]:[Side]],"Skyland Front")</f>
        <v>0</v>
      </c>
      <c r="L14" s="179">
        <f>SUMIFS(Upload_Indiv[Bird8],Upload_Indiv[[Player]:[Player]],$A14,Upload_Indiv[[Side]:[Side]],"Skyland Front")</f>
        <v>0</v>
      </c>
      <c r="M14" s="179">
        <f>SUMIFS(Upload_Indiv[Bird9],Upload_Indiv[[Player]:[Player]],$A14,Upload_Indiv[[Side]:[Side]],"Skyland Front")</f>
        <v>0</v>
      </c>
      <c r="N14" s="179">
        <f>SUMIFS(Upload_Indiv[Bird1],Upload_Indiv[[Player]:[Player]],$A14,Upload_Indiv[[Side]:[Side]],"Skyland Back")</f>
        <v>0</v>
      </c>
      <c r="O14" s="179">
        <f>SUMIFS(Upload_Indiv[Bird2],Upload_Indiv[[Player]:[Player]],$A14,Upload_Indiv[[Side]:[Side]],"Skyland Back")</f>
        <v>0</v>
      </c>
      <c r="P14" s="179">
        <f>SUMIFS(Upload_Indiv[Bird3],Upload_Indiv[[Player]:[Player]],$A14,Upload_Indiv[[Side]:[Side]],"Skyland Back")</f>
        <v>0</v>
      </c>
      <c r="Q14" s="179">
        <f>SUMIFS(Upload_Indiv[Bird4],Upload_Indiv[[Player]:[Player]],$A14,Upload_Indiv[[Side]:[Side]],"Skyland Back")</f>
        <v>0</v>
      </c>
      <c r="R14" s="179">
        <f>SUMIFS(Upload_Indiv[Bird5],Upload_Indiv[[Player]:[Player]],$A14,Upload_Indiv[[Side]:[Side]],"Skyland Back")</f>
        <v>0</v>
      </c>
      <c r="S14" s="179">
        <f>SUMIFS(Upload_Indiv[Bird6],Upload_Indiv[[Player]:[Player]],$A14,Upload_Indiv[[Side]:[Side]],"Skyland Back")</f>
        <v>0</v>
      </c>
      <c r="T14" s="179">
        <f>SUMIFS(Upload_Indiv[Bird7],Upload_Indiv[[Player]:[Player]],$A14,Upload_Indiv[[Side]:[Side]],"Skyland Back")</f>
        <v>0</v>
      </c>
      <c r="U14" s="179">
        <f>SUMIFS(Upload_Indiv[Bird8],Upload_Indiv[[Player]:[Player]],$A14,Upload_Indiv[[Side]:[Side]],"Skyland Back")</f>
        <v>0</v>
      </c>
      <c r="V14" s="179">
        <f>SUMIFS(Upload_Indiv[Bird9],Upload_Indiv[[Player]:[Player]],$A14,Upload_Indiv[[Side]:[Side]],"Skyland Back")</f>
        <v>0</v>
      </c>
    </row>
    <row r="15" spans="1:22" ht="15" x14ac:dyDescent="0.25">
      <c r="B15"/>
      <c r="D15" s="179"/>
      <c r="E15" s="179">
        <f>SUMIFS(Upload_Indiv[Bird1],Upload_Indiv[[Player]:[Player]],$A15,Upload_Indiv[[Side]:[Side]],"Skyland Front")</f>
        <v>0</v>
      </c>
      <c r="F15" s="179">
        <f>SUMIFS(Upload_Indiv[Bird2],Upload_Indiv[[Player]:[Player]],$A15,Upload_Indiv[[Side]:[Side]],"Skyland Front")</f>
        <v>0</v>
      </c>
      <c r="G15" s="179">
        <f>SUMIFS(Upload_Indiv[Bird3],Upload_Indiv[[Player]:[Player]],$A15,Upload_Indiv[[Side]:[Side]],"Skyland Front")</f>
        <v>0</v>
      </c>
      <c r="H15" s="179">
        <f>SUMIFS(Upload_Indiv[Bird4],Upload_Indiv[[Player]:[Player]],$A15,Upload_Indiv[[Side]:[Side]],"Skyland Front")</f>
        <v>0</v>
      </c>
      <c r="I15" s="179">
        <f>SUMIFS(Upload_Indiv[Bird5],Upload_Indiv[[Player]:[Player]],$A15,Upload_Indiv[[Side]:[Side]],"Skyland Front")</f>
        <v>0</v>
      </c>
      <c r="J15" s="179">
        <f>SUMIFS(Upload_Indiv[Bird6],Upload_Indiv[[Player]:[Player]],$A15,Upload_Indiv[[Side]:[Side]],"Skyland Front")</f>
        <v>0</v>
      </c>
      <c r="K15" s="179">
        <f>SUMIFS(Upload_Indiv[Bird7],Upload_Indiv[[Player]:[Player]],$A15,Upload_Indiv[[Side]:[Side]],"Skyland Front")</f>
        <v>0</v>
      </c>
      <c r="L15" s="179">
        <f>SUMIFS(Upload_Indiv[Bird8],Upload_Indiv[[Player]:[Player]],$A15,Upload_Indiv[[Side]:[Side]],"Skyland Front")</f>
        <v>0</v>
      </c>
      <c r="M15" s="179">
        <f>SUMIFS(Upload_Indiv[Bird9],Upload_Indiv[[Player]:[Player]],$A15,Upload_Indiv[[Side]:[Side]],"Skyland Front")</f>
        <v>0</v>
      </c>
      <c r="N15" s="179">
        <f>SUMIFS(Upload_Indiv[Bird1],Upload_Indiv[[Player]:[Player]],$A15,Upload_Indiv[[Side]:[Side]],"Skyland Back")</f>
        <v>0</v>
      </c>
      <c r="O15" s="179">
        <f>SUMIFS(Upload_Indiv[Bird2],Upload_Indiv[[Player]:[Player]],$A15,Upload_Indiv[[Side]:[Side]],"Skyland Back")</f>
        <v>0</v>
      </c>
      <c r="P15" s="179">
        <f>SUMIFS(Upload_Indiv[Bird3],Upload_Indiv[[Player]:[Player]],$A15,Upload_Indiv[[Side]:[Side]],"Skyland Back")</f>
        <v>0</v>
      </c>
      <c r="Q15" s="179">
        <f>SUMIFS(Upload_Indiv[Bird4],Upload_Indiv[[Player]:[Player]],$A15,Upload_Indiv[[Side]:[Side]],"Skyland Back")</f>
        <v>0</v>
      </c>
      <c r="R15" s="179">
        <f>SUMIFS(Upload_Indiv[Bird5],Upload_Indiv[[Player]:[Player]],$A15,Upload_Indiv[[Side]:[Side]],"Skyland Back")</f>
        <v>0</v>
      </c>
      <c r="S15" s="179">
        <f>SUMIFS(Upload_Indiv[Bird6],Upload_Indiv[[Player]:[Player]],$A15,Upload_Indiv[[Side]:[Side]],"Skyland Back")</f>
        <v>0</v>
      </c>
      <c r="T15" s="179">
        <f>SUMIFS(Upload_Indiv[Bird7],Upload_Indiv[[Player]:[Player]],$A15,Upload_Indiv[[Side]:[Side]],"Skyland Back")</f>
        <v>0</v>
      </c>
      <c r="U15" s="179">
        <f>SUMIFS(Upload_Indiv[Bird8],Upload_Indiv[[Player]:[Player]],$A15,Upload_Indiv[[Side]:[Side]],"Skyland Back")</f>
        <v>0</v>
      </c>
      <c r="V15" s="179">
        <f>SUMIFS(Upload_Indiv[Bird9],Upload_Indiv[[Player]:[Player]],$A15,Upload_Indiv[[Side]:[Side]],"Skyland Back")</f>
        <v>0</v>
      </c>
    </row>
    <row r="16" spans="1:22" ht="15" x14ac:dyDescent="0.25">
      <c r="B16"/>
      <c r="D16" s="179"/>
      <c r="E16" s="179">
        <f>SUMIFS(Upload_Indiv[Bird1],Upload_Indiv[[Player]:[Player]],$A16,Upload_Indiv[[Side]:[Side]],"Skyland Front")</f>
        <v>0</v>
      </c>
      <c r="F16" s="179">
        <f>SUMIFS(Upload_Indiv[Bird2],Upload_Indiv[[Player]:[Player]],$A16,Upload_Indiv[[Side]:[Side]],"Skyland Front")</f>
        <v>0</v>
      </c>
      <c r="G16" s="179">
        <f>SUMIFS(Upload_Indiv[Bird3],Upload_Indiv[[Player]:[Player]],$A16,Upload_Indiv[[Side]:[Side]],"Skyland Front")</f>
        <v>0</v>
      </c>
      <c r="H16" s="179">
        <f>SUMIFS(Upload_Indiv[Bird4],Upload_Indiv[[Player]:[Player]],$A16,Upload_Indiv[[Side]:[Side]],"Skyland Front")</f>
        <v>0</v>
      </c>
      <c r="I16" s="179">
        <f>SUMIFS(Upload_Indiv[Bird5],Upload_Indiv[[Player]:[Player]],$A16,Upload_Indiv[[Side]:[Side]],"Skyland Front")</f>
        <v>0</v>
      </c>
      <c r="J16" s="179">
        <f>SUMIFS(Upload_Indiv[Bird6],Upload_Indiv[[Player]:[Player]],$A16,Upload_Indiv[[Side]:[Side]],"Skyland Front")</f>
        <v>0</v>
      </c>
      <c r="K16" s="179">
        <f>SUMIFS(Upload_Indiv[Bird7],Upload_Indiv[[Player]:[Player]],$A16,Upload_Indiv[[Side]:[Side]],"Skyland Front")</f>
        <v>0</v>
      </c>
      <c r="L16" s="179">
        <f>SUMIFS(Upload_Indiv[Bird8],Upload_Indiv[[Player]:[Player]],$A16,Upload_Indiv[[Side]:[Side]],"Skyland Front")</f>
        <v>0</v>
      </c>
      <c r="M16" s="179">
        <f>SUMIFS(Upload_Indiv[Bird9],Upload_Indiv[[Player]:[Player]],$A16,Upload_Indiv[[Side]:[Side]],"Skyland Front")</f>
        <v>0</v>
      </c>
      <c r="N16" s="179">
        <f>SUMIFS(Upload_Indiv[Bird1],Upload_Indiv[[Player]:[Player]],$A16,Upload_Indiv[[Side]:[Side]],"Skyland Back")</f>
        <v>0</v>
      </c>
      <c r="O16" s="179">
        <f>SUMIFS(Upload_Indiv[Bird2],Upload_Indiv[[Player]:[Player]],$A16,Upload_Indiv[[Side]:[Side]],"Skyland Back")</f>
        <v>0</v>
      </c>
      <c r="P16" s="179">
        <f>SUMIFS(Upload_Indiv[Bird3],Upload_Indiv[[Player]:[Player]],$A16,Upload_Indiv[[Side]:[Side]],"Skyland Back")</f>
        <v>0</v>
      </c>
      <c r="Q16" s="179">
        <f>SUMIFS(Upload_Indiv[Bird4],Upload_Indiv[[Player]:[Player]],$A16,Upload_Indiv[[Side]:[Side]],"Skyland Back")</f>
        <v>0</v>
      </c>
      <c r="R16" s="179">
        <f>SUMIFS(Upload_Indiv[Bird5],Upload_Indiv[[Player]:[Player]],$A16,Upload_Indiv[[Side]:[Side]],"Skyland Back")</f>
        <v>0</v>
      </c>
      <c r="S16" s="179">
        <f>SUMIFS(Upload_Indiv[Bird6],Upload_Indiv[[Player]:[Player]],$A16,Upload_Indiv[[Side]:[Side]],"Skyland Back")</f>
        <v>0</v>
      </c>
      <c r="T16" s="179">
        <f>SUMIFS(Upload_Indiv[Bird7],Upload_Indiv[[Player]:[Player]],$A16,Upload_Indiv[[Side]:[Side]],"Skyland Back")</f>
        <v>0</v>
      </c>
      <c r="U16" s="179">
        <f>SUMIFS(Upload_Indiv[Bird8],Upload_Indiv[[Player]:[Player]],$A16,Upload_Indiv[[Side]:[Side]],"Skyland Back")</f>
        <v>0</v>
      </c>
      <c r="V16" s="179">
        <f>SUMIFS(Upload_Indiv[Bird9],Upload_Indiv[[Player]:[Player]],$A16,Upload_Indiv[[Side]:[Side]],"Skyland Back")</f>
        <v>0</v>
      </c>
    </row>
    <row r="17" spans="2:22" ht="15" x14ac:dyDescent="0.25">
      <c r="B17"/>
      <c r="D17" s="179"/>
      <c r="E17" s="179">
        <f>SUMIFS(Upload_Indiv[Bird1],Upload_Indiv[[Player]:[Player]],$A17,Upload_Indiv[[Side]:[Side]],"Skyland Front")</f>
        <v>0</v>
      </c>
      <c r="F17" s="179">
        <f>SUMIFS(Upload_Indiv[Bird2],Upload_Indiv[[Player]:[Player]],$A17,Upload_Indiv[[Side]:[Side]],"Skyland Front")</f>
        <v>0</v>
      </c>
      <c r="G17" s="179">
        <f>SUMIFS(Upload_Indiv[Bird3],Upload_Indiv[[Player]:[Player]],$A17,Upload_Indiv[[Side]:[Side]],"Skyland Front")</f>
        <v>0</v>
      </c>
      <c r="H17" s="179">
        <f>SUMIFS(Upload_Indiv[Bird4],Upload_Indiv[[Player]:[Player]],$A17,Upload_Indiv[[Side]:[Side]],"Skyland Front")</f>
        <v>0</v>
      </c>
      <c r="I17" s="179">
        <f>SUMIFS(Upload_Indiv[Bird5],Upload_Indiv[[Player]:[Player]],$A17,Upload_Indiv[[Side]:[Side]],"Skyland Front")</f>
        <v>0</v>
      </c>
      <c r="J17" s="179">
        <f>SUMIFS(Upload_Indiv[Bird6],Upload_Indiv[[Player]:[Player]],$A17,Upload_Indiv[[Side]:[Side]],"Skyland Front")</f>
        <v>0</v>
      </c>
      <c r="K17" s="179">
        <f>SUMIFS(Upload_Indiv[Bird7],Upload_Indiv[[Player]:[Player]],$A17,Upload_Indiv[[Side]:[Side]],"Skyland Front")</f>
        <v>0</v>
      </c>
      <c r="L17" s="179">
        <f>SUMIFS(Upload_Indiv[Bird8],Upload_Indiv[[Player]:[Player]],$A17,Upload_Indiv[[Side]:[Side]],"Skyland Front")</f>
        <v>0</v>
      </c>
      <c r="M17" s="179">
        <f>SUMIFS(Upload_Indiv[Bird9],Upload_Indiv[[Player]:[Player]],$A17,Upload_Indiv[[Side]:[Side]],"Skyland Front")</f>
        <v>0</v>
      </c>
      <c r="N17" s="179">
        <f>SUMIFS(Upload_Indiv[Bird1],Upload_Indiv[[Player]:[Player]],$A17,Upload_Indiv[[Side]:[Side]],"Skyland Back")</f>
        <v>0</v>
      </c>
      <c r="O17" s="179">
        <f>SUMIFS(Upload_Indiv[Bird2],Upload_Indiv[[Player]:[Player]],$A17,Upload_Indiv[[Side]:[Side]],"Skyland Back")</f>
        <v>0</v>
      </c>
      <c r="P17" s="179">
        <f>SUMIFS(Upload_Indiv[Bird3],Upload_Indiv[[Player]:[Player]],$A17,Upload_Indiv[[Side]:[Side]],"Skyland Back")</f>
        <v>0</v>
      </c>
      <c r="Q17" s="179">
        <f>SUMIFS(Upload_Indiv[Bird4],Upload_Indiv[[Player]:[Player]],$A17,Upload_Indiv[[Side]:[Side]],"Skyland Back")</f>
        <v>0</v>
      </c>
      <c r="R17" s="179">
        <f>SUMIFS(Upload_Indiv[Bird5],Upload_Indiv[[Player]:[Player]],$A17,Upload_Indiv[[Side]:[Side]],"Skyland Back")</f>
        <v>0</v>
      </c>
      <c r="S17" s="179">
        <f>SUMIFS(Upload_Indiv[Bird6],Upload_Indiv[[Player]:[Player]],$A17,Upload_Indiv[[Side]:[Side]],"Skyland Back")</f>
        <v>0</v>
      </c>
      <c r="T17" s="179">
        <f>SUMIFS(Upload_Indiv[Bird7],Upload_Indiv[[Player]:[Player]],$A17,Upload_Indiv[[Side]:[Side]],"Skyland Back")</f>
        <v>0</v>
      </c>
      <c r="U17" s="179">
        <f>SUMIFS(Upload_Indiv[Bird8],Upload_Indiv[[Player]:[Player]],$A17,Upload_Indiv[[Side]:[Side]],"Skyland Back")</f>
        <v>0</v>
      </c>
      <c r="V17" s="179">
        <f>SUMIFS(Upload_Indiv[Bird9],Upload_Indiv[[Player]:[Player]],$A17,Upload_Indiv[[Side]:[Side]],"Skyland Back")</f>
        <v>0</v>
      </c>
    </row>
    <row r="18" spans="2:22" ht="15" x14ac:dyDescent="0.25">
      <c r="B18"/>
      <c r="D18" s="179"/>
      <c r="E18" s="179">
        <f>SUMIFS(Upload_Indiv[Bird1],Upload_Indiv[[Player]:[Player]],$A18,Upload_Indiv[[Side]:[Side]],"Skyland Front")</f>
        <v>0</v>
      </c>
      <c r="F18" s="179">
        <f>SUMIFS(Upload_Indiv[Bird2],Upload_Indiv[[Player]:[Player]],$A18,Upload_Indiv[[Side]:[Side]],"Skyland Front")</f>
        <v>0</v>
      </c>
      <c r="G18" s="179">
        <f>SUMIFS(Upload_Indiv[Bird3],Upload_Indiv[[Player]:[Player]],$A18,Upload_Indiv[[Side]:[Side]],"Skyland Front")</f>
        <v>0</v>
      </c>
      <c r="H18" s="179">
        <f>SUMIFS(Upload_Indiv[Bird4],Upload_Indiv[[Player]:[Player]],$A18,Upload_Indiv[[Side]:[Side]],"Skyland Front")</f>
        <v>0</v>
      </c>
      <c r="I18" s="179">
        <f>SUMIFS(Upload_Indiv[Bird5],Upload_Indiv[[Player]:[Player]],$A18,Upload_Indiv[[Side]:[Side]],"Skyland Front")</f>
        <v>0</v>
      </c>
      <c r="J18" s="179">
        <f>SUMIFS(Upload_Indiv[Bird6],Upload_Indiv[[Player]:[Player]],$A18,Upload_Indiv[[Side]:[Side]],"Skyland Front")</f>
        <v>0</v>
      </c>
      <c r="K18" s="179">
        <f>SUMIFS(Upload_Indiv[Bird7],Upload_Indiv[[Player]:[Player]],$A18,Upload_Indiv[[Side]:[Side]],"Skyland Front")</f>
        <v>0</v>
      </c>
      <c r="L18" s="179">
        <f>SUMIFS(Upload_Indiv[Bird8],Upload_Indiv[[Player]:[Player]],$A18,Upload_Indiv[[Side]:[Side]],"Skyland Front")</f>
        <v>0</v>
      </c>
      <c r="M18" s="179">
        <f>SUMIFS(Upload_Indiv[Bird9],Upload_Indiv[[Player]:[Player]],$A18,Upload_Indiv[[Side]:[Side]],"Skyland Front")</f>
        <v>0</v>
      </c>
      <c r="N18" s="179">
        <f>SUMIFS(Upload_Indiv[Bird1],Upload_Indiv[[Player]:[Player]],$A18,Upload_Indiv[[Side]:[Side]],"Skyland Back")</f>
        <v>0</v>
      </c>
      <c r="O18" s="179">
        <f>SUMIFS(Upload_Indiv[Bird2],Upload_Indiv[[Player]:[Player]],$A18,Upload_Indiv[[Side]:[Side]],"Skyland Back")</f>
        <v>0</v>
      </c>
      <c r="P18" s="179">
        <f>SUMIFS(Upload_Indiv[Bird3],Upload_Indiv[[Player]:[Player]],$A18,Upload_Indiv[[Side]:[Side]],"Skyland Back")</f>
        <v>0</v>
      </c>
      <c r="Q18" s="179">
        <f>SUMIFS(Upload_Indiv[Bird4],Upload_Indiv[[Player]:[Player]],$A18,Upload_Indiv[[Side]:[Side]],"Skyland Back")</f>
        <v>0</v>
      </c>
      <c r="R18" s="179">
        <f>SUMIFS(Upload_Indiv[Bird5],Upload_Indiv[[Player]:[Player]],$A18,Upload_Indiv[[Side]:[Side]],"Skyland Back")</f>
        <v>0</v>
      </c>
      <c r="S18" s="179">
        <f>SUMIFS(Upload_Indiv[Bird6],Upload_Indiv[[Player]:[Player]],$A18,Upload_Indiv[[Side]:[Side]],"Skyland Back")</f>
        <v>0</v>
      </c>
      <c r="T18" s="179">
        <f>SUMIFS(Upload_Indiv[Bird7],Upload_Indiv[[Player]:[Player]],$A18,Upload_Indiv[[Side]:[Side]],"Skyland Back")</f>
        <v>0</v>
      </c>
      <c r="U18" s="179">
        <f>SUMIFS(Upload_Indiv[Bird8],Upload_Indiv[[Player]:[Player]],$A18,Upload_Indiv[[Side]:[Side]],"Skyland Back")</f>
        <v>0</v>
      </c>
      <c r="V18" s="179">
        <f>SUMIFS(Upload_Indiv[Bird9],Upload_Indiv[[Player]:[Player]],$A18,Upload_Indiv[[Side]:[Side]],"Skyland Back")</f>
        <v>0</v>
      </c>
    </row>
    <row r="19" spans="2:22" ht="15" x14ac:dyDescent="0.25">
      <c r="B19"/>
      <c r="D19" s="179"/>
      <c r="E19" s="179">
        <f>SUMIFS(Upload_Indiv[Bird1],Upload_Indiv[[Player]:[Player]],$A19,Upload_Indiv[[Side]:[Side]],"Skyland Front")</f>
        <v>0</v>
      </c>
      <c r="F19" s="179">
        <f>SUMIFS(Upload_Indiv[Bird2],Upload_Indiv[[Player]:[Player]],$A19,Upload_Indiv[[Side]:[Side]],"Skyland Front")</f>
        <v>0</v>
      </c>
      <c r="G19" s="179">
        <f>SUMIFS(Upload_Indiv[Bird3],Upload_Indiv[[Player]:[Player]],$A19,Upload_Indiv[[Side]:[Side]],"Skyland Front")</f>
        <v>0</v>
      </c>
      <c r="H19" s="179">
        <f>SUMIFS(Upload_Indiv[Bird4],Upload_Indiv[[Player]:[Player]],$A19,Upload_Indiv[[Side]:[Side]],"Skyland Front")</f>
        <v>0</v>
      </c>
      <c r="I19" s="179">
        <f>SUMIFS(Upload_Indiv[Bird5],Upload_Indiv[[Player]:[Player]],$A19,Upload_Indiv[[Side]:[Side]],"Skyland Front")</f>
        <v>0</v>
      </c>
      <c r="J19" s="179">
        <f>SUMIFS(Upload_Indiv[Bird6],Upload_Indiv[[Player]:[Player]],$A19,Upload_Indiv[[Side]:[Side]],"Skyland Front")</f>
        <v>0</v>
      </c>
      <c r="K19" s="179">
        <f>SUMIFS(Upload_Indiv[Bird7],Upload_Indiv[[Player]:[Player]],$A19,Upload_Indiv[[Side]:[Side]],"Skyland Front")</f>
        <v>0</v>
      </c>
      <c r="L19" s="179">
        <f>SUMIFS(Upload_Indiv[Bird8],Upload_Indiv[[Player]:[Player]],$A19,Upload_Indiv[[Side]:[Side]],"Skyland Front")</f>
        <v>0</v>
      </c>
      <c r="M19" s="179">
        <f>SUMIFS(Upload_Indiv[Bird9],Upload_Indiv[[Player]:[Player]],$A19,Upload_Indiv[[Side]:[Side]],"Skyland Front")</f>
        <v>0</v>
      </c>
      <c r="N19" s="179">
        <f>SUMIFS(Upload_Indiv[Bird1],Upload_Indiv[[Player]:[Player]],$A19,Upload_Indiv[[Side]:[Side]],"Skyland Back")</f>
        <v>0</v>
      </c>
      <c r="O19" s="179">
        <f>SUMIFS(Upload_Indiv[Bird2],Upload_Indiv[[Player]:[Player]],$A19,Upload_Indiv[[Side]:[Side]],"Skyland Back")</f>
        <v>0</v>
      </c>
      <c r="P19" s="179">
        <f>SUMIFS(Upload_Indiv[Bird3],Upload_Indiv[[Player]:[Player]],$A19,Upload_Indiv[[Side]:[Side]],"Skyland Back")</f>
        <v>0</v>
      </c>
      <c r="Q19" s="179">
        <f>SUMIFS(Upload_Indiv[Bird4],Upload_Indiv[[Player]:[Player]],$A19,Upload_Indiv[[Side]:[Side]],"Skyland Back")</f>
        <v>0</v>
      </c>
      <c r="R19" s="179">
        <f>SUMIFS(Upload_Indiv[Bird5],Upload_Indiv[[Player]:[Player]],$A19,Upload_Indiv[[Side]:[Side]],"Skyland Back")</f>
        <v>0</v>
      </c>
      <c r="S19" s="179">
        <f>SUMIFS(Upload_Indiv[Bird6],Upload_Indiv[[Player]:[Player]],$A19,Upload_Indiv[[Side]:[Side]],"Skyland Back")</f>
        <v>0</v>
      </c>
      <c r="T19" s="179">
        <f>SUMIFS(Upload_Indiv[Bird7],Upload_Indiv[[Player]:[Player]],$A19,Upload_Indiv[[Side]:[Side]],"Skyland Back")</f>
        <v>0</v>
      </c>
      <c r="U19" s="179">
        <f>SUMIFS(Upload_Indiv[Bird8],Upload_Indiv[[Player]:[Player]],$A19,Upload_Indiv[[Side]:[Side]],"Skyland Back")</f>
        <v>0</v>
      </c>
      <c r="V19" s="179">
        <f>SUMIFS(Upload_Indiv[Bird9],Upload_Indiv[[Player]:[Player]],$A19,Upload_Indiv[[Side]:[Side]],"Skyland Back")</f>
        <v>0</v>
      </c>
    </row>
    <row r="20" spans="2:22" ht="15" x14ac:dyDescent="0.25">
      <c r="B20"/>
      <c r="D20" s="179"/>
      <c r="E20" s="179">
        <f>SUMIFS(Upload_Indiv[Bird1],Upload_Indiv[[Player]:[Player]],$A20,Upload_Indiv[[Side]:[Side]],"Skyland Front")</f>
        <v>0</v>
      </c>
      <c r="F20" s="179">
        <f>SUMIFS(Upload_Indiv[Bird2],Upload_Indiv[[Player]:[Player]],$A20,Upload_Indiv[[Side]:[Side]],"Skyland Front")</f>
        <v>0</v>
      </c>
      <c r="G20" s="179">
        <f>SUMIFS(Upload_Indiv[Bird3],Upload_Indiv[[Player]:[Player]],$A20,Upload_Indiv[[Side]:[Side]],"Skyland Front")</f>
        <v>0</v>
      </c>
      <c r="H20" s="179">
        <f>SUMIFS(Upload_Indiv[Bird4],Upload_Indiv[[Player]:[Player]],$A20,Upload_Indiv[[Side]:[Side]],"Skyland Front")</f>
        <v>0</v>
      </c>
      <c r="I20" s="179">
        <f>SUMIFS(Upload_Indiv[Bird5],Upload_Indiv[[Player]:[Player]],$A20,Upload_Indiv[[Side]:[Side]],"Skyland Front")</f>
        <v>0</v>
      </c>
      <c r="J20" s="179">
        <f>SUMIFS(Upload_Indiv[Bird6],Upload_Indiv[[Player]:[Player]],$A20,Upload_Indiv[[Side]:[Side]],"Skyland Front")</f>
        <v>0</v>
      </c>
      <c r="K20" s="179">
        <f>SUMIFS(Upload_Indiv[Bird7],Upload_Indiv[[Player]:[Player]],$A20,Upload_Indiv[[Side]:[Side]],"Skyland Front")</f>
        <v>0</v>
      </c>
      <c r="L20" s="179">
        <f>SUMIFS(Upload_Indiv[Bird8],Upload_Indiv[[Player]:[Player]],$A20,Upload_Indiv[[Side]:[Side]],"Skyland Front")</f>
        <v>0</v>
      </c>
      <c r="M20" s="179">
        <f>SUMIFS(Upload_Indiv[Bird9],Upload_Indiv[[Player]:[Player]],$A20,Upload_Indiv[[Side]:[Side]],"Skyland Front")</f>
        <v>0</v>
      </c>
      <c r="N20" s="179">
        <f>SUMIFS(Upload_Indiv[Bird1],Upload_Indiv[[Player]:[Player]],$A20,Upload_Indiv[[Side]:[Side]],"Skyland Back")</f>
        <v>0</v>
      </c>
      <c r="O20" s="179">
        <f>SUMIFS(Upload_Indiv[Bird2],Upload_Indiv[[Player]:[Player]],$A20,Upload_Indiv[[Side]:[Side]],"Skyland Back")</f>
        <v>0</v>
      </c>
      <c r="P20" s="179">
        <f>SUMIFS(Upload_Indiv[Bird3],Upload_Indiv[[Player]:[Player]],$A20,Upload_Indiv[[Side]:[Side]],"Skyland Back")</f>
        <v>0</v>
      </c>
      <c r="Q20" s="179">
        <f>SUMIFS(Upload_Indiv[Bird4],Upload_Indiv[[Player]:[Player]],$A20,Upload_Indiv[[Side]:[Side]],"Skyland Back")</f>
        <v>0</v>
      </c>
      <c r="R20" s="179">
        <f>SUMIFS(Upload_Indiv[Bird5],Upload_Indiv[[Player]:[Player]],$A20,Upload_Indiv[[Side]:[Side]],"Skyland Back")</f>
        <v>0</v>
      </c>
      <c r="S20" s="179">
        <f>SUMIFS(Upload_Indiv[Bird6],Upload_Indiv[[Player]:[Player]],$A20,Upload_Indiv[[Side]:[Side]],"Skyland Back")</f>
        <v>0</v>
      </c>
      <c r="T20" s="179">
        <f>SUMIFS(Upload_Indiv[Bird7],Upload_Indiv[[Player]:[Player]],$A20,Upload_Indiv[[Side]:[Side]],"Skyland Back")</f>
        <v>0</v>
      </c>
      <c r="U20" s="179">
        <f>SUMIFS(Upload_Indiv[Bird8],Upload_Indiv[[Player]:[Player]],$A20,Upload_Indiv[[Side]:[Side]],"Skyland Back")</f>
        <v>0</v>
      </c>
      <c r="V20" s="179">
        <f>SUMIFS(Upload_Indiv[Bird9],Upload_Indiv[[Player]:[Player]],$A20,Upload_Indiv[[Side]:[Side]],"Skyland Back")</f>
        <v>0</v>
      </c>
    </row>
    <row r="21" spans="2:22" ht="15" x14ac:dyDescent="0.25">
      <c r="B21"/>
      <c r="D21" s="179"/>
      <c r="E21" s="179">
        <f>SUMIFS(Upload_Indiv[Bird1],Upload_Indiv[[Player]:[Player]],$A21,Upload_Indiv[[Side]:[Side]],"Skyland Front")</f>
        <v>0</v>
      </c>
      <c r="F21" s="179">
        <f>SUMIFS(Upload_Indiv[Bird2],Upload_Indiv[[Player]:[Player]],$A21,Upload_Indiv[[Side]:[Side]],"Skyland Front")</f>
        <v>0</v>
      </c>
      <c r="G21" s="179">
        <f>SUMIFS(Upload_Indiv[Bird3],Upload_Indiv[[Player]:[Player]],$A21,Upload_Indiv[[Side]:[Side]],"Skyland Front")</f>
        <v>0</v>
      </c>
      <c r="H21" s="179">
        <f>SUMIFS(Upload_Indiv[Bird4],Upload_Indiv[[Player]:[Player]],$A21,Upload_Indiv[[Side]:[Side]],"Skyland Front")</f>
        <v>0</v>
      </c>
      <c r="I21" s="179">
        <f>SUMIFS(Upload_Indiv[Bird5],Upload_Indiv[[Player]:[Player]],$A21,Upload_Indiv[[Side]:[Side]],"Skyland Front")</f>
        <v>0</v>
      </c>
      <c r="J21" s="179">
        <f>SUMIFS(Upload_Indiv[Bird6],Upload_Indiv[[Player]:[Player]],$A21,Upload_Indiv[[Side]:[Side]],"Skyland Front")</f>
        <v>0</v>
      </c>
      <c r="K21" s="179">
        <f>SUMIFS(Upload_Indiv[Bird7],Upload_Indiv[[Player]:[Player]],$A21,Upload_Indiv[[Side]:[Side]],"Skyland Front")</f>
        <v>0</v>
      </c>
      <c r="L21" s="179">
        <f>SUMIFS(Upload_Indiv[Bird8],Upload_Indiv[[Player]:[Player]],$A21,Upload_Indiv[[Side]:[Side]],"Skyland Front")</f>
        <v>0</v>
      </c>
      <c r="M21" s="179">
        <f>SUMIFS(Upload_Indiv[Bird9],Upload_Indiv[[Player]:[Player]],$A21,Upload_Indiv[[Side]:[Side]],"Skyland Front")</f>
        <v>0</v>
      </c>
      <c r="N21" s="179">
        <f>SUMIFS(Upload_Indiv[Bird1],Upload_Indiv[[Player]:[Player]],$A21,Upload_Indiv[[Side]:[Side]],"Skyland Back")</f>
        <v>0</v>
      </c>
      <c r="O21" s="179">
        <f>SUMIFS(Upload_Indiv[Bird2],Upload_Indiv[[Player]:[Player]],$A21,Upload_Indiv[[Side]:[Side]],"Skyland Back")</f>
        <v>0</v>
      </c>
      <c r="P21" s="179">
        <f>SUMIFS(Upload_Indiv[Bird3],Upload_Indiv[[Player]:[Player]],$A21,Upload_Indiv[[Side]:[Side]],"Skyland Back")</f>
        <v>0</v>
      </c>
      <c r="Q21" s="179">
        <f>SUMIFS(Upload_Indiv[Bird4],Upload_Indiv[[Player]:[Player]],$A21,Upload_Indiv[[Side]:[Side]],"Skyland Back")</f>
        <v>0</v>
      </c>
      <c r="R21" s="179">
        <f>SUMIFS(Upload_Indiv[Bird5],Upload_Indiv[[Player]:[Player]],$A21,Upload_Indiv[[Side]:[Side]],"Skyland Back")</f>
        <v>0</v>
      </c>
      <c r="S21" s="179">
        <f>SUMIFS(Upload_Indiv[Bird6],Upload_Indiv[[Player]:[Player]],$A21,Upload_Indiv[[Side]:[Side]],"Skyland Back")</f>
        <v>0</v>
      </c>
      <c r="T21" s="179">
        <f>SUMIFS(Upload_Indiv[Bird7],Upload_Indiv[[Player]:[Player]],$A21,Upload_Indiv[[Side]:[Side]],"Skyland Back")</f>
        <v>0</v>
      </c>
      <c r="U21" s="179">
        <f>SUMIFS(Upload_Indiv[Bird8],Upload_Indiv[[Player]:[Player]],$A21,Upload_Indiv[[Side]:[Side]],"Skyland Back")</f>
        <v>0</v>
      </c>
      <c r="V21" s="179">
        <f>SUMIFS(Upload_Indiv[Bird9],Upload_Indiv[[Player]:[Player]],$A21,Upload_Indiv[[Side]:[Side]],"Skyland Back")</f>
        <v>0</v>
      </c>
    </row>
    <row r="22" spans="2:22" ht="15" x14ac:dyDescent="0.25">
      <c r="B22"/>
      <c r="D22" s="179"/>
      <c r="E22" s="179">
        <f>SUMIFS(Upload_Indiv[Bird1],Upload_Indiv[[Player]:[Player]],$A22,Upload_Indiv[[Side]:[Side]],"Skyland Front")</f>
        <v>0</v>
      </c>
      <c r="F22" s="179">
        <f>SUMIFS(Upload_Indiv[Bird2],Upload_Indiv[[Player]:[Player]],$A22,Upload_Indiv[[Side]:[Side]],"Skyland Front")</f>
        <v>0</v>
      </c>
      <c r="G22" s="179">
        <f>SUMIFS(Upload_Indiv[Bird3],Upload_Indiv[[Player]:[Player]],$A22,Upload_Indiv[[Side]:[Side]],"Skyland Front")</f>
        <v>0</v>
      </c>
      <c r="H22" s="179">
        <f>SUMIFS(Upload_Indiv[Bird4],Upload_Indiv[[Player]:[Player]],$A22,Upload_Indiv[[Side]:[Side]],"Skyland Front")</f>
        <v>0</v>
      </c>
      <c r="I22" s="179">
        <f>SUMIFS(Upload_Indiv[Bird5],Upload_Indiv[[Player]:[Player]],$A22,Upload_Indiv[[Side]:[Side]],"Skyland Front")</f>
        <v>0</v>
      </c>
      <c r="J22" s="179">
        <f>SUMIFS(Upload_Indiv[Bird6],Upload_Indiv[[Player]:[Player]],$A22,Upload_Indiv[[Side]:[Side]],"Skyland Front")</f>
        <v>0</v>
      </c>
      <c r="K22" s="179">
        <f>SUMIFS(Upload_Indiv[Bird7],Upload_Indiv[[Player]:[Player]],$A22,Upload_Indiv[[Side]:[Side]],"Skyland Front")</f>
        <v>0</v>
      </c>
      <c r="L22" s="179">
        <f>SUMIFS(Upload_Indiv[Bird8],Upload_Indiv[[Player]:[Player]],$A22,Upload_Indiv[[Side]:[Side]],"Skyland Front")</f>
        <v>0</v>
      </c>
      <c r="M22" s="179">
        <f>SUMIFS(Upload_Indiv[Bird9],Upload_Indiv[[Player]:[Player]],$A22,Upload_Indiv[[Side]:[Side]],"Skyland Front")</f>
        <v>0</v>
      </c>
      <c r="N22" s="179">
        <f>SUMIFS(Upload_Indiv[Bird1],Upload_Indiv[[Player]:[Player]],$A22,Upload_Indiv[[Side]:[Side]],"Skyland Back")</f>
        <v>0</v>
      </c>
      <c r="O22" s="179">
        <f>SUMIFS(Upload_Indiv[Bird2],Upload_Indiv[[Player]:[Player]],$A22,Upload_Indiv[[Side]:[Side]],"Skyland Back")</f>
        <v>0</v>
      </c>
      <c r="P22" s="179">
        <f>SUMIFS(Upload_Indiv[Bird3],Upload_Indiv[[Player]:[Player]],$A22,Upload_Indiv[[Side]:[Side]],"Skyland Back")</f>
        <v>0</v>
      </c>
      <c r="Q22" s="179">
        <f>SUMIFS(Upload_Indiv[Bird4],Upload_Indiv[[Player]:[Player]],$A22,Upload_Indiv[[Side]:[Side]],"Skyland Back")</f>
        <v>0</v>
      </c>
      <c r="R22" s="179">
        <f>SUMIFS(Upload_Indiv[Bird5],Upload_Indiv[[Player]:[Player]],$A22,Upload_Indiv[[Side]:[Side]],"Skyland Back")</f>
        <v>0</v>
      </c>
      <c r="S22" s="179">
        <f>SUMIFS(Upload_Indiv[Bird6],Upload_Indiv[[Player]:[Player]],$A22,Upload_Indiv[[Side]:[Side]],"Skyland Back")</f>
        <v>0</v>
      </c>
      <c r="T22" s="179">
        <f>SUMIFS(Upload_Indiv[Bird7],Upload_Indiv[[Player]:[Player]],$A22,Upload_Indiv[[Side]:[Side]],"Skyland Back")</f>
        <v>0</v>
      </c>
      <c r="U22" s="179">
        <f>SUMIFS(Upload_Indiv[Bird8],Upload_Indiv[[Player]:[Player]],$A22,Upload_Indiv[[Side]:[Side]],"Skyland Back")</f>
        <v>0</v>
      </c>
      <c r="V22" s="179">
        <f>SUMIFS(Upload_Indiv[Bird9],Upload_Indiv[[Player]:[Player]],$A22,Upload_Indiv[[Side]:[Side]],"Skyland Back")</f>
        <v>0</v>
      </c>
    </row>
    <row r="23" spans="2:22" ht="15" x14ac:dyDescent="0.25">
      <c r="B23"/>
      <c r="D23" s="179"/>
      <c r="E23" s="179">
        <f>SUMIFS(Upload_Indiv[Bird1],Upload_Indiv[[Player]:[Player]],$A23,Upload_Indiv[[Side]:[Side]],"Skyland Front")</f>
        <v>0</v>
      </c>
      <c r="F23" s="179">
        <f>SUMIFS(Upload_Indiv[Bird2],Upload_Indiv[[Player]:[Player]],$A23,Upload_Indiv[[Side]:[Side]],"Skyland Front")</f>
        <v>0</v>
      </c>
      <c r="G23" s="179">
        <f>SUMIFS(Upload_Indiv[Bird3],Upload_Indiv[[Player]:[Player]],$A23,Upload_Indiv[[Side]:[Side]],"Skyland Front")</f>
        <v>0</v>
      </c>
      <c r="H23" s="179">
        <f>SUMIFS(Upload_Indiv[Bird4],Upload_Indiv[[Player]:[Player]],$A23,Upload_Indiv[[Side]:[Side]],"Skyland Front")</f>
        <v>0</v>
      </c>
      <c r="I23" s="179">
        <f>SUMIFS(Upload_Indiv[Bird5],Upload_Indiv[[Player]:[Player]],$A23,Upload_Indiv[[Side]:[Side]],"Skyland Front")</f>
        <v>0</v>
      </c>
      <c r="J23" s="179">
        <f>SUMIFS(Upload_Indiv[Bird6],Upload_Indiv[[Player]:[Player]],$A23,Upload_Indiv[[Side]:[Side]],"Skyland Front")</f>
        <v>0</v>
      </c>
      <c r="K23" s="179">
        <f>SUMIFS(Upload_Indiv[Bird7],Upload_Indiv[[Player]:[Player]],$A23,Upload_Indiv[[Side]:[Side]],"Skyland Front")</f>
        <v>0</v>
      </c>
      <c r="L23" s="179">
        <f>SUMIFS(Upload_Indiv[Bird8],Upload_Indiv[[Player]:[Player]],$A23,Upload_Indiv[[Side]:[Side]],"Skyland Front")</f>
        <v>0</v>
      </c>
      <c r="M23" s="179">
        <f>SUMIFS(Upload_Indiv[Bird9],Upload_Indiv[[Player]:[Player]],$A23,Upload_Indiv[[Side]:[Side]],"Skyland Front")</f>
        <v>0</v>
      </c>
      <c r="N23" s="179">
        <f>SUMIFS(Upload_Indiv[Bird1],Upload_Indiv[[Player]:[Player]],$A23,Upload_Indiv[[Side]:[Side]],"Skyland Back")</f>
        <v>0</v>
      </c>
      <c r="O23" s="179">
        <f>SUMIFS(Upload_Indiv[Bird2],Upload_Indiv[[Player]:[Player]],$A23,Upload_Indiv[[Side]:[Side]],"Skyland Back")</f>
        <v>0</v>
      </c>
      <c r="P23" s="179">
        <f>SUMIFS(Upload_Indiv[Bird3],Upload_Indiv[[Player]:[Player]],$A23,Upload_Indiv[[Side]:[Side]],"Skyland Back")</f>
        <v>0</v>
      </c>
      <c r="Q23" s="179">
        <f>SUMIFS(Upload_Indiv[Bird4],Upload_Indiv[[Player]:[Player]],$A23,Upload_Indiv[[Side]:[Side]],"Skyland Back")</f>
        <v>0</v>
      </c>
      <c r="R23" s="179">
        <f>SUMIFS(Upload_Indiv[Bird5],Upload_Indiv[[Player]:[Player]],$A23,Upload_Indiv[[Side]:[Side]],"Skyland Back")</f>
        <v>0</v>
      </c>
      <c r="S23" s="179">
        <f>SUMIFS(Upload_Indiv[Bird6],Upload_Indiv[[Player]:[Player]],$A23,Upload_Indiv[[Side]:[Side]],"Skyland Back")</f>
        <v>0</v>
      </c>
      <c r="T23" s="179">
        <f>SUMIFS(Upload_Indiv[Bird7],Upload_Indiv[[Player]:[Player]],$A23,Upload_Indiv[[Side]:[Side]],"Skyland Back")</f>
        <v>0</v>
      </c>
      <c r="U23" s="179">
        <f>SUMIFS(Upload_Indiv[Bird8],Upload_Indiv[[Player]:[Player]],$A23,Upload_Indiv[[Side]:[Side]],"Skyland Back")</f>
        <v>0</v>
      </c>
      <c r="V23" s="179">
        <f>SUMIFS(Upload_Indiv[Bird9],Upload_Indiv[[Player]:[Player]],$A23,Upload_Indiv[[Side]:[Side]],"Skyland Back")</f>
        <v>0</v>
      </c>
    </row>
    <row r="24" spans="2:22" ht="15" x14ac:dyDescent="0.25">
      <c r="B24"/>
      <c r="D24" s="179"/>
      <c r="E24" s="179">
        <f>SUMIFS(Upload_Indiv[Bird1],Upload_Indiv[[Player]:[Player]],$A24,Upload_Indiv[[Side]:[Side]],"Skyland Front")</f>
        <v>0</v>
      </c>
      <c r="F24" s="179">
        <f>SUMIFS(Upload_Indiv[Bird2],Upload_Indiv[[Player]:[Player]],$A24,Upload_Indiv[[Side]:[Side]],"Skyland Front")</f>
        <v>0</v>
      </c>
      <c r="G24" s="179">
        <f>SUMIFS(Upload_Indiv[Bird3],Upload_Indiv[[Player]:[Player]],$A24,Upload_Indiv[[Side]:[Side]],"Skyland Front")</f>
        <v>0</v>
      </c>
      <c r="H24" s="179">
        <f>SUMIFS(Upload_Indiv[Bird4],Upload_Indiv[[Player]:[Player]],$A24,Upload_Indiv[[Side]:[Side]],"Skyland Front")</f>
        <v>0</v>
      </c>
      <c r="I24" s="179">
        <f>SUMIFS(Upload_Indiv[Bird5],Upload_Indiv[[Player]:[Player]],$A24,Upload_Indiv[[Side]:[Side]],"Skyland Front")</f>
        <v>0</v>
      </c>
      <c r="J24" s="179">
        <f>SUMIFS(Upload_Indiv[Bird6],Upload_Indiv[[Player]:[Player]],$A24,Upload_Indiv[[Side]:[Side]],"Skyland Front")</f>
        <v>0</v>
      </c>
      <c r="K24" s="179">
        <f>SUMIFS(Upload_Indiv[Bird7],Upload_Indiv[[Player]:[Player]],$A24,Upload_Indiv[[Side]:[Side]],"Skyland Front")</f>
        <v>0</v>
      </c>
      <c r="L24" s="179">
        <f>SUMIFS(Upload_Indiv[Bird8],Upload_Indiv[[Player]:[Player]],$A24,Upload_Indiv[[Side]:[Side]],"Skyland Front")</f>
        <v>0</v>
      </c>
      <c r="M24" s="179">
        <f>SUMIFS(Upload_Indiv[Bird9],Upload_Indiv[[Player]:[Player]],$A24,Upload_Indiv[[Side]:[Side]],"Skyland Front")</f>
        <v>0</v>
      </c>
      <c r="N24" s="179">
        <f>SUMIFS(Upload_Indiv[Bird1],Upload_Indiv[[Player]:[Player]],$A24,Upload_Indiv[[Side]:[Side]],"Skyland Back")</f>
        <v>0</v>
      </c>
      <c r="O24" s="179">
        <f>SUMIFS(Upload_Indiv[Bird2],Upload_Indiv[[Player]:[Player]],$A24,Upload_Indiv[[Side]:[Side]],"Skyland Back")</f>
        <v>0</v>
      </c>
      <c r="P24" s="179">
        <f>SUMIFS(Upload_Indiv[Bird3],Upload_Indiv[[Player]:[Player]],$A24,Upload_Indiv[[Side]:[Side]],"Skyland Back")</f>
        <v>0</v>
      </c>
      <c r="Q24" s="179">
        <f>SUMIFS(Upload_Indiv[Bird4],Upload_Indiv[[Player]:[Player]],$A24,Upload_Indiv[[Side]:[Side]],"Skyland Back")</f>
        <v>0</v>
      </c>
      <c r="R24" s="179">
        <f>SUMIFS(Upload_Indiv[Bird5],Upload_Indiv[[Player]:[Player]],$A24,Upload_Indiv[[Side]:[Side]],"Skyland Back")</f>
        <v>0</v>
      </c>
      <c r="S24" s="179">
        <f>SUMIFS(Upload_Indiv[Bird6],Upload_Indiv[[Player]:[Player]],$A24,Upload_Indiv[[Side]:[Side]],"Skyland Back")</f>
        <v>0</v>
      </c>
      <c r="T24" s="179">
        <f>SUMIFS(Upload_Indiv[Bird7],Upload_Indiv[[Player]:[Player]],$A24,Upload_Indiv[[Side]:[Side]],"Skyland Back")</f>
        <v>0</v>
      </c>
      <c r="U24" s="179">
        <f>SUMIFS(Upload_Indiv[Bird8],Upload_Indiv[[Player]:[Player]],$A24,Upload_Indiv[[Side]:[Side]],"Skyland Back")</f>
        <v>0</v>
      </c>
      <c r="V24" s="179">
        <f>SUMIFS(Upload_Indiv[Bird9],Upload_Indiv[[Player]:[Player]],$A24,Upload_Indiv[[Side]:[Side]],"Skyland Back")</f>
        <v>0</v>
      </c>
    </row>
    <row r="25" spans="2:22" ht="15" x14ac:dyDescent="0.25">
      <c r="B25"/>
      <c r="D25" s="179"/>
      <c r="E25" s="179">
        <f>SUMIFS(Upload_Indiv[Bird1],Upload_Indiv[[Player]:[Player]],$A25,Upload_Indiv[[Side]:[Side]],"Skyland Front")</f>
        <v>0</v>
      </c>
      <c r="F25" s="179">
        <f>SUMIFS(Upload_Indiv[Bird2],Upload_Indiv[[Player]:[Player]],$A25,Upload_Indiv[[Side]:[Side]],"Skyland Front")</f>
        <v>0</v>
      </c>
      <c r="G25" s="179">
        <f>SUMIFS(Upload_Indiv[Bird3],Upload_Indiv[[Player]:[Player]],$A25,Upload_Indiv[[Side]:[Side]],"Skyland Front")</f>
        <v>0</v>
      </c>
      <c r="H25" s="179">
        <f>SUMIFS(Upload_Indiv[Bird4],Upload_Indiv[[Player]:[Player]],$A25,Upload_Indiv[[Side]:[Side]],"Skyland Front")</f>
        <v>0</v>
      </c>
      <c r="I25" s="179">
        <f>SUMIFS(Upload_Indiv[Bird5],Upload_Indiv[[Player]:[Player]],$A25,Upload_Indiv[[Side]:[Side]],"Skyland Front")</f>
        <v>0</v>
      </c>
      <c r="J25" s="179">
        <f>SUMIFS(Upload_Indiv[Bird6],Upload_Indiv[[Player]:[Player]],$A25,Upload_Indiv[[Side]:[Side]],"Skyland Front")</f>
        <v>0</v>
      </c>
      <c r="K25" s="179">
        <f>SUMIFS(Upload_Indiv[Bird7],Upload_Indiv[[Player]:[Player]],$A25,Upload_Indiv[[Side]:[Side]],"Skyland Front")</f>
        <v>0</v>
      </c>
      <c r="L25" s="179">
        <f>SUMIFS(Upload_Indiv[Bird8],Upload_Indiv[[Player]:[Player]],$A25,Upload_Indiv[[Side]:[Side]],"Skyland Front")</f>
        <v>0</v>
      </c>
      <c r="M25" s="179">
        <f>SUMIFS(Upload_Indiv[Bird9],Upload_Indiv[[Player]:[Player]],$A25,Upload_Indiv[[Side]:[Side]],"Skyland Front")</f>
        <v>0</v>
      </c>
      <c r="N25" s="179">
        <f>SUMIFS(Upload_Indiv[Bird1],Upload_Indiv[[Player]:[Player]],$A25,Upload_Indiv[[Side]:[Side]],"Skyland Back")</f>
        <v>0</v>
      </c>
      <c r="O25" s="179">
        <f>SUMIFS(Upload_Indiv[Bird2],Upload_Indiv[[Player]:[Player]],$A25,Upload_Indiv[[Side]:[Side]],"Skyland Back")</f>
        <v>0</v>
      </c>
      <c r="P25" s="179">
        <f>SUMIFS(Upload_Indiv[Bird3],Upload_Indiv[[Player]:[Player]],$A25,Upload_Indiv[[Side]:[Side]],"Skyland Back")</f>
        <v>0</v>
      </c>
      <c r="Q25" s="179">
        <f>SUMIFS(Upload_Indiv[Bird4],Upload_Indiv[[Player]:[Player]],$A25,Upload_Indiv[[Side]:[Side]],"Skyland Back")</f>
        <v>0</v>
      </c>
      <c r="R25" s="179">
        <f>SUMIFS(Upload_Indiv[Bird5],Upload_Indiv[[Player]:[Player]],$A25,Upload_Indiv[[Side]:[Side]],"Skyland Back")</f>
        <v>0</v>
      </c>
      <c r="S25" s="179">
        <f>SUMIFS(Upload_Indiv[Bird6],Upload_Indiv[[Player]:[Player]],$A25,Upload_Indiv[[Side]:[Side]],"Skyland Back")</f>
        <v>0</v>
      </c>
      <c r="T25" s="179">
        <f>SUMIFS(Upload_Indiv[Bird7],Upload_Indiv[[Player]:[Player]],$A25,Upload_Indiv[[Side]:[Side]],"Skyland Back")</f>
        <v>0</v>
      </c>
      <c r="U25" s="179">
        <f>SUMIFS(Upload_Indiv[Bird8],Upload_Indiv[[Player]:[Player]],$A25,Upload_Indiv[[Side]:[Side]],"Skyland Back")</f>
        <v>0</v>
      </c>
      <c r="V25" s="179">
        <f>SUMIFS(Upload_Indiv[Bird9],Upload_Indiv[[Player]:[Player]],$A25,Upload_Indiv[[Side]:[Side]],"Skyland Back")</f>
        <v>0</v>
      </c>
    </row>
    <row r="26" spans="2:22" ht="15" x14ac:dyDescent="0.25">
      <c r="B26"/>
      <c r="D26" s="179"/>
      <c r="E26" s="179">
        <f>SUMIFS(Upload_Indiv[Bird1],Upload_Indiv[[Player]:[Player]],$A26,Upload_Indiv[[Side]:[Side]],"Skyland Front")</f>
        <v>0</v>
      </c>
      <c r="F26" s="179">
        <f>SUMIFS(Upload_Indiv[Bird2],Upload_Indiv[[Player]:[Player]],$A26,Upload_Indiv[[Side]:[Side]],"Skyland Front")</f>
        <v>0</v>
      </c>
      <c r="G26" s="179">
        <f>SUMIFS(Upload_Indiv[Bird3],Upload_Indiv[[Player]:[Player]],$A26,Upload_Indiv[[Side]:[Side]],"Skyland Front")</f>
        <v>0</v>
      </c>
      <c r="H26" s="179">
        <f>SUMIFS(Upload_Indiv[Bird4],Upload_Indiv[[Player]:[Player]],$A26,Upload_Indiv[[Side]:[Side]],"Skyland Front")</f>
        <v>0</v>
      </c>
      <c r="I26" s="179">
        <f>SUMIFS(Upload_Indiv[Bird5],Upload_Indiv[[Player]:[Player]],$A26,Upload_Indiv[[Side]:[Side]],"Skyland Front")</f>
        <v>0</v>
      </c>
      <c r="J26" s="179">
        <f>SUMIFS(Upload_Indiv[Bird6],Upload_Indiv[[Player]:[Player]],$A26,Upload_Indiv[[Side]:[Side]],"Skyland Front")</f>
        <v>0</v>
      </c>
      <c r="K26" s="179">
        <f>SUMIFS(Upload_Indiv[Bird7],Upload_Indiv[[Player]:[Player]],$A26,Upload_Indiv[[Side]:[Side]],"Skyland Front")</f>
        <v>0</v>
      </c>
      <c r="L26" s="179">
        <f>SUMIFS(Upload_Indiv[Bird8],Upload_Indiv[[Player]:[Player]],$A26,Upload_Indiv[[Side]:[Side]],"Skyland Front")</f>
        <v>0</v>
      </c>
      <c r="M26" s="179">
        <f>SUMIFS(Upload_Indiv[Bird9],Upload_Indiv[[Player]:[Player]],$A26,Upload_Indiv[[Side]:[Side]],"Skyland Front")</f>
        <v>0</v>
      </c>
      <c r="N26" s="179">
        <f>SUMIFS(Upload_Indiv[Bird1],Upload_Indiv[[Player]:[Player]],$A26,Upload_Indiv[[Side]:[Side]],"Skyland Back")</f>
        <v>0</v>
      </c>
      <c r="O26" s="179">
        <f>SUMIFS(Upload_Indiv[Bird2],Upload_Indiv[[Player]:[Player]],$A26,Upload_Indiv[[Side]:[Side]],"Skyland Back")</f>
        <v>0</v>
      </c>
      <c r="P26" s="179">
        <f>SUMIFS(Upload_Indiv[Bird3],Upload_Indiv[[Player]:[Player]],$A26,Upload_Indiv[[Side]:[Side]],"Skyland Back")</f>
        <v>0</v>
      </c>
      <c r="Q26" s="179">
        <f>SUMIFS(Upload_Indiv[Bird4],Upload_Indiv[[Player]:[Player]],$A26,Upload_Indiv[[Side]:[Side]],"Skyland Back")</f>
        <v>0</v>
      </c>
      <c r="R26" s="179">
        <f>SUMIFS(Upload_Indiv[Bird5],Upload_Indiv[[Player]:[Player]],$A26,Upload_Indiv[[Side]:[Side]],"Skyland Back")</f>
        <v>0</v>
      </c>
      <c r="S26" s="179">
        <f>SUMIFS(Upload_Indiv[Bird6],Upload_Indiv[[Player]:[Player]],$A26,Upload_Indiv[[Side]:[Side]],"Skyland Back")</f>
        <v>0</v>
      </c>
      <c r="T26" s="179">
        <f>SUMIFS(Upload_Indiv[Bird7],Upload_Indiv[[Player]:[Player]],$A26,Upload_Indiv[[Side]:[Side]],"Skyland Back")</f>
        <v>0</v>
      </c>
      <c r="U26" s="179">
        <f>SUMIFS(Upload_Indiv[Bird8],Upload_Indiv[[Player]:[Player]],$A26,Upload_Indiv[[Side]:[Side]],"Skyland Back")</f>
        <v>0</v>
      </c>
      <c r="V26" s="179">
        <f>SUMIFS(Upload_Indiv[Bird9],Upload_Indiv[[Player]:[Player]],$A26,Upload_Indiv[[Side]:[Side]],"Skyland Back")</f>
        <v>0</v>
      </c>
    </row>
    <row r="27" spans="2:22" ht="15" x14ac:dyDescent="0.25">
      <c r="B27"/>
      <c r="D27" s="179"/>
      <c r="E27" s="179">
        <f>SUMIFS(Upload_Indiv[Bird1],Upload_Indiv[[Player]:[Player]],$A27,Upload_Indiv[[Side]:[Side]],"Skyland Front")</f>
        <v>0</v>
      </c>
      <c r="F27" s="179">
        <f>SUMIFS(Upload_Indiv[Bird2],Upload_Indiv[[Player]:[Player]],$A27,Upload_Indiv[[Side]:[Side]],"Skyland Front")</f>
        <v>0</v>
      </c>
      <c r="G27" s="179">
        <f>SUMIFS(Upload_Indiv[Bird3],Upload_Indiv[[Player]:[Player]],$A27,Upload_Indiv[[Side]:[Side]],"Skyland Front")</f>
        <v>0</v>
      </c>
      <c r="H27" s="179">
        <f>SUMIFS(Upload_Indiv[Bird4],Upload_Indiv[[Player]:[Player]],$A27,Upload_Indiv[[Side]:[Side]],"Skyland Front")</f>
        <v>0</v>
      </c>
      <c r="I27" s="179">
        <f>SUMIFS(Upload_Indiv[Bird5],Upload_Indiv[[Player]:[Player]],$A27,Upload_Indiv[[Side]:[Side]],"Skyland Front")</f>
        <v>0</v>
      </c>
      <c r="J27" s="179">
        <f>SUMIFS(Upload_Indiv[Bird6],Upload_Indiv[[Player]:[Player]],$A27,Upload_Indiv[[Side]:[Side]],"Skyland Front")</f>
        <v>0</v>
      </c>
      <c r="K27" s="179">
        <f>SUMIFS(Upload_Indiv[Bird7],Upload_Indiv[[Player]:[Player]],$A27,Upload_Indiv[[Side]:[Side]],"Skyland Front")</f>
        <v>0</v>
      </c>
      <c r="L27" s="179">
        <f>SUMIFS(Upload_Indiv[Bird8],Upload_Indiv[[Player]:[Player]],$A27,Upload_Indiv[[Side]:[Side]],"Skyland Front")</f>
        <v>0</v>
      </c>
      <c r="M27" s="179">
        <f>SUMIFS(Upload_Indiv[Bird9],Upload_Indiv[[Player]:[Player]],$A27,Upload_Indiv[[Side]:[Side]],"Skyland Front")</f>
        <v>0</v>
      </c>
      <c r="N27" s="179">
        <f>SUMIFS(Upload_Indiv[Bird1],Upload_Indiv[[Player]:[Player]],$A27,Upload_Indiv[[Side]:[Side]],"Skyland Back")</f>
        <v>0</v>
      </c>
      <c r="O27" s="179">
        <f>SUMIFS(Upload_Indiv[Bird2],Upload_Indiv[[Player]:[Player]],$A27,Upload_Indiv[[Side]:[Side]],"Skyland Back")</f>
        <v>0</v>
      </c>
      <c r="P27" s="179">
        <f>SUMIFS(Upload_Indiv[Bird3],Upload_Indiv[[Player]:[Player]],$A27,Upload_Indiv[[Side]:[Side]],"Skyland Back")</f>
        <v>0</v>
      </c>
      <c r="Q27" s="179">
        <f>SUMIFS(Upload_Indiv[Bird4],Upload_Indiv[[Player]:[Player]],$A27,Upload_Indiv[[Side]:[Side]],"Skyland Back")</f>
        <v>0</v>
      </c>
      <c r="R27" s="179">
        <f>SUMIFS(Upload_Indiv[Bird5],Upload_Indiv[[Player]:[Player]],$A27,Upload_Indiv[[Side]:[Side]],"Skyland Back")</f>
        <v>0</v>
      </c>
      <c r="S27" s="179">
        <f>SUMIFS(Upload_Indiv[Bird6],Upload_Indiv[[Player]:[Player]],$A27,Upload_Indiv[[Side]:[Side]],"Skyland Back")</f>
        <v>0</v>
      </c>
      <c r="T27" s="179">
        <f>SUMIFS(Upload_Indiv[Bird7],Upload_Indiv[[Player]:[Player]],$A27,Upload_Indiv[[Side]:[Side]],"Skyland Back")</f>
        <v>0</v>
      </c>
      <c r="U27" s="179">
        <f>SUMIFS(Upload_Indiv[Bird8],Upload_Indiv[[Player]:[Player]],$A27,Upload_Indiv[[Side]:[Side]],"Skyland Back")</f>
        <v>0</v>
      </c>
      <c r="V27" s="179">
        <f>SUMIFS(Upload_Indiv[Bird9],Upload_Indiv[[Player]:[Player]],$A27,Upload_Indiv[[Side]:[Side]],"Skyland Back")</f>
        <v>0</v>
      </c>
    </row>
    <row r="28" spans="2:22" ht="15" x14ac:dyDescent="0.25">
      <c r="B28"/>
      <c r="D28" s="179"/>
      <c r="E28" s="179">
        <f>SUMIFS(Upload_Indiv[Bird1],Upload_Indiv[[Player]:[Player]],$A28,Upload_Indiv[[Side]:[Side]],"Skyland Front")</f>
        <v>0</v>
      </c>
      <c r="F28" s="179">
        <f>SUMIFS(Upload_Indiv[Bird2],Upload_Indiv[[Player]:[Player]],$A28,Upload_Indiv[[Side]:[Side]],"Skyland Front")</f>
        <v>0</v>
      </c>
      <c r="G28" s="179">
        <f>SUMIFS(Upload_Indiv[Bird3],Upload_Indiv[[Player]:[Player]],$A28,Upload_Indiv[[Side]:[Side]],"Skyland Front")</f>
        <v>0</v>
      </c>
      <c r="H28" s="179">
        <f>SUMIFS(Upload_Indiv[Bird4],Upload_Indiv[[Player]:[Player]],$A28,Upload_Indiv[[Side]:[Side]],"Skyland Front")</f>
        <v>0</v>
      </c>
      <c r="I28" s="179">
        <f>SUMIFS(Upload_Indiv[Bird5],Upload_Indiv[[Player]:[Player]],$A28,Upload_Indiv[[Side]:[Side]],"Skyland Front")</f>
        <v>0</v>
      </c>
      <c r="J28" s="179">
        <f>SUMIFS(Upload_Indiv[Bird6],Upload_Indiv[[Player]:[Player]],$A28,Upload_Indiv[[Side]:[Side]],"Skyland Front")</f>
        <v>0</v>
      </c>
      <c r="K28" s="179">
        <f>SUMIFS(Upload_Indiv[Bird7],Upload_Indiv[[Player]:[Player]],$A28,Upload_Indiv[[Side]:[Side]],"Skyland Front")</f>
        <v>0</v>
      </c>
      <c r="L28" s="179">
        <f>SUMIFS(Upload_Indiv[Bird8],Upload_Indiv[[Player]:[Player]],$A28,Upload_Indiv[[Side]:[Side]],"Skyland Front")</f>
        <v>0</v>
      </c>
      <c r="M28" s="179">
        <f>SUMIFS(Upload_Indiv[Bird9],Upload_Indiv[[Player]:[Player]],$A28,Upload_Indiv[[Side]:[Side]],"Skyland Front")</f>
        <v>0</v>
      </c>
      <c r="N28" s="179">
        <f>SUMIFS(Upload_Indiv[Bird1],Upload_Indiv[[Player]:[Player]],$A28,Upload_Indiv[[Side]:[Side]],"Skyland Back")</f>
        <v>0</v>
      </c>
      <c r="O28" s="179">
        <f>SUMIFS(Upload_Indiv[Bird2],Upload_Indiv[[Player]:[Player]],$A28,Upload_Indiv[[Side]:[Side]],"Skyland Back")</f>
        <v>0</v>
      </c>
      <c r="P28" s="179">
        <f>SUMIFS(Upload_Indiv[Bird3],Upload_Indiv[[Player]:[Player]],$A28,Upload_Indiv[[Side]:[Side]],"Skyland Back")</f>
        <v>0</v>
      </c>
      <c r="Q28" s="179">
        <f>SUMIFS(Upload_Indiv[Bird4],Upload_Indiv[[Player]:[Player]],$A28,Upload_Indiv[[Side]:[Side]],"Skyland Back")</f>
        <v>0</v>
      </c>
      <c r="R28" s="179">
        <f>SUMIFS(Upload_Indiv[Bird5],Upload_Indiv[[Player]:[Player]],$A28,Upload_Indiv[[Side]:[Side]],"Skyland Back")</f>
        <v>0</v>
      </c>
      <c r="S28" s="179">
        <f>SUMIFS(Upload_Indiv[Bird6],Upload_Indiv[[Player]:[Player]],$A28,Upload_Indiv[[Side]:[Side]],"Skyland Back")</f>
        <v>0</v>
      </c>
      <c r="T28" s="179">
        <f>SUMIFS(Upload_Indiv[Bird7],Upload_Indiv[[Player]:[Player]],$A28,Upload_Indiv[[Side]:[Side]],"Skyland Back")</f>
        <v>0</v>
      </c>
      <c r="U28" s="179">
        <f>SUMIFS(Upload_Indiv[Bird8],Upload_Indiv[[Player]:[Player]],$A28,Upload_Indiv[[Side]:[Side]],"Skyland Back")</f>
        <v>0</v>
      </c>
      <c r="V28" s="179">
        <f>SUMIFS(Upload_Indiv[Bird9],Upload_Indiv[[Player]:[Player]],$A28,Upload_Indiv[[Side]:[Side]],"Skyland Back")</f>
        <v>0</v>
      </c>
    </row>
    <row r="29" spans="2:22" ht="15" x14ac:dyDescent="0.25">
      <c r="B29"/>
      <c r="D29" s="179"/>
      <c r="E29" s="179">
        <f>SUMIFS(Upload_Indiv[Bird1],Upload_Indiv[[Player]:[Player]],$A29,Upload_Indiv[[Side]:[Side]],"Skyland Front")</f>
        <v>0</v>
      </c>
      <c r="F29" s="179">
        <f>SUMIFS(Upload_Indiv[Bird2],Upload_Indiv[[Player]:[Player]],$A29,Upload_Indiv[[Side]:[Side]],"Skyland Front")</f>
        <v>0</v>
      </c>
      <c r="G29" s="179">
        <f>SUMIFS(Upload_Indiv[Bird3],Upload_Indiv[[Player]:[Player]],$A29,Upload_Indiv[[Side]:[Side]],"Skyland Front")</f>
        <v>0</v>
      </c>
      <c r="H29" s="179">
        <f>SUMIFS(Upload_Indiv[Bird4],Upload_Indiv[[Player]:[Player]],$A29,Upload_Indiv[[Side]:[Side]],"Skyland Front")</f>
        <v>0</v>
      </c>
      <c r="I29" s="179">
        <f>SUMIFS(Upload_Indiv[Bird5],Upload_Indiv[[Player]:[Player]],$A29,Upload_Indiv[[Side]:[Side]],"Skyland Front")</f>
        <v>0</v>
      </c>
      <c r="J29" s="179">
        <f>SUMIFS(Upload_Indiv[Bird6],Upload_Indiv[[Player]:[Player]],$A29,Upload_Indiv[[Side]:[Side]],"Skyland Front")</f>
        <v>0</v>
      </c>
      <c r="K29" s="179">
        <f>SUMIFS(Upload_Indiv[Bird7],Upload_Indiv[[Player]:[Player]],$A29,Upload_Indiv[[Side]:[Side]],"Skyland Front")</f>
        <v>0</v>
      </c>
      <c r="L29" s="179">
        <f>SUMIFS(Upload_Indiv[Bird8],Upload_Indiv[[Player]:[Player]],$A29,Upload_Indiv[[Side]:[Side]],"Skyland Front")</f>
        <v>0</v>
      </c>
      <c r="M29" s="179">
        <f>SUMIFS(Upload_Indiv[Bird9],Upload_Indiv[[Player]:[Player]],$A29,Upload_Indiv[[Side]:[Side]],"Skyland Front")</f>
        <v>0</v>
      </c>
      <c r="N29" s="179">
        <f>SUMIFS(Upload_Indiv[Bird1],Upload_Indiv[[Player]:[Player]],$A29,Upload_Indiv[[Side]:[Side]],"Skyland Back")</f>
        <v>0</v>
      </c>
      <c r="O29" s="179">
        <f>SUMIFS(Upload_Indiv[Bird2],Upload_Indiv[[Player]:[Player]],$A29,Upload_Indiv[[Side]:[Side]],"Skyland Back")</f>
        <v>0</v>
      </c>
      <c r="P29" s="179">
        <f>SUMIFS(Upload_Indiv[Bird3],Upload_Indiv[[Player]:[Player]],$A29,Upload_Indiv[[Side]:[Side]],"Skyland Back")</f>
        <v>0</v>
      </c>
      <c r="Q29" s="179">
        <f>SUMIFS(Upload_Indiv[Bird4],Upload_Indiv[[Player]:[Player]],$A29,Upload_Indiv[[Side]:[Side]],"Skyland Back")</f>
        <v>0</v>
      </c>
      <c r="R29" s="179">
        <f>SUMIFS(Upload_Indiv[Bird5],Upload_Indiv[[Player]:[Player]],$A29,Upload_Indiv[[Side]:[Side]],"Skyland Back")</f>
        <v>0</v>
      </c>
      <c r="S29" s="179">
        <f>SUMIFS(Upload_Indiv[Bird6],Upload_Indiv[[Player]:[Player]],$A29,Upload_Indiv[[Side]:[Side]],"Skyland Back")</f>
        <v>0</v>
      </c>
      <c r="T29" s="179">
        <f>SUMIFS(Upload_Indiv[Bird7],Upload_Indiv[[Player]:[Player]],$A29,Upload_Indiv[[Side]:[Side]],"Skyland Back")</f>
        <v>0</v>
      </c>
      <c r="U29" s="179">
        <f>SUMIFS(Upload_Indiv[Bird8],Upload_Indiv[[Player]:[Player]],$A29,Upload_Indiv[[Side]:[Side]],"Skyland Back")</f>
        <v>0</v>
      </c>
      <c r="V29" s="179">
        <f>SUMIFS(Upload_Indiv[Bird9],Upload_Indiv[[Player]:[Player]],$A29,Upload_Indiv[[Side]:[Side]],"Skyland Back")</f>
        <v>0</v>
      </c>
    </row>
    <row r="30" spans="2:22" ht="15" x14ac:dyDescent="0.25">
      <c r="B30"/>
      <c r="D30" s="179"/>
      <c r="E30" s="179">
        <f>SUMIFS(Upload_Indiv[Bird1],Upload_Indiv[[Player]:[Player]],$A30,Upload_Indiv[[Side]:[Side]],"Skyland Front")</f>
        <v>0</v>
      </c>
      <c r="F30" s="179">
        <f>SUMIFS(Upload_Indiv[Bird2],Upload_Indiv[[Player]:[Player]],$A30,Upload_Indiv[[Side]:[Side]],"Skyland Front")</f>
        <v>0</v>
      </c>
      <c r="G30" s="179">
        <f>SUMIFS(Upload_Indiv[Bird3],Upload_Indiv[[Player]:[Player]],$A30,Upload_Indiv[[Side]:[Side]],"Skyland Front")</f>
        <v>0</v>
      </c>
      <c r="H30" s="179">
        <f>SUMIFS(Upload_Indiv[Bird4],Upload_Indiv[[Player]:[Player]],$A30,Upload_Indiv[[Side]:[Side]],"Skyland Front")</f>
        <v>0</v>
      </c>
      <c r="I30" s="179">
        <f>SUMIFS(Upload_Indiv[Bird5],Upload_Indiv[[Player]:[Player]],$A30,Upload_Indiv[[Side]:[Side]],"Skyland Front")</f>
        <v>0</v>
      </c>
      <c r="J30" s="179">
        <f>SUMIFS(Upload_Indiv[Bird6],Upload_Indiv[[Player]:[Player]],$A30,Upload_Indiv[[Side]:[Side]],"Skyland Front")</f>
        <v>0</v>
      </c>
      <c r="K30" s="179">
        <f>SUMIFS(Upload_Indiv[Bird7],Upload_Indiv[[Player]:[Player]],$A30,Upload_Indiv[[Side]:[Side]],"Skyland Front")</f>
        <v>0</v>
      </c>
      <c r="L30" s="179">
        <f>SUMIFS(Upload_Indiv[Bird8],Upload_Indiv[[Player]:[Player]],$A30,Upload_Indiv[[Side]:[Side]],"Skyland Front")</f>
        <v>0</v>
      </c>
      <c r="M30" s="179">
        <f>SUMIFS(Upload_Indiv[Bird9],Upload_Indiv[[Player]:[Player]],$A30,Upload_Indiv[[Side]:[Side]],"Skyland Front")</f>
        <v>0</v>
      </c>
      <c r="N30" s="179">
        <f>SUMIFS(Upload_Indiv[Bird1],Upload_Indiv[[Player]:[Player]],$A30,Upload_Indiv[[Side]:[Side]],"Skyland Back")</f>
        <v>0</v>
      </c>
      <c r="O30" s="179">
        <f>SUMIFS(Upload_Indiv[Bird2],Upload_Indiv[[Player]:[Player]],$A30,Upload_Indiv[[Side]:[Side]],"Skyland Back")</f>
        <v>0</v>
      </c>
      <c r="P30" s="179">
        <f>SUMIFS(Upload_Indiv[Bird3],Upload_Indiv[[Player]:[Player]],$A30,Upload_Indiv[[Side]:[Side]],"Skyland Back")</f>
        <v>0</v>
      </c>
      <c r="Q30" s="179">
        <f>SUMIFS(Upload_Indiv[Bird4],Upload_Indiv[[Player]:[Player]],$A30,Upload_Indiv[[Side]:[Side]],"Skyland Back")</f>
        <v>0</v>
      </c>
      <c r="R30" s="179">
        <f>SUMIFS(Upload_Indiv[Bird5],Upload_Indiv[[Player]:[Player]],$A30,Upload_Indiv[[Side]:[Side]],"Skyland Back")</f>
        <v>0</v>
      </c>
      <c r="S30" s="179">
        <f>SUMIFS(Upload_Indiv[Bird6],Upload_Indiv[[Player]:[Player]],$A30,Upload_Indiv[[Side]:[Side]],"Skyland Back")</f>
        <v>0</v>
      </c>
      <c r="T30" s="179">
        <f>SUMIFS(Upload_Indiv[Bird7],Upload_Indiv[[Player]:[Player]],$A30,Upload_Indiv[[Side]:[Side]],"Skyland Back")</f>
        <v>0</v>
      </c>
      <c r="U30" s="179">
        <f>SUMIFS(Upload_Indiv[Bird8],Upload_Indiv[[Player]:[Player]],$A30,Upload_Indiv[[Side]:[Side]],"Skyland Back")</f>
        <v>0</v>
      </c>
      <c r="V30" s="179">
        <f>SUMIFS(Upload_Indiv[Bird9],Upload_Indiv[[Player]:[Player]],$A30,Upload_Indiv[[Side]:[Side]],"Skyland Back")</f>
        <v>0</v>
      </c>
    </row>
    <row r="31" spans="2:22" x14ac:dyDescent="0.25">
      <c r="B31"/>
    </row>
    <row r="32" spans="2:22" x14ac:dyDescent="0.25">
      <c r="B32"/>
    </row>
    <row r="33" spans="2:2" x14ac:dyDescent="0.25">
      <c r="B33"/>
    </row>
  </sheetData>
  <mergeCells count="3">
    <mergeCell ref="A1:V1"/>
    <mergeCell ref="A2:V2"/>
    <mergeCell ref="A3:V3"/>
  </mergeCells>
  <conditionalFormatting sqref="E10:V12">
    <cfRule type="cellIs" dxfId="255" priority="5" operator="equal">
      <formula>0</formula>
    </cfRule>
  </conditionalFormatting>
  <conditionalFormatting sqref="E13:V17">
    <cfRule type="cellIs" dxfId="254" priority="4" operator="equal">
      <formula>0</formula>
    </cfRule>
  </conditionalFormatting>
  <conditionalFormatting sqref="E18:V22">
    <cfRule type="cellIs" dxfId="253" priority="3" operator="equal">
      <formula>0</formula>
    </cfRule>
  </conditionalFormatting>
  <conditionalFormatting sqref="E23:V30">
    <cfRule type="cellIs" dxfId="252" priority="2" operator="equal">
      <formula>0</formula>
    </cfRule>
  </conditionalFormatting>
  <conditionalFormatting sqref="E8:V9">
    <cfRule type="cellIs" dxfId="251" priority="1" operator="equal">
      <formula>0</formula>
    </cfRule>
  </conditionalFormatting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742B-F64C-4C24-82CA-162A864FC61A}">
  <sheetPr codeName="Sheet19"/>
  <dimension ref="A1:T9"/>
  <sheetViews>
    <sheetView workbookViewId="0">
      <selection sqref="A1:T1"/>
    </sheetView>
  </sheetViews>
  <sheetFormatPr defaultRowHeight="13.2" x14ac:dyDescent="0.25"/>
  <cols>
    <col min="1" max="1" width="7.5546875" bestFit="1" customWidth="1"/>
    <col min="2" max="20" width="7.5546875" customWidth="1"/>
  </cols>
  <sheetData>
    <row r="1" spans="1:20" s="153" customFormat="1" ht="15.6" x14ac:dyDescent="0.3">
      <c r="A1" s="445" t="s">
        <v>0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</row>
    <row r="2" spans="1:20" s="153" customFormat="1" ht="15.6" x14ac:dyDescent="0.3">
      <c r="A2" s="445" t="s">
        <v>1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</row>
    <row r="3" spans="1:20" s="153" customFormat="1" ht="15.6" x14ac:dyDescent="0.3">
      <c r="A3" s="445">
        <v>2024</v>
      </c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</row>
    <row r="4" spans="1:20" s="182" customFormat="1" ht="20.100000000000001" customHeight="1" x14ac:dyDescent="0.25">
      <c r="A4" s="202" t="s">
        <v>94</v>
      </c>
      <c r="B4" s="333"/>
      <c r="C4" s="203">
        <v>10</v>
      </c>
      <c r="D4" s="203">
        <v>13</v>
      </c>
      <c r="E4" s="203">
        <v>14</v>
      </c>
      <c r="F4" s="203">
        <v>15</v>
      </c>
      <c r="G4" s="203">
        <v>18</v>
      </c>
      <c r="H4" s="203">
        <v>12</v>
      </c>
      <c r="I4" s="203">
        <v>7</v>
      </c>
      <c r="J4" s="203">
        <v>4</v>
      </c>
      <c r="K4" s="203">
        <v>11</v>
      </c>
      <c r="L4" s="203">
        <v>9</v>
      </c>
      <c r="M4" s="203">
        <v>8</v>
      </c>
      <c r="N4" s="203">
        <v>6</v>
      </c>
      <c r="O4" s="203">
        <v>5</v>
      </c>
      <c r="P4" s="203">
        <v>3</v>
      </c>
      <c r="Q4" s="203">
        <v>1</v>
      </c>
      <c r="R4" s="203">
        <v>17</v>
      </c>
      <c r="S4" s="203">
        <v>16</v>
      </c>
      <c r="T4" s="372">
        <v>2</v>
      </c>
    </row>
    <row r="5" spans="1:20" s="182" customFormat="1" ht="20.100000000000001" customHeight="1" x14ac:dyDescent="0.25">
      <c r="A5" s="204" t="s">
        <v>95</v>
      </c>
      <c r="B5" s="206"/>
      <c r="C5" s="205">
        <v>5</v>
      </c>
      <c r="D5" s="205">
        <v>5</v>
      </c>
      <c r="E5" s="205">
        <v>4</v>
      </c>
      <c r="F5" s="205">
        <v>3</v>
      </c>
      <c r="G5" s="205">
        <v>3</v>
      </c>
      <c r="H5" s="205">
        <v>3</v>
      </c>
      <c r="I5" s="205">
        <v>4</v>
      </c>
      <c r="J5" s="205">
        <v>4</v>
      </c>
      <c r="K5" s="205">
        <v>3</v>
      </c>
      <c r="L5" s="205">
        <v>5</v>
      </c>
      <c r="M5" s="205">
        <v>5</v>
      </c>
      <c r="N5" s="205">
        <v>4</v>
      </c>
      <c r="O5" s="205">
        <v>4</v>
      </c>
      <c r="P5" s="205">
        <v>4</v>
      </c>
      <c r="Q5" s="205">
        <v>4</v>
      </c>
      <c r="R5" s="205">
        <v>4</v>
      </c>
      <c r="S5" s="205">
        <v>4</v>
      </c>
      <c r="T5" s="205">
        <v>4</v>
      </c>
    </row>
    <row r="6" spans="1:20" s="182" customFormat="1" ht="20.100000000000001" customHeight="1" x14ac:dyDescent="0.25">
      <c r="A6" s="207" t="s">
        <v>96</v>
      </c>
      <c r="B6" s="186" t="s">
        <v>99</v>
      </c>
      <c r="C6" s="186">
        <v>15</v>
      </c>
      <c r="D6" s="186">
        <v>2</v>
      </c>
      <c r="E6" s="186">
        <v>10</v>
      </c>
      <c r="F6" s="186">
        <v>4</v>
      </c>
      <c r="G6" s="186">
        <v>16</v>
      </c>
      <c r="H6" s="186">
        <v>11</v>
      </c>
      <c r="I6" s="186">
        <v>9</v>
      </c>
      <c r="J6" s="186">
        <v>13</v>
      </c>
      <c r="K6" s="186">
        <v>8</v>
      </c>
      <c r="L6" s="186">
        <v>7</v>
      </c>
      <c r="M6" s="186">
        <v>18</v>
      </c>
      <c r="N6" s="186">
        <v>14</v>
      </c>
      <c r="O6" s="186">
        <v>3</v>
      </c>
      <c r="P6" s="186">
        <v>1</v>
      </c>
      <c r="Q6" s="186">
        <v>6</v>
      </c>
      <c r="R6" s="186">
        <v>5</v>
      </c>
      <c r="S6" s="186">
        <v>12</v>
      </c>
      <c r="T6" s="186">
        <v>17</v>
      </c>
    </row>
    <row r="7" spans="1:20" s="182" customFormat="1" ht="20.100000000000001" customHeight="1" x14ac:dyDescent="0.25">
      <c r="A7" s="208" t="s">
        <v>107</v>
      </c>
      <c r="B7" s="209">
        <f>SUM(A7:A7)</f>
        <v>0</v>
      </c>
      <c r="C7" s="209">
        <f>SUMIF(Upload_Indiv[[Side]:[Side]],"Raintree Back",Upload_Indiv[Bird6])</f>
        <v>7</v>
      </c>
      <c r="D7" s="209">
        <f>SUMIF(Upload_Indiv[[Side]:[Side]],"Raintree Front",Upload_Indiv[Bird2])</f>
        <v>6</v>
      </c>
      <c r="E7" s="209">
        <f>SUMIF(Upload_Indiv[[Side]:[Side]],"Raintree Back",Upload_Indiv[Bird1])</f>
        <v>6</v>
      </c>
      <c r="F7" s="209">
        <f>SUMIF(Upload_Indiv[[Side]:[Side]],"Raintree Front",Upload_Indiv[Bird4])</f>
        <v>4</v>
      </c>
      <c r="G7" s="209">
        <f>SUMIF(Upload_Indiv[[Side]:[Side]],"Raintree Back",Upload_Indiv[Bird7])</f>
        <v>3</v>
      </c>
      <c r="H7" s="209">
        <f>SUMIF(Upload_Indiv[[Side]:[Side]],"Raintree Back",Upload_Indiv[Bird2])</f>
        <v>3</v>
      </c>
      <c r="I7" s="209">
        <f>SUMIF(Upload_Indiv[[Side]:[Side]],"Raintree Front",Upload_Indiv[Bird9])</f>
        <v>3</v>
      </c>
      <c r="J7" s="209">
        <f>SUMIF(Upload_Indiv[[Side]:[Side]],"Raintree Back",Upload_Indiv[Bird4])</f>
        <v>3</v>
      </c>
      <c r="K7" s="209">
        <f>SUMIF(Upload_Indiv[[Side]:[Side]],"Raintree Front",Upload_Indiv[Bird8])</f>
        <v>2</v>
      </c>
      <c r="L7" s="209">
        <f>SUMIF(Upload_Indiv[[Side]:[Side]],"Raintree Front",Upload_Indiv[Bird7])</f>
        <v>2</v>
      </c>
      <c r="M7" s="209">
        <f>SUMIF(Upload_Indiv[[Side]:[Side]],"Raintree Back",Upload_Indiv[Bird9])</f>
        <v>2</v>
      </c>
      <c r="N7" s="209">
        <f>SUMIF(Upload_Indiv[[Side]:[Side]],"Raintree Back",Upload_Indiv[Bird5])</f>
        <v>2</v>
      </c>
      <c r="O7" s="209">
        <f>SUMIF(Upload_Indiv[[Side]:[Side]],"Raintree Front",Upload_Indiv[Bird3])</f>
        <v>2</v>
      </c>
      <c r="P7" s="209">
        <f>SUMIF(Upload_Indiv[[Side]:[Side]],"Raintree Front",Upload_Indiv[Bird1])</f>
        <v>2</v>
      </c>
      <c r="Q7" s="209">
        <f>SUMIF(Upload_Indiv[[Side]:[Side]],"Raintree Front",Upload_Indiv[Bird6])</f>
        <v>3</v>
      </c>
      <c r="R7" s="209">
        <f>SUMIF(Upload_Indiv[[Side]:[Side]],"Raintree Front",Upload_Indiv[Bird5])</f>
        <v>1</v>
      </c>
      <c r="S7" s="209">
        <f>SUMIF(Upload_Indiv[[Side]:[Side]],"Raintree Back",Upload_Indiv[Bird3])</f>
        <v>1</v>
      </c>
      <c r="T7" s="209">
        <f>SUMIF(Upload_Indiv[[Side]:[Side]],"Raintree Back",Upload_Indiv[Bird8])</f>
        <v>0</v>
      </c>
    </row>
    <row r="8" spans="1:20" s="182" customFormat="1" ht="20.100000000000001" customHeight="1" x14ac:dyDescent="0.25">
      <c r="A8" s="208" t="s">
        <v>108</v>
      </c>
      <c r="B8" s="209">
        <f>SUM(A8:A8)</f>
        <v>0</v>
      </c>
      <c r="C8" s="209">
        <f>SUMIF(Upload_Indiv[[Side]:[Side]],"Raintree Back",Upload_Indiv[Eagle6])</f>
        <v>1</v>
      </c>
      <c r="D8" s="209">
        <f>SUMIF(Upload_Indiv[[Side]:[Side]],"Raintree Front",Upload_Indiv[Eagle2])</f>
        <v>1</v>
      </c>
      <c r="E8" s="209">
        <f>SUMIF(Upload_Indiv[[Side]:[Side]],"Raintree Back",Upload_Indiv[Eagle1])</f>
        <v>0</v>
      </c>
      <c r="F8" s="209">
        <f>SUMIF(Upload_Indiv[[Side]:[Side]],"Raintree Front",Upload_Indiv[Eagle4])</f>
        <v>0</v>
      </c>
      <c r="G8" s="209">
        <f>SUMIF(Upload_Indiv[[Side]:[Side]],"Raintree Back",Upload_Indiv[Eagle7])</f>
        <v>0</v>
      </c>
      <c r="H8" s="209">
        <f>SUMIF(Upload_Indiv[[Side]:[Side]],"Raintree Back",Upload_Indiv[Eagle2])</f>
        <v>0</v>
      </c>
      <c r="I8" s="209">
        <f>SUMIF(Upload_Indiv[[Side]:[Side]],"Raintree Front",Upload_Indiv[Eagle9])</f>
        <v>0</v>
      </c>
      <c r="J8" s="209">
        <f>SUMIF(Upload_Indiv[[Side]:[Side]],"Raintree Back",Upload_Indiv[Eagle4])</f>
        <v>0</v>
      </c>
      <c r="K8" s="209">
        <f>SUMIF(Upload_Indiv[[Side]:[Side]],"Raintree Front",Upload_Indiv[Eagle8])</f>
        <v>0</v>
      </c>
      <c r="L8" s="209">
        <f>SUMIF(Upload_Indiv[[Side]:[Side]],"Raintree Front",Upload_Indiv[Eagle7])</f>
        <v>0</v>
      </c>
      <c r="M8" s="209">
        <f>SUMIF(Upload_Indiv[[Side]:[Side]],"Raintree Back",Upload_Indiv[Eagle9])</f>
        <v>0</v>
      </c>
      <c r="N8" s="209">
        <f>SUMIF(Upload_Indiv[[Side]:[Side]],"Raintree Back",Upload_Indiv[Eagle5])</f>
        <v>0</v>
      </c>
      <c r="O8" s="209">
        <f>SUMIF(Upload_Indiv[[Side]:[Side]],"Raintree Front",Upload_Indiv[Eagle3])</f>
        <v>0</v>
      </c>
      <c r="P8" s="209">
        <f>SUMIF(Upload_Indiv[[Side]:[Side]],"Raintree Front",Upload_Indiv[Eagle1])</f>
        <v>0</v>
      </c>
      <c r="Q8" s="209">
        <f>SUMIF(Upload_Indiv[[Side]:[Side]],"Raintree Front",Upload_Indiv[Eagle6])</f>
        <v>0</v>
      </c>
      <c r="R8" s="209">
        <f>SUMIF(Upload_Indiv[[Side]:[Side]],"Raintree Front",Upload_Indiv[Eagle5])</f>
        <v>0</v>
      </c>
      <c r="S8" s="209">
        <f>SUMIF(Upload_Indiv[[Side]:[Side]],"Raintree Back",Upload_Indiv[Eagle3])</f>
        <v>0</v>
      </c>
      <c r="T8" s="209">
        <f>SUMIF(Upload_Indiv[[Side]:[Side]],"Raintree Back",Upload_Indiv[Eagle8])</f>
        <v>0</v>
      </c>
    </row>
    <row r="9" spans="1:20" s="182" customFormat="1" ht="20.100000000000001" customHeight="1" x14ac:dyDescent="0.25">
      <c r="A9" s="208" t="s">
        <v>109</v>
      </c>
      <c r="B9" s="209">
        <f>SUM(A9:A9)</f>
        <v>0</v>
      </c>
      <c r="C9" s="209">
        <f t="shared" ref="C9:T9" si="0">C7+2*C8</f>
        <v>9</v>
      </c>
      <c r="D9" s="209">
        <f t="shared" si="0"/>
        <v>8</v>
      </c>
      <c r="E9" s="209">
        <f t="shared" si="0"/>
        <v>6</v>
      </c>
      <c r="F9" s="209">
        <f t="shared" si="0"/>
        <v>4</v>
      </c>
      <c r="G9" s="209">
        <f t="shared" si="0"/>
        <v>3</v>
      </c>
      <c r="H9" s="209">
        <f t="shared" si="0"/>
        <v>3</v>
      </c>
      <c r="I9" s="209">
        <f t="shared" si="0"/>
        <v>3</v>
      </c>
      <c r="J9" s="209">
        <f t="shared" si="0"/>
        <v>3</v>
      </c>
      <c r="K9" s="209">
        <f t="shared" si="0"/>
        <v>2</v>
      </c>
      <c r="L9" s="209">
        <f t="shared" si="0"/>
        <v>2</v>
      </c>
      <c r="M9" s="209">
        <f t="shared" si="0"/>
        <v>2</v>
      </c>
      <c r="N9" s="209">
        <f t="shared" si="0"/>
        <v>2</v>
      </c>
      <c r="O9" s="209">
        <f t="shared" si="0"/>
        <v>2</v>
      </c>
      <c r="P9" s="209">
        <f t="shared" si="0"/>
        <v>2</v>
      </c>
      <c r="Q9" s="209">
        <f t="shared" si="0"/>
        <v>3</v>
      </c>
      <c r="R9" s="209">
        <f t="shared" si="0"/>
        <v>1</v>
      </c>
      <c r="S9" s="209">
        <f t="shared" si="0"/>
        <v>1</v>
      </c>
      <c r="T9" s="209">
        <f t="shared" si="0"/>
        <v>0</v>
      </c>
    </row>
  </sheetData>
  <sortState xmlns:xlrd2="http://schemas.microsoft.com/office/spreadsheetml/2017/richdata2" columnSort="1" ref="C4:T9">
    <sortCondition descending="1" ref="C9:T9"/>
    <sortCondition descending="1" ref="C4:T4"/>
  </sortState>
  <mergeCells count="3">
    <mergeCell ref="A1:T1"/>
    <mergeCell ref="A2:T2"/>
    <mergeCell ref="A3:T3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856DF-C28A-4CFC-A5A1-2750E4BFA814}">
  <sheetPr codeName="Sheet10"/>
  <dimension ref="A1:W35"/>
  <sheetViews>
    <sheetView workbookViewId="0"/>
  </sheetViews>
  <sheetFormatPr defaultRowHeight="13.2" x14ac:dyDescent="0.25"/>
  <cols>
    <col min="1" max="1" width="4.5546875" style="2" customWidth="1"/>
    <col min="2" max="2" width="6.5546875" style="2" customWidth="1"/>
    <col min="3" max="3" width="20.5546875" customWidth="1"/>
    <col min="4" max="4" width="9.5546875" customWidth="1"/>
    <col min="6" max="6" width="17.109375" bestFit="1" customWidth="1"/>
    <col min="9" max="9" width="6" customWidth="1"/>
    <col min="10" max="10" width="16.88671875" bestFit="1" customWidth="1"/>
    <col min="13" max="13" width="35.5546875" customWidth="1"/>
    <col min="14" max="14" width="5.77734375" bestFit="1" customWidth="1"/>
    <col min="17" max="17" width="35.5546875" customWidth="1"/>
  </cols>
  <sheetData>
    <row r="1" spans="1:19" x14ac:dyDescent="0.25">
      <c r="M1" s="123"/>
      <c r="N1" s="123"/>
      <c r="O1" s="123"/>
      <c r="P1" s="123"/>
      <c r="Q1" s="123"/>
      <c r="R1" s="123"/>
      <c r="S1" s="123"/>
    </row>
    <row r="2" spans="1:19" ht="13.8" thickBot="1" x14ac:dyDescent="0.3">
      <c r="A2" s="311"/>
      <c r="B2" s="259" t="s">
        <v>7</v>
      </c>
      <c r="C2" s="259" t="s">
        <v>8</v>
      </c>
      <c r="D2" s="259" t="s">
        <v>9</v>
      </c>
      <c r="F2" s="255" t="s">
        <v>8</v>
      </c>
      <c r="G2" s="256" t="s">
        <v>144</v>
      </c>
      <c r="H2" s="257"/>
      <c r="I2" s="257"/>
      <c r="J2" s="255" t="s">
        <v>8</v>
      </c>
      <c r="K2" s="256" t="s">
        <v>86</v>
      </c>
      <c r="L2" s="257"/>
      <c r="M2" s="255" t="s">
        <v>83</v>
      </c>
      <c r="N2" s="255" t="s">
        <v>8</v>
      </c>
      <c r="O2" s="256" t="s">
        <v>145</v>
      </c>
      <c r="P2" s="257"/>
      <c r="Q2" s="255" t="s">
        <v>83</v>
      </c>
      <c r="R2" s="255" t="s">
        <v>8</v>
      </c>
      <c r="S2" s="256" t="s">
        <v>144</v>
      </c>
    </row>
    <row r="3" spans="1:19" x14ac:dyDescent="0.25">
      <c r="A3" s="83"/>
      <c r="B3" s="371">
        <v>28</v>
      </c>
      <c r="C3" s="371" t="s">
        <v>30</v>
      </c>
      <c r="D3" s="371">
        <v>693</v>
      </c>
      <c r="E3" s="334"/>
      <c r="F3" s="257" t="s">
        <v>24</v>
      </c>
      <c r="G3" s="257">
        <v>141</v>
      </c>
      <c r="H3" s="257"/>
      <c r="I3" s="257"/>
      <c r="J3" s="257" t="s">
        <v>24</v>
      </c>
      <c r="K3" s="257">
        <v>56</v>
      </c>
      <c r="L3" s="257"/>
      <c r="M3" s="257" t="s">
        <v>146</v>
      </c>
      <c r="N3" s="258" t="s">
        <v>147</v>
      </c>
      <c r="O3" s="257">
        <v>37</v>
      </c>
      <c r="P3" s="257"/>
      <c r="Q3" s="257" t="s">
        <v>153</v>
      </c>
      <c r="R3" s="258" t="s">
        <v>154</v>
      </c>
      <c r="S3" s="257">
        <v>30</v>
      </c>
    </row>
    <row r="4" spans="1:19" x14ac:dyDescent="0.25">
      <c r="A4" s="127">
        <v>1</v>
      </c>
      <c r="B4" s="139">
        <v>45</v>
      </c>
      <c r="C4" s="139" t="s">
        <v>26</v>
      </c>
      <c r="D4" s="139">
        <v>679</v>
      </c>
      <c r="E4" s="334"/>
      <c r="F4" s="257" t="s">
        <v>26</v>
      </c>
      <c r="G4" s="257">
        <v>144</v>
      </c>
      <c r="H4" s="257"/>
      <c r="I4" s="257"/>
      <c r="J4" s="257" t="s">
        <v>16</v>
      </c>
      <c r="K4" s="257">
        <v>49</v>
      </c>
      <c r="L4" s="257"/>
      <c r="M4" s="257" t="s">
        <v>153</v>
      </c>
      <c r="N4" s="258" t="s">
        <v>154</v>
      </c>
      <c r="O4" s="257">
        <v>38</v>
      </c>
      <c r="P4" s="257"/>
      <c r="Q4" s="257" t="s">
        <v>274</v>
      </c>
      <c r="R4" s="258" t="s">
        <v>338</v>
      </c>
      <c r="S4" s="257">
        <v>33</v>
      </c>
    </row>
    <row r="5" spans="1:19" x14ac:dyDescent="0.25">
      <c r="A5" s="127">
        <v>2</v>
      </c>
      <c r="B5" s="139">
        <v>39</v>
      </c>
      <c r="C5" s="139" t="s">
        <v>18</v>
      </c>
      <c r="D5" s="139">
        <v>667</v>
      </c>
      <c r="E5" s="334"/>
      <c r="F5" t="s">
        <v>18</v>
      </c>
      <c r="G5">
        <v>148</v>
      </c>
      <c r="H5" s="257"/>
      <c r="I5" s="257"/>
      <c r="J5" t="s">
        <v>28</v>
      </c>
      <c r="K5">
        <v>46</v>
      </c>
      <c r="L5" s="257"/>
      <c r="M5" s="257" t="s">
        <v>100</v>
      </c>
      <c r="N5" s="258" t="s">
        <v>147</v>
      </c>
      <c r="O5" s="257">
        <v>40</v>
      </c>
      <c r="P5" s="257"/>
      <c r="Q5" s="257" t="s">
        <v>276</v>
      </c>
      <c r="R5" s="258" t="s">
        <v>338</v>
      </c>
      <c r="S5" s="257">
        <v>33</v>
      </c>
    </row>
    <row r="6" spans="1:19" x14ac:dyDescent="0.25">
      <c r="A6" s="127">
        <v>3</v>
      </c>
      <c r="B6" s="139">
        <v>35</v>
      </c>
      <c r="C6" s="139" t="s">
        <v>20</v>
      </c>
      <c r="D6" s="139">
        <v>661</v>
      </c>
      <c r="E6" s="334"/>
      <c r="F6" s="123"/>
      <c r="G6" s="123"/>
      <c r="H6" s="257"/>
      <c r="I6" s="257"/>
      <c r="J6" s="257" t="s">
        <v>26</v>
      </c>
      <c r="K6" s="257">
        <v>45</v>
      </c>
      <c r="L6" s="257"/>
      <c r="M6" s="257" t="s">
        <v>274</v>
      </c>
      <c r="N6" s="258" t="s">
        <v>338</v>
      </c>
      <c r="O6" s="257">
        <v>41</v>
      </c>
      <c r="P6" s="257"/>
      <c r="Q6" s="257" t="s">
        <v>146</v>
      </c>
      <c r="R6" s="258" t="s">
        <v>147</v>
      </c>
      <c r="S6" s="257">
        <v>33</v>
      </c>
    </row>
    <row r="7" spans="1:19" x14ac:dyDescent="0.25">
      <c r="A7" s="127">
        <v>4</v>
      </c>
      <c r="B7" s="139">
        <v>49</v>
      </c>
      <c r="C7" s="139" t="s">
        <v>16</v>
      </c>
      <c r="D7" s="139">
        <v>628</v>
      </c>
      <c r="E7" s="334"/>
      <c r="F7" s="257"/>
      <c r="G7" s="257"/>
      <c r="H7" s="257"/>
      <c r="I7" s="257"/>
      <c r="J7" s="257"/>
      <c r="K7" s="257"/>
      <c r="L7" s="257"/>
      <c r="M7" s="257" t="s">
        <v>311</v>
      </c>
      <c r="N7" s="258" t="s">
        <v>147</v>
      </c>
      <c r="O7" s="257">
        <v>43</v>
      </c>
      <c r="P7" s="257"/>
      <c r="Q7" s="257" t="s">
        <v>106</v>
      </c>
      <c r="R7" s="258" t="s">
        <v>151</v>
      </c>
      <c r="S7" s="257">
        <v>33</v>
      </c>
    </row>
    <row r="8" spans="1:19" x14ac:dyDescent="0.25">
      <c r="A8" s="2">
        <v>5</v>
      </c>
      <c r="B8" s="124">
        <v>38</v>
      </c>
      <c r="C8" s="124" t="s">
        <v>22</v>
      </c>
      <c r="D8" s="124">
        <v>569</v>
      </c>
      <c r="E8" s="334"/>
      <c r="H8" s="257"/>
      <c r="I8" s="257"/>
      <c r="L8" s="257"/>
      <c r="M8" s="257" t="s">
        <v>300</v>
      </c>
      <c r="N8" s="258" t="s">
        <v>151</v>
      </c>
      <c r="O8" s="257">
        <v>45</v>
      </c>
      <c r="P8" s="257"/>
      <c r="Q8" s="257" t="s">
        <v>484</v>
      </c>
      <c r="R8" s="258" t="s">
        <v>157</v>
      </c>
      <c r="S8" s="257">
        <v>33</v>
      </c>
    </row>
    <row r="9" spans="1:19" x14ac:dyDescent="0.25">
      <c r="A9" s="2">
        <v>6</v>
      </c>
      <c r="B9" s="124">
        <v>46</v>
      </c>
      <c r="C9" s="124" t="s">
        <v>28</v>
      </c>
      <c r="D9" s="124">
        <v>546</v>
      </c>
      <c r="M9" s="257" t="s">
        <v>156</v>
      </c>
      <c r="N9" s="258" t="s">
        <v>149</v>
      </c>
      <c r="O9" s="257">
        <v>45</v>
      </c>
      <c r="P9" s="257"/>
      <c r="Q9" s="257" t="s">
        <v>100</v>
      </c>
      <c r="R9" s="258" t="s">
        <v>147</v>
      </c>
      <c r="S9" s="257">
        <v>34</v>
      </c>
    </row>
    <row r="10" spans="1:19" x14ac:dyDescent="0.25">
      <c r="A10" s="2">
        <v>7</v>
      </c>
      <c r="B10" s="124">
        <v>56</v>
      </c>
      <c r="C10" s="124" t="s">
        <v>24</v>
      </c>
      <c r="D10" s="124">
        <v>530</v>
      </c>
      <c r="M10" s="257" t="s">
        <v>294</v>
      </c>
      <c r="N10" s="258" t="s">
        <v>149</v>
      </c>
      <c r="O10" s="257">
        <v>45</v>
      </c>
      <c r="P10" s="257"/>
      <c r="Q10" s="257" t="s">
        <v>300</v>
      </c>
      <c r="R10" s="258" t="s">
        <v>151</v>
      </c>
      <c r="S10" s="257">
        <v>34</v>
      </c>
    </row>
    <row r="11" spans="1:19" x14ac:dyDescent="0.25">
      <c r="A11" s="124"/>
      <c r="B11" s="124"/>
      <c r="C11" s="123"/>
      <c r="D11" s="124"/>
      <c r="M11" s="257"/>
      <c r="N11" s="258"/>
      <c r="O11" s="257"/>
      <c r="P11" s="257"/>
      <c r="Q11" s="257" t="s">
        <v>315</v>
      </c>
      <c r="R11" s="258" t="s">
        <v>337</v>
      </c>
      <c r="S11" s="257">
        <v>34</v>
      </c>
    </row>
    <row r="12" spans="1:19" x14ac:dyDescent="0.25">
      <c r="A12" s="124"/>
      <c r="B12" s="124"/>
      <c r="C12" s="123"/>
      <c r="D12" s="124"/>
      <c r="M12" s="257"/>
      <c r="N12" s="258"/>
      <c r="O12" s="257"/>
      <c r="P12" s="257"/>
      <c r="Q12" s="257" t="s">
        <v>158</v>
      </c>
      <c r="R12" s="258" t="s">
        <v>149</v>
      </c>
      <c r="S12" s="257">
        <v>35</v>
      </c>
    </row>
    <row r="13" spans="1:19" x14ac:dyDescent="0.25">
      <c r="A13" s="124"/>
      <c r="B13" s="124"/>
      <c r="C13" s="123"/>
      <c r="D13" s="124"/>
      <c r="P13" s="257"/>
      <c r="Q13" s="123"/>
      <c r="R13" s="258"/>
      <c r="S13" s="123"/>
    </row>
    <row r="14" spans="1:19" x14ac:dyDescent="0.25">
      <c r="A14" s="124"/>
      <c r="B14" s="124"/>
      <c r="C14" s="123"/>
      <c r="D14" s="124"/>
      <c r="M14" s="255" t="s">
        <v>83</v>
      </c>
      <c r="N14" s="255" t="s">
        <v>8</v>
      </c>
      <c r="O14" s="256" t="s">
        <v>86</v>
      </c>
      <c r="P14" s="257"/>
      <c r="Q14" s="257"/>
      <c r="R14" s="258"/>
      <c r="S14" s="257"/>
    </row>
    <row r="15" spans="1:19" x14ac:dyDescent="0.25">
      <c r="A15" s="124"/>
      <c r="B15" s="124"/>
      <c r="C15" s="123"/>
      <c r="D15" s="124"/>
      <c r="M15" s="257" t="s">
        <v>484</v>
      </c>
      <c r="N15" s="258" t="s">
        <v>157</v>
      </c>
      <c r="O15" s="257">
        <v>16</v>
      </c>
      <c r="P15" s="257"/>
      <c r="Q15" s="123"/>
      <c r="R15" s="258"/>
      <c r="S15" s="123"/>
    </row>
    <row r="16" spans="1:19" x14ac:dyDescent="0.25">
      <c r="M16" s="257" t="s">
        <v>315</v>
      </c>
      <c r="N16" s="258" t="s">
        <v>337</v>
      </c>
      <c r="O16" s="257">
        <v>16</v>
      </c>
      <c r="P16" s="257"/>
      <c r="Q16" s="123"/>
      <c r="R16" s="258"/>
      <c r="S16" s="123"/>
    </row>
    <row r="17" spans="13:23" x14ac:dyDescent="0.25">
      <c r="M17" s="257" t="s">
        <v>153</v>
      </c>
      <c r="N17" s="258" t="s">
        <v>154</v>
      </c>
      <c r="O17" s="257">
        <v>14</v>
      </c>
      <c r="P17" s="123"/>
      <c r="Q17" s="123"/>
      <c r="R17" s="258"/>
      <c r="S17" s="123"/>
      <c r="T17" s="257"/>
      <c r="U17" s="257" t="s">
        <v>160</v>
      </c>
      <c r="V17" s="123" t="s">
        <v>160</v>
      </c>
      <c r="W17" s="124" t="s">
        <v>160</v>
      </c>
    </row>
    <row r="18" spans="13:23" x14ac:dyDescent="0.25">
      <c r="M18" s="123" t="s">
        <v>106</v>
      </c>
      <c r="N18" s="124" t="s">
        <v>151</v>
      </c>
      <c r="O18" s="123">
        <v>14</v>
      </c>
      <c r="P18" s="123"/>
      <c r="Q18" s="123"/>
      <c r="R18" s="258"/>
      <c r="S18" s="123"/>
      <c r="T18" s="257"/>
      <c r="U18" s="257" t="s">
        <v>160</v>
      </c>
      <c r="V18" s="123" t="s">
        <v>160</v>
      </c>
      <c r="W18" s="123" t="s">
        <v>160</v>
      </c>
    </row>
    <row r="19" spans="13:23" x14ac:dyDescent="0.25">
      <c r="M19" s="123" t="s">
        <v>300</v>
      </c>
      <c r="N19" s="124" t="s">
        <v>151</v>
      </c>
      <c r="O19" s="123">
        <v>14</v>
      </c>
      <c r="P19" s="123"/>
      <c r="Q19" s="257"/>
      <c r="R19" s="258"/>
      <c r="S19" s="257"/>
      <c r="T19" s="123"/>
      <c r="U19" s="123"/>
      <c r="V19" s="123"/>
      <c r="W19" s="123"/>
    </row>
    <row r="20" spans="13:23" x14ac:dyDescent="0.25">
      <c r="M20" s="123" t="s">
        <v>309</v>
      </c>
      <c r="N20" s="124" t="s">
        <v>147</v>
      </c>
      <c r="O20" s="123">
        <v>13</v>
      </c>
      <c r="P20" s="123"/>
      <c r="Q20" s="123"/>
      <c r="R20" s="123"/>
      <c r="S20" s="123"/>
      <c r="T20" s="123"/>
      <c r="U20" s="123"/>
      <c r="V20" s="123"/>
      <c r="W20" s="123"/>
    </row>
    <row r="21" spans="13:23" x14ac:dyDescent="0.25">
      <c r="M21" s="123" t="s">
        <v>265</v>
      </c>
      <c r="N21" s="124" t="s">
        <v>157</v>
      </c>
      <c r="O21" s="123">
        <v>13</v>
      </c>
      <c r="P21" s="123"/>
      <c r="Q21" s="123"/>
      <c r="R21" s="123"/>
      <c r="S21" s="123"/>
      <c r="T21" s="123"/>
      <c r="U21" s="123"/>
      <c r="V21" s="123"/>
      <c r="W21" s="123"/>
    </row>
    <row r="22" spans="13:23" x14ac:dyDescent="0.25">
      <c r="M22" s="123" t="s">
        <v>148</v>
      </c>
      <c r="N22" s="124" t="s">
        <v>149</v>
      </c>
      <c r="O22" s="123">
        <v>13</v>
      </c>
      <c r="P22" s="123"/>
      <c r="Q22" s="123"/>
      <c r="R22" s="123"/>
      <c r="S22" s="123"/>
      <c r="T22" s="123"/>
      <c r="U22" s="123"/>
      <c r="V22" s="123"/>
      <c r="W22" s="123"/>
    </row>
    <row r="23" spans="13:23" x14ac:dyDescent="0.25"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3:23" x14ac:dyDescent="0.25"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</row>
    <row r="25" spans="13:23" x14ac:dyDescent="0.25"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</row>
    <row r="26" spans="13:23" x14ac:dyDescent="0.25">
      <c r="M26" s="255" t="s">
        <v>83</v>
      </c>
      <c r="N26" s="255" t="s">
        <v>8</v>
      </c>
      <c r="O26" s="256" t="s">
        <v>87</v>
      </c>
      <c r="P26" s="312"/>
      <c r="Q26" s="255" t="s">
        <v>83</v>
      </c>
      <c r="R26" s="313" t="s">
        <v>8</v>
      </c>
      <c r="S26" s="129" t="s">
        <v>88</v>
      </c>
      <c r="T26" s="257"/>
      <c r="U26" s="123"/>
      <c r="V26" s="123"/>
      <c r="W26" s="123"/>
    </row>
    <row r="27" spans="13:23" x14ac:dyDescent="0.25">
      <c r="M27" s="257" t="s">
        <v>311</v>
      </c>
      <c r="N27" s="258" t="s">
        <v>147</v>
      </c>
      <c r="O27" s="257">
        <v>1</v>
      </c>
      <c r="P27" s="257"/>
      <c r="Q27" s="257" t="s">
        <v>153</v>
      </c>
      <c r="R27" s="364" t="s">
        <v>154</v>
      </c>
      <c r="S27" s="365">
        <v>1</v>
      </c>
      <c r="T27" s="257"/>
      <c r="U27" s="123"/>
      <c r="V27" s="123"/>
      <c r="W27" s="123"/>
    </row>
    <row r="28" spans="13:23" x14ac:dyDescent="0.25">
      <c r="M28" s="364" t="s">
        <v>274</v>
      </c>
      <c r="N28" s="365" t="s">
        <v>338</v>
      </c>
      <c r="O28" s="364">
        <v>1</v>
      </c>
      <c r="P28" s="366"/>
      <c r="Q28" s="123"/>
      <c r="R28" s="123"/>
      <c r="S28" s="123"/>
      <c r="T28" s="257"/>
      <c r="U28" s="123"/>
      <c r="V28" s="123"/>
      <c r="W28" s="123"/>
    </row>
    <row r="29" spans="13:23" x14ac:dyDescent="0.25">
      <c r="M29" s="123" t="s">
        <v>100</v>
      </c>
      <c r="N29" s="258" t="s">
        <v>147</v>
      </c>
      <c r="O29" s="123">
        <v>1</v>
      </c>
      <c r="P29" s="123"/>
      <c r="Q29" s="123"/>
      <c r="R29" s="123"/>
      <c r="S29" s="123"/>
      <c r="T29" s="257"/>
      <c r="U29" s="123"/>
      <c r="V29" s="123"/>
      <c r="W29" s="123"/>
    </row>
    <row r="30" spans="13:23" x14ac:dyDescent="0.25">
      <c r="M30" s="364" t="s">
        <v>300</v>
      </c>
      <c r="N30" s="124" t="s">
        <v>151</v>
      </c>
      <c r="O30" s="123">
        <v>1</v>
      </c>
      <c r="P30" s="123"/>
      <c r="Q30" s="123"/>
      <c r="R30" s="123"/>
      <c r="S30" s="123"/>
      <c r="T30" s="123"/>
    </row>
    <row r="31" spans="13:23" x14ac:dyDescent="0.25">
      <c r="M31" s="123" t="s">
        <v>156</v>
      </c>
      <c r="N31" s="124" t="s">
        <v>149</v>
      </c>
      <c r="O31" s="123">
        <v>1</v>
      </c>
      <c r="P31" s="123"/>
      <c r="Q31" s="123"/>
      <c r="R31" s="123"/>
      <c r="S31" s="123"/>
      <c r="T31" s="123"/>
    </row>
    <row r="32" spans="13:23" x14ac:dyDescent="0.25">
      <c r="M32" s="123"/>
      <c r="N32" s="123"/>
      <c r="O32" s="123"/>
      <c r="P32" s="123"/>
      <c r="Q32" s="123"/>
      <c r="R32" s="123"/>
      <c r="S32" s="123"/>
      <c r="T32" s="123"/>
    </row>
    <row r="33" spans="20:20" x14ac:dyDescent="0.25">
      <c r="T33" s="123"/>
    </row>
    <row r="34" spans="20:20" x14ac:dyDescent="0.25">
      <c r="T34" s="123"/>
    </row>
    <row r="35" spans="20:20" x14ac:dyDescent="0.25">
      <c r="T35" s="123"/>
    </row>
  </sheetData>
  <pageMargins left="0.7" right="0.7" top="0.75" bottom="0.75" header="0.3" footer="0.3"/>
  <pageSetup paperSize="2833" orientation="portrait" horizontalDpi="180" verticalDpi="18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7728-26EB-412C-9EE1-DE68EE2DA5B7}">
  <sheetPr codeName="Sheet22">
    <tabColor rgb="FF00B050"/>
    <pageSetUpPr fitToPage="1"/>
  </sheetPr>
  <dimension ref="A1:AI47"/>
  <sheetViews>
    <sheetView workbookViewId="0">
      <selection sqref="A1:K1"/>
    </sheetView>
  </sheetViews>
  <sheetFormatPr defaultColWidth="8.88671875" defaultRowHeight="13.2" x14ac:dyDescent="0.25"/>
  <cols>
    <col min="1" max="1" width="20.5546875" style="92" bestFit="1" customWidth="1"/>
    <col min="2" max="2" width="8.88671875" style="92" customWidth="1"/>
    <col min="3" max="10" width="5.21875" style="92" customWidth="1"/>
    <col min="11" max="11" width="23.109375" style="92" bestFit="1" customWidth="1"/>
    <col min="12" max="14" width="5.21875" style="92" customWidth="1"/>
    <col min="15" max="15" width="4.77734375" style="92" customWidth="1"/>
    <col min="16" max="16" width="5.44140625" style="92" customWidth="1"/>
    <col min="17" max="17" width="6.88671875" style="92" customWidth="1"/>
    <col min="18" max="18" width="6" style="92" customWidth="1"/>
    <col min="19" max="19" width="4.88671875" style="92" customWidth="1"/>
    <col min="20" max="20" width="3.88671875" style="92" customWidth="1"/>
    <col min="21" max="23" width="8.88671875" style="92"/>
    <col min="24" max="24" width="10.6640625" style="92" customWidth="1"/>
    <col min="25" max="25" width="2.109375" style="92" customWidth="1"/>
    <col min="26" max="26" width="20.6640625" style="92" bestFit="1" customWidth="1"/>
    <col min="27" max="27" width="5.88671875" style="92" customWidth="1"/>
    <col min="28" max="28" width="20.6640625" style="92" bestFit="1" customWidth="1"/>
    <col min="29" max="29" width="2.77734375" style="92" customWidth="1"/>
    <col min="30" max="30" width="20.6640625" style="92" bestFit="1" customWidth="1"/>
    <col min="31" max="31" width="6.5546875" style="92" customWidth="1"/>
    <col min="32" max="32" width="20.6640625" style="92" bestFit="1" customWidth="1"/>
    <col min="33" max="33" width="8.77734375" style="92" bestFit="1" customWidth="1"/>
    <col min="34" max="34" width="8.88671875" style="92"/>
    <col min="35" max="35" width="16.88671875" style="92" bestFit="1" customWidth="1"/>
    <col min="36" max="16384" width="8.88671875" style="92"/>
  </cols>
  <sheetData>
    <row r="1" spans="1:35" ht="21" x14ac:dyDescent="0.4">
      <c r="A1" s="447" t="s">
        <v>0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346"/>
      <c r="M1" s="346"/>
      <c r="N1" s="346"/>
      <c r="O1" s="91"/>
      <c r="P1" s="91"/>
      <c r="Q1" s="282"/>
      <c r="R1" s="91"/>
      <c r="S1" s="91"/>
      <c r="T1" s="91"/>
    </row>
    <row r="2" spans="1:35" ht="21" x14ac:dyDescent="0.4">
      <c r="A2" s="447" t="s">
        <v>1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346"/>
      <c r="M2" s="346"/>
      <c r="N2" s="346"/>
      <c r="O2" s="93"/>
      <c r="P2" s="93"/>
      <c r="Q2" s="282"/>
      <c r="R2" s="93"/>
      <c r="S2" s="93"/>
      <c r="T2" s="93"/>
    </row>
    <row r="3" spans="1:35" ht="21" x14ac:dyDescent="0.4">
      <c r="A3" s="447" t="s">
        <v>440</v>
      </c>
      <c r="B3" s="447"/>
      <c r="C3" s="447"/>
      <c r="D3" s="447"/>
      <c r="E3" s="447"/>
      <c r="F3" s="447"/>
      <c r="G3" s="447"/>
      <c r="H3" s="447"/>
      <c r="I3" s="447"/>
      <c r="J3" s="447"/>
      <c r="K3" s="447"/>
      <c r="L3" s="346"/>
      <c r="M3" s="346"/>
      <c r="N3" s="346"/>
      <c r="O3" s="91"/>
      <c r="P3" s="91"/>
      <c r="Q3" s="91"/>
      <c r="R3" s="91"/>
      <c r="S3" s="91"/>
      <c r="T3" s="91"/>
    </row>
    <row r="4" spans="1:35" ht="30" customHeight="1" x14ac:dyDescent="0.4">
      <c r="A4" s="447" t="s">
        <v>110</v>
      </c>
      <c r="B4" s="447"/>
      <c r="C4" s="447"/>
      <c r="D4" s="447"/>
      <c r="E4" s="447"/>
      <c r="F4" s="447"/>
      <c r="G4" s="447"/>
      <c r="H4" s="447"/>
      <c r="I4" s="447"/>
      <c r="J4" s="447"/>
      <c r="K4" s="447"/>
      <c r="L4" s="346"/>
      <c r="M4" s="346"/>
      <c r="N4" s="346"/>
    </row>
    <row r="5" spans="1:35" ht="13.8" thickBot="1" x14ac:dyDescent="0.3">
      <c r="B5" s="93"/>
      <c r="C5" s="94"/>
      <c r="D5" s="94"/>
      <c r="E5" s="94"/>
      <c r="F5" s="94"/>
      <c r="G5" s="94"/>
      <c r="H5" s="94"/>
      <c r="I5" s="95"/>
      <c r="J5" s="94"/>
      <c r="K5" s="94"/>
      <c r="L5" s="94"/>
      <c r="M5" s="94"/>
      <c r="N5" s="94"/>
      <c r="O5" s="244" t="s">
        <v>111</v>
      </c>
      <c r="P5" s="283"/>
      <c r="Q5" s="244"/>
      <c r="R5" s="244"/>
      <c r="S5" s="244"/>
      <c r="T5" s="254"/>
      <c r="X5" s="93" t="s">
        <v>114</v>
      </c>
      <c r="Y5" s="93"/>
      <c r="Z5" s="324">
        <v>45887</v>
      </c>
      <c r="AA5" s="324"/>
    </row>
    <row r="6" spans="1:35" ht="13.8" thickBot="1" x14ac:dyDescent="0.3">
      <c r="A6" s="96"/>
      <c r="B6" s="97"/>
      <c r="C6" s="245" t="s">
        <v>112</v>
      </c>
      <c r="D6" s="245"/>
      <c r="E6" s="245"/>
      <c r="F6" s="245"/>
      <c r="G6" s="245" t="s">
        <v>113</v>
      </c>
      <c r="H6" s="245"/>
      <c r="I6" s="245"/>
      <c r="J6" s="245"/>
      <c r="K6" s="98"/>
      <c r="X6" s="93"/>
      <c r="Y6" s="93"/>
    </row>
    <row r="7" spans="1:35" ht="13.8" thickBot="1" x14ac:dyDescent="0.3">
      <c r="A7" s="211" t="s">
        <v>7</v>
      </c>
      <c r="B7" s="212" t="s">
        <v>114</v>
      </c>
      <c r="C7" s="357">
        <v>0.21527777777777779</v>
      </c>
      <c r="D7" s="357"/>
      <c r="E7" s="358">
        <v>0.22638888888888889</v>
      </c>
      <c r="F7" s="358"/>
      <c r="G7" s="359">
        <v>0.21527777777777779</v>
      </c>
      <c r="H7" s="357"/>
      <c r="I7" s="358">
        <v>0.22638888888888889</v>
      </c>
      <c r="J7" s="358"/>
      <c r="K7" s="99"/>
      <c r="O7" s="100" t="s">
        <v>8</v>
      </c>
      <c r="P7" s="100" t="s">
        <v>112</v>
      </c>
      <c r="Q7" s="100" t="s">
        <v>113</v>
      </c>
      <c r="R7" s="101">
        <v>0.21527777777777779</v>
      </c>
      <c r="S7" s="102">
        <v>0.22638888888888889</v>
      </c>
      <c r="X7" s="331" t="s">
        <v>115</v>
      </c>
      <c r="Y7" s="210"/>
      <c r="Z7" s="446" t="s">
        <v>116</v>
      </c>
      <c r="AA7" s="446"/>
      <c r="AB7" s="446"/>
      <c r="AD7" s="446" t="s">
        <v>117</v>
      </c>
      <c r="AE7" s="446"/>
      <c r="AF7" s="446"/>
      <c r="AH7" s="332"/>
      <c r="AI7" s="332"/>
    </row>
    <row r="8" spans="1:35" ht="14.7" customHeight="1" x14ac:dyDescent="0.25">
      <c r="A8" s="284" t="s">
        <v>118</v>
      </c>
      <c r="B8" s="266">
        <v>46090</v>
      </c>
      <c r="C8" s="246"/>
      <c r="D8" s="247"/>
      <c r="E8" s="247"/>
      <c r="F8" s="247"/>
      <c r="G8" s="247"/>
      <c r="H8" s="247"/>
      <c r="I8" s="247"/>
      <c r="J8" s="247"/>
      <c r="K8" s="107" t="s">
        <v>446</v>
      </c>
      <c r="O8" s="93">
        <v>1</v>
      </c>
      <c r="P8" s="93">
        <f>COUNTIF($C$13:$F$27,$O8)</f>
        <v>7</v>
      </c>
      <c r="Q8" s="93">
        <f>COUNTIF($G$13:$J$27,$O8)</f>
        <v>7</v>
      </c>
      <c r="R8" s="104">
        <f>COUNTIF($C$13:$D$27,$O8)+COUNTIF($G$13:$H$27,$O8)</f>
        <v>7</v>
      </c>
      <c r="S8" s="105">
        <f>COUNTIF($E$13:$F$27,$O8)+COUNTIF($I$13:$J$27,$O8)</f>
        <v>7</v>
      </c>
      <c r="X8" s="94">
        <v>0.21527777777777779</v>
      </c>
      <c r="Y8" s="94"/>
      <c r="Z8" s="93" t="e">
        <f>VLOOKUP(VLOOKUP($Z$5,$B$13:$J$31,2,FALSE),$C$40:$D$47,2,FALSE)&amp;" ("&amp;VLOOKUP($Z$5,$B$13:$J$31,2,FALSE)&amp;")"</f>
        <v>#N/A</v>
      </c>
      <c r="AA8" s="93" t="s">
        <v>568</v>
      </c>
      <c r="AB8" s="93" t="e">
        <f>VLOOKUP(VLOOKUP($Z$5,$B$13:$J$31,3,FALSE),$C$40:$D$47,2,FALSE)&amp;" ("&amp;VLOOKUP($Z$5,$B$13:$J$31,3,FALSE)&amp;")"</f>
        <v>#N/A</v>
      </c>
      <c r="AC8" s="93"/>
      <c r="AD8" s="93" t="e">
        <f>VLOOKUP(VLOOKUP($Z$5,$B$13:$J$31,6,FALSE),$C$40:$D$47,2,FALSE)&amp;" ("&amp;VLOOKUP($Z$5,$B$13:$J$31,6,FALSE)&amp;")"</f>
        <v>#N/A</v>
      </c>
      <c r="AE8" s="93" t="s">
        <v>568</v>
      </c>
      <c r="AF8" s="93" t="e">
        <f>VLOOKUP(VLOOKUP($Z$5,$B$13:$J$31,7,FALSE),$C$40:$D$47,2,FALSE)&amp;" ("&amp;VLOOKUP($Z$5,$B$13:$J$31,7,FALSE)&amp;")"</f>
        <v>#N/A</v>
      </c>
      <c r="AH8" s="93"/>
    </row>
    <row r="9" spans="1:35" ht="14.7" customHeight="1" x14ac:dyDescent="0.25">
      <c r="A9" s="103" t="s">
        <v>118</v>
      </c>
      <c r="B9" s="266">
        <f>B8+7</f>
        <v>46097</v>
      </c>
      <c r="C9" s="250" t="s">
        <v>119</v>
      </c>
      <c r="D9" s="251"/>
      <c r="E9" s="251"/>
      <c r="F9" s="251"/>
      <c r="G9" s="251"/>
      <c r="H9" s="251"/>
      <c r="I9" s="251"/>
      <c r="J9" s="252"/>
      <c r="K9" s="99"/>
      <c r="O9" s="93">
        <v>2</v>
      </c>
      <c r="P9" s="93">
        <f t="shared" ref="P9:P14" si="0">COUNTIF($C$13:$F$27,$O9)</f>
        <v>7</v>
      </c>
      <c r="Q9" s="93">
        <f t="shared" ref="Q9:Q15" si="1">COUNTIF($G$13:$J$27,$O9)</f>
        <v>7</v>
      </c>
      <c r="R9" s="104">
        <f t="shared" ref="R9:R15" si="2">COUNTIF($C$13:$D$27,$O9)+COUNTIF($G$13:$H$27,$O9)</f>
        <v>7</v>
      </c>
      <c r="S9" s="105">
        <f t="shared" ref="S9:S15" si="3">COUNTIF($E$13:$F$27,$O9)+COUNTIF($I$13:$J$27,$O9)</f>
        <v>7</v>
      </c>
      <c r="X9" s="94">
        <v>0.22638888888888889</v>
      </c>
      <c r="Y9" s="94"/>
      <c r="Z9" s="93" t="e">
        <f>VLOOKUP(VLOOKUP($Z$5,$B$13:$J$31,4,FALSE),$C$40:$D$47,2,FALSE)&amp;" ("&amp;VLOOKUP($Z$5,$B$13:$J$31,4,FALSE)&amp;")"</f>
        <v>#N/A</v>
      </c>
      <c r="AA9" s="93" t="s">
        <v>568</v>
      </c>
      <c r="AB9" s="93" t="e">
        <f>VLOOKUP(VLOOKUP($Z$5,$B$13:$J$31,5,FALSE),$C$40:$D$47,2,FALSE)&amp;" ("&amp;VLOOKUP($Z$5,$B$13:$J$31,5,FALSE)&amp;")"</f>
        <v>#N/A</v>
      </c>
      <c r="AC9" s="93"/>
      <c r="AD9" s="93" t="e">
        <f>VLOOKUP(VLOOKUP($Z$5,$B$13:$J$31,8,FALSE),$C$40:$D$47,2,FALSE)&amp;" ("&amp;VLOOKUP($Z$5,$B$13:$J$31,8,FALSE)&amp;")"</f>
        <v>#N/A</v>
      </c>
      <c r="AE9" s="93"/>
      <c r="AF9" s="93" t="e">
        <f>VLOOKUP(VLOOKUP($Z$5,$B$13:$J$31,9,FALSE),$C$40:$D$47,2,FALSE)&amp;" ("&amp;VLOOKUP($Z$5,$B$13:$J$31,9,FALSE)&amp;")"</f>
        <v>#N/A</v>
      </c>
    </row>
    <row r="10" spans="1:35" ht="13.8" thickBot="1" x14ac:dyDescent="0.3">
      <c r="A10" s="103" t="s">
        <v>118</v>
      </c>
      <c r="B10" s="108">
        <f t="shared" ref="B10:B34" si="4">B9+7</f>
        <v>46104</v>
      </c>
      <c r="C10" s="248"/>
      <c r="D10" s="249"/>
      <c r="E10" s="249"/>
      <c r="F10" s="249"/>
      <c r="G10" s="249"/>
      <c r="H10" s="249"/>
      <c r="I10" s="249"/>
      <c r="J10" s="249"/>
      <c r="K10" s="99"/>
      <c r="O10" s="93">
        <v>3</v>
      </c>
      <c r="P10" s="93">
        <f t="shared" si="0"/>
        <v>7</v>
      </c>
      <c r="Q10" s="93">
        <f t="shared" si="1"/>
        <v>7</v>
      </c>
      <c r="R10" s="104">
        <f t="shared" si="2"/>
        <v>7</v>
      </c>
      <c r="S10" s="105">
        <f t="shared" si="3"/>
        <v>7</v>
      </c>
      <c r="X10" s="94"/>
      <c r="Y10" s="94"/>
      <c r="AB10" s="93"/>
      <c r="AC10" s="93"/>
      <c r="AH10" s="93"/>
    </row>
    <row r="11" spans="1:35" ht="13.8" thickBot="1" x14ac:dyDescent="0.3">
      <c r="A11" s="103" t="s">
        <v>120</v>
      </c>
      <c r="B11" s="108">
        <f t="shared" si="4"/>
        <v>46111</v>
      </c>
      <c r="C11" s="213">
        <v>1</v>
      </c>
      <c r="D11" s="213">
        <v>2</v>
      </c>
      <c r="E11" s="213">
        <v>3</v>
      </c>
      <c r="F11" s="213">
        <v>4</v>
      </c>
      <c r="G11" s="213">
        <v>5</v>
      </c>
      <c r="H11" s="213">
        <v>6</v>
      </c>
      <c r="I11" s="213">
        <v>7</v>
      </c>
      <c r="J11" s="213">
        <v>8</v>
      </c>
      <c r="K11" s="99"/>
      <c r="O11" s="93">
        <v>4</v>
      </c>
      <c r="P11" s="93">
        <f t="shared" si="0"/>
        <v>7</v>
      </c>
      <c r="Q11" s="93">
        <f t="shared" si="1"/>
        <v>7</v>
      </c>
      <c r="R11" s="104">
        <f t="shared" si="2"/>
        <v>7</v>
      </c>
      <c r="S11" s="105">
        <f t="shared" si="3"/>
        <v>7</v>
      </c>
      <c r="X11" s="94"/>
      <c r="Y11" s="94"/>
    </row>
    <row r="12" spans="1:35" ht="13.8" thickBot="1" x14ac:dyDescent="0.3">
      <c r="A12" s="103" t="s">
        <v>120</v>
      </c>
      <c r="B12" s="108">
        <f t="shared" si="4"/>
        <v>46118</v>
      </c>
      <c r="C12" s="213">
        <v>7</v>
      </c>
      <c r="D12" s="213">
        <v>6</v>
      </c>
      <c r="E12" s="213">
        <v>5</v>
      </c>
      <c r="F12" s="213">
        <v>8</v>
      </c>
      <c r="G12" s="213">
        <v>4</v>
      </c>
      <c r="H12" s="213">
        <v>3</v>
      </c>
      <c r="I12" s="213">
        <v>2</v>
      </c>
      <c r="J12" s="213">
        <v>1</v>
      </c>
      <c r="K12" s="99"/>
      <c r="O12" s="93">
        <v>5</v>
      </c>
      <c r="P12" s="93">
        <f t="shared" si="0"/>
        <v>7</v>
      </c>
      <c r="Q12" s="93">
        <f t="shared" si="1"/>
        <v>7</v>
      </c>
      <c r="R12" s="104">
        <f t="shared" si="2"/>
        <v>7</v>
      </c>
      <c r="S12" s="105">
        <f t="shared" si="3"/>
        <v>7</v>
      </c>
    </row>
    <row r="13" spans="1:35" ht="13.8" thickBot="1" x14ac:dyDescent="0.3">
      <c r="A13" s="106">
        <v>1</v>
      </c>
      <c r="B13" s="214">
        <f t="shared" si="4"/>
        <v>46125</v>
      </c>
      <c r="C13" s="285">
        <v>8</v>
      </c>
      <c r="D13" s="285">
        <v>1</v>
      </c>
      <c r="E13" s="286">
        <v>7</v>
      </c>
      <c r="F13" s="286">
        <v>6</v>
      </c>
      <c r="G13" s="285">
        <v>2</v>
      </c>
      <c r="H13" s="285">
        <v>4</v>
      </c>
      <c r="I13" s="286">
        <v>5</v>
      </c>
      <c r="J13" s="286">
        <v>3</v>
      </c>
      <c r="K13" s="107"/>
      <c r="O13" s="93">
        <v>6</v>
      </c>
      <c r="P13" s="93">
        <f t="shared" si="0"/>
        <v>7</v>
      </c>
      <c r="Q13" s="93">
        <f t="shared" si="1"/>
        <v>7</v>
      </c>
      <c r="R13" s="104">
        <f t="shared" si="2"/>
        <v>7</v>
      </c>
      <c r="S13" s="105">
        <f t="shared" si="3"/>
        <v>7</v>
      </c>
    </row>
    <row r="14" spans="1:35" ht="13.8" thickBot="1" x14ac:dyDescent="0.3">
      <c r="A14" s="106">
        <v>2</v>
      </c>
      <c r="B14" s="214">
        <f t="shared" si="4"/>
        <v>46132</v>
      </c>
      <c r="C14" s="285">
        <v>4</v>
      </c>
      <c r="D14" s="285">
        <v>3</v>
      </c>
      <c r="E14" s="286">
        <v>2</v>
      </c>
      <c r="F14" s="286">
        <v>7</v>
      </c>
      <c r="G14" s="285">
        <v>1</v>
      </c>
      <c r="H14" s="285">
        <v>5</v>
      </c>
      <c r="I14" s="286">
        <v>8</v>
      </c>
      <c r="J14" s="286">
        <v>6</v>
      </c>
      <c r="K14" s="107" t="s">
        <v>121</v>
      </c>
      <c r="O14" s="93">
        <v>7</v>
      </c>
      <c r="P14" s="93">
        <f t="shared" si="0"/>
        <v>7</v>
      </c>
      <c r="Q14" s="93">
        <f t="shared" si="1"/>
        <v>7</v>
      </c>
      <c r="R14" s="104">
        <f t="shared" si="2"/>
        <v>7</v>
      </c>
      <c r="S14" s="105">
        <f t="shared" si="3"/>
        <v>7</v>
      </c>
    </row>
    <row r="15" spans="1:35" ht="13.8" thickBot="1" x14ac:dyDescent="0.3">
      <c r="A15" s="106">
        <v>3</v>
      </c>
      <c r="B15" s="214">
        <f t="shared" si="4"/>
        <v>46139</v>
      </c>
      <c r="C15" s="285">
        <v>6</v>
      </c>
      <c r="D15" s="285">
        <v>4</v>
      </c>
      <c r="E15" s="286">
        <v>5</v>
      </c>
      <c r="F15" s="286">
        <v>2</v>
      </c>
      <c r="G15" s="285">
        <v>3</v>
      </c>
      <c r="H15" s="285">
        <v>1</v>
      </c>
      <c r="I15" s="286">
        <v>8</v>
      </c>
      <c r="J15" s="286">
        <v>7</v>
      </c>
      <c r="K15" s="99"/>
      <c r="O15" s="93">
        <v>8</v>
      </c>
      <c r="P15" s="93">
        <f>COUNTIF($C$13:$F$27,$O15)</f>
        <v>7</v>
      </c>
      <c r="Q15" s="93">
        <f t="shared" si="1"/>
        <v>7</v>
      </c>
      <c r="R15" s="104">
        <f t="shared" si="2"/>
        <v>7</v>
      </c>
      <c r="S15" s="105">
        <f t="shared" si="3"/>
        <v>7</v>
      </c>
    </row>
    <row r="16" spans="1:35" ht="13.8" thickBot="1" x14ac:dyDescent="0.3">
      <c r="A16" s="106">
        <v>4</v>
      </c>
      <c r="B16" s="214">
        <f t="shared" si="4"/>
        <v>46146</v>
      </c>
      <c r="C16" s="285">
        <v>4</v>
      </c>
      <c r="D16" s="285">
        <v>1</v>
      </c>
      <c r="E16" s="286">
        <v>8</v>
      </c>
      <c r="F16" s="286">
        <v>5</v>
      </c>
      <c r="G16" s="285">
        <v>6</v>
      </c>
      <c r="H16" s="285">
        <v>2</v>
      </c>
      <c r="I16" s="286">
        <v>3</v>
      </c>
      <c r="J16" s="286">
        <v>7</v>
      </c>
      <c r="K16" s="99"/>
      <c r="O16" s="93"/>
      <c r="P16" s="93"/>
      <c r="Q16" s="93"/>
      <c r="R16" s="93"/>
      <c r="S16" s="93"/>
    </row>
    <row r="17" spans="1:22" ht="13.8" thickBot="1" x14ac:dyDescent="0.3">
      <c r="A17" s="106">
        <v>5</v>
      </c>
      <c r="B17" s="214">
        <f t="shared" si="4"/>
        <v>46153</v>
      </c>
      <c r="C17" s="285">
        <v>1</v>
      </c>
      <c r="D17" s="285">
        <v>2</v>
      </c>
      <c r="E17" s="286">
        <v>8</v>
      </c>
      <c r="F17" s="286">
        <v>3</v>
      </c>
      <c r="G17" s="285">
        <v>6</v>
      </c>
      <c r="H17" s="285">
        <v>5</v>
      </c>
      <c r="I17" s="286">
        <v>4</v>
      </c>
      <c r="J17" s="286">
        <v>7</v>
      </c>
      <c r="K17" s="121"/>
      <c r="O17" s="93"/>
      <c r="P17" s="93"/>
      <c r="Q17" s="93"/>
      <c r="R17" s="93"/>
      <c r="S17" s="93"/>
    </row>
    <row r="18" spans="1:22" ht="13.8" thickBot="1" x14ac:dyDescent="0.3">
      <c r="A18" s="106">
        <v>6</v>
      </c>
      <c r="B18" s="214">
        <f t="shared" si="4"/>
        <v>46160</v>
      </c>
      <c r="C18" s="285">
        <v>5</v>
      </c>
      <c r="D18" s="285">
        <v>4</v>
      </c>
      <c r="E18" s="286">
        <v>3</v>
      </c>
      <c r="F18" s="286">
        <v>6</v>
      </c>
      <c r="G18" s="285">
        <v>8</v>
      </c>
      <c r="H18" s="285">
        <v>2</v>
      </c>
      <c r="I18" s="286">
        <v>7</v>
      </c>
      <c r="J18" s="286">
        <v>1</v>
      </c>
      <c r="K18" s="107" t="s">
        <v>122</v>
      </c>
      <c r="M18" s="93"/>
      <c r="N18" s="93"/>
      <c r="O18" s="93"/>
      <c r="P18" s="93"/>
      <c r="Q18" s="93"/>
    </row>
    <row r="19" spans="1:22" ht="13.8" thickBot="1" x14ac:dyDescent="0.3">
      <c r="A19" s="113" t="s">
        <v>123</v>
      </c>
      <c r="B19" s="215">
        <f t="shared" si="4"/>
        <v>46167</v>
      </c>
      <c r="C19" s="287" t="s">
        <v>124</v>
      </c>
      <c r="D19" s="287"/>
      <c r="E19" s="287"/>
      <c r="F19" s="287"/>
      <c r="G19" s="287"/>
      <c r="H19" s="287"/>
      <c r="I19" s="287"/>
      <c r="J19" s="287"/>
      <c r="K19" s="99"/>
      <c r="M19" s="93"/>
      <c r="N19" s="93"/>
      <c r="O19" s="93"/>
      <c r="P19" s="93"/>
      <c r="Q19" s="93"/>
    </row>
    <row r="20" spans="1:22" ht="13.8" thickBot="1" x14ac:dyDescent="0.3">
      <c r="A20" s="315">
        <v>7</v>
      </c>
      <c r="B20" s="316">
        <f t="shared" si="4"/>
        <v>46174</v>
      </c>
      <c r="C20" s="317">
        <v>7</v>
      </c>
      <c r="D20" s="317">
        <v>5</v>
      </c>
      <c r="E20" s="318">
        <v>2</v>
      </c>
      <c r="F20" s="318">
        <v>3</v>
      </c>
      <c r="G20" s="317">
        <v>8</v>
      </c>
      <c r="H20" s="317">
        <v>4</v>
      </c>
      <c r="I20" s="318">
        <v>1</v>
      </c>
      <c r="J20" s="318">
        <v>6</v>
      </c>
      <c r="K20" s="319"/>
    </row>
    <row r="21" spans="1:22" ht="13.8" thickBot="1" x14ac:dyDescent="0.3">
      <c r="A21" s="106">
        <v>8</v>
      </c>
      <c r="B21" s="320">
        <f t="shared" si="4"/>
        <v>46181</v>
      </c>
      <c r="C21" s="321">
        <v>5</v>
      </c>
      <c r="D21" s="321">
        <v>3</v>
      </c>
      <c r="E21" s="322">
        <v>2</v>
      </c>
      <c r="F21" s="322">
        <v>4</v>
      </c>
      <c r="G21" s="321">
        <v>7</v>
      </c>
      <c r="H21" s="321">
        <v>6</v>
      </c>
      <c r="I21" s="322">
        <v>8</v>
      </c>
      <c r="J21" s="322">
        <v>1</v>
      </c>
      <c r="K21" s="99" t="s">
        <v>522</v>
      </c>
      <c r="M21" s="254"/>
      <c r="N21" s="254"/>
      <c r="O21" s="254"/>
      <c r="P21" s="254"/>
      <c r="Q21" s="254"/>
      <c r="U21" s="92">
        <v>2</v>
      </c>
      <c r="V21" s="92">
        <f t="shared" ref="V21:V28" ca="1" si="5">RAND()</f>
        <v>0.63014516830947298</v>
      </c>
    </row>
    <row r="22" spans="1:22" ht="13.8" thickBot="1" x14ac:dyDescent="0.3">
      <c r="A22" s="106">
        <v>9</v>
      </c>
      <c r="B22" s="214">
        <f t="shared" si="4"/>
        <v>46188</v>
      </c>
      <c r="C22" s="321">
        <v>8</v>
      </c>
      <c r="D22" s="321">
        <v>6</v>
      </c>
      <c r="E22" s="322">
        <v>1</v>
      </c>
      <c r="F22" s="322">
        <v>5</v>
      </c>
      <c r="G22" s="321">
        <v>2</v>
      </c>
      <c r="H22" s="321">
        <v>7</v>
      </c>
      <c r="I22" s="322">
        <v>4</v>
      </c>
      <c r="J22" s="322">
        <v>3</v>
      </c>
      <c r="K22" s="121"/>
      <c r="U22" s="92">
        <v>8</v>
      </c>
      <c r="V22" s="92">
        <f t="shared" ca="1" si="5"/>
        <v>0.45381955989475009</v>
      </c>
    </row>
    <row r="23" spans="1:22" ht="13.8" thickBot="1" x14ac:dyDescent="0.3">
      <c r="A23" s="106">
        <v>10</v>
      </c>
      <c r="B23" s="320">
        <f t="shared" si="4"/>
        <v>46195</v>
      </c>
      <c r="C23" s="285">
        <v>8</v>
      </c>
      <c r="D23" s="285">
        <v>7</v>
      </c>
      <c r="E23" s="286">
        <v>3</v>
      </c>
      <c r="F23" s="286">
        <v>1</v>
      </c>
      <c r="G23" s="285">
        <v>5</v>
      </c>
      <c r="H23" s="285">
        <v>2</v>
      </c>
      <c r="I23" s="286">
        <v>6</v>
      </c>
      <c r="J23" s="286">
        <v>4</v>
      </c>
      <c r="K23" s="107" t="s">
        <v>121</v>
      </c>
      <c r="M23" s="93"/>
      <c r="N23" s="93"/>
      <c r="O23" s="94"/>
      <c r="P23" s="94"/>
      <c r="Q23" s="94"/>
      <c r="U23" s="92">
        <v>1</v>
      </c>
      <c r="V23" s="92">
        <f t="shared" ca="1" si="5"/>
        <v>5.5164606256184134E-2</v>
      </c>
    </row>
    <row r="24" spans="1:22" ht="13.8" thickBot="1" x14ac:dyDescent="0.3">
      <c r="A24" s="106">
        <v>11</v>
      </c>
      <c r="B24" s="320">
        <f t="shared" si="4"/>
        <v>46202</v>
      </c>
      <c r="C24" s="321">
        <v>3</v>
      </c>
      <c r="D24" s="321">
        <v>7</v>
      </c>
      <c r="E24" s="322">
        <v>6</v>
      </c>
      <c r="F24" s="322">
        <v>2</v>
      </c>
      <c r="G24" s="321">
        <v>8</v>
      </c>
      <c r="H24" s="321">
        <v>5</v>
      </c>
      <c r="I24" s="322">
        <v>4</v>
      </c>
      <c r="J24" s="322">
        <v>1</v>
      </c>
      <c r="K24" s="99"/>
      <c r="M24" s="93"/>
      <c r="N24" s="93"/>
      <c r="O24" s="93"/>
      <c r="P24" s="93"/>
      <c r="Q24" s="93"/>
      <c r="R24" s="93"/>
      <c r="S24" s="93"/>
      <c r="T24" s="93"/>
      <c r="U24" s="92">
        <v>3</v>
      </c>
      <c r="V24" s="92">
        <f t="shared" ca="1" si="5"/>
        <v>0.84573417233386849</v>
      </c>
    </row>
    <row r="25" spans="1:22" ht="13.8" thickBot="1" x14ac:dyDescent="0.3">
      <c r="A25" s="106">
        <v>12</v>
      </c>
      <c r="B25" s="214">
        <f t="shared" si="4"/>
        <v>46209</v>
      </c>
      <c r="C25" s="285">
        <v>4</v>
      </c>
      <c r="D25" s="285">
        <v>7</v>
      </c>
      <c r="E25" s="286">
        <v>6</v>
      </c>
      <c r="F25" s="286">
        <v>5</v>
      </c>
      <c r="G25" s="285">
        <v>8</v>
      </c>
      <c r="H25" s="285">
        <v>3</v>
      </c>
      <c r="I25" s="286">
        <v>1</v>
      </c>
      <c r="J25" s="286">
        <v>2</v>
      </c>
      <c r="K25" s="99" t="s">
        <v>538</v>
      </c>
      <c r="M25" s="93"/>
      <c r="N25" s="93"/>
      <c r="O25" s="93"/>
      <c r="P25" s="93"/>
      <c r="Q25" s="93"/>
      <c r="U25" s="92">
        <v>4</v>
      </c>
      <c r="V25" s="92">
        <f t="shared" ca="1" si="5"/>
        <v>0.65866534063992299</v>
      </c>
    </row>
    <row r="26" spans="1:22" ht="13.8" thickBot="1" x14ac:dyDescent="0.3">
      <c r="A26" s="106">
        <v>13</v>
      </c>
      <c r="B26" s="214">
        <f t="shared" si="4"/>
        <v>46216</v>
      </c>
      <c r="C26" s="285">
        <v>7</v>
      </c>
      <c r="D26" s="285">
        <v>1</v>
      </c>
      <c r="E26" s="286">
        <v>8</v>
      </c>
      <c r="F26" s="286">
        <v>2</v>
      </c>
      <c r="G26" s="285">
        <v>3</v>
      </c>
      <c r="H26" s="285">
        <v>6</v>
      </c>
      <c r="I26" s="286">
        <v>5</v>
      </c>
      <c r="J26" s="286">
        <v>4</v>
      </c>
      <c r="K26" s="107" t="s">
        <v>122</v>
      </c>
      <c r="L26" s="93"/>
      <c r="M26" s="93"/>
      <c r="N26" s="93"/>
      <c r="O26" s="93"/>
      <c r="P26" s="93"/>
      <c r="Q26" s="93"/>
      <c r="U26" s="92">
        <v>5</v>
      </c>
      <c r="V26" s="92">
        <f t="shared" ca="1" si="5"/>
        <v>0.21720260936106728</v>
      </c>
    </row>
    <row r="27" spans="1:22" ht="13.8" thickBot="1" x14ac:dyDescent="0.3">
      <c r="A27" s="106">
        <v>14</v>
      </c>
      <c r="B27" s="214">
        <f t="shared" si="4"/>
        <v>46223</v>
      </c>
      <c r="C27" s="285">
        <v>1</v>
      </c>
      <c r="D27" s="285">
        <v>6</v>
      </c>
      <c r="E27" s="286">
        <v>8</v>
      </c>
      <c r="F27" s="286">
        <v>4</v>
      </c>
      <c r="G27" s="285">
        <v>2</v>
      </c>
      <c r="H27" s="285">
        <v>3</v>
      </c>
      <c r="I27" s="286">
        <v>7</v>
      </c>
      <c r="J27" s="286">
        <v>5</v>
      </c>
      <c r="K27" s="99"/>
      <c r="M27" s="93"/>
      <c r="N27" s="93"/>
      <c r="O27" s="93"/>
      <c r="P27" s="93"/>
      <c r="Q27" s="93"/>
      <c r="U27" s="92">
        <v>6</v>
      </c>
      <c r="V27" s="92">
        <f t="shared" ca="1" si="5"/>
        <v>0.96432868998846122</v>
      </c>
    </row>
    <row r="28" spans="1:22" ht="13.8" thickBot="1" x14ac:dyDescent="0.3">
      <c r="A28" s="106" t="s">
        <v>523</v>
      </c>
      <c r="B28" s="214">
        <f t="shared" si="4"/>
        <v>46230</v>
      </c>
      <c r="C28" s="321">
        <v>5</v>
      </c>
      <c r="D28" s="321">
        <v>3</v>
      </c>
      <c r="E28" s="322">
        <v>2</v>
      </c>
      <c r="F28" s="322">
        <v>4</v>
      </c>
      <c r="G28" s="321">
        <v>7</v>
      </c>
      <c r="H28" s="321">
        <v>6</v>
      </c>
      <c r="I28" s="322">
        <v>8</v>
      </c>
      <c r="J28" s="322">
        <v>1</v>
      </c>
      <c r="K28" s="343">
        <v>15</v>
      </c>
      <c r="M28" s="93"/>
      <c r="N28" s="93"/>
      <c r="O28" s="93"/>
      <c r="P28" s="93"/>
      <c r="Q28" s="93"/>
      <c r="U28" s="92">
        <v>7</v>
      </c>
      <c r="V28" s="92">
        <f t="shared" ca="1" si="5"/>
        <v>0.95010667215196309</v>
      </c>
    </row>
    <row r="29" spans="1:22" ht="13.8" thickBot="1" x14ac:dyDescent="0.3">
      <c r="A29" s="106" t="s">
        <v>444</v>
      </c>
      <c r="B29" s="214">
        <f t="shared" si="4"/>
        <v>46237</v>
      </c>
      <c r="C29" s="347">
        <v>4</v>
      </c>
      <c r="D29" s="347">
        <v>7</v>
      </c>
      <c r="E29" s="348">
        <v>6</v>
      </c>
      <c r="F29" s="348">
        <v>5</v>
      </c>
      <c r="G29" s="347">
        <v>8</v>
      </c>
      <c r="H29" s="347">
        <v>3</v>
      </c>
      <c r="I29" s="348">
        <v>1</v>
      </c>
      <c r="J29" s="348">
        <v>2</v>
      </c>
      <c r="K29" s="343">
        <v>16</v>
      </c>
      <c r="M29" s="93"/>
      <c r="N29" s="93"/>
      <c r="O29" s="93"/>
      <c r="P29" s="93"/>
      <c r="Q29" s="93"/>
    </row>
    <row r="30" spans="1:22" ht="13.8" thickBot="1" x14ac:dyDescent="0.3">
      <c r="A30" s="106" t="s">
        <v>125</v>
      </c>
      <c r="B30" s="214">
        <f t="shared" si="4"/>
        <v>46244</v>
      </c>
      <c r="C30" s="285">
        <v>1</v>
      </c>
      <c r="D30" s="285">
        <v>4</v>
      </c>
      <c r="E30" s="286">
        <v>5</v>
      </c>
      <c r="F30" s="286">
        <v>7</v>
      </c>
      <c r="G30" s="285">
        <v>2</v>
      </c>
      <c r="H30" s="285">
        <v>3</v>
      </c>
      <c r="I30" s="286">
        <v>6</v>
      </c>
      <c r="J30" s="323">
        <v>8</v>
      </c>
      <c r="K30" s="344">
        <v>17</v>
      </c>
      <c r="M30" s="93"/>
      <c r="N30" s="93"/>
      <c r="O30" s="93"/>
      <c r="P30" s="93"/>
      <c r="Q30" s="93"/>
    </row>
    <row r="31" spans="1:22" ht="13.8" thickBot="1" x14ac:dyDescent="0.3">
      <c r="A31" s="106" t="s">
        <v>441</v>
      </c>
      <c r="B31" s="214">
        <f t="shared" si="4"/>
        <v>46251</v>
      </c>
      <c r="C31" s="285">
        <v>4</v>
      </c>
      <c r="D31" s="285">
        <v>2</v>
      </c>
      <c r="E31" s="286">
        <v>6</v>
      </c>
      <c r="F31" s="286">
        <v>5</v>
      </c>
      <c r="G31" s="285">
        <v>7</v>
      </c>
      <c r="H31" s="285">
        <v>1</v>
      </c>
      <c r="I31" s="286">
        <v>3</v>
      </c>
      <c r="J31" s="348">
        <v>8</v>
      </c>
      <c r="K31" s="107" t="s">
        <v>443</v>
      </c>
      <c r="M31" s="93"/>
      <c r="N31" s="93"/>
      <c r="O31" s="93"/>
      <c r="P31" s="93"/>
      <c r="Q31" s="93"/>
      <c r="U31" s="92">
        <v>4</v>
      </c>
      <c r="V31" s="92">
        <f t="shared" ref="V31:V37" ca="1" si="6">RAND()</f>
        <v>0.94803156363981</v>
      </c>
    </row>
    <row r="32" spans="1:22" ht="13.8" thickBot="1" x14ac:dyDescent="0.3">
      <c r="A32" s="103" t="s">
        <v>130</v>
      </c>
      <c r="B32" s="108">
        <f t="shared" si="4"/>
        <v>46258</v>
      </c>
      <c r="C32" s="213" t="s">
        <v>131</v>
      </c>
      <c r="D32" s="288" t="s">
        <v>132</v>
      </c>
      <c r="E32" s="288" t="s">
        <v>126</v>
      </c>
      <c r="F32" s="288" t="s">
        <v>128</v>
      </c>
      <c r="G32" s="288" t="s">
        <v>133</v>
      </c>
      <c r="H32" s="288" t="s">
        <v>134</v>
      </c>
      <c r="I32" s="288" t="s">
        <v>127</v>
      </c>
      <c r="J32" s="323" t="s">
        <v>129</v>
      </c>
      <c r="K32" s="345">
        <v>19</v>
      </c>
      <c r="M32" s="93"/>
      <c r="N32" s="93"/>
      <c r="O32" s="93"/>
      <c r="P32" s="93"/>
      <c r="Q32" s="93"/>
      <c r="U32" s="92">
        <v>7</v>
      </c>
      <c r="V32" s="92">
        <f t="shared" ca="1" si="6"/>
        <v>0.66229516744820616</v>
      </c>
    </row>
    <row r="33" spans="1:22" ht="13.8" thickBot="1" x14ac:dyDescent="0.3">
      <c r="A33" s="103" t="s">
        <v>123</v>
      </c>
      <c r="B33" s="108">
        <f t="shared" si="4"/>
        <v>46265</v>
      </c>
      <c r="C33" s="287" t="s">
        <v>124</v>
      </c>
      <c r="D33" s="287"/>
      <c r="E33" s="287"/>
      <c r="F33" s="287"/>
      <c r="G33" s="287"/>
      <c r="H33" s="287"/>
      <c r="I33" s="287"/>
      <c r="J33" s="287"/>
      <c r="K33" s="260"/>
      <c r="M33" s="93"/>
      <c r="N33" s="93"/>
      <c r="O33" s="93"/>
      <c r="P33" s="93"/>
      <c r="Q33" s="93"/>
      <c r="U33" s="92">
        <v>2</v>
      </c>
      <c r="V33" s="92">
        <f t="shared" ca="1" si="6"/>
        <v>0.90844884128059267</v>
      </c>
    </row>
    <row r="34" spans="1:22" ht="14.25" customHeight="1" x14ac:dyDescent="0.25">
      <c r="A34" s="103" t="s">
        <v>118</v>
      </c>
      <c r="B34" s="108">
        <f t="shared" si="4"/>
        <v>46272</v>
      </c>
      <c r="C34" s="246"/>
      <c r="D34" s="247"/>
      <c r="E34" s="247"/>
      <c r="F34" s="247"/>
      <c r="G34" s="247"/>
      <c r="H34" s="247"/>
      <c r="I34" s="247"/>
      <c r="J34" s="247"/>
      <c r="K34" s="260"/>
      <c r="U34" s="92">
        <v>1</v>
      </c>
      <c r="V34" s="92">
        <f t="shared" ca="1" si="6"/>
        <v>0.75521972153991213</v>
      </c>
    </row>
    <row r="35" spans="1:22" ht="14.25" customHeight="1" x14ac:dyDescent="0.25">
      <c r="A35" s="103" t="s">
        <v>118</v>
      </c>
      <c r="B35" s="108" t="s">
        <v>135</v>
      </c>
      <c r="C35" s="250" t="s">
        <v>119</v>
      </c>
      <c r="D35" s="251"/>
      <c r="E35" s="251"/>
      <c r="F35" s="251"/>
      <c r="G35" s="251"/>
      <c r="H35" s="251"/>
      <c r="I35" s="251"/>
      <c r="J35" s="251"/>
      <c r="K35" s="260"/>
      <c r="U35" s="92">
        <v>6</v>
      </c>
      <c r="V35" s="92">
        <f t="shared" ca="1" si="6"/>
        <v>0.10943561540961355</v>
      </c>
    </row>
    <row r="36" spans="1:22" ht="14.7" customHeight="1" thickBot="1" x14ac:dyDescent="0.3">
      <c r="A36" s="261" t="s">
        <v>118</v>
      </c>
      <c r="B36" s="262" t="s">
        <v>442</v>
      </c>
      <c r="C36" s="248"/>
      <c r="D36" s="249"/>
      <c r="E36" s="249"/>
      <c r="F36" s="249"/>
      <c r="G36" s="249"/>
      <c r="H36" s="249"/>
      <c r="I36" s="249"/>
      <c r="J36" s="249"/>
      <c r="K36" s="342" t="s">
        <v>445</v>
      </c>
      <c r="M36" s="324"/>
      <c r="U36" s="92">
        <v>3</v>
      </c>
      <c r="V36" s="92">
        <f t="shared" ca="1" si="6"/>
        <v>6.6860076650279376E-2</v>
      </c>
    </row>
    <row r="37" spans="1:22" x14ac:dyDescent="0.25">
      <c r="B37" s="108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U37" s="92">
        <v>5</v>
      </c>
      <c r="V37" s="92">
        <f t="shared" ca="1" si="6"/>
        <v>0.55798335522405085</v>
      </c>
    </row>
    <row r="38" spans="1:22" x14ac:dyDescent="0.25">
      <c r="U38" s="92">
        <v>8</v>
      </c>
    </row>
    <row r="39" spans="1:22" x14ac:dyDescent="0.25">
      <c r="C39" s="109" t="s">
        <v>136</v>
      </c>
      <c r="D39" s="110" t="s">
        <v>137</v>
      </c>
      <c r="E39" s="110"/>
      <c r="H39" s="110" t="s">
        <v>138</v>
      </c>
      <c r="K39" s="110"/>
      <c r="L39" s="110"/>
      <c r="M39" s="111"/>
      <c r="N39" s="210"/>
    </row>
    <row r="40" spans="1:22" x14ac:dyDescent="0.25">
      <c r="B40" s="110"/>
      <c r="C40" s="112">
        <v>1</v>
      </c>
      <c r="D40" s="92" t="s">
        <v>26</v>
      </c>
      <c r="H40" s="92" t="s">
        <v>142</v>
      </c>
    </row>
    <row r="41" spans="1:22" x14ac:dyDescent="0.25">
      <c r="C41" s="112">
        <v>2</v>
      </c>
      <c r="D41" s="92" t="s">
        <v>20</v>
      </c>
      <c r="H41" s="92" t="s">
        <v>140</v>
      </c>
    </row>
    <row r="42" spans="1:22" x14ac:dyDescent="0.25">
      <c r="C42" s="112">
        <v>3</v>
      </c>
      <c r="D42" s="92" t="s">
        <v>16</v>
      </c>
      <c r="H42" s="92" t="s">
        <v>474</v>
      </c>
    </row>
    <row r="43" spans="1:22" x14ac:dyDescent="0.25">
      <c r="C43" s="112">
        <v>4</v>
      </c>
      <c r="D43" s="92" t="s">
        <v>18</v>
      </c>
      <c r="H43" s="92" t="s">
        <v>139</v>
      </c>
    </row>
    <row r="44" spans="1:22" x14ac:dyDescent="0.25">
      <c r="C44" s="112">
        <v>5</v>
      </c>
      <c r="D44" s="92" t="s">
        <v>472</v>
      </c>
      <c r="H44" s="92" t="s">
        <v>141</v>
      </c>
    </row>
    <row r="45" spans="1:22" x14ac:dyDescent="0.25">
      <c r="C45" s="112">
        <v>6</v>
      </c>
      <c r="D45" s="92" t="s">
        <v>24</v>
      </c>
      <c r="H45" s="92" t="s">
        <v>473</v>
      </c>
    </row>
    <row r="46" spans="1:22" x14ac:dyDescent="0.25">
      <c r="B46" s="110"/>
      <c r="C46" s="112">
        <v>7</v>
      </c>
      <c r="D46" s="92" t="s">
        <v>28</v>
      </c>
      <c r="H46" s="92" t="s">
        <v>143</v>
      </c>
    </row>
    <row r="47" spans="1:22" x14ac:dyDescent="0.25">
      <c r="C47" s="112">
        <v>8</v>
      </c>
      <c r="D47" s="92" t="s">
        <v>30</v>
      </c>
    </row>
  </sheetData>
  <sortState xmlns:xlrd2="http://schemas.microsoft.com/office/spreadsheetml/2017/richdata2" ref="U31:V37">
    <sortCondition ref="V31:V37"/>
  </sortState>
  <mergeCells count="6">
    <mergeCell ref="AD7:AF7"/>
    <mergeCell ref="A1:K1"/>
    <mergeCell ref="A2:K2"/>
    <mergeCell ref="A3:K3"/>
    <mergeCell ref="A4:K4"/>
    <mergeCell ref="Z7:AB7"/>
  </mergeCells>
  <conditionalFormatting sqref="C11:J18">
    <cfRule type="cellIs" dxfId="250" priority="4" operator="equal">
      <formula>8</formula>
    </cfRule>
  </conditionalFormatting>
  <conditionalFormatting sqref="C20:J29">
    <cfRule type="cellIs" dxfId="249" priority="3" operator="equal">
      <formula>8</formula>
    </cfRule>
  </conditionalFormatting>
  <conditionalFormatting sqref="J31">
    <cfRule type="cellIs" dxfId="248" priority="1" operator="equal">
      <formula>8</formula>
    </cfRule>
  </conditionalFormatting>
  <pageMargins left="0.59" right="0.34" top="0.5" bottom="0.5" header="0.32" footer="0.21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A236"/>
  <sheetViews>
    <sheetView workbookViewId="0"/>
  </sheetViews>
  <sheetFormatPr defaultRowHeight="13.2" x14ac:dyDescent="0.25"/>
  <cols>
    <col min="1" max="1" width="30.77734375" bestFit="1" customWidth="1"/>
    <col min="2" max="2" width="5.77734375" style="2" customWidth="1"/>
    <col min="3" max="3" width="10.88671875" style="2" customWidth="1"/>
    <col min="4" max="21" width="5.77734375" style="2" customWidth="1"/>
    <col min="22" max="22" width="9.109375" style="50"/>
    <col min="23" max="23" width="9" style="50"/>
    <col min="24" max="24" width="9" style="122"/>
  </cols>
  <sheetData>
    <row r="1" spans="1:27" x14ac:dyDescent="0.25">
      <c r="A1" s="48" t="s">
        <v>76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0" t="s">
        <v>46</v>
      </c>
      <c r="W1" s="270"/>
      <c r="X1" s="270"/>
      <c r="Y1" s="271"/>
      <c r="Z1" s="272"/>
      <c r="AA1" s="272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 t="shared" ref="J2:U2" si="0">I2+7</f>
        <v>45817</v>
      </c>
      <c r="K2" s="1">
        <f t="shared" si="0"/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49" t="s">
        <v>168</v>
      </c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276"/>
      <c r="W3" s="276"/>
      <c r="X3" s="276"/>
      <c r="Y3" s="277"/>
      <c r="Z3" s="277"/>
      <c r="AA3" s="277"/>
    </row>
    <row r="4" spans="1:27" ht="13.8" thickBot="1" x14ac:dyDescent="0.3">
      <c r="A4" s="49"/>
      <c r="B4" s="5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276"/>
      <c r="W4" s="276"/>
      <c r="X4" s="276"/>
      <c r="Y4" s="277"/>
      <c r="Z4" s="278"/>
      <c r="AA4" s="277"/>
    </row>
    <row r="5" spans="1:27" x14ac:dyDescent="0.25">
      <c r="A5" s="11" t="s">
        <v>528</v>
      </c>
      <c r="B5" s="3" t="s">
        <v>170</v>
      </c>
      <c r="C5" s="3" t="str" cm="1">
        <f t="array" ref="C5">IF(SUMPRODUCT((Upload_Indiv_Player=$A5)*(Upload_Indiv_Date=C$2)*(Upload_Indiv_Gross))=0,"",SUMPRODUCT((Upload_Indiv_Player=$A5)*(Upload_Indiv_Date=C$2)*(Upload_Indiv_Gross)))</f>
        <v/>
      </c>
      <c r="D5" s="3" t="str" cm="1">
        <f t="array" ref="D5">IF(SUMPRODUCT((Upload_Indiv_Player=$A5)*(Upload_Indiv_Date=D$2)*(Upload_Indiv_Gross))=0,"",SUMPRODUCT((Upload_Indiv_Player=$A5)*(Upload_Indiv_Date=D$2)*(Upload_Indiv_Gross)))</f>
        <v/>
      </c>
      <c r="E5" s="3" t="str" cm="1">
        <f t="array" ref="E5">IF(SUMPRODUCT((Upload_Indiv_Player=$A5)*(Upload_Indiv_Date=E$2)*(Upload_Indiv_Gross))=0,"",SUMPRODUCT((Upload_Indiv_Player=$A5)*(Upload_Indiv_Date=E$2)*(Upload_Indiv_Gross)))</f>
        <v/>
      </c>
      <c r="F5" s="3" t="str" cm="1">
        <f t="array" ref="F5">IF(SUMPRODUCT((Upload_Indiv_Player=$A5)*(Upload_Indiv_Date=F$2)*(Upload_Indiv_Gross))=0,"",SUMPRODUCT((Upload_Indiv_Player=$A5)*(Upload_Indiv_Date=F$2)*(Upload_Indiv_Gross)))</f>
        <v/>
      </c>
      <c r="G5" s="3" t="str" cm="1">
        <f t="array" ref="G5">IF(SUMPRODUCT((Upload_Indiv_Player=$A5)*(Upload_Indiv_Date=G$2)*(Upload_Indiv_Gross))=0,"",SUMPRODUCT((Upload_Indiv_Player=$A5)*(Upload_Indiv_Date=G$2)*(Upload_Indiv_Gross)))</f>
        <v/>
      </c>
      <c r="H5" s="3" t="str" cm="1">
        <f t="array" ref="H5">IF(SUMPRODUCT((Upload_Indiv_Player=$A5)*(Upload_Indiv_Date=H$2)*(Upload_Indiv_Gross))=0,"",SUMPRODUCT((Upload_Indiv_Player=$A5)*(Upload_Indiv_Date=H$2)*(Upload_Indiv_Gross)))</f>
        <v/>
      </c>
      <c r="I5" s="3" t="str" cm="1">
        <f t="array" ref="I5">IF(SUMPRODUCT((Upload_Indiv_Player=$A5)*(Upload_Indiv_Date=I$2)*(Upload_Indiv_Gross))=0,"",SUMPRODUCT((Upload_Indiv_Player=$A5)*(Upload_Indiv_Date=I$2)*(Upload_Indiv_Gross)))</f>
        <v/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t="str" cm="1">
        <f t="array" ref="K5">IF(SUMPRODUCT((Upload_Indiv_Player=$A5)*(Upload_Indiv_Date=K$2)*(Upload_Indiv_Gross))=0,"",SUMPRODUCT((Upload_Indiv_Player=$A5)*(Upload_Indiv_Date=K$2)*(Upload_Indiv_Gross)))</f>
        <v/>
      </c>
      <c r="L5" s="3" cm="1">
        <f t="array" ref="L5">IF(SUMPRODUCT((Upload_Indiv_Player=$A5)*(Upload_Indiv_Date=L$2)*(Upload_Indiv_Gross))=0,"",SUMPRODUCT((Upload_Indiv_Player=$A5)*(Upload_Indiv_Date=L$2)*(Upload_Indiv_Gross)))</f>
        <v>49</v>
      </c>
      <c r="M5" s="3" cm="1">
        <f t="array" ref="M5">IF(SUMPRODUCT((Upload_Indiv_Player=$A5)*(Upload_Indiv_Date=M$2)*(Upload_Indiv_Gross))=0,"",SUMPRODUCT((Upload_Indiv_Player=$A5)*(Upload_Indiv_Date=M$2)*(Upload_Indiv_Gross)))</f>
        <v>47</v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t="str" cm="1">
        <f t="array" ref="O5">IF(SUMPRODUCT((Upload_Indiv_Player=$A5)*(Upload_Indiv_Date=O$2)*(Upload_Indiv_Gross))=0,"",SUMPRODUCT((Upload_Indiv_Player=$A5)*(Upload_Indiv_Date=O$2)*(Upload_Indiv_Gross)))</f>
        <v/>
      </c>
      <c r="P5" s="3" t="str" cm="1">
        <f t="array" ref="P5">IF(SUMPRODUCT((Upload_Indiv_Player=$A5)*(Upload_Indiv_Date=P$2)*(Upload_Indiv_Gross))=0,"",SUMPRODUCT((Upload_Indiv_Player=$A5)*(Upload_Indiv_Date=P$2)*(Upload_Indiv_Gross)))</f>
        <v/>
      </c>
      <c r="Q5" s="2" t="str" cm="1">
        <f t="array" ref="Q5">IF(SUMPRODUCT((Upload_Indiv_Player=$A5)*(Upload_Indiv_Date=Q$2)*(Upload_Indiv_Gross))=0,"",SUMPRODUCT((Upload_Indiv_Player=$A5)*(Upload_Indiv_Date=Q$2)*(Upload_Indiv_Gross)))</f>
        <v/>
      </c>
      <c r="R5" s="2" t="str" cm="1">
        <f t="array" ref="R5">IF(SUMPRODUCT((Upload_Indiv_Player=$A5)*(Upload_Indiv_Date=R$2)*(Upload_Indiv_Gross))=0,"",SUMPRODUCT((Upload_Indiv_Player=$A5)*(Upload_Indiv_Date=R$2)*(Upload_Indiv_Gross)))</f>
        <v/>
      </c>
      <c r="S5" s="2" t="str" cm="1">
        <f t="array" ref="S5">IF(SUMPRODUCT((Upload_Indiv_Player=$A5)*(Upload_Indiv_Date=S$2)*(Upload_Indiv_Gross))=0,"",SUMPRODUCT((Upload_Indiv_Player=$A5)*(Upload_Indiv_Date=S$2)*(Upload_Indiv_Gross)))</f>
        <v/>
      </c>
      <c r="T5" s="2" t="str" cm="1">
        <f t="array" ref="T5">IF(SUMPRODUCT((Upload_Indiv_Player=$A5)*(Upload_Indiv_Date=T$2)*(Upload_Indiv_Gross))=0,"",SUMPRODUCT((Upload_Indiv_Player=$A5)*(Upload_Indiv_Date=T$2)*(Upload_Indiv_Gross)))</f>
        <v/>
      </c>
      <c r="U5" s="2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0</v>
      </c>
      <c r="W5" s="273">
        <v>0</v>
      </c>
      <c r="X5" s="273">
        <v>0</v>
      </c>
      <c r="Y5" s="277">
        <v>0</v>
      </c>
      <c r="Z5" s="277">
        <v>0</v>
      </c>
      <c r="AA5" s="277">
        <v>0</v>
      </c>
    </row>
    <row r="6" spans="1:27" x14ac:dyDescent="0.25">
      <c r="A6" s="216"/>
      <c r="B6" s="2" t="s">
        <v>171</v>
      </c>
      <c r="C6" s="2" t="str" cm="1">
        <f t="array" ref="C6">IF(SUMPRODUCT((Upload_Indiv_Player=$A5)*(Upload_Indiv_Date=C$2)*(Upload_Indiv_Net))=0,"",SUMPRODUCT((Upload_Indiv_Player=$A5)*(Upload_Indiv_Date=C$2)*(Upload_Indiv_Net)))</f>
        <v/>
      </c>
      <c r="D6" s="2" t="str" cm="1">
        <f t="array" ref="D6">IF(SUMPRODUCT((Upload_Indiv_Player=$A5)*(Upload_Indiv_Date=D$2)*(Upload_Indiv_Net))=0,"",SUMPRODUCT((Upload_Indiv_Player=$A5)*(Upload_Indiv_Date=D$2)*(Upload_Indiv_Net)))</f>
        <v/>
      </c>
      <c r="E6" s="2" t="str" cm="1">
        <f t="array" ref="E6">IF(SUMPRODUCT((Upload_Indiv_Player=$A5)*(Upload_Indiv_Date=E$2)*(Upload_Indiv_Net))=0,"",SUMPRODUCT((Upload_Indiv_Player=$A5)*(Upload_Indiv_Date=E$2)*(Upload_Indiv_Net)))</f>
        <v/>
      </c>
      <c r="F6" s="2" t="str" cm="1">
        <f t="array" ref="F6">IF(SUMPRODUCT((Upload_Indiv_Player=$A5)*(Upload_Indiv_Date=F$2)*(Upload_Indiv_Net))=0,"",SUMPRODUCT((Upload_Indiv_Player=$A5)*(Upload_Indiv_Date=F$2)*(Upload_Indiv_Net)))</f>
        <v/>
      </c>
      <c r="G6" s="2" t="str" cm="1">
        <f t="array" ref="G6">IF(SUMPRODUCT((Upload_Indiv_Player=$A5)*(Upload_Indiv_Date=G$2)*(Upload_Indiv_Net))=0,"",SUMPRODUCT((Upload_Indiv_Player=$A5)*(Upload_Indiv_Date=G$2)*(Upload_Indiv_Net)))</f>
        <v/>
      </c>
      <c r="H6" s="2" t="str" cm="1">
        <f t="array" ref="H6">IF(SUMPRODUCT((Upload_Indiv_Player=$A5)*(Upload_Indiv_Date=H$2)*(Upload_Indiv_Net))=0,"",SUMPRODUCT((Upload_Indiv_Player=$A5)*(Upload_Indiv_Date=H$2)*(Upload_Indiv_Net)))</f>
        <v/>
      </c>
      <c r="I6" s="2" t="str" cm="1">
        <f t="array" ref="I6">IF(SUMPRODUCT((Upload_Indiv_Player=$A5)*(Upload_Indiv_Date=I$2)*(Upload_Indiv_Net))=0,"",SUMPRODUCT((Upload_Indiv_Player=$A5)*(Upload_Indiv_Date=I$2)*(Upload_Indiv_Net)))</f>
        <v/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t="str" cm="1">
        <f t="array" ref="K6">IF(SUMPRODUCT((Upload_Indiv_Player=$A5)*(Upload_Indiv_Date=K$2)*(Upload_Indiv_Net))=0,"",SUMPRODUCT((Upload_Indiv_Player=$A5)*(Upload_Indiv_Date=K$2)*(Upload_Indiv_Net)))</f>
        <v/>
      </c>
      <c r="L6" s="2" cm="1">
        <f t="array" ref="L6">IF(SUMPRODUCT((Upload_Indiv_Player=$A5)*(Upload_Indiv_Date=L$2)*(Upload_Indiv_Net))=0,"",SUMPRODUCT((Upload_Indiv_Player=$A5)*(Upload_Indiv_Date=L$2)*(Upload_Indiv_Net)))</f>
        <v>39</v>
      </c>
      <c r="M6" s="2" cm="1">
        <f t="array" ref="M6">IF(SUMPRODUCT((Upload_Indiv_Player=$A5)*(Upload_Indiv_Date=M$2)*(Upload_Indiv_Net))=0,"",SUMPRODUCT((Upload_Indiv_Player=$A5)*(Upload_Indiv_Date=M$2)*(Upload_Indiv_Net)))</f>
        <v>37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t="str" cm="1">
        <f t="array" ref="O6">IF(SUMPRODUCT((Upload_Indiv_Player=$A5)*(Upload_Indiv_Date=O$2)*(Upload_Indiv_Net))=0,"",SUMPRODUCT((Upload_Indiv_Player=$A5)*(Upload_Indiv_Date=O$2)*(Upload_Indiv_Net)))</f>
        <v/>
      </c>
      <c r="P6" s="2" t="str" cm="1">
        <f t="array" ref="P6">IF(SUMPRODUCT((Upload_Indiv_Player=$A5)*(Upload_Indiv_Date=P$2)*(Upload_Indiv_Net))=0,"",SUMPRODUCT((Upload_Indiv_Player=$A5)*(Upload_Indiv_Date=P$2)*(Upload_Indiv_Net)))</f>
        <v/>
      </c>
      <c r="Q6" s="2" t="str" cm="1">
        <f t="array" ref="Q6">IF(SUMPRODUCT((Upload_Indiv_Player=$A5)*(Upload_Indiv_Date=Q$2)*(Upload_Indiv_Net))=0,"",SUMPRODUCT((Upload_Indiv_Player=$A5)*(Upload_Indiv_Date=Q$2)*(Upload_Indiv_Net)))</f>
        <v/>
      </c>
      <c r="R6" s="2" t="str" cm="1">
        <f t="array" ref="R6">IF(SUMPRODUCT((Upload_Indiv_Player=$A5)*(Upload_Indiv_Date=R$2)*(Upload_Indiv_Net))=0,"",SUMPRODUCT((Upload_Indiv_Player=$A5)*(Upload_Indiv_Date=R$2)*(Upload_Indiv_Net)))</f>
        <v/>
      </c>
      <c r="S6" s="2" t="str" cm="1">
        <f t="array" ref="S6">IF(SUMPRODUCT((Upload_Indiv_Player=$A5)*(Upload_Indiv_Date=S$2)*(Upload_Indiv_Net))=0,"",SUMPRODUCT((Upload_Indiv_Player=$A5)*(Upload_Indiv_Date=S$2)*(Upload_Indiv_Net)))</f>
        <v/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/>
      <c r="W6" s="276"/>
      <c r="X6" s="276"/>
      <c r="Y6" s="277"/>
      <c r="Z6" s="277"/>
      <c r="AA6" s="277"/>
    </row>
    <row r="7" spans="1:27" x14ac:dyDescent="0.25">
      <c r="A7" s="65"/>
      <c r="B7" s="2" t="s">
        <v>173</v>
      </c>
      <c r="C7" s="2" t="str" cm="1">
        <f t="array" ref="C7">IF(SUMPRODUCT((Upload_Indiv_Player=$A5)*(Upload_Indiv_Date=C$2)*(Upload_Indiv_PointsTot))=0,"",SUMPRODUCT((Upload_Indiv_Player=$A5)*(Upload_Indiv_Date=C$2)*(Upload_Indiv_PointsTot)))</f>
        <v/>
      </c>
      <c r="D7" s="2" t="str" cm="1">
        <f t="array" ref="D7">IF(SUMPRODUCT((Upload_Indiv_Player=$A5)*(Upload_Indiv_Date=D$2)*(Upload_Indiv_PointsTot))=0,"",SUMPRODUCT((Upload_Indiv_Player=$A5)*(Upload_Indiv_Date=D$2)*(Upload_Indiv_PointsTot)))</f>
        <v/>
      </c>
      <c r="E7" s="2" t="str" cm="1">
        <f t="array" ref="E7">IF(SUMPRODUCT((Upload_Indiv_Player=$A5)*(Upload_Indiv_Date=E$2)*(Upload_Indiv_PointsTot))=0,"",SUMPRODUCT((Upload_Indiv_Player=$A5)*(Upload_Indiv_Date=E$2)*(Upload_Indiv_PointsTot)))</f>
        <v/>
      </c>
      <c r="F7" s="2" t="str" cm="1">
        <f t="array" ref="F7">IF(SUMPRODUCT((Upload_Indiv_Player=$A5)*(Upload_Indiv_Date=F$2)*(Upload_Indiv_PointsTot))=0,"",SUMPRODUCT((Upload_Indiv_Player=$A5)*(Upload_Indiv_Date=F$2)*(Upload_Indiv_PointsTot)))</f>
        <v/>
      </c>
      <c r="G7" s="2" t="str" cm="1">
        <f t="array" ref="G7">IF(SUMPRODUCT((Upload_Indiv_Player=$A5)*(Upload_Indiv_Date=G$2)*(Upload_Indiv_PointsTot))=0,"",SUMPRODUCT((Upload_Indiv_Player=$A5)*(Upload_Indiv_Date=G$2)*(Upload_Indiv_PointsTot)))</f>
        <v/>
      </c>
      <c r="H7" s="2" t="str" cm="1">
        <f t="array" ref="H7">IF(SUMPRODUCT((Upload_Indiv_Player=$A5)*(Upload_Indiv_Date=H$2)*(Upload_Indiv_PointsTot))=0,"",SUMPRODUCT((Upload_Indiv_Player=$A5)*(Upload_Indiv_Date=H$2)*(Upload_Indiv_PointsTot)))</f>
        <v/>
      </c>
      <c r="I7" s="2" t="str" cm="1">
        <f t="array" ref="I7">IF(SUMPRODUCT((Upload_Indiv_Player=$A5)*(Upload_Indiv_Date=I$2)*(Upload_Indiv_PointsTot))=0,"",SUMPRODUCT((Upload_Indiv_Player=$A5)*(Upload_Indiv_Date=I$2)*(Upload_Indiv_PointsTot)))</f>
        <v/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t="str" cm="1">
        <f t="array" ref="K7">IF(SUMPRODUCT((Upload_Indiv_Player=$A5)*(Upload_Indiv_Date=K$2)*(Upload_Indiv_PointsTot))=0,"",SUMPRODUCT((Upload_Indiv_Player=$A5)*(Upload_Indiv_Date=K$2)*(Upload_Indiv_PointsTot)))</f>
        <v/>
      </c>
      <c r="L7" s="2" cm="1">
        <f t="array" ref="L7">IF(SUMPRODUCT((Upload_Indiv_Player=$A5)*(Upload_Indiv_Date=L$2)*(Upload_Indiv_PointsTot))=0,"",SUMPRODUCT((Upload_Indiv_Player=$A5)*(Upload_Indiv_Date=L$2)*(Upload_Indiv_PointsTot)))</f>
        <v>13</v>
      </c>
      <c r="M7" s="2" cm="1">
        <f t="array" ref="M7">IF(SUMPRODUCT((Upload_Indiv_Player=$A5)*(Upload_Indiv_Date=M$2)*(Upload_Indiv_PointsTot))=0,"",SUMPRODUCT((Upload_Indiv_Player=$A5)*(Upload_Indiv_Date=M$2)*(Upload_Indiv_PointsTot)))</f>
        <v>9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t="str" cm="1">
        <f t="array" ref="O7">IF(SUMPRODUCT((Upload_Indiv_Player=$A5)*(Upload_Indiv_Date=O$2)*(Upload_Indiv_PointsTot))=0,"",SUMPRODUCT((Upload_Indiv_Player=$A5)*(Upload_Indiv_Date=O$2)*(Upload_Indiv_PointsTot)))</f>
        <v/>
      </c>
      <c r="P7" s="2" t="str" cm="1">
        <f t="array" ref="P7">IF(SUMPRODUCT((Upload_Indiv_Player=$A5)*(Upload_Indiv_Date=P$2)*(Upload_Indiv_PointsTot))=0,"",SUMPRODUCT((Upload_Indiv_Player=$A5)*(Upload_Indiv_Date=P$2)*(Upload_Indiv_PointsTot)))</f>
        <v/>
      </c>
      <c r="Q7" s="2" t="str" cm="1">
        <f t="array" ref="Q7">IF(SUMPRODUCT((Upload_Indiv_Player=$A5)*(Upload_Indiv_Date=Q$2)*(Upload_Indiv_PointsTot))=0,"",SUMPRODUCT((Upload_Indiv_Player=$A5)*(Upload_Indiv_Date=Q$2)*(Upload_Indiv_PointsTot)))</f>
        <v/>
      </c>
      <c r="R7" s="2" t="str" cm="1">
        <f t="array" ref="R7">IF(SUMPRODUCT((Upload_Indiv_Player=$A5)*(Upload_Indiv_Date=R$2)*(Upload_Indiv_PointsTot))=0,"",SUMPRODUCT((Upload_Indiv_Player=$A5)*(Upload_Indiv_Date=R$2)*(Upload_Indiv_PointsTot)))</f>
        <v/>
      </c>
      <c r="S7" s="2" t="str" cm="1">
        <f t="array" ref="S7">IF(SUMPRODUCT((Upload_Indiv_Player=$A5)*(Upload_Indiv_Date=S$2)*(Upload_Indiv_PointsTot))=0,"",SUMPRODUCT((Upload_Indiv_Player=$A5)*(Upload_Indiv_Date=S$2)*(Upload_Indiv_PointsTot)))</f>
        <v/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14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14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8"/>
      <c r="AA9" s="277"/>
    </row>
    <row r="10" spans="1:27" x14ac:dyDescent="0.25">
      <c r="A10" s="14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t="str" cm="1">
        <f t="array" ref="Q10">IF(SUMPRODUCT((Upload_Indiv_Player=$A5)*(Upload_Indiv_Date=Q$2)*(Upload_Indiv_Excl_Score))=0,"",SUMPRODUCT((Upload_Indiv_Player=$A5)*(Upload_Indiv_Date=Q$2)*(Upload_Indiv_Excl_Score)))</f>
        <v/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t="str" cm="1">
        <f t="array" ref="T10">IF(SUMPRODUCT((Upload_Indiv_Player=$A5)*(Upload_Indiv_Date=T$2)*(Upload_Indiv_Excl_Score))=0,"",SUMPRODUCT((Upload_Indiv_Player=$A5)*(Upload_Indiv_Date=T$2)*(Upload_Indiv_Excl_Score)))</f>
        <v/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x14ac:dyDescent="0.25">
      <c r="A11" s="14"/>
      <c r="B11" s="2" t="s">
        <v>177</v>
      </c>
      <c r="C11" s="2" t="str" cm="1">
        <f t="array" ref="C11">IFERROR(INDEX(Upload_Indiv_Team,MATCH(1,($A5=Upload_Indiv_Player)*(C$2=Upload_Indiv_Date),0)),"")</f>
        <v/>
      </c>
      <c r="D11" s="2" t="str" cm="1">
        <f t="array" ref="D11">IFERROR(INDEX(Upload_Indiv_Team,MATCH(1,($A5=Upload_Indiv_Player)*(D$2=Upload_Indiv_Date),0)),"")</f>
        <v/>
      </c>
      <c r="E11" s="2" t="str" cm="1">
        <f t="array" ref="E11">IFERROR(INDEX(Upload_Indiv_Team,MATCH(1,($A5=Upload_Indiv_Player)*(E$2=Upload_Indiv_Date),0)),"")</f>
        <v/>
      </c>
      <c r="F11" s="2" t="str" cm="1">
        <f t="array" ref="F11">IFERROR(INDEX(Upload_Indiv_Team,MATCH(1,($A5=Upload_Indiv_Player)*(F$2=Upload_Indiv_Date),0)),"")</f>
        <v/>
      </c>
      <c r="G11" s="2" t="str" cm="1">
        <f t="array" ref="G11">IFERROR(INDEX(Upload_Indiv_Team,MATCH(1,($A5=Upload_Indiv_Player)*(G$2=Upload_Indiv_Date),0)),"")</f>
        <v/>
      </c>
      <c r="H11" s="2" t="str" cm="1">
        <f t="array" ref="H11">IFERROR(INDEX(Upload_Indiv_Team,MATCH(1,($A5=Upload_Indiv_Player)*(H$2=Upload_Indiv_Date),0)),"")</f>
        <v/>
      </c>
      <c r="I11" s="2" t="str" cm="1">
        <f t="array" ref="I11">IFERROR(INDEX(Upload_Indiv_Team,MATCH(1,($A5=Upload_Indiv_Player)*(I$2=Upload_Indiv_Date),0)),"")</f>
        <v/>
      </c>
      <c r="J11" s="2" t="str" cm="1">
        <f t="array" ref="J11">IFERROR(INDEX(Upload_Indiv_Team,MATCH(1,($A5=Upload_Indiv_Player)*(J$2=Upload_Indiv_Date),0)),"")</f>
        <v/>
      </c>
      <c r="K11" s="2" t="str" cm="1">
        <f t="array" ref="K11">IFERROR(INDEX(Upload_Indiv_Team,MATCH(1,($A5=Upload_Indiv_Player)*(K$2=Upload_Indiv_Date),0)),"")</f>
        <v/>
      </c>
      <c r="L11" s="2" t="str" cm="1">
        <f t="array" ref="L11">IFERROR(INDEX(Upload_Indiv_Team,MATCH(1,($A5=Upload_Indiv_Player)*(L$2=Upload_Indiv_Date),0)),"")</f>
        <v>Who's Your Caddy?</v>
      </c>
      <c r="M11" s="2" t="str" cm="1">
        <f t="array" ref="M11">IFERROR(INDEX(Upload_Indiv_Team,MATCH(1,($A5=Upload_Indiv_Player)*(M$2=Upload_Indiv_Date),0)),"")</f>
        <v>Who's Your Caddy?</v>
      </c>
      <c r="N11" s="2" t="str" cm="1">
        <f t="array" ref="N11">IFERROR(INDEX(Upload_Indiv_Team,MATCH(1,($A5=Upload_Indiv_Player)*(N$2=Upload_Indiv_Date),0)),"")</f>
        <v/>
      </c>
      <c r="O11" s="2" t="str" cm="1">
        <f t="array" ref="O11">IFERROR(INDEX(Upload_Indiv_Team,MATCH(1,($A5=Upload_Indiv_Player)*(O$2=Upload_Indiv_Date),0)),"")</f>
        <v/>
      </c>
      <c r="P11" s="2" t="str" cm="1">
        <f t="array" ref="P11">IFERROR(INDEX(Upload_Indiv_Team,MATCH(1,($A5=Upload_Indiv_Player)*(P$2=Upload_Indiv_Date),0)),"")</f>
        <v/>
      </c>
      <c r="Q11" s="2" t="str" cm="1">
        <f t="array" ref="Q11">IFERROR(INDEX(Upload_Indiv_Team,MATCH(1,($A5=Upload_Indiv_Player)*(Q$2=Upload_Indiv_Date),0)),"")</f>
        <v/>
      </c>
      <c r="R11" s="2" t="str" cm="1">
        <f t="array" ref="R11">IFERROR(INDEX(Upload_Indiv_Team,MATCH(1,($A5=Upload_Indiv_Player)*(R$2=Upload_Indiv_Date),0)),"")</f>
        <v/>
      </c>
      <c r="S11" s="2" t="str" cm="1">
        <f t="array" ref="S11">IFERROR(INDEX(Upload_Indiv_Team,MATCH(1,($A5=Upload_Indiv_Player)*(S$2=Upload_Indiv_Date),0)),"")</f>
        <v/>
      </c>
      <c r="T11" s="2" t="str" cm="1">
        <f t="array" ref="T11">IFERROR(INDEX(Upload_Indiv_Team,MATCH(1,($A5=Upload_Indiv_Player)*(T$2=Upload_Indiv_Date),0)),"")</f>
        <v/>
      </c>
      <c r="U11" s="2" t="str" cm="1">
        <f t="array" ref="U11">IFERROR(INDEX(Upload_Indiv_Team,MATCH(1,($A5=Upload_Indiv_Player)*(U$2=Upload_Indiv_Date),0)),"")</f>
        <v/>
      </c>
      <c r="V11" s="276"/>
      <c r="W11" s="276"/>
      <c r="X11" s="276"/>
      <c r="Y11" s="277"/>
      <c r="Z11" s="277"/>
      <c r="AA11" s="277"/>
    </row>
    <row r="12" spans="1:27" ht="13.8" thickBot="1" x14ac:dyDescent="0.3">
      <c r="A12" s="329" t="s">
        <v>160</v>
      </c>
      <c r="B12" s="8" t="s">
        <v>178</v>
      </c>
      <c r="C12" s="58" t="str">
        <f t="shared" ref="C12:U12" si="1">IF(C5="", "", IF(C7&gt;=11, "w", IF(C7&lt;=9, "l", "t")))</f>
        <v/>
      </c>
      <c r="D12" s="58" t="str">
        <f t="shared" si="1"/>
        <v/>
      </c>
      <c r="E12" s="58" t="str">
        <f t="shared" si="1"/>
        <v/>
      </c>
      <c r="F12" s="58" t="str">
        <f t="shared" si="1"/>
        <v/>
      </c>
      <c r="G12" s="58" t="str">
        <f t="shared" si="1"/>
        <v/>
      </c>
      <c r="H12" s="58" t="str">
        <f t="shared" si="1"/>
        <v/>
      </c>
      <c r="I12" s="58" t="str">
        <f t="shared" si="1"/>
        <v/>
      </c>
      <c r="J12" s="58" t="str">
        <f t="shared" si="1"/>
        <v/>
      </c>
      <c r="K12" s="58" t="str">
        <f t="shared" si="1"/>
        <v/>
      </c>
      <c r="L12" s="58" t="str">
        <f t="shared" si="1"/>
        <v>w</v>
      </c>
      <c r="M12" s="58" t="str">
        <f t="shared" si="1"/>
        <v>l</v>
      </c>
      <c r="N12" s="58" t="str">
        <f t="shared" si="1"/>
        <v/>
      </c>
      <c r="O12" s="58" t="str">
        <f t="shared" si="1"/>
        <v/>
      </c>
      <c r="P12" s="58" t="str">
        <f t="shared" si="1"/>
        <v/>
      </c>
      <c r="Q12" s="58" t="str">
        <f t="shared" si="1"/>
        <v/>
      </c>
      <c r="R12" s="58" t="str">
        <f t="shared" si="1"/>
        <v/>
      </c>
      <c r="S12" s="58" t="str">
        <f t="shared" si="1"/>
        <v/>
      </c>
      <c r="T12" s="58" t="str">
        <f t="shared" si="1"/>
        <v/>
      </c>
      <c r="U12" s="58" t="str">
        <f t="shared" si="1"/>
        <v/>
      </c>
      <c r="V12" s="276"/>
      <c r="W12" s="276"/>
      <c r="X12" s="276"/>
      <c r="Y12" s="277"/>
      <c r="Z12" s="277"/>
      <c r="AA12" s="277"/>
    </row>
    <row r="13" spans="1:27" x14ac:dyDescent="0.25">
      <c r="A13" s="11" t="s">
        <v>555</v>
      </c>
      <c r="B13" s="3" t="s">
        <v>170</v>
      </c>
      <c r="C13" s="3" t="str" cm="1">
        <f t="array" ref="C13">IF(SUMPRODUCT((Upload_Indiv_Player=$A13)*(Upload_Indiv_Date=C$2)*(Upload_Indiv_Gross))=0,"",SUMPRODUCT((Upload_Indiv_Player=$A13)*(Upload_Indiv_Date=C$2)*(Upload_Indiv_Gross)))</f>
        <v/>
      </c>
      <c r="D13" s="3" t="str" cm="1">
        <f t="array" ref="D13">IF(SUMPRODUCT((Upload_Indiv_Player=$A13)*(Upload_Indiv_Date=D$2)*(Upload_Indiv_Gross))=0,"",SUMPRODUCT((Upload_Indiv_Player=$A13)*(Upload_Indiv_Date=D$2)*(Upload_Indiv_Gross)))</f>
        <v/>
      </c>
      <c r="E13" s="3" t="str" cm="1">
        <f t="array" ref="E13">IF(SUMPRODUCT((Upload_Indiv_Player=$A13)*(Upload_Indiv_Date=E$2)*(Upload_Indiv_Gross))=0,"",SUMPRODUCT((Upload_Indiv_Player=$A13)*(Upload_Indiv_Date=E$2)*(Upload_Indiv_Gross)))</f>
        <v/>
      </c>
      <c r="F13" s="3" t="str" cm="1">
        <f t="array" ref="F13">IF(SUMPRODUCT((Upload_Indiv_Player=$A13)*(Upload_Indiv_Date=F$2)*(Upload_Indiv_Gross))=0,"",SUMPRODUCT((Upload_Indiv_Player=$A13)*(Upload_Indiv_Date=F$2)*(Upload_Indiv_Gross)))</f>
        <v/>
      </c>
      <c r="G13" s="3" t="str" cm="1">
        <f t="array" ref="G13">IF(SUMPRODUCT((Upload_Indiv_Player=$A13)*(Upload_Indiv_Date=G$2)*(Upload_Indiv_Gross))=0,"",SUMPRODUCT((Upload_Indiv_Player=$A13)*(Upload_Indiv_Date=G$2)*(Upload_Indiv_Gross)))</f>
        <v/>
      </c>
      <c r="H13" s="3" t="str" cm="1">
        <f t="array" ref="H13">IF(SUMPRODUCT((Upload_Indiv_Player=$A13)*(Upload_Indiv_Date=H$2)*(Upload_Indiv_Gross))=0,"",SUMPRODUCT((Upload_Indiv_Player=$A13)*(Upload_Indiv_Date=H$2)*(Upload_Indiv_Gross)))</f>
        <v/>
      </c>
      <c r="I13" s="3" t="str" cm="1">
        <f t="array" ref="I13">IF(SUMPRODUCT((Upload_Indiv_Player=$A13)*(Upload_Indiv_Date=I$2)*(Upload_Indiv_Gross))=0,"",SUMPRODUCT((Upload_Indiv_Player=$A13)*(Upload_Indiv_Date=I$2)*(Upload_Indiv_Gross)))</f>
        <v/>
      </c>
      <c r="J13" s="3" t="str" cm="1">
        <f t="array" ref="J13">IF(SUMPRODUCT((Upload_Indiv_Player=$A13)*(Upload_Indiv_Date=J$2)*(Upload_Indiv_Gross))=0,"",SUMPRODUCT((Upload_Indiv_Player=$A13)*(Upload_Indiv_Date=J$2)*(Upload_Indiv_Gross)))</f>
        <v/>
      </c>
      <c r="K13" s="3" t="str" cm="1">
        <f t="array" ref="K13">IF(SUMPRODUCT((Upload_Indiv_Player=$A13)*(Upload_Indiv_Date=K$2)*(Upload_Indiv_Gross))=0,"",SUMPRODUCT((Upload_Indiv_Player=$A13)*(Upload_Indiv_Date=K$2)*(Upload_Indiv_Gross)))</f>
        <v/>
      </c>
      <c r="L13" s="3" t="str" cm="1">
        <f t="array" ref="L13">IF(SUMPRODUCT((Upload_Indiv_Player=$A13)*(Upload_Indiv_Date=L$2)*(Upload_Indiv_Gross))=0,"",SUMPRODUCT((Upload_Indiv_Player=$A13)*(Upload_Indiv_Date=L$2)*(Upload_Indiv_Gross)))</f>
        <v/>
      </c>
      <c r="M13" s="3" t="str" cm="1">
        <f t="array" ref="M13">IF(SUMPRODUCT((Upload_Indiv_Player=$A13)*(Upload_Indiv_Date=M$2)*(Upload_Indiv_Gross))=0,"",SUMPRODUCT((Upload_Indiv_Player=$A13)*(Upload_Indiv_Date=M$2)*(Upload_Indiv_Gross)))</f>
        <v/>
      </c>
      <c r="N13" s="3" t="str" cm="1">
        <f t="array" ref="N13">IF(SUMPRODUCT((Upload_Indiv_Player=$A13)*(Upload_Indiv_Date=N$2)*(Upload_Indiv_Gross))=0,"",SUMPRODUCT((Upload_Indiv_Player=$A13)*(Upload_Indiv_Date=N$2)*(Upload_Indiv_Gross)))</f>
        <v/>
      </c>
      <c r="O13" s="3" t="str" cm="1">
        <f t="array" ref="O13">IF(SUMPRODUCT((Upload_Indiv_Player=$A13)*(Upload_Indiv_Date=O$2)*(Upload_Indiv_Gross))=0,"",SUMPRODUCT((Upload_Indiv_Player=$A13)*(Upload_Indiv_Date=O$2)*(Upload_Indiv_Gross)))</f>
        <v/>
      </c>
      <c r="P13" s="3" t="str" cm="1">
        <f t="array" ref="P13">IF(SUMPRODUCT((Upload_Indiv_Player=$A13)*(Upload_Indiv_Date=P$2)*(Upload_Indiv_Gross))=0,"",SUMPRODUCT((Upload_Indiv_Player=$A13)*(Upload_Indiv_Date=P$2)*(Upload_Indiv_Gross)))</f>
        <v/>
      </c>
      <c r="Q13" s="2" t="str" cm="1">
        <f t="array" ref="Q13">IF(SUMPRODUCT((Upload_Indiv_Player=$A13)*(Upload_Indiv_Date=Q$2)*(Upload_Indiv_Gross))=0,"",SUMPRODUCT((Upload_Indiv_Player=$A13)*(Upload_Indiv_Date=Q$2)*(Upload_Indiv_Gross)))</f>
        <v/>
      </c>
      <c r="R13" s="2" t="str" cm="1">
        <f t="array" ref="R13">IF(SUMPRODUCT((Upload_Indiv_Player=$A13)*(Upload_Indiv_Date=R$2)*(Upload_Indiv_Gross))=0,"",SUMPRODUCT((Upload_Indiv_Player=$A13)*(Upload_Indiv_Date=R$2)*(Upload_Indiv_Gross)))</f>
        <v/>
      </c>
      <c r="S13" s="2" t="str" cm="1">
        <f t="array" ref="S13">IF(SUMPRODUCT((Upload_Indiv_Player=$A13)*(Upload_Indiv_Date=S$2)*(Upload_Indiv_Gross))=0,"",SUMPRODUCT((Upload_Indiv_Player=$A13)*(Upload_Indiv_Date=S$2)*(Upload_Indiv_Gross)))</f>
        <v/>
      </c>
      <c r="T13" s="2" t="str" cm="1">
        <f t="array" ref="T13">IF(SUMPRODUCT((Upload_Indiv_Player=$A13)*(Upload_Indiv_Date=T$2)*(Upload_Indiv_Gross))=0,"",SUMPRODUCT((Upload_Indiv_Player=$A13)*(Upload_Indiv_Date=T$2)*(Upload_Indiv_Gross)))</f>
        <v/>
      </c>
      <c r="U13" s="2" t="str" cm="1">
        <f t="array" ref="U13">IF(SUMPRODUCT((Upload_Indiv_Player=$A13)*(Upload_Indiv_Date=U$2)*(Upload_Indiv_Gross))=0,"",SUMPRODUCT((Upload_Indiv_Player=$A13)*(Upload_Indiv_Date=U$2)*(Upload_Indiv_Gross)))</f>
        <v/>
      </c>
      <c r="V13" s="273">
        <v>0</v>
      </c>
      <c r="W13" s="273">
        <v>0</v>
      </c>
      <c r="X13" s="273">
        <v>0</v>
      </c>
      <c r="Y13" s="277">
        <v>0</v>
      </c>
      <c r="Z13" s="277">
        <v>0</v>
      </c>
      <c r="AA13" s="277">
        <v>0</v>
      </c>
    </row>
    <row r="14" spans="1:27" x14ac:dyDescent="0.25">
      <c r="A14" s="216">
        <v>3309338846</v>
      </c>
      <c r="B14" s="2" t="s">
        <v>171</v>
      </c>
      <c r="C14" s="2" t="str" cm="1">
        <f t="array" ref="C14">IF(SUMPRODUCT((Upload_Indiv_Player=$A13)*(Upload_Indiv_Date=C$2)*(Upload_Indiv_Net))=0,"",SUMPRODUCT((Upload_Indiv_Player=$A13)*(Upload_Indiv_Date=C$2)*(Upload_Indiv_Net)))</f>
        <v/>
      </c>
      <c r="D14" s="2" t="str" cm="1">
        <f t="array" ref="D14">IF(SUMPRODUCT((Upload_Indiv_Player=$A13)*(Upload_Indiv_Date=D$2)*(Upload_Indiv_Net))=0,"",SUMPRODUCT((Upload_Indiv_Player=$A13)*(Upload_Indiv_Date=D$2)*(Upload_Indiv_Net)))</f>
        <v/>
      </c>
      <c r="E14" s="2" t="str" cm="1">
        <f t="array" ref="E14">IF(SUMPRODUCT((Upload_Indiv_Player=$A13)*(Upload_Indiv_Date=E$2)*(Upload_Indiv_Net))=0,"",SUMPRODUCT((Upload_Indiv_Player=$A13)*(Upload_Indiv_Date=E$2)*(Upload_Indiv_Net)))</f>
        <v/>
      </c>
      <c r="F14" s="2" t="str" cm="1">
        <f t="array" ref="F14">IF(SUMPRODUCT((Upload_Indiv_Player=$A13)*(Upload_Indiv_Date=F$2)*(Upload_Indiv_Net))=0,"",SUMPRODUCT((Upload_Indiv_Player=$A13)*(Upload_Indiv_Date=F$2)*(Upload_Indiv_Net)))</f>
        <v/>
      </c>
      <c r="G14" s="2" t="str" cm="1">
        <f t="array" ref="G14">IF(SUMPRODUCT((Upload_Indiv_Player=$A13)*(Upload_Indiv_Date=G$2)*(Upload_Indiv_Net))=0,"",SUMPRODUCT((Upload_Indiv_Player=$A13)*(Upload_Indiv_Date=G$2)*(Upload_Indiv_Net)))</f>
        <v/>
      </c>
      <c r="H14" s="2" t="str" cm="1">
        <f t="array" ref="H14">IF(SUMPRODUCT((Upload_Indiv_Player=$A13)*(Upload_Indiv_Date=H$2)*(Upload_Indiv_Net))=0,"",SUMPRODUCT((Upload_Indiv_Player=$A13)*(Upload_Indiv_Date=H$2)*(Upload_Indiv_Net)))</f>
        <v/>
      </c>
      <c r="I14" s="2" t="str" cm="1">
        <f t="array" ref="I14">IF(SUMPRODUCT((Upload_Indiv_Player=$A13)*(Upload_Indiv_Date=I$2)*(Upload_Indiv_Net))=0,"",SUMPRODUCT((Upload_Indiv_Player=$A13)*(Upload_Indiv_Date=I$2)*(Upload_Indiv_Net)))</f>
        <v/>
      </c>
      <c r="J14" s="2" t="str" cm="1">
        <f t="array" ref="J14">IF(SUMPRODUCT((Upload_Indiv_Player=$A13)*(Upload_Indiv_Date=J$2)*(Upload_Indiv_Net))=0,"",SUMPRODUCT((Upload_Indiv_Player=$A13)*(Upload_Indiv_Date=J$2)*(Upload_Indiv_Net)))</f>
        <v/>
      </c>
      <c r="K14" s="2" t="str" cm="1">
        <f t="array" ref="K14">IF(SUMPRODUCT((Upload_Indiv_Player=$A13)*(Upload_Indiv_Date=K$2)*(Upload_Indiv_Net))=0,"",SUMPRODUCT((Upload_Indiv_Player=$A13)*(Upload_Indiv_Date=K$2)*(Upload_Indiv_Net)))</f>
        <v/>
      </c>
      <c r="L14" s="2" t="str" cm="1">
        <f t="array" ref="L14">IF(SUMPRODUCT((Upload_Indiv_Player=$A13)*(Upload_Indiv_Date=L$2)*(Upload_Indiv_Net))=0,"",SUMPRODUCT((Upload_Indiv_Player=$A13)*(Upload_Indiv_Date=L$2)*(Upload_Indiv_Net)))</f>
        <v/>
      </c>
      <c r="M14" s="2" t="str" cm="1">
        <f t="array" ref="M14">IF(SUMPRODUCT((Upload_Indiv_Player=$A13)*(Upload_Indiv_Date=M$2)*(Upload_Indiv_Net))=0,"",SUMPRODUCT((Upload_Indiv_Player=$A13)*(Upload_Indiv_Date=M$2)*(Upload_Indiv_Net)))</f>
        <v/>
      </c>
      <c r="N14" s="2" t="str" cm="1">
        <f t="array" ref="N14">IF(SUMPRODUCT((Upload_Indiv_Player=$A13)*(Upload_Indiv_Date=N$2)*(Upload_Indiv_Net))=0,"",SUMPRODUCT((Upload_Indiv_Player=$A13)*(Upload_Indiv_Date=N$2)*(Upload_Indiv_Net)))</f>
        <v/>
      </c>
      <c r="O14" s="2" t="str" cm="1">
        <f t="array" ref="O14">IF(SUMPRODUCT((Upload_Indiv_Player=$A13)*(Upload_Indiv_Date=O$2)*(Upload_Indiv_Net))=0,"",SUMPRODUCT((Upload_Indiv_Player=$A13)*(Upload_Indiv_Date=O$2)*(Upload_Indiv_Net)))</f>
        <v/>
      </c>
      <c r="P14" s="2" t="str" cm="1">
        <f t="array" ref="P14">IF(SUMPRODUCT((Upload_Indiv_Player=$A13)*(Upload_Indiv_Date=P$2)*(Upload_Indiv_Net))=0,"",SUMPRODUCT((Upload_Indiv_Player=$A13)*(Upload_Indiv_Date=P$2)*(Upload_Indiv_Net)))</f>
        <v/>
      </c>
      <c r="Q14" s="2" t="str" cm="1">
        <f t="array" ref="Q14">IF(SUMPRODUCT((Upload_Indiv_Player=$A13)*(Upload_Indiv_Date=Q$2)*(Upload_Indiv_Net))=0,"",SUMPRODUCT((Upload_Indiv_Player=$A13)*(Upload_Indiv_Date=Q$2)*(Upload_Indiv_Net)))</f>
        <v/>
      </c>
      <c r="R14" s="2" t="str" cm="1">
        <f t="array" ref="R14">IF(SUMPRODUCT((Upload_Indiv_Player=$A13)*(Upload_Indiv_Date=R$2)*(Upload_Indiv_Net))=0,"",SUMPRODUCT((Upload_Indiv_Player=$A13)*(Upload_Indiv_Date=R$2)*(Upload_Indiv_Net)))</f>
        <v/>
      </c>
      <c r="S14" s="2" t="str" cm="1">
        <f t="array" ref="S14">IF(SUMPRODUCT((Upload_Indiv_Player=$A13)*(Upload_Indiv_Date=S$2)*(Upload_Indiv_Net))=0,"",SUMPRODUCT((Upload_Indiv_Player=$A13)*(Upload_Indiv_Date=S$2)*(Upload_Indiv_Net)))</f>
        <v/>
      </c>
      <c r="T14" s="2" t="str" cm="1">
        <f t="array" ref="T14">IF(SUMPRODUCT((Upload_Indiv_Player=$A13)*(Upload_Indiv_Date=T$2)*(Upload_Indiv_Net))=0,"",SUMPRODUCT((Upload_Indiv_Player=$A13)*(Upload_Indiv_Date=T$2)*(Upload_Indiv_Net)))</f>
        <v/>
      </c>
      <c r="U14" s="2" t="str" cm="1">
        <f t="array" ref="U14">IF(SUMPRODUCT((Upload_Indiv_Player=$A13)*(Upload_Indiv_Date=U$2)*(Upload_Indiv_Net))=0,"",SUMPRODUCT((Upload_Indiv_Player=$A13)*(Upload_Indiv_Date=U$2)*(Upload_Indiv_Net)))</f>
        <v/>
      </c>
      <c r="V14" s="279"/>
      <c r="W14" s="276"/>
      <c r="X14" s="276"/>
      <c r="Y14" s="277"/>
      <c r="Z14" s="277"/>
      <c r="AA14" s="277"/>
    </row>
    <row r="15" spans="1:27" x14ac:dyDescent="0.25">
      <c r="A15" s="65" t="s">
        <v>556</v>
      </c>
      <c r="B15" s="2" t="s">
        <v>173</v>
      </c>
      <c r="C15" s="2" t="str" cm="1">
        <f t="array" ref="C15">IF(SUMPRODUCT((Upload_Indiv_Player=$A13)*(Upload_Indiv_Date=C$2)*(Upload_Indiv_PointsTot))=0,"",SUMPRODUCT((Upload_Indiv_Player=$A13)*(Upload_Indiv_Date=C$2)*(Upload_Indiv_PointsTot)))</f>
        <v/>
      </c>
      <c r="D15" s="2" t="str" cm="1">
        <f t="array" ref="D15">IF(SUMPRODUCT((Upload_Indiv_Player=$A13)*(Upload_Indiv_Date=D$2)*(Upload_Indiv_PointsTot))=0,"",SUMPRODUCT((Upload_Indiv_Player=$A13)*(Upload_Indiv_Date=D$2)*(Upload_Indiv_PointsTot)))</f>
        <v/>
      </c>
      <c r="E15" s="2" t="str" cm="1">
        <f t="array" ref="E15">IF(SUMPRODUCT((Upload_Indiv_Player=$A13)*(Upload_Indiv_Date=E$2)*(Upload_Indiv_PointsTot))=0,"",SUMPRODUCT((Upload_Indiv_Player=$A13)*(Upload_Indiv_Date=E$2)*(Upload_Indiv_PointsTot)))</f>
        <v/>
      </c>
      <c r="F15" s="2" t="str" cm="1">
        <f t="array" ref="F15">IF(SUMPRODUCT((Upload_Indiv_Player=$A13)*(Upload_Indiv_Date=F$2)*(Upload_Indiv_PointsTot))=0,"",SUMPRODUCT((Upload_Indiv_Player=$A13)*(Upload_Indiv_Date=F$2)*(Upload_Indiv_PointsTot)))</f>
        <v/>
      </c>
      <c r="G15" s="2" t="str" cm="1">
        <f t="array" ref="G15">IF(SUMPRODUCT((Upload_Indiv_Player=$A13)*(Upload_Indiv_Date=G$2)*(Upload_Indiv_PointsTot))=0,"",SUMPRODUCT((Upload_Indiv_Player=$A13)*(Upload_Indiv_Date=G$2)*(Upload_Indiv_PointsTot)))</f>
        <v/>
      </c>
      <c r="H15" s="2" t="str" cm="1">
        <f t="array" ref="H15">IF(SUMPRODUCT((Upload_Indiv_Player=$A13)*(Upload_Indiv_Date=H$2)*(Upload_Indiv_PointsTot))=0,"",SUMPRODUCT((Upload_Indiv_Player=$A13)*(Upload_Indiv_Date=H$2)*(Upload_Indiv_PointsTot)))</f>
        <v/>
      </c>
      <c r="I15" s="2" t="str" cm="1">
        <f t="array" ref="I15">IF(SUMPRODUCT((Upload_Indiv_Player=$A13)*(Upload_Indiv_Date=I$2)*(Upload_Indiv_PointsTot))=0,"",SUMPRODUCT((Upload_Indiv_Player=$A13)*(Upload_Indiv_Date=I$2)*(Upload_Indiv_PointsTot)))</f>
        <v/>
      </c>
      <c r="J15" s="2" t="str" cm="1">
        <f t="array" ref="J15">IF(SUMPRODUCT((Upload_Indiv_Player=$A13)*(Upload_Indiv_Date=J$2)*(Upload_Indiv_PointsTot))=0,"",SUMPRODUCT((Upload_Indiv_Player=$A13)*(Upload_Indiv_Date=J$2)*(Upload_Indiv_PointsTot)))</f>
        <v/>
      </c>
      <c r="K15" s="2" t="str" cm="1">
        <f t="array" ref="K15">IF(SUMPRODUCT((Upload_Indiv_Player=$A13)*(Upload_Indiv_Date=K$2)*(Upload_Indiv_PointsTot))=0,"",SUMPRODUCT((Upload_Indiv_Player=$A13)*(Upload_Indiv_Date=K$2)*(Upload_Indiv_PointsTot)))</f>
        <v/>
      </c>
      <c r="L15" s="2" t="str" cm="1">
        <f t="array" ref="L15">IF(SUMPRODUCT((Upload_Indiv_Player=$A13)*(Upload_Indiv_Date=L$2)*(Upload_Indiv_PointsTot))=0,"",SUMPRODUCT((Upload_Indiv_Player=$A13)*(Upload_Indiv_Date=L$2)*(Upload_Indiv_PointsTot)))</f>
        <v/>
      </c>
      <c r="M15" s="2" t="str" cm="1">
        <f t="array" ref="M15">IF(SUMPRODUCT((Upload_Indiv_Player=$A13)*(Upload_Indiv_Date=M$2)*(Upload_Indiv_PointsTot))=0,"",SUMPRODUCT((Upload_Indiv_Player=$A13)*(Upload_Indiv_Date=M$2)*(Upload_Indiv_PointsTot)))</f>
        <v/>
      </c>
      <c r="N15" s="2" t="str" cm="1">
        <f t="array" ref="N15">IF(SUMPRODUCT((Upload_Indiv_Player=$A13)*(Upload_Indiv_Date=N$2)*(Upload_Indiv_PointsTot))=0,"",SUMPRODUCT((Upload_Indiv_Player=$A13)*(Upload_Indiv_Date=N$2)*(Upload_Indiv_PointsTot)))</f>
        <v/>
      </c>
      <c r="O15" s="2" t="str" cm="1">
        <f t="array" ref="O15">IF(SUMPRODUCT((Upload_Indiv_Player=$A13)*(Upload_Indiv_Date=O$2)*(Upload_Indiv_PointsTot))=0,"",SUMPRODUCT((Upload_Indiv_Player=$A13)*(Upload_Indiv_Date=O$2)*(Upload_Indiv_PointsTot)))</f>
        <v/>
      </c>
      <c r="P15" s="2" t="str" cm="1">
        <f t="array" ref="P15">IF(SUMPRODUCT((Upload_Indiv_Player=$A13)*(Upload_Indiv_Date=P$2)*(Upload_Indiv_PointsTot))=0,"",SUMPRODUCT((Upload_Indiv_Player=$A13)*(Upload_Indiv_Date=P$2)*(Upload_Indiv_PointsTot)))</f>
        <v/>
      </c>
      <c r="Q15" s="2" t="str" cm="1">
        <f t="array" ref="Q15">IF(SUMPRODUCT((Upload_Indiv_Player=$A13)*(Upload_Indiv_Date=Q$2)*(Upload_Indiv_PointsTot))=0,"",SUMPRODUCT((Upload_Indiv_Player=$A13)*(Upload_Indiv_Date=Q$2)*(Upload_Indiv_PointsTot)))</f>
        <v/>
      </c>
      <c r="R15" s="2" t="str" cm="1">
        <f t="array" ref="R15">IF(SUMPRODUCT((Upload_Indiv_Player=$A13)*(Upload_Indiv_Date=R$2)*(Upload_Indiv_PointsTot))=0,"",SUMPRODUCT((Upload_Indiv_Player=$A13)*(Upload_Indiv_Date=R$2)*(Upload_Indiv_PointsTot)))</f>
        <v/>
      </c>
      <c r="S15" s="2" t="str" cm="1">
        <f t="array" ref="S15">IF(SUMPRODUCT((Upload_Indiv_Player=$A13)*(Upload_Indiv_Date=S$2)*(Upload_Indiv_PointsTot))=0,"",SUMPRODUCT((Upload_Indiv_Player=$A13)*(Upload_Indiv_Date=S$2)*(Upload_Indiv_PointsTot)))</f>
        <v/>
      </c>
      <c r="T15" s="2" t="str" cm="1">
        <f t="array" ref="T15">IF(SUMPRODUCT((Upload_Indiv_Player=$A13)*(Upload_Indiv_Date=T$2)*(Upload_Indiv_PointsTot))=0,"",SUMPRODUCT((Upload_Indiv_Player=$A13)*(Upload_Indiv_Date=T$2)*(Upload_Indiv_PointsTot)))</f>
        <v/>
      </c>
      <c r="U15" s="2" t="str" cm="1">
        <f t="array" ref="U15">IF(SUMPRODUCT((Upload_Indiv_Player=$A13)*(Upload_Indiv_Date=U$2)*(Upload_Indiv_PointsTot))=0,"",SUMPRODUCT((Upload_Indiv_Player=$A13)*(Upload_Indiv_Date=U$2)*(Upload_Indiv_PointsTot)))</f>
        <v/>
      </c>
      <c r="V15" s="276"/>
      <c r="W15" s="276"/>
      <c r="X15" s="276"/>
      <c r="Y15" s="277"/>
      <c r="Z15" s="277"/>
      <c r="AA15" s="277"/>
    </row>
    <row r="16" spans="1:27" x14ac:dyDescent="0.25">
      <c r="A16" s="14"/>
      <c r="B16" s="2" t="s">
        <v>174</v>
      </c>
      <c r="C16" s="2" t="str" cm="1">
        <f t="array" ref="C16">IF(SUMPRODUCT((Upload_Indiv_Player=$A13)*(Upload_Indiv_Date=C$2)*(Upload_Indiv_Tot_Birds))=0,"",SUMPRODUCT((Upload_Indiv_Player=$A13)*(Upload_Indiv_Date=C$2)*(Upload_Indiv_Tot_Birds)))</f>
        <v/>
      </c>
      <c r="D16" s="2" t="str" cm="1">
        <f t="array" ref="D16">IF(SUMPRODUCT((Upload_Indiv_Player=$A13)*(Upload_Indiv_Date=D$2)*(Upload_Indiv_Tot_Birds))=0,"",SUMPRODUCT((Upload_Indiv_Player=$A13)*(Upload_Indiv_Date=D$2)*(Upload_Indiv_Tot_Birds)))</f>
        <v/>
      </c>
      <c r="E16" s="2" t="str" cm="1">
        <f t="array" ref="E16">IF(SUMPRODUCT((Upload_Indiv_Player=$A13)*(Upload_Indiv_Date=E$2)*(Upload_Indiv_Tot_Birds))=0,"",SUMPRODUCT((Upload_Indiv_Player=$A13)*(Upload_Indiv_Date=E$2)*(Upload_Indiv_Tot_Birds)))</f>
        <v/>
      </c>
      <c r="F16" s="2" t="str" cm="1">
        <f t="array" ref="F16">IF(SUMPRODUCT((Upload_Indiv_Player=$A13)*(Upload_Indiv_Date=F$2)*(Upload_Indiv_Tot_Birds))=0,"",SUMPRODUCT((Upload_Indiv_Player=$A13)*(Upload_Indiv_Date=F$2)*(Upload_Indiv_Tot_Birds)))</f>
        <v/>
      </c>
      <c r="G16" s="2" t="str" cm="1">
        <f t="array" ref="G16">IF(SUMPRODUCT((Upload_Indiv_Player=$A13)*(Upload_Indiv_Date=G$2)*(Upload_Indiv_Tot_Birds))=0,"",SUMPRODUCT((Upload_Indiv_Player=$A13)*(Upload_Indiv_Date=G$2)*(Upload_Indiv_Tot_Birds)))</f>
        <v/>
      </c>
      <c r="H16" s="2" t="str" cm="1">
        <f t="array" ref="H16">IF(SUMPRODUCT((Upload_Indiv_Player=$A13)*(Upload_Indiv_Date=H$2)*(Upload_Indiv_Tot_Birds))=0,"",SUMPRODUCT((Upload_Indiv_Player=$A13)*(Upload_Indiv_Date=H$2)*(Upload_Indiv_Tot_Birds)))</f>
        <v/>
      </c>
      <c r="I16" s="2" t="str" cm="1">
        <f t="array" ref="I16">IF(SUMPRODUCT((Upload_Indiv_Player=$A13)*(Upload_Indiv_Date=I$2)*(Upload_Indiv_Tot_Birds))=0,"",SUMPRODUCT((Upload_Indiv_Player=$A13)*(Upload_Indiv_Date=I$2)*(Upload_Indiv_Tot_Birds)))</f>
        <v/>
      </c>
      <c r="J16" s="2" t="str" cm="1">
        <f t="array" ref="J16">IF(SUMPRODUCT((Upload_Indiv_Player=$A13)*(Upload_Indiv_Date=J$2)*(Upload_Indiv_Tot_Birds))=0,"",SUMPRODUCT((Upload_Indiv_Player=$A13)*(Upload_Indiv_Date=J$2)*(Upload_Indiv_Tot_Birds)))</f>
        <v/>
      </c>
      <c r="K16" s="2" t="str" cm="1">
        <f t="array" ref="K16">IF(SUMPRODUCT((Upload_Indiv_Player=$A13)*(Upload_Indiv_Date=K$2)*(Upload_Indiv_Tot_Birds))=0,"",SUMPRODUCT((Upload_Indiv_Player=$A13)*(Upload_Indiv_Date=K$2)*(Upload_Indiv_Tot_Birds)))</f>
        <v/>
      </c>
      <c r="L16" s="2" t="str" cm="1">
        <f t="array" ref="L16">IF(SUMPRODUCT((Upload_Indiv_Player=$A13)*(Upload_Indiv_Date=L$2)*(Upload_Indiv_Tot_Birds))=0,"",SUMPRODUCT((Upload_Indiv_Player=$A13)*(Upload_Indiv_Date=L$2)*(Upload_Indiv_Tot_Birds)))</f>
        <v/>
      </c>
      <c r="M16" s="2" t="str" cm="1">
        <f t="array" ref="M16">IF(SUMPRODUCT((Upload_Indiv_Player=$A13)*(Upload_Indiv_Date=M$2)*(Upload_Indiv_Tot_Birds))=0,"",SUMPRODUCT((Upload_Indiv_Player=$A13)*(Upload_Indiv_Date=M$2)*(Upload_Indiv_Tot_Birds)))</f>
        <v/>
      </c>
      <c r="N16" s="2" t="str" cm="1">
        <f t="array" ref="N16">IF(SUMPRODUCT((Upload_Indiv_Player=$A13)*(Upload_Indiv_Date=N$2)*(Upload_Indiv_Tot_Birds))=0,"",SUMPRODUCT((Upload_Indiv_Player=$A13)*(Upload_Indiv_Date=N$2)*(Upload_Indiv_Tot_Birds)))</f>
        <v/>
      </c>
      <c r="O16" s="2" t="str" cm="1">
        <f t="array" ref="O16">IF(SUMPRODUCT((Upload_Indiv_Player=$A13)*(Upload_Indiv_Date=O$2)*(Upload_Indiv_Tot_Birds))=0,"",SUMPRODUCT((Upload_Indiv_Player=$A13)*(Upload_Indiv_Date=O$2)*(Upload_Indiv_Tot_Birds)))</f>
        <v/>
      </c>
      <c r="P16" s="2" t="str" cm="1">
        <f t="array" ref="P16">IF(SUMPRODUCT((Upload_Indiv_Player=$A13)*(Upload_Indiv_Date=P$2)*(Upload_Indiv_Tot_Birds))=0,"",SUMPRODUCT((Upload_Indiv_Player=$A13)*(Upload_Indiv_Date=P$2)*(Upload_Indiv_Tot_Birds)))</f>
        <v/>
      </c>
      <c r="Q16" s="2" t="str" cm="1">
        <f t="array" ref="Q16">IF(SUMPRODUCT((Upload_Indiv_Player=$A13)*(Upload_Indiv_Date=Q$2)*(Upload_Indiv_Tot_Birds))=0,"",SUMPRODUCT((Upload_Indiv_Player=$A13)*(Upload_Indiv_Date=Q$2)*(Upload_Indiv_Tot_Birds)))</f>
        <v/>
      </c>
      <c r="R16" s="2" t="str" cm="1">
        <f t="array" ref="R16">IF(SUMPRODUCT((Upload_Indiv_Player=$A13)*(Upload_Indiv_Date=R$2)*(Upload_Indiv_Tot_Birds))=0,"",SUMPRODUCT((Upload_Indiv_Player=$A13)*(Upload_Indiv_Date=R$2)*(Upload_Indiv_Tot_Birds)))</f>
        <v/>
      </c>
      <c r="S16" s="2" t="str" cm="1">
        <f t="array" ref="S16">IF(SUMPRODUCT((Upload_Indiv_Player=$A13)*(Upload_Indiv_Date=S$2)*(Upload_Indiv_Tot_Birds))=0,"",SUMPRODUCT((Upload_Indiv_Player=$A13)*(Upload_Indiv_Date=S$2)*(Upload_Indiv_Tot_Birds)))</f>
        <v/>
      </c>
      <c r="T16" s="2" t="str" cm="1">
        <f t="array" ref="T16">IF(SUMPRODUCT((Upload_Indiv_Player=$A13)*(Upload_Indiv_Date=T$2)*(Upload_Indiv_Tot_Birds))=0,"",SUMPRODUCT((Upload_Indiv_Player=$A13)*(Upload_Indiv_Date=T$2)*(Upload_Indiv_Tot_Birds)))</f>
        <v/>
      </c>
      <c r="U16" s="2" t="str" cm="1">
        <f t="array" ref="U16">IF(SUMPRODUCT((Upload_Indiv_Player=$A13)*(Upload_Indiv_Date=U$2)*(Upload_Indiv_Tot_Birds))=0,"",SUMPRODUCT((Upload_Indiv_Player=$A13)*(Upload_Indiv_Date=U$2)*(Upload_Indiv_Tot_Birds)))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14"/>
      <c r="B17" s="8" t="s">
        <v>175</v>
      </c>
      <c r="C17" s="2" t="str" cm="1">
        <f t="array" ref="C17">IF(SUMPRODUCT((Upload_Indiv_Player=$A13)*(Upload_Indiv_Date=C$2)*(Upload_Indiv_Tot_Eagles))=0,"",SUMPRODUCT((Upload_Indiv_Player=$A13)*(Upload_Indiv_Date=C$2)*(Upload_Indiv_Tot_Eagles)))</f>
        <v/>
      </c>
      <c r="D17" s="2" t="str" cm="1">
        <f t="array" ref="D17">IF(SUMPRODUCT((Upload_Indiv_Player=$A13)*(Upload_Indiv_Date=D$2)*(Upload_Indiv_Tot_Eagles))=0,"",SUMPRODUCT((Upload_Indiv_Player=$A13)*(Upload_Indiv_Date=D$2)*(Upload_Indiv_Tot_Eagles)))</f>
        <v/>
      </c>
      <c r="E17" s="2" t="str" cm="1">
        <f t="array" ref="E17">IF(SUMPRODUCT((Upload_Indiv_Player=$A13)*(Upload_Indiv_Date=E$2)*(Upload_Indiv_Tot_Eagles))=0,"",SUMPRODUCT((Upload_Indiv_Player=$A13)*(Upload_Indiv_Date=E$2)*(Upload_Indiv_Tot_Eagles)))</f>
        <v/>
      </c>
      <c r="F17" s="2" t="str" cm="1">
        <f t="array" ref="F17">IF(SUMPRODUCT((Upload_Indiv_Player=$A13)*(Upload_Indiv_Date=F$2)*(Upload_Indiv_Tot_Eagles))=0,"",SUMPRODUCT((Upload_Indiv_Player=$A13)*(Upload_Indiv_Date=F$2)*(Upload_Indiv_Tot_Eagles)))</f>
        <v/>
      </c>
      <c r="G17" s="2" t="str" cm="1">
        <f t="array" ref="G17">IF(SUMPRODUCT((Upload_Indiv_Player=$A13)*(Upload_Indiv_Date=G$2)*(Upload_Indiv_Tot_Eagles))=0,"",SUMPRODUCT((Upload_Indiv_Player=$A13)*(Upload_Indiv_Date=G$2)*(Upload_Indiv_Tot_Eagles)))</f>
        <v/>
      </c>
      <c r="H17" s="2" t="str" cm="1">
        <f t="array" ref="H17">IF(SUMPRODUCT((Upload_Indiv_Player=$A13)*(Upload_Indiv_Date=H$2)*(Upload_Indiv_Tot_Eagles))=0,"",SUMPRODUCT((Upload_Indiv_Player=$A13)*(Upload_Indiv_Date=H$2)*(Upload_Indiv_Tot_Eagles)))</f>
        <v/>
      </c>
      <c r="I17" s="2" t="str" cm="1">
        <f t="array" ref="I17">IF(SUMPRODUCT((Upload_Indiv_Player=$A13)*(Upload_Indiv_Date=I$2)*(Upload_Indiv_Tot_Eagles))=0,"",SUMPRODUCT((Upload_Indiv_Player=$A13)*(Upload_Indiv_Date=I$2)*(Upload_Indiv_Tot_Eagles)))</f>
        <v/>
      </c>
      <c r="J17" s="2" t="str" cm="1">
        <f t="array" ref="J17">IF(SUMPRODUCT((Upload_Indiv_Player=$A13)*(Upload_Indiv_Date=J$2)*(Upload_Indiv_Tot_Eagles))=0,"",SUMPRODUCT((Upload_Indiv_Player=$A13)*(Upload_Indiv_Date=J$2)*(Upload_Indiv_Tot_Eagles)))</f>
        <v/>
      </c>
      <c r="K17" s="2" t="str" cm="1">
        <f t="array" ref="K17">IF(SUMPRODUCT((Upload_Indiv_Player=$A13)*(Upload_Indiv_Date=K$2)*(Upload_Indiv_Tot_Eagles))=0,"",SUMPRODUCT((Upload_Indiv_Player=$A13)*(Upload_Indiv_Date=K$2)*(Upload_Indiv_Tot_Eagles)))</f>
        <v/>
      </c>
      <c r="L17" s="2" t="str" cm="1">
        <f t="array" ref="L17">IF(SUMPRODUCT((Upload_Indiv_Player=$A13)*(Upload_Indiv_Date=L$2)*(Upload_Indiv_Tot_Eagles))=0,"",SUMPRODUCT((Upload_Indiv_Player=$A13)*(Upload_Indiv_Date=L$2)*(Upload_Indiv_Tot_Eagles)))</f>
        <v/>
      </c>
      <c r="M17" s="2" t="str" cm="1">
        <f t="array" ref="M17">IF(SUMPRODUCT((Upload_Indiv_Player=$A13)*(Upload_Indiv_Date=M$2)*(Upload_Indiv_Tot_Eagles))=0,"",SUMPRODUCT((Upload_Indiv_Player=$A13)*(Upload_Indiv_Date=M$2)*(Upload_Indiv_Tot_Eagles)))</f>
        <v/>
      </c>
      <c r="N17" s="2" t="str" cm="1">
        <f t="array" ref="N17">IF(SUMPRODUCT((Upload_Indiv_Player=$A13)*(Upload_Indiv_Date=N$2)*(Upload_Indiv_Tot_Eagles))=0,"",SUMPRODUCT((Upload_Indiv_Player=$A13)*(Upload_Indiv_Date=N$2)*(Upload_Indiv_Tot_Eagles)))</f>
        <v/>
      </c>
      <c r="O17" s="2" t="str" cm="1">
        <f t="array" ref="O17">IF(SUMPRODUCT((Upload_Indiv_Player=$A13)*(Upload_Indiv_Date=O$2)*(Upload_Indiv_Tot_Eagles))=0,"",SUMPRODUCT((Upload_Indiv_Player=$A13)*(Upload_Indiv_Date=O$2)*(Upload_Indiv_Tot_Eagles)))</f>
        <v/>
      </c>
      <c r="P17" s="2" t="str" cm="1">
        <f t="array" ref="P17">IF(SUMPRODUCT((Upload_Indiv_Player=$A13)*(Upload_Indiv_Date=P$2)*(Upload_Indiv_Tot_Eagles))=0,"",SUMPRODUCT((Upload_Indiv_Player=$A13)*(Upload_Indiv_Date=P$2)*(Upload_Indiv_Tot_Eagles)))</f>
        <v/>
      </c>
      <c r="Q17" s="2" t="str" cm="1">
        <f t="array" ref="Q17">IF(SUMPRODUCT((Upload_Indiv_Player=$A13)*(Upload_Indiv_Date=Q$2)*(Upload_Indiv_Tot_Eagles))=0,"",SUMPRODUCT((Upload_Indiv_Player=$A13)*(Upload_Indiv_Date=Q$2)*(Upload_Indiv_Tot_Eagles)))</f>
        <v/>
      </c>
      <c r="R17" s="2" t="str" cm="1">
        <f t="array" ref="R17">IF(SUMPRODUCT((Upload_Indiv_Player=$A13)*(Upload_Indiv_Date=R$2)*(Upload_Indiv_Tot_Eagles))=0,"",SUMPRODUCT((Upload_Indiv_Player=$A13)*(Upload_Indiv_Date=R$2)*(Upload_Indiv_Tot_Eagles)))</f>
        <v/>
      </c>
      <c r="S17" s="2" t="str" cm="1">
        <f t="array" ref="S17">IF(SUMPRODUCT((Upload_Indiv_Player=$A13)*(Upload_Indiv_Date=S$2)*(Upload_Indiv_Tot_Eagles))=0,"",SUMPRODUCT((Upload_Indiv_Player=$A13)*(Upload_Indiv_Date=S$2)*(Upload_Indiv_Tot_Eagles)))</f>
        <v/>
      </c>
      <c r="T17" s="2" t="str" cm="1">
        <f t="array" ref="T17">IF(SUMPRODUCT((Upload_Indiv_Player=$A13)*(Upload_Indiv_Date=T$2)*(Upload_Indiv_Tot_Eagles))=0,"",SUMPRODUCT((Upload_Indiv_Player=$A13)*(Upload_Indiv_Date=T$2)*(Upload_Indiv_Tot_Eagles)))</f>
        <v/>
      </c>
      <c r="U17" s="2" t="str" cm="1">
        <f t="array" ref="U17">IF(SUMPRODUCT((Upload_Indiv_Player=$A13)*(Upload_Indiv_Date=U$2)*(Upload_Indiv_Tot_Eagles))=0,"",SUMPRODUCT((Upload_Indiv_Player=$A13)*(Upload_Indiv_Date=U$2)*(Upload_Indiv_Tot_Eagles)))</f>
        <v/>
      </c>
      <c r="V17" s="276"/>
      <c r="W17" s="276"/>
      <c r="X17" s="276"/>
      <c r="Y17" s="277"/>
      <c r="Z17" s="278"/>
      <c r="AA17" s="277"/>
    </row>
    <row r="18" spans="1:27" x14ac:dyDescent="0.25">
      <c r="A18" s="14"/>
      <c r="B18" s="2" t="s">
        <v>176</v>
      </c>
      <c r="C18" s="2" t="str" cm="1">
        <f t="array" ref="C18">IF(SUMPRODUCT((Upload_Indiv_Player=$A13)*(Upload_Indiv_Date=C$2)*(Upload_Indiv_Excl_Score))=0,"",SUMPRODUCT((Upload_Indiv_Player=$A13)*(Upload_Indiv_Date=C$2)*(Upload_Indiv_Excl_Score)))</f>
        <v/>
      </c>
      <c r="D18" s="2" t="str" cm="1">
        <f t="array" ref="D18">IF(SUMPRODUCT((Upload_Indiv_Player=$A13)*(Upload_Indiv_Date=D$2)*(Upload_Indiv_Excl_Score))=0,"",SUMPRODUCT((Upload_Indiv_Player=$A13)*(Upload_Indiv_Date=D$2)*(Upload_Indiv_Excl_Score)))</f>
        <v/>
      </c>
      <c r="E18" s="2" t="str" cm="1">
        <f t="array" ref="E18">IF(SUMPRODUCT((Upload_Indiv_Player=$A13)*(Upload_Indiv_Date=E$2)*(Upload_Indiv_Excl_Score))=0,"",SUMPRODUCT((Upload_Indiv_Player=$A13)*(Upload_Indiv_Date=E$2)*(Upload_Indiv_Excl_Score)))</f>
        <v/>
      </c>
      <c r="F18" s="2" t="str" cm="1">
        <f t="array" ref="F18">IF(SUMPRODUCT((Upload_Indiv_Player=$A13)*(Upload_Indiv_Date=F$2)*(Upload_Indiv_Excl_Score))=0,"",SUMPRODUCT((Upload_Indiv_Player=$A13)*(Upload_Indiv_Date=F$2)*(Upload_Indiv_Excl_Score)))</f>
        <v/>
      </c>
      <c r="G18" s="2" t="str" cm="1">
        <f t="array" ref="G18">IF(SUMPRODUCT((Upload_Indiv_Player=$A13)*(Upload_Indiv_Date=G$2)*(Upload_Indiv_Excl_Score))=0,"",SUMPRODUCT((Upload_Indiv_Player=$A13)*(Upload_Indiv_Date=G$2)*(Upload_Indiv_Excl_Score)))</f>
        <v/>
      </c>
      <c r="H18" s="2" t="str" cm="1">
        <f t="array" ref="H18">IF(SUMPRODUCT((Upload_Indiv_Player=$A13)*(Upload_Indiv_Date=H$2)*(Upload_Indiv_Excl_Score))=0,"",SUMPRODUCT((Upload_Indiv_Player=$A13)*(Upload_Indiv_Date=H$2)*(Upload_Indiv_Excl_Score)))</f>
        <v/>
      </c>
      <c r="I18" s="2" t="str" cm="1">
        <f t="array" ref="I18">IF(SUMPRODUCT((Upload_Indiv_Player=$A13)*(Upload_Indiv_Date=I$2)*(Upload_Indiv_Excl_Score))=0,"",SUMPRODUCT((Upload_Indiv_Player=$A13)*(Upload_Indiv_Date=I$2)*(Upload_Indiv_Excl_Score)))</f>
        <v/>
      </c>
      <c r="J18" s="2" t="str" cm="1">
        <f t="array" ref="J18">IF(SUMPRODUCT((Upload_Indiv_Player=$A13)*(Upload_Indiv_Date=J$2)*(Upload_Indiv_Excl_Score))=0,"",SUMPRODUCT((Upload_Indiv_Player=$A13)*(Upload_Indiv_Date=J$2)*(Upload_Indiv_Excl_Score)))</f>
        <v/>
      </c>
      <c r="K18" s="2" t="str" cm="1">
        <f t="array" ref="K18">IF(SUMPRODUCT((Upload_Indiv_Player=$A13)*(Upload_Indiv_Date=K$2)*(Upload_Indiv_Excl_Score))=0,"",SUMPRODUCT((Upload_Indiv_Player=$A13)*(Upload_Indiv_Date=K$2)*(Upload_Indiv_Excl_Score)))</f>
        <v/>
      </c>
      <c r="L18" s="2" t="str" cm="1">
        <f t="array" ref="L18">IF(SUMPRODUCT((Upload_Indiv_Player=$A13)*(Upload_Indiv_Date=L$2)*(Upload_Indiv_Excl_Score))=0,"",SUMPRODUCT((Upload_Indiv_Player=$A13)*(Upload_Indiv_Date=L$2)*(Upload_Indiv_Excl_Score)))</f>
        <v/>
      </c>
      <c r="M18" s="2" t="str" cm="1">
        <f t="array" ref="M18">IF(SUMPRODUCT((Upload_Indiv_Player=$A13)*(Upload_Indiv_Date=M$2)*(Upload_Indiv_Excl_Score))=0,"",SUMPRODUCT((Upload_Indiv_Player=$A13)*(Upload_Indiv_Date=M$2)*(Upload_Indiv_Excl_Score)))</f>
        <v/>
      </c>
      <c r="N18" s="2" t="str" cm="1">
        <f t="array" ref="N18">IF(SUMPRODUCT((Upload_Indiv_Player=$A13)*(Upload_Indiv_Date=N$2)*(Upload_Indiv_Excl_Score))=0,"",SUMPRODUCT((Upload_Indiv_Player=$A13)*(Upload_Indiv_Date=N$2)*(Upload_Indiv_Excl_Score)))</f>
        <v/>
      </c>
      <c r="O18" s="2" t="str" cm="1">
        <f t="array" ref="O18">IF(SUMPRODUCT((Upload_Indiv_Player=$A13)*(Upload_Indiv_Date=O$2)*(Upload_Indiv_Excl_Score))=0,"",SUMPRODUCT((Upload_Indiv_Player=$A13)*(Upload_Indiv_Date=O$2)*(Upload_Indiv_Excl_Score)))</f>
        <v/>
      </c>
      <c r="P18" s="2" t="str" cm="1">
        <f t="array" ref="P18">IF(SUMPRODUCT((Upload_Indiv_Player=$A13)*(Upload_Indiv_Date=P$2)*(Upload_Indiv_Excl_Score))=0,"",SUMPRODUCT((Upload_Indiv_Player=$A13)*(Upload_Indiv_Date=P$2)*(Upload_Indiv_Excl_Score)))</f>
        <v/>
      </c>
      <c r="Q18" s="2" t="str" cm="1">
        <f t="array" ref="Q18">IF(SUMPRODUCT((Upload_Indiv_Player=$A13)*(Upload_Indiv_Date=Q$2)*(Upload_Indiv_Excl_Score))=0,"",SUMPRODUCT((Upload_Indiv_Player=$A13)*(Upload_Indiv_Date=Q$2)*(Upload_Indiv_Excl_Score)))</f>
        <v/>
      </c>
      <c r="R18" s="2" t="str" cm="1">
        <f t="array" ref="R18">IF(SUMPRODUCT((Upload_Indiv_Player=$A13)*(Upload_Indiv_Date=R$2)*(Upload_Indiv_Excl_Score))=0,"",SUMPRODUCT((Upload_Indiv_Player=$A13)*(Upload_Indiv_Date=R$2)*(Upload_Indiv_Excl_Score)))</f>
        <v/>
      </c>
      <c r="S18" s="2" t="str" cm="1">
        <f t="array" ref="S18">IF(SUMPRODUCT((Upload_Indiv_Player=$A13)*(Upload_Indiv_Date=S$2)*(Upload_Indiv_Excl_Score))=0,"",SUMPRODUCT((Upload_Indiv_Player=$A13)*(Upload_Indiv_Date=S$2)*(Upload_Indiv_Excl_Score)))</f>
        <v/>
      </c>
      <c r="T18" s="2" t="str" cm="1">
        <f t="array" ref="T18">IF(SUMPRODUCT((Upload_Indiv_Player=$A13)*(Upload_Indiv_Date=T$2)*(Upload_Indiv_Excl_Score))=0,"",SUMPRODUCT((Upload_Indiv_Player=$A13)*(Upload_Indiv_Date=T$2)*(Upload_Indiv_Excl_Score)))</f>
        <v/>
      </c>
      <c r="U18" s="2" t="str" cm="1">
        <f t="array" ref="U18">IF(SUMPRODUCT((Upload_Indiv_Player=$A13)*(Upload_Indiv_Date=U$2)*(Upload_Indiv_Excl_Score))=0,"",SUMPRODUCT((Upload_Indiv_Player=$A13)*(Upload_Indiv_Date=U$2)*(Upload_Indiv_Excl_Score)))</f>
        <v/>
      </c>
      <c r="V18" s="276"/>
      <c r="W18" s="276"/>
      <c r="X18" s="276"/>
      <c r="Y18" s="277"/>
      <c r="Z18" s="277"/>
      <c r="AA18" s="277"/>
    </row>
    <row r="19" spans="1:27" x14ac:dyDescent="0.25">
      <c r="A19" s="14"/>
      <c r="B19" s="2" t="s">
        <v>177</v>
      </c>
      <c r="C19" s="2" t="str" cm="1">
        <f t="array" ref="C19">IFERROR(INDEX(Upload_Indiv_Team,MATCH(1,($A13=Upload_Indiv_Player)*(C$2=Upload_Indiv_Date),0)),"")</f>
        <v/>
      </c>
      <c r="D19" s="2" t="str" cm="1">
        <f t="array" ref="D19">IFERROR(INDEX(Upload_Indiv_Team,MATCH(1,($A13=Upload_Indiv_Player)*(D$2=Upload_Indiv_Date),0)),"")</f>
        <v/>
      </c>
      <c r="E19" s="2" t="str" cm="1">
        <f t="array" ref="E19">IFERROR(INDEX(Upload_Indiv_Team,MATCH(1,($A13=Upload_Indiv_Player)*(E$2=Upload_Indiv_Date),0)),"")</f>
        <v/>
      </c>
      <c r="F19" s="2" t="str" cm="1">
        <f t="array" ref="F19">IFERROR(INDEX(Upload_Indiv_Team,MATCH(1,($A13=Upload_Indiv_Player)*(F$2=Upload_Indiv_Date),0)),"")</f>
        <v/>
      </c>
      <c r="G19" s="2" t="str" cm="1">
        <f t="array" ref="G19">IFERROR(INDEX(Upload_Indiv_Team,MATCH(1,($A13=Upload_Indiv_Player)*(G$2=Upload_Indiv_Date),0)),"")</f>
        <v/>
      </c>
      <c r="H19" s="2" t="str" cm="1">
        <f t="array" ref="H19">IFERROR(INDEX(Upload_Indiv_Team,MATCH(1,($A13=Upload_Indiv_Player)*(H$2=Upload_Indiv_Date),0)),"")</f>
        <v/>
      </c>
      <c r="I19" s="2" t="str" cm="1">
        <f t="array" ref="I19">IFERROR(INDEX(Upload_Indiv_Team,MATCH(1,($A13=Upload_Indiv_Player)*(I$2=Upload_Indiv_Date),0)),"")</f>
        <v/>
      </c>
      <c r="J19" s="2" t="str" cm="1">
        <f t="array" ref="J19">IFERROR(INDEX(Upload_Indiv_Team,MATCH(1,($A13=Upload_Indiv_Player)*(J$2=Upload_Indiv_Date),0)),"")</f>
        <v/>
      </c>
      <c r="K19" s="2" t="str" cm="1">
        <f t="array" ref="K19">IFERROR(INDEX(Upload_Indiv_Team,MATCH(1,($A13=Upload_Indiv_Player)*(K$2=Upload_Indiv_Date),0)),"")</f>
        <v/>
      </c>
      <c r="L19" s="2" t="str" cm="1">
        <f t="array" ref="L19">IFERROR(INDEX(Upload_Indiv_Team,MATCH(1,($A13=Upload_Indiv_Player)*(L$2=Upload_Indiv_Date),0)),"")</f>
        <v/>
      </c>
      <c r="M19" s="2" t="str" cm="1">
        <f t="array" ref="M19">IFERROR(INDEX(Upload_Indiv_Team,MATCH(1,($A13=Upload_Indiv_Player)*(M$2=Upload_Indiv_Date),0)),"")</f>
        <v/>
      </c>
      <c r="N19" s="2" t="str" cm="1">
        <f t="array" ref="N19">IFERROR(INDEX(Upload_Indiv_Team,MATCH(1,($A13=Upload_Indiv_Player)*(N$2=Upload_Indiv_Date),0)),"")</f>
        <v/>
      </c>
      <c r="O19" s="2" t="str" cm="1">
        <f t="array" ref="O19">IFERROR(INDEX(Upload_Indiv_Team,MATCH(1,($A13=Upload_Indiv_Player)*(O$2=Upload_Indiv_Date),0)),"")</f>
        <v/>
      </c>
      <c r="P19" s="2" t="str" cm="1">
        <f t="array" ref="P19">IFERROR(INDEX(Upload_Indiv_Team,MATCH(1,($A13=Upload_Indiv_Player)*(P$2=Upload_Indiv_Date),0)),"")</f>
        <v/>
      </c>
      <c r="Q19" s="2" t="str" cm="1">
        <f t="array" ref="Q19">IFERROR(INDEX(Upload_Indiv_Team,MATCH(1,($A13=Upload_Indiv_Player)*(Q$2=Upload_Indiv_Date),0)),"")</f>
        <v/>
      </c>
      <c r="R19" s="2" t="str" cm="1">
        <f t="array" ref="R19">IFERROR(INDEX(Upload_Indiv_Team,MATCH(1,($A13=Upload_Indiv_Player)*(R$2=Upload_Indiv_Date),0)),"")</f>
        <v/>
      </c>
      <c r="S19" s="2" t="str" cm="1">
        <f t="array" ref="S19">IFERROR(INDEX(Upload_Indiv_Team,MATCH(1,($A13=Upload_Indiv_Player)*(S$2=Upload_Indiv_Date),0)),"")</f>
        <v/>
      </c>
      <c r="T19" s="2" t="str" cm="1">
        <f t="array" ref="T19">IFERROR(INDEX(Upload_Indiv_Team,MATCH(1,($A13=Upload_Indiv_Player)*(T$2=Upload_Indiv_Date),0)),"")</f>
        <v/>
      </c>
      <c r="U19" s="2" t="str" cm="1">
        <f t="array" ref="U19">IFERROR(INDEX(Upload_Indiv_Team,MATCH(1,($A13=Upload_Indiv_Player)*(U$2=Upload_Indiv_Date),0)),"")</f>
        <v/>
      </c>
      <c r="V19" s="276"/>
      <c r="W19" s="276"/>
      <c r="X19" s="276"/>
      <c r="Y19" s="277"/>
      <c r="Z19" s="277"/>
      <c r="AA19" s="277"/>
    </row>
    <row r="20" spans="1:27" ht="13.8" thickBot="1" x14ac:dyDescent="0.3">
      <c r="A20" s="329" t="s">
        <v>160</v>
      </c>
      <c r="B20" s="8" t="s">
        <v>178</v>
      </c>
      <c r="C20" s="58" t="str">
        <f t="shared" ref="C20:U20" si="2">IF(C13="", "", IF(C15&gt;=11, "w", IF(C15&lt;=9, "l", "t")))</f>
        <v/>
      </c>
      <c r="D20" s="58" t="str">
        <f t="shared" si="2"/>
        <v/>
      </c>
      <c r="E20" s="58" t="str">
        <f t="shared" si="2"/>
        <v/>
      </c>
      <c r="F20" s="58" t="str">
        <f t="shared" si="2"/>
        <v/>
      </c>
      <c r="G20" s="58" t="str">
        <f t="shared" si="2"/>
        <v/>
      </c>
      <c r="H20" s="58" t="str">
        <f t="shared" si="2"/>
        <v/>
      </c>
      <c r="I20" s="58" t="str">
        <f t="shared" si="2"/>
        <v/>
      </c>
      <c r="J20" s="58" t="str">
        <f t="shared" si="2"/>
        <v/>
      </c>
      <c r="K20" s="58" t="str">
        <f t="shared" si="2"/>
        <v/>
      </c>
      <c r="L20" s="58" t="str">
        <f t="shared" si="2"/>
        <v/>
      </c>
      <c r="M20" s="58" t="str">
        <f t="shared" si="2"/>
        <v/>
      </c>
      <c r="N20" s="58" t="str">
        <f t="shared" si="2"/>
        <v/>
      </c>
      <c r="O20" s="58" t="str">
        <f t="shared" si="2"/>
        <v/>
      </c>
      <c r="P20" s="58" t="str">
        <f t="shared" si="2"/>
        <v/>
      </c>
      <c r="Q20" s="58" t="str">
        <f t="shared" si="2"/>
        <v/>
      </c>
      <c r="R20" s="58" t="str">
        <f t="shared" si="2"/>
        <v/>
      </c>
      <c r="S20" s="58" t="str">
        <f t="shared" si="2"/>
        <v/>
      </c>
      <c r="T20" s="58" t="str">
        <f t="shared" si="2"/>
        <v/>
      </c>
      <c r="U20" s="58" t="str">
        <f t="shared" si="2"/>
        <v/>
      </c>
      <c r="V20" s="276"/>
      <c r="W20" s="276"/>
      <c r="X20" s="276"/>
      <c r="Y20" s="277"/>
      <c r="Z20" s="277"/>
      <c r="AA20" s="277"/>
    </row>
    <row r="21" spans="1:27" x14ac:dyDescent="0.25">
      <c r="A21" s="11" t="s">
        <v>179</v>
      </c>
      <c r="B21" s="3" t="s">
        <v>170</v>
      </c>
      <c r="C21" s="3" t="str" cm="1">
        <f t="array" ref="C21">IF(SUMPRODUCT((Upload_Indiv_Player=$A21)*(Upload_Indiv_Date=C$2)*(Upload_Indiv_Gross))=0,"",SUMPRODUCT((Upload_Indiv_Player=$A21)*(Upload_Indiv_Date=C$2)*(Upload_Indiv_Gross)))</f>
        <v/>
      </c>
      <c r="D21" s="3" t="str" cm="1">
        <f t="array" ref="D21">IF(SUMPRODUCT((Upload_Indiv_Player=$A21)*(Upload_Indiv_Date=D$2)*(Upload_Indiv_Gross))=0,"",SUMPRODUCT((Upload_Indiv_Player=$A21)*(Upload_Indiv_Date=D$2)*(Upload_Indiv_Gross)))</f>
        <v/>
      </c>
      <c r="E21" s="3" t="str" cm="1">
        <f t="array" ref="E21">IF(SUMPRODUCT((Upload_Indiv_Player=$A21)*(Upload_Indiv_Date=E$2)*(Upload_Indiv_Gross))=0,"",SUMPRODUCT((Upload_Indiv_Player=$A21)*(Upload_Indiv_Date=E$2)*(Upload_Indiv_Gross)))</f>
        <v/>
      </c>
      <c r="F21" s="3" t="str" cm="1">
        <f t="array" ref="F21">IF(SUMPRODUCT((Upload_Indiv_Player=$A21)*(Upload_Indiv_Date=F$2)*(Upload_Indiv_Gross))=0,"",SUMPRODUCT((Upload_Indiv_Player=$A21)*(Upload_Indiv_Date=F$2)*(Upload_Indiv_Gross)))</f>
        <v/>
      </c>
      <c r="G21" s="3" t="str" cm="1">
        <f t="array" ref="G21">IF(SUMPRODUCT((Upload_Indiv_Player=$A21)*(Upload_Indiv_Date=G$2)*(Upload_Indiv_Gross))=0,"",SUMPRODUCT((Upload_Indiv_Player=$A21)*(Upload_Indiv_Date=G$2)*(Upload_Indiv_Gross)))</f>
        <v/>
      </c>
      <c r="H21" s="3" t="str" cm="1">
        <f t="array" ref="H21">IF(SUMPRODUCT((Upload_Indiv_Player=$A21)*(Upload_Indiv_Date=H$2)*(Upload_Indiv_Gross))=0,"",SUMPRODUCT((Upload_Indiv_Player=$A21)*(Upload_Indiv_Date=H$2)*(Upload_Indiv_Gross)))</f>
        <v/>
      </c>
      <c r="I21" s="3" t="str" cm="1">
        <f t="array" ref="I21">IF(SUMPRODUCT((Upload_Indiv_Player=$A21)*(Upload_Indiv_Date=I$2)*(Upload_Indiv_Gross))=0,"",SUMPRODUCT((Upload_Indiv_Player=$A21)*(Upload_Indiv_Date=I$2)*(Upload_Indiv_Gross)))</f>
        <v/>
      </c>
      <c r="J21" s="3" t="str" cm="1">
        <f t="array" ref="J21">IF(SUMPRODUCT((Upload_Indiv_Player=$A21)*(Upload_Indiv_Date=J$2)*(Upload_Indiv_Gross))=0,"",SUMPRODUCT((Upload_Indiv_Player=$A21)*(Upload_Indiv_Date=J$2)*(Upload_Indiv_Gross)))</f>
        <v/>
      </c>
      <c r="K21" s="3" t="str" cm="1">
        <f t="array" ref="K21">IF(SUMPRODUCT((Upload_Indiv_Player=$A21)*(Upload_Indiv_Date=K$2)*(Upload_Indiv_Gross))=0,"",SUMPRODUCT((Upload_Indiv_Player=$A21)*(Upload_Indiv_Date=K$2)*(Upload_Indiv_Gross)))</f>
        <v/>
      </c>
      <c r="L21" s="3" t="str" cm="1">
        <f t="array" ref="L21">IF(SUMPRODUCT((Upload_Indiv_Player=$A21)*(Upload_Indiv_Date=L$2)*(Upload_Indiv_Gross))=0,"",SUMPRODUCT((Upload_Indiv_Player=$A21)*(Upload_Indiv_Date=L$2)*(Upload_Indiv_Gross)))</f>
        <v/>
      </c>
      <c r="M21" s="3" t="str" cm="1">
        <f t="array" ref="M21">IF(SUMPRODUCT((Upload_Indiv_Player=$A21)*(Upload_Indiv_Date=M$2)*(Upload_Indiv_Gross))=0,"",SUMPRODUCT((Upload_Indiv_Player=$A21)*(Upload_Indiv_Date=M$2)*(Upload_Indiv_Gross)))</f>
        <v/>
      </c>
      <c r="N21" s="3" t="str" cm="1">
        <f t="array" ref="N21">IF(SUMPRODUCT((Upload_Indiv_Player=$A21)*(Upload_Indiv_Date=N$2)*(Upload_Indiv_Gross))=0,"",SUMPRODUCT((Upload_Indiv_Player=$A21)*(Upload_Indiv_Date=N$2)*(Upload_Indiv_Gross)))</f>
        <v/>
      </c>
      <c r="O21" s="3" t="str" cm="1">
        <f t="array" ref="O21">IF(SUMPRODUCT((Upload_Indiv_Player=$A21)*(Upload_Indiv_Date=O$2)*(Upload_Indiv_Gross))=0,"",SUMPRODUCT((Upload_Indiv_Player=$A21)*(Upload_Indiv_Date=O$2)*(Upload_Indiv_Gross)))</f>
        <v/>
      </c>
      <c r="P21" s="3" t="str" cm="1">
        <f t="array" ref="P21">IF(SUMPRODUCT((Upload_Indiv_Player=$A21)*(Upload_Indiv_Date=P$2)*(Upload_Indiv_Gross))=0,"",SUMPRODUCT((Upload_Indiv_Player=$A21)*(Upload_Indiv_Date=P$2)*(Upload_Indiv_Gross)))</f>
        <v/>
      </c>
      <c r="Q21" s="2" t="str" cm="1">
        <f t="array" ref="Q21">IF(SUMPRODUCT((Upload_Indiv_Player=$A21)*(Upload_Indiv_Date=Q$2)*(Upload_Indiv_Gross))=0,"",SUMPRODUCT((Upload_Indiv_Player=$A21)*(Upload_Indiv_Date=Q$2)*(Upload_Indiv_Gross)))</f>
        <v/>
      </c>
      <c r="R21" s="2" t="str" cm="1">
        <f t="array" ref="R21">IF(SUMPRODUCT((Upload_Indiv_Player=$A21)*(Upload_Indiv_Date=R$2)*(Upload_Indiv_Gross))=0,"",SUMPRODUCT((Upload_Indiv_Player=$A21)*(Upload_Indiv_Date=R$2)*(Upload_Indiv_Gross)))</f>
        <v/>
      </c>
      <c r="S21" s="2" t="str" cm="1">
        <f t="array" ref="S21">IF(SUMPRODUCT((Upload_Indiv_Player=$A21)*(Upload_Indiv_Date=S$2)*(Upload_Indiv_Gross))=0,"",SUMPRODUCT((Upload_Indiv_Player=$A21)*(Upload_Indiv_Date=S$2)*(Upload_Indiv_Gross)))</f>
        <v/>
      </c>
      <c r="T21" s="2" t="str" cm="1">
        <f t="array" ref="T21">IF(SUMPRODUCT((Upload_Indiv_Player=$A21)*(Upload_Indiv_Date=T$2)*(Upload_Indiv_Gross))=0,"",SUMPRODUCT((Upload_Indiv_Player=$A21)*(Upload_Indiv_Date=T$2)*(Upload_Indiv_Gross)))</f>
        <v/>
      </c>
      <c r="U21" s="2" t="str" cm="1">
        <f t="array" ref="U21">IF(SUMPRODUCT((Upload_Indiv_Player=$A21)*(Upload_Indiv_Date=U$2)*(Upload_Indiv_Gross))=0,"",SUMPRODUCT((Upload_Indiv_Player=$A21)*(Upload_Indiv_Date=U$2)*(Upload_Indiv_Gross)))</f>
        <v/>
      </c>
      <c r="V21" s="273">
        <v>2</v>
      </c>
      <c r="W21" s="273">
        <v>1</v>
      </c>
      <c r="X21" s="273">
        <v>8</v>
      </c>
      <c r="Y21" s="277">
        <v>7</v>
      </c>
      <c r="Z21" s="277">
        <v>4</v>
      </c>
      <c r="AA21" s="277">
        <v>10</v>
      </c>
    </row>
    <row r="22" spans="1:27" x14ac:dyDescent="0.25">
      <c r="A22" s="216">
        <v>3304713160</v>
      </c>
      <c r="B22" s="2" t="s">
        <v>171</v>
      </c>
      <c r="C22" s="2" t="str" cm="1">
        <f t="array" ref="C22">IF(SUMPRODUCT((Upload_Indiv_Player=$A21)*(Upload_Indiv_Date=C$2)*(Upload_Indiv_Net))=0,"",SUMPRODUCT((Upload_Indiv_Player=$A21)*(Upload_Indiv_Date=C$2)*(Upload_Indiv_Net)))</f>
        <v/>
      </c>
      <c r="D22" s="2" t="str" cm="1">
        <f t="array" ref="D22">IF(SUMPRODUCT((Upload_Indiv_Player=$A21)*(Upload_Indiv_Date=D$2)*(Upload_Indiv_Net))=0,"",SUMPRODUCT((Upload_Indiv_Player=$A21)*(Upload_Indiv_Date=D$2)*(Upload_Indiv_Net)))</f>
        <v/>
      </c>
      <c r="E22" s="2" t="str" cm="1">
        <f t="array" ref="E22">IF(SUMPRODUCT((Upload_Indiv_Player=$A21)*(Upload_Indiv_Date=E$2)*(Upload_Indiv_Net))=0,"",SUMPRODUCT((Upload_Indiv_Player=$A21)*(Upload_Indiv_Date=E$2)*(Upload_Indiv_Net)))</f>
        <v/>
      </c>
      <c r="F22" s="2" t="str" cm="1">
        <f t="array" ref="F22">IF(SUMPRODUCT((Upload_Indiv_Player=$A21)*(Upload_Indiv_Date=F$2)*(Upload_Indiv_Net))=0,"",SUMPRODUCT((Upload_Indiv_Player=$A21)*(Upload_Indiv_Date=F$2)*(Upload_Indiv_Net)))</f>
        <v/>
      </c>
      <c r="G22" s="2" t="str" cm="1">
        <f t="array" ref="G22">IF(SUMPRODUCT((Upload_Indiv_Player=$A21)*(Upload_Indiv_Date=G$2)*(Upload_Indiv_Net))=0,"",SUMPRODUCT((Upload_Indiv_Player=$A21)*(Upload_Indiv_Date=G$2)*(Upload_Indiv_Net)))</f>
        <v/>
      </c>
      <c r="H22" s="2" t="str" cm="1">
        <f t="array" ref="H22">IF(SUMPRODUCT((Upload_Indiv_Player=$A21)*(Upload_Indiv_Date=H$2)*(Upload_Indiv_Net))=0,"",SUMPRODUCT((Upload_Indiv_Player=$A21)*(Upload_Indiv_Date=H$2)*(Upload_Indiv_Net)))</f>
        <v/>
      </c>
      <c r="I22" s="2" t="str" cm="1">
        <f t="array" ref="I22">IF(SUMPRODUCT((Upload_Indiv_Player=$A21)*(Upload_Indiv_Date=I$2)*(Upload_Indiv_Net))=0,"",SUMPRODUCT((Upload_Indiv_Player=$A21)*(Upload_Indiv_Date=I$2)*(Upload_Indiv_Net)))</f>
        <v/>
      </c>
      <c r="J22" s="2" t="str" cm="1">
        <f t="array" ref="J22">IF(SUMPRODUCT((Upload_Indiv_Player=$A21)*(Upload_Indiv_Date=J$2)*(Upload_Indiv_Net))=0,"",SUMPRODUCT((Upload_Indiv_Player=$A21)*(Upload_Indiv_Date=J$2)*(Upload_Indiv_Net)))</f>
        <v/>
      </c>
      <c r="K22" s="2" t="str" cm="1">
        <f t="array" ref="K22">IF(SUMPRODUCT((Upload_Indiv_Player=$A21)*(Upload_Indiv_Date=K$2)*(Upload_Indiv_Net))=0,"",SUMPRODUCT((Upload_Indiv_Player=$A21)*(Upload_Indiv_Date=K$2)*(Upload_Indiv_Net)))</f>
        <v/>
      </c>
      <c r="L22" s="2" t="str" cm="1">
        <f t="array" ref="L22">IF(SUMPRODUCT((Upload_Indiv_Player=$A21)*(Upload_Indiv_Date=L$2)*(Upload_Indiv_Net))=0,"",SUMPRODUCT((Upload_Indiv_Player=$A21)*(Upload_Indiv_Date=L$2)*(Upload_Indiv_Net)))</f>
        <v/>
      </c>
      <c r="M22" s="2" t="str" cm="1">
        <f t="array" ref="M22">IF(SUMPRODUCT((Upload_Indiv_Player=$A21)*(Upload_Indiv_Date=M$2)*(Upload_Indiv_Net))=0,"",SUMPRODUCT((Upload_Indiv_Player=$A21)*(Upload_Indiv_Date=M$2)*(Upload_Indiv_Net)))</f>
        <v/>
      </c>
      <c r="N22" s="2" t="str" cm="1">
        <f t="array" ref="N22">IF(SUMPRODUCT((Upload_Indiv_Player=$A21)*(Upload_Indiv_Date=N$2)*(Upload_Indiv_Net))=0,"",SUMPRODUCT((Upload_Indiv_Player=$A21)*(Upload_Indiv_Date=N$2)*(Upload_Indiv_Net)))</f>
        <v/>
      </c>
      <c r="O22" s="2" t="str" cm="1">
        <f t="array" ref="O22">IF(SUMPRODUCT((Upload_Indiv_Player=$A21)*(Upload_Indiv_Date=O$2)*(Upload_Indiv_Net))=0,"",SUMPRODUCT((Upload_Indiv_Player=$A21)*(Upload_Indiv_Date=O$2)*(Upload_Indiv_Net)))</f>
        <v/>
      </c>
      <c r="P22" s="2" t="str" cm="1">
        <f t="array" ref="P22">IF(SUMPRODUCT((Upload_Indiv_Player=$A21)*(Upload_Indiv_Date=P$2)*(Upload_Indiv_Net))=0,"",SUMPRODUCT((Upload_Indiv_Player=$A21)*(Upload_Indiv_Date=P$2)*(Upload_Indiv_Net)))</f>
        <v/>
      </c>
      <c r="Q22" s="2" t="str" cm="1">
        <f t="array" ref="Q22">IF(SUMPRODUCT((Upload_Indiv_Player=$A21)*(Upload_Indiv_Date=Q$2)*(Upload_Indiv_Net))=0,"",SUMPRODUCT((Upload_Indiv_Player=$A21)*(Upload_Indiv_Date=Q$2)*(Upload_Indiv_Net)))</f>
        <v/>
      </c>
      <c r="R22" s="2" t="str" cm="1">
        <f t="array" ref="R22">IF(SUMPRODUCT((Upload_Indiv_Player=$A21)*(Upload_Indiv_Date=R$2)*(Upload_Indiv_Net))=0,"",SUMPRODUCT((Upload_Indiv_Player=$A21)*(Upload_Indiv_Date=R$2)*(Upload_Indiv_Net)))</f>
        <v/>
      </c>
      <c r="S22" s="2" t="str" cm="1">
        <f t="array" ref="S22">IF(SUMPRODUCT((Upload_Indiv_Player=$A21)*(Upload_Indiv_Date=S$2)*(Upload_Indiv_Net))=0,"",SUMPRODUCT((Upload_Indiv_Player=$A21)*(Upload_Indiv_Date=S$2)*(Upload_Indiv_Net)))</f>
        <v/>
      </c>
      <c r="T22" s="2" t="str" cm="1">
        <f t="array" ref="T22">IF(SUMPRODUCT((Upload_Indiv_Player=$A21)*(Upload_Indiv_Date=T$2)*(Upload_Indiv_Net))=0,"",SUMPRODUCT((Upload_Indiv_Player=$A21)*(Upload_Indiv_Date=T$2)*(Upload_Indiv_Net)))</f>
        <v/>
      </c>
      <c r="U22" s="2" t="str" cm="1">
        <f t="array" ref="U22">IF(SUMPRODUCT((Upload_Indiv_Player=$A21)*(Upload_Indiv_Date=U$2)*(Upload_Indiv_Net))=0,"",SUMPRODUCT((Upload_Indiv_Player=$A21)*(Upload_Indiv_Date=U$2)*(Upload_Indiv_Net)))</f>
        <v/>
      </c>
      <c r="V22" s="279">
        <v>49.5</v>
      </c>
      <c r="W22" s="276"/>
      <c r="X22" s="276"/>
      <c r="Y22" s="277"/>
      <c r="Z22" s="277"/>
      <c r="AA22" s="277"/>
    </row>
    <row r="23" spans="1:27" x14ac:dyDescent="0.25">
      <c r="A23" s="65" t="s">
        <v>180</v>
      </c>
      <c r="B23" s="2" t="s">
        <v>173</v>
      </c>
      <c r="C23" s="2" t="str" cm="1">
        <f t="array" ref="C23">IF(SUMPRODUCT((Upload_Indiv_Player=$A21)*(Upload_Indiv_Date=C$2)*(Upload_Indiv_PointsTot))=0,"",SUMPRODUCT((Upload_Indiv_Player=$A21)*(Upload_Indiv_Date=C$2)*(Upload_Indiv_PointsTot)))</f>
        <v/>
      </c>
      <c r="D23" s="2" t="str" cm="1">
        <f t="array" ref="D23">IF(SUMPRODUCT((Upload_Indiv_Player=$A21)*(Upload_Indiv_Date=D$2)*(Upload_Indiv_PointsTot))=0,"",SUMPRODUCT((Upload_Indiv_Player=$A21)*(Upload_Indiv_Date=D$2)*(Upload_Indiv_PointsTot)))</f>
        <v/>
      </c>
      <c r="E23" s="2" t="str" cm="1">
        <f t="array" ref="E23">IF(SUMPRODUCT((Upload_Indiv_Player=$A21)*(Upload_Indiv_Date=E$2)*(Upload_Indiv_PointsTot))=0,"",SUMPRODUCT((Upload_Indiv_Player=$A21)*(Upload_Indiv_Date=E$2)*(Upload_Indiv_PointsTot)))</f>
        <v/>
      </c>
      <c r="F23" s="2" t="str" cm="1">
        <f t="array" ref="F23">IF(SUMPRODUCT((Upload_Indiv_Player=$A21)*(Upload_Indiv_Date=F$2)*(Upload_Indiv_PointsTot))=0,"",SUMPRODUCT((Upload_Indiv_Player=$A21)*(Upload_Indiv_Date=F$2)*(Upload_Indiv_PointsTot)))</f>
        <v/>
      </c>
      <c r="G23" s="2" t="str" cm="1">
        <f t="array" ref="G23">IF(SUMPRODUCT((Upload_Indiv_Player=$A21)*(Upload_Indiv_Date=G$2)*(Upload_Indiv_PointsTot))=0,"",SUMPRODUCT((Upload_Indiv_Player=$A21)*(Upload_Indiv_Date=G$2)*(Upload_Indiv_PointsTot)))</f>
        <v/>
      </c>
      <c r="H23" s="2" t="str" cm="1">
        <f t="array" ref="H23">IF(SUMPRODUCT((Upload_Indiv_Player=$A21)*(Upload_Indiv_Date=H$2)*(Upload_Indiv_PointsTot))=0,"",SUMPRODUCT((Upload_Indiv_Player=$A21)*(Upload_Indiv_Date=H$2)*(Upload_Indiv_PointsTot)))</f>
        <v/>
      </c>
      <c r="I23" s="2" t="str" cm="1">
        <f t="array" ref="I23">IF(SUMPRODUCT((Upload_Indiv_Player=$A21)*(Upload_Indiv_Date=I$2)*(Upload_Indiv_PointsTot))=0,"",SUMPRODUCT((Upload_Indiv_Player=$A21)*(Upload_Indiv_Date=I$2)*(Upload_Indiv_PointsTot)))</f>
        <v/>
      </c>
      <c r="J23" s="2" t="str" cm="1">
        <f t="array" ref="J23">IF(SUMPRODUCT((Upload_Indiv_Player=$A21)*(Upload_Indiv_Date=J$2)*(Upload_Indiv_PointsTot))=0,"",SUMPRODUCT((Upload_Indiv_Player=$A21)*(Upload_Indiv_Date=J$2)*(Upload_Indiv_PointsTot)))</f>
        <v/>
      </c>
      <c r="K23" s="2" t="str" cm="1">
        <f t="array" ref="K23">IF(SUMPRODUCT((Upload_Indiv_Player=$A21)*(Upload_Indiv_Date=K$2)*(Upload_Indiv_PointsTot))=0,"",SUMPRODUCT((Upload_Indiv_Player=$A21)*(Upload_Indiv_Date=K$2)*(Upload_Indiv_PointsTot)))</f>
        <v/>
      </c>
      <c r="L23" s="2" t="str" cm="1">
        <f t="array" ref="L23">IF(SUMPRODUCT((Upload_Indiv_Player=$A21)*(Upload_Indiv_Date=L$2)*(Upload_Indiv_PointsTot))=0,"",SUMPRODUCT((Upload_Indiv_Player=$A21)*(Upload_Indiv_Date=L$2)*(Upload_Indiv_PointsTot)))</f>
        <v/>
      </c>
      <c r="M23" s="2" t="str" cm="1">
        <f t="array" ref="M23">IF(SUMPRODUCT((Upload_Indiv_Player=$A21)*(Upload_Indiv_Date=M$2)*(Upload_Indiv_PointsTot))=0,"",SUMPRODUCT((Upload_Indiv_Player=$A21)*(Upload_Indiv_Date=M$2)*(Upload_Indiv_PointsTot)))</f>
        <v/>
      </c>
      <c r="N23" s="2" t="str" cm="1">
        <f t="array" ref="N23">IF(SUMPRODUCT((Upload_Indiv_Player=$A21)*(Upload_Indiv_Date=N$2)*(Upload_Indiv_PointsTot))=0,"",SUMPRODUCT((Upload_Indiv_Player=$A21)*(Upload_Indiv_Date=N$2)*(Upload_Indiv_PointsTot)))</f>
        <v/>
      </c>
      <c r="O23" s="2" t="str" cm="1">
        <f t="array" ref="O23">IF(SUMPRODUCT((Upload_Indiv_Player=$A21)*(Upload_Indiv_Date=O$2)*(Upload_Indiv_PointsTot))=0,"",SUMPRODUCT((Upload_Indiv_Player=$A21)*(Upload_Indiv_Date=O$2)*(Upload_Indiv_PointsTot)))</f>
        <v/>
      </c>
      <c r="P23" s="2" t="str" cm="1">
        <f t="array" ref="P23">IF(SUMPRODUCT((Upload_Indiv_Player=$A21)*(Upload_Indiv_Date=P$2)*(Upload_Indiv_PointsTot))=0,"",SUMPRODUCT((Upload_Indiv_Player=$A21)*(Upload_Indiv_Date=P$2)*(Upload_Indiv_PointsTot)))</f>
        <v/>
      </c>
      <c r="Q23" s="2" t="str" cm="1">
        <f t="array" ref="Q23">IF(SUMPRODUCT((Upload_Indiv_Player=$A21)*(Upload_Indiv_Date=Q$2)*(Upload_Indiv_PointsTot))=0,"",SUMPRODUCT((Upload_Indiv_Player=$A21)*(Upload_Indiv_Date=Q$2)*(Upload_Indiv_PointsTot)))</f>
        <v/>
      </c>
      <c r="R23" s="2" t="str" cm="1">
        <f t="array" ref="R23">IF(SUMPRODUCT((Upload_Indiv_Player=$A21)*(Upload_Indiv_Date=R$2)*(Upload_Indiv_PointsTot))=0,"",SUMPRODUCT((Upload_Indiv_Player=$A21)*(Upload_Indiv_Date=R$2)*(Upload_Indiv_PointsTot)))</f>
        <v/>
      </c>
      <c r="S23" s="2" t="str" cm="1">
        <f t="array" ref="S23">IF(SUMPRODUCT((Upload_Indiv_Player=$A21)*(Upload_Indiv_Date=S$2)*(Upload_Indiv_PointsTot))=0,"",SUMPRODUCT((Upload_Indiv_Player=$A21)*(Upload_Indiv_Date=S$2)*(Upload_Indiv_PointsTot)))</f>
        <v/>
      </c>
      <c r="T23" s="2" t="str" cm="1">
        <f t="array" ref="T23">IF(SUMPRODUCT((Upload_Indiv_Player=$A21)*(Upload_Indiv_Date=T$2)*(Upload_Indiv_PointsTot))=0,"",SUMPRODUCT((Upload_Indiv_Player=$A21)*(Upload_Indiv_Date=T$2)*(Upload_Indiv_PointsTot)))</f>
        <v/>
      </c>
      <c r="U23" s="2" t="str" cm="1">
        <f t="array" ref="U23">IF(SUMPRODUCT((Upload_Indiv_Player=$A21)*(Upload_Indiv_Date=U$2)*(Upload_Indiv_PointsTot))=0,"",SUMPRODUCT((Upload_Indiv_Player=$A21)*(Upload_Indiv_Date=U$2)*(Upload_Indiv_PointsTot)))</f>
        <v/>
      </c>
      <c r="V23" s="276"/>
      <c r="W23" s="276"/>
      <c r="X23" s="276"/>
      <c r="Y23" s="277"/>
      <c r="Z23" s="277"/>
      <c r="AA23" s="277"/>
    </row>
    <row r="24" spans="1:27" x14ac:dyDescent="0.25">
      <c r="A24" s="14"/>
      <c r="B24" s="2" t="s">
        <v>174</v>
      </c>
      <c r="C24" s="2" t="str" cm="1">
        <f t="array" ref="C24">IF(SUMPRODUCT((Upload_Indiv_Player=$A21)*(Upload_Indiv_Date=C$2)*(Upload_Indiv_Tot_Birds))=0,"",SUMPRODUCT((Upload_Indiv_Player=$A21)*(Upload_Indiv_Date=C$2)*(Upload_Indiv_Tot_Birds)))</f>
        <v/>
      </c>
      <c r="D24" s="2" t="str" cm="1">
        <f t="array" ref="D24">IF(SUMPRODUCT((Upload_Indiv_Player=$A21)*(Upload_Indiv_Date=D$2)*(Upload_Indiv_Tot_Birds))=0,"",SUMPRODUCT((Upload_Indiv_Player=$A21)*(Upload_Indiv_Date=D$2)*(Upload_Indiv_Tot_Birds)))</f>
        <v/>
      </c>
      <c r="E24" s="2" t="str" cm="1">
        <f t="array" ref="E24">IF(SUMPRODUCT((Upload_Indiv_Player=$A21)*(Upload_Indiv_Date=E$2)*(Upload_Indiv_Tot_Birds))=0,"",SUMPRODUCT((Upload_Indiv_Player=$A21)*(Upload_Indiv_Date=E$2)*(Upload_Indiv_Tot_Birds)))</f>
        <v/>
      </c>
      <c r="F24" s="2" t="str" cm="1">
        <f t="array" ref="F24">IF(SUMPRODUCT((Upload_Indiv_Player=$A21)*(Upload_Indiv_Date=F$2)*(Upload_Indiv_Tot_Birds))=0,"",SUMPRODUCT((Upload_Indiv_Player=$A21)*(Upload_Indiv_Date=F$2)*(Upload_Indiv_Tot_Birds)))</f>
        <v/>
      </c>
      <c r="G24" s="2" t="str" cm="1">
        <f t="array" ref="G24">IF(SUMPRODUCT((Upload_Indiv_Player=$A21)*(Upload_Indiv_Date=G$2)*(Upload_Indiv_Tot_Birds))=0,"",SUMPRODUCT((Upload_Indiv_Player=$A21)*(Upload_Indiv_Date=G$2)*(Upload_Indiv_Tot_Birds)))</f>
        <v/>
      </c>
      <c r="H24" s="2" t="str" cm="1">
        <f t="array" ref="H24">IF(SUMPRODUCT((Upload_Indiv_Player=$A21)*(Upload_Indiv_Date=H$2)*(Upload_Indiv_Tot_Birds))=0,"",SUMPRODUCT((Upload_Indiv_Player=$A21)*(Upload_Indiv_Date=H$2)*(Upload_Indiv_Tot_Birds)))</f>
        <v/>
      </c>
      <c r="I24" s="2" t="str" cm="1">
        <f t="array" ref="I24">IF(SUMPRODUCT((Upload_Indiv_Player=$A21)*(Upload_Indiv_Date=I$2)*(Upload_Indiv_Tot_Birds))=0,"",SUMPRODUCT((Upload_Indiv_Player=$A21)*(Upload_Indiv_Date=I$2)*(Upload_Indiv_Tot_Birds)))</f>
        <v/>
      </c>
      <c r="J24" s="2" t="str" cm="1">
        <f t="array" ref="J24">IF(SUMPRODUCT((Upload_Indiv_Player=$A21)*(Upload_Indiv_Date=J$2)*(Upload_Indiv_Tot_Birds))=0,"",SUMPRODUCT((Upload_Indiv_Player=$A21)*(Upload_Indiv_Date=J$2)*(Upload_Indiv_Tot_Birds)))</f>
        <v/>
      </c>
      <c r="K24" s="2" t="str" cm="1">
        <f t="array" ref="K24">IF(SUMPRODUCT((Upload_Indiv_Player=$A21)*(Upload_Indiv_Date=K$2)*(Upload_Indiv_Tot_Birds))=0,"",SUMPRODUCT((Upload_Indiv_Player=$A21)*(Upload_Indiv_Date=K$2)*(Upload_Indiv_Tot_Birds)))</f>
        <v/>
      </c>
      <c r="L24" s="2" t="str" cm="1">
        <f t="array" ref="L24">IF(SUMPRODUCT((Upload_Indiv_Player=$A21)*(Upload_Indiv_Date=L$2)*(Upload_Indiv_Tot_Birds))=0,"",SUMPRODUCT((Upload_Indiv_Player=$A21)*(Upload_Indiv_Date=L$2)*(Upload_Indiv_Tot_Birds)))</f>
        <v/>
      </c>
      <c r="M24" s="2" t="str" cm="1">
        <f t="array" ref="M24">IF(SUMPRODUCT((Upload_Indiv_Player=$A21)*(Upload_Indiv_Date=M$2)*(Upload_Indiv_Tot_Birds))=0,"",SUMPRODUCT((Upload_Indiv_Player=$A21)*(Upload_Indiv_Date=M$2)*(Upload_Indiv_Tot_Birds)))</f>
        <v/>
      </c>
      <c r="N24" s="2" t="str" cm="1">
        <f t="array" ref="N24">IF(SUMPRODUCT((Upload_Indiv_Player=$A21)*(Upload_Indiv_Date=N$2)*(Upload_Indiv_Tot_Birds))=0,"",SUMPRODUCT((Upload_Indiv_Player=$A21)*(Upload_Indiv_Date=N$2)*(Upload_Indiv_Tot_Birds)))</f>
        <v/>
      </c>
      <c r="O24" s="2" t="str" cm="1">
        <f t="array" ref="O24">IF(SUMPRODUCT((Upload_Indiv_Player=$A21)*(Upload_Indiv_Date=O$2)*(Upload_Indiv_Tot_Birds))=0,"",SUMPRODUCT((Upload_Indiv_Player=$A21)*(Upload_Indiv_Date=O$2)*(Upload_Indiv_Tot_Birds)))</f>
        <v/>
      </c>
      <c r="P24" s="2" t="str" cm="1">
        <f t="array" ref="P24">IF(SUMPRODUCT((Upload_Indiv_Player=$A21)*(Upload_Indiv_Date=P$2)*(Upload_Indiv_Tot_Birds))=0,"",SUMPRODUCT((Upload_Indiv_Player=$A21)*(Upload_Indiv_Date=P$2)*(Upload_Indiv_Tot_Birds)))</f>
        <v/>
      </c>
      <c r="Q24" s="2" t="str" cm="1">
        <f t="array" ref="Q24">IF(SUMPRODUCT((Upload_Indiv_Player=$A21)*(Upload_Indiv_Date=Q$2)*(Upload_Indiv_Tot_Birds))=0,"",SUMPRODUCT((Upload_Indiv_Player=$A21)*(Upload_Indiv_Date=Q$2)*(Upload_Indiv_Tot_Birds)))</f>
        <v/>
      </c>
      <c r="R24" s="2" t="str" cm="1">
        <f t="array" ref="R24">IF(SUMPRODUCT((Upload_Indiv_Player=$A21)*(Upload_Indiv_Date=R$2)*(Upload_Indiv_Tot_Birds))=0,"",SUMPRODUCT((Upload_Indiv_Player=$A21)*(Upload_Indiv_Date=R$2)*(Upload_Indiv_Tot_Birds)))</f>
        <v/>
      </c>
      <c r="S24" s="2" t="str" cm="1">
        <f t="array" ref="S24">IF(SUMPRODUCT((Upload_Indiv_Player=$A21)*(Upload_Indiv_Date=S$2)*(Upload_Indiv_Tot_Birds))=0,"",SUMPRODUCT((Upload_Indiv_Player=$A21)*(Upload_Indiv_Date=S$2)*(Upload_Indiv_Tot_Birds)))</f>
        <v/>
      </c>
      <c r="T24" s="2" t="str" cm="1">
        <f t="array" ref="T24">IF(SUMPRODUCT((Upload_Indiv_Player=$A21)*(Upload_Indiv_Date=T$2)*(Upload_Indiv_Tot_Birds))=0,"",SUMPRODUCT((Upload_Indiv_Player=$A21)*(Upload_Indiv_Date=T$2)*(Upload_Indiv_Tot_Birds)))</f>
        <v/>
      </c>
      <c r="U24" s="2" t="str" cm="1">
        <f t="array" ref="U24">IF(SUMPRODUCT((Upload_Indiv_Player=$A21)*(Upload_Indiv_Date=U$2)*(Upload_Indiv_Tot_Birds))=0,"",SUMPRODUCT((Upload_Indiv_Player=$A21)*(Upload_Indiv_Date=U$2)*(Upload_Indiv_Tot_Birds)))</f>
        <v/>
      </c>
      <c r="V24" s="276"/>
      <c r="W24" s="276"/>
      <c r="X24" s="276"/>
      <c r="Y24" s="277"/>
      <c r="Z24" s="277"/>
      <c r="AA24" s="277"/>
    </row>
    <row r="25" spans="1:27" x14ac:dyDescent="0.25">
      <c r="A25" s="14"/>
      <c r="B25" s="8" t="s">
        <v>175</v>
      </c>
      <c r="C25" s="2" t="str" cm="1">
        <f t="array" ref="C25">IF(SUMPRODUCT((Upload_Indiv_Player=$A21)*(Upload_Indiv_Date=C$2)*(Upload_Indiv_Tot_Eagles))=0,"",SUMPRODUCT((Upload_Indiv_Player=$A21)*(Upload_Indiv_Date=C$2)*(Upload_Indiv_Tot_Eagles)))</f>
        <v/>
      </c>
      <c r="D25" s="2" t="str" cm="1">
        <f t="array" ref="D25">IF(SUMPRODUCT((Upload_Indiv_Player=$A21)*(Upload_Indiv_Date=D$2)*(Upload_Indiv_Tot_Eagles))=0,"",SUMPRODUCT((Upload_Indiv_Player=$A21)*(Upload_Indiv_Date=D$2)*(Upload_Indiv_Tot_Eagles)))</f>
        <v/>
      </c>
      <c r="E25" s="2" t="str" cm="1">
        <f t="array" ref="E25">IF(SUMPRODUCT((Upload_Indiv_Player=$A21)*(Upload_Indiv_Date=E$2)*(Upload_Indiv_Tot_Eagles))=0,"",SUMPRODUCT((Upload_Indiv_Player=$A21)*(Upload_Indiv_Date=E$2)*(Upload_Indiv_Tot_Eagles)))</f>
        <v/>
      </c>
      <c r="F25" s="2" t="str" cm="1">
        <f t="array" ref="F25">IF(SUMPRODUCT((Upload_Indiv_Player=$A21)*(Upload_Indiv_Date=F$2)*(Upload_Indiv_Tot_Eagles))=0,"",SUMPRODUCT((Upload_Indiv_Player=$A21)*(Upload_Indiv_Date=F$2)*(Upload_Indiv_Tot_Eagles)))</f>
        <v/>
      </c>
      <c r="G25" s="2" t="str" cm="1">
        <f t="array" ref="G25">IF(SUMPRODUCT((Upload_Indiv_Player=$A21)*(Upload_Indiv_Date=G$2)*(Upload_Indiv_Tot_Eagles))=0,"",SUMPRODUCT((Upload_Indiv_Player=$A21)*(Upload_Indiv_Date=G$2)*(Upload_Indiv_Tot_Eagles)))</f>
        <v/>
      </c>
      <c r="H25" s="2" t="str" cm="1">
        <f t="array" ref="H25">IF(SUMPRODUCT((Upload_Indiv_Player=$A21)*(Upload_Indiv_Date=H$2)*(Upload_Indiv_Tot_Eagles))=0,"",SUMPRODUCT((Upload_Indiv_Player=$A21)*(Upload_Indiv_Date=H$2)*(Upload_Indiv_Tot_Eagles)))</f>
        <v/>
      </c>
      <c r="I25" s="2" t="str" cm="1">
        <f t="array" ref="I25">IF(SUMPRODUCT((Upload_Indiv_Player=$A21)*(Upload_Indiv_Date=I$2)*(Upload_Indiv_Tot_Eagles))=0,"",SUMPRODUCT((Upload_Indiv_Player=$A21)*(Upload_Indiv_Date=I$2)*(Upload_Indiv_Tot_Eagles)))</f>
        <v/>
      </c>
      <c r="J25" s="2" t="str" cm="1">
        <f t="array" ref="J25">IF(SUMPRODUCT((Upload_Indiv_Player=$A21)*(Upload_Indiv_Date=J$2)*(Upload_Indiv_Tot_Eagles))=0,"",SUMPRODUCT((Upload_Indiv_Player=$A21)*(Upload_Indiv_Date=J$2)*(Upload_Indiv_Tot_Eagles)))</f>
        <v/>
      </c>
      <c r="K25" s="2" t="str" cm="1">
        <f t="array" ref="K25">IF(SUMPRODUCT((Upload_Indiv_Player=$A21)*(Upload_Indiv_Date=K$2)*(Upload_Indiv_Tot_Eagles))=0,"",SUMPRODUCT((Upload_Indiv_Player=$A21)*(Upload_Indiv_Date=K$2)*(Upload_Indiv_Tot_Eagles)))</f>
        <v/>
      </c>
      <c r="L25" s="2" t="str" cm="1">
        <f t="array" ref="L25">IF(SUMPRODUCT((Upload_Indiv_Player=$A21)*(Upload_Indiv_Date=L$2)*(Upload_Indiv_Tot_Eagles))=0,"",SUMPRODUCT((Upload_Indiv_Player=$A21)*(Upload_Indiv_Date=L$2)*(Upload_Indiv_Tot_Eagles)))</f>
        <v/>
      </c>
      <c r="M25" s="2" t="str" cm="1">
        <f t="array" ref="M25">IF(SUMPRODUCT((Upload_Indiv_Player=$A21)*(Upload_Indiv_Date=M$2)*(Upload_Indiv_Tot_Eagles))=0,"",SUMPRODUCT((Upload_Indiv_Player=$A21)*(Upload_Indiv_Date=M$2)*(Upload_Indiv_Tot_Eagles)))</f>
        <v/>
      </c>
      <c r="N25" s="2" t="str" cm="1">
        <f t="array" ref="N25">IF(SUMPRODUCT((Upload_Indiv_Player=$A21)*(Upload_Indiv_Date=N$2)*(Upload_Indiv_Tot_Eagles))=0,"",SUMPRODUCT((Upload_Indiv_Player=$A21)*(Upload_Indiv_Date=N$2)*(Upload_Indiv_Tot_Eagles)))</f>
        <v/>
      </c>
      <c r="O25" s="2" t="str" cm="1">
        <f t="array" ref="O25">IF(SUMPRODUCT((Upload_Indiv_Player=$A21)*(Upload_Indiv_Date=O$2)*(Upload_Indiv_Tot_Eagles))=0,"",SUMPRODUCT((Upload_Indiv_Player=$A21)*(Upload_Indiv_Date=O$2)*(Upload_Indiv_Tot_Eagles)))</f>
        <v/>
      </c>
      <c r="P25" s="2" t="str" cm="1">
        <f t="array" ref="P25">IF(SUMPRODUCT((Upload_Indiv_Player=$A21)*(Upload_Indiv_Date=P$2)*(Upload_Indiv_Tot_Eagles))=0,"",SUMPRODUCT((Upload_Indiv_Player=$A21)*(Upload_Indiv_Date=P$2)*(Upload_Indiv_Tot_Eagles)))</f>
        <v/>
      </c>
      <c r="Q25" s="2" t="str" cm="1">
        <f t="array" ref="Q25">IF(SUMPRODUCT((Upload_Indiv_Player=$A21)*(Upload_Indiv_Date=Q$2)*(Upload_Indiv_Tot_Eagles))=0,"",SUMPRODUCT((Upload_Indiv_Player=$A21)*(Upload_Indiv_Date=Q$2)*(Upload_Indiv_Tot_Eagles)))</f>
        <v/>
      </c>
      <c r="R25" s="2" t="str" cm="1">
        <f t="array" ref="R25">IF(SUMPRODUCT((Upload_Indiv_Player=$A21)*(Upload_Indiv_Date=R$2)*(Upload_Indiv_Tot_Eagles))=0,"",SUMPRODUCT((Upload_Indiv_Player=$A21)*(Upload_Indiv_Date=R$2)*(Upload_Indiv_Tot_Eagles)))</f>
        <v/>
      </c>
      <c r="S25" s="2" t="str" cm="1">
        <f t="array" ref="S25">IF(SUMPRODUCT((Upload_Indiv_Player=$A21)*(Upload_Indiv_Date=S$2)*(Upload_Indiv_Tot_Eagles))=0,"",SUMPRODUCT((Upload_Indiv_Player=$A21)*(Upload_Indiv_Date=S$2)*(Upload_Indiv_Tot_Eagles)))</f>
        <v/>
      </c>
      <c r="T25" s="2" t="str" cm="1">
        <f t="array" ref="T25">IF(SUMPRODUCT((Upload_Indiv_Player=$A21)*(Upload_Indiv_Date=T$2)*(Upload_Indiv_Tot_Eagles))=0,"",SUMPRODUCT((Upload_Indiv_Player=$A21)*(Upload_Indiv_Date=T$2)*(Upload_Indiv_Tot_Eagles)))</f>
        <v/>
      </c>
      <c r="U25" s="2" t="str" cm="1">
        <f t="array" ref="U25">IF(SUMPRODUCT((Upload_Indiv_Player=$A21)*(Upload_Indiv_Date=U$2)*(Upload_Indiv_Tot_Eagles))=0,"",SUMPRODUCT((Upload_Indiv_Player=$A21)*(Upload_Indiv_Date=U$2)*(Upload_Indiv_Tot_Eagles)))</f>
        <v/>
      </c>
      <c r="V25" s="276"/>
      <c r="W25" s="276"/>
      <c r="X25" s="276"/>
      <c r="Y25" s="277"/>
      <c r="Z25" s="278"/>
      <c r="AA25" s="277"/>
    </row>
    <row r="26" spans="1:27" x14ac:dyDescent="0.25">
      <c r="A26" s="14"/>
      <c r="B26" s="2" t="s">
        <v>176</v>
      </c>
      <c r="C26" s="2" t="str" cm="1">
        <f t="array" ref="C26">IF(SUMPRODUCT((Upload_Indiv_Player=$A21)*(Upload_Indiv_Date=C$2)*(Upload_Indiv_Excl_Score))=0,"",SUMPRODUCT((Upload_Indiv_Player=$A21)*(Upload_Indiv_Date=C$2)*(Upload_Indiv_Excl_Score)))</f>
        <v/>
      </c>
      <c r="D26" s="2" t="str" cm="1">
        <f t="array" ref="D26">IF(SUMPRODUCT((Upload_Indiv_Player=$A21)*(Upload_Indiv_Date=D$2)*(Upload_Indiv_Excl_Score))=0,"",SUMPRODUCT((Upload_Indiv_Player=$A21)*(Upload_Indiv_Date=D$2)*(Upload_Indiv_Excl_Score)))</f>
        <v/>
      </c>
      <c r="E26" s="2" t="str" cm="1">
        <f t="array" ref="E26">IF(SUMPRODUCT((Upload_Indiv_Player=$A21)*(Upload_Indiv_Date=E$2)*(Upload_Indiv_Excl_Score))=0,"",SUMPRODUCT((Upload_Indiv_Player=$A21)*(Upload_Indiv_Date=E$2)*(Upload_Indiv_Excl_Score)))</f>
        <v/>
      </c>
      <c r="F26" s="2" t="str" cm="1">
        <f t="array" ref="F26">IF(SUMPRODUCT((Upload_Indiv_Player=$A21)*(Upload_Indiv_Date=F$2)*(Upload_Indiv_Excl_Score))=0,"",SUMPRODUCT((Upload_Indiv_Player=$A21)*(Upload_Indiv_Date=F$2)*(Upload_Indiv_Excl_Score)))</f>
        <v/>
      </c>
      <c r="G26" s="2" t="str" cm="1">
        <f t="array" ref="G26">IF(SUMPRODUCT((Upload_Indiv_Player=$A21)*(Upload_Indiv_Date=G$2)*(Upload_Indiv_Excl_Score))=0,"",SUMPRODUCT((Upload_Indiv_Player=$A21)*(Upload_Indiv_Date=G$2)*(Upload_Indiv_Excl_Score)))</f>
        <v/>
      </c>
      <c r="H26" s="2" t="str" cm="1">
        <f t="array" ref="H26">IF(SUMPRODUCT((Upload_Indiv_Player=$A21)*(Upload_Indiv_Date=H$2)*(Upload_Indiv_Excl_Score))=0,"",SUMPRODUCT((Upload_Indiv_Player=$A21)*(Upload_Indiv_Date=H$2)*(Upload_Indiv_Excl_Score)))</f>
        <v/>
      </c>
      <c r="I26" s="2" t="str" cm="1">
        <f t="array" ref="I26">IF(SUMPRODUCT((Upload_Indiv_Player=$A21)*(Upload_Indiv_Date=I$2)*(Upload_Indiv_Excl_Score))=0,"",SUMPRODUCT((Upload_Indiv_Player=$A21)*(Upload_Indiv_Date=I$2)*(Upload_Indiv_Excl_Score)))</f>
        <v/>
      </c>
      <c r="J26" s="2" t="str" cm="1">
        <f t="array" ref="J26">IF(SUMPRODUCT((Upload_Indiv_Player=$A21)*(Upload_Indiv_Date=J$2)*(Upload_Indiv_Excl_Score))=0,"",SUMPRODUCT((Upload_Indiv_Player=$A21)*(Upload_Indiv_Date=J$2)*(Upload_Indiv_Excl_Score)))</f>
        <v/>
      </c>
      <c r="K26" s="2" t="str" cm="1">
        <f t="array" ref="K26">IF(SUMPRODUCT((Upload_Indiv_Player=$A21)*(Upload_Indiv_Date=K$2)*(Upload_Indiv_Excl_Score))=0,"",SUMPRODUCT((Upload_Indiv_Player=$A21)*(Upload_Indiv_Date=K$2)*(Upload_Indiv_Excl_Score)))</f>
        <v/>
      </c>
      <c r="L26" s="2" t="str" cm="1">
        <f t="array" ref="L26">IF(SUMPRODUCT((Upload_Indiv_Player=$A21)*(Upload_Indiv_Date=L$2)*(Upload_Indiv_Excl_Score))=0,"",SUMPRODUCT((Upload_Indiv_Player=$A21)*(Upload_Indiv_Date=L$2)*(Upload_Indiv_Excl_Score)))</f>
        <v/>
      </c>
      <c r="M26" s="2" t="str" cm="1">
        <f t="array" ref="M26">IF(SUMPRODUCT((Upload_Indiv_Player=$A21)*(Upload_Indiv_Date=M$2)*(Upload_Indiv_Excl_Score))=0,"",SUMPRODUCT((Upload_Indiv_Player=$A21)*(Upload_Indiv_Date=M$2)*(Upload_Indiv_Excl_Score)))</f>
        <v/>
      </c>
      <c r="N26" s="2" t="str" cm="1">
        <f t="array" ref="N26">IF(SUMPRODUCT((Upload_Indiv_Player=$A21)*(Upload_Indiv_Date=N$2)*(Upload_Indiv_Excl_Score))=0,"",SUMPRODUCT((Upload_Indiv_Player=$A21)*(Upload_Indiv_Date=N$2)*(Upload_Indiv_Excl_Score)))</f>
        <v/>
      </c>
      <c r="O26" s="2" t="str" cm="1">
        <f t="array" ref="O26">IF(SUMPRODUCT((Upload_Indiv_Player=$A21)*(Upload_Indiv_Date=O$2)*(Upload_Indiv_Excl_Score))=0,"",SUMPRODUCT((Upload_Indiv_Player=$A21)*(Upload_Indiv_Date=O$2)*(Upload_Indiv_Excl_Score)))</f>
        <v/>
      </c>
      <c r="P26" s="2" t="str" cm="1">
        <f t="array" ref="P26">IF(SUMPRODUCT((Upload_Indiv_Player=$A21)*(Upload_Indiv_Date=P$2)*(Upload_Indiv_Excl_Score))=0,"",SUMPRODUCT((Upload_Indiv_Player=$A21)*(Upload_Indiv_Date=P$2)*(Upload_Indiv_Excl_Score)))</f>
        <v/>
      </c>
      <c r="Q26" s="2" t="str" cm="1">
        <f t="array" ref="Q26">IF(SUMPRODUCT((Upload_Indiv_Player=$A21)*(Upload_Indiv_Date=Q$2)*(Upload_Indiv_Excl_Score))=0,"",SUMPRODUCT((Upload_Indiv_Player=$A21)*(Upload_Indiv_Date=Q$2)*(Upload_Indiv_Excl_Score)))</f>
        <v/>
      </c>
      <c r="R26" s="2" t="str" cm="1">
        <f t="array" ref="R26">IF(SUMPRODUCT((Upload_Indiv_Player=$A21)*(Upload_Indiv_Date=R$2)*(Upload_Indiv_Excl_Score))=0,"",SUMPRODUCT((Upload_Indiv_Player=$A21)*(Upload_Indiv_Date=R$2)*(Upload_Indiv_Excl_Score)))</f>
        <v/>
      </c>
      <c r="S26" s="2" t="str" cm="1">
        <f t="array" ref="S26">IF(SUMPRODUCT((Upload_Indiv_Player=$A21)*(Upload_Indiv_Date=S$2)*(Upload_Indiv_Excl_Score))=0,"",SUMPRODUCT((Upload_Indiv_Player=$A21)*(Upload_Indiv_Date=S$2)*(Upload_Indiv_Excl_Score)))</f>
        <v/>
      </c>
      <c r="T26" s="2" t="str" cm="1">
        <f t="array" ref="T26">IF(SUMPRODUCT((Upload_Indiv_Player=$A21)*(Upload_Indiv_Date=T$2)*(Upload_Indiv_Excl_Score))=0,"",SUMPRODUCT((Upload_Indiv_Player=$A21)*(Upload_Indiv_Date=T$2)*(Upload_Indiv_Excl_Score)))</f>
        <v/>
      </c>
      <c r="U26" s="2" t="str" cm="1">
        <f t="array" ref="U26">IF(SUMPRODUCT((Upload_Indiv_Player=$A21)*(Upload_Indiv_Date=U$2)*(Upload_Indiv_Excl_Score))=0,"",SUMPRODUCT((Upload_Indiv_Player=$A21)*(Upload_Indiv_Date=U$2)*(Upload_Indiv_Excl_Score)))</f>
        <v/>
      </c>
      <c r="V26" s="276"/>
      <c r="W26" s="276"/>
      <c r="X26" s="276"/>
      <c r="Y26" s="277"/>
      <c r="Z26" s="277"/>
      <c r="AA26" s="277"/>
    </row>
    <row r="27" spans="1:27" x14ac:dyDescent="0.25">
      <c r="A27" s="14"/>
      <c r="B27" s="2" t="s">
        <v>177</v>
      </c>
      <c r="C27" s="2" t="str" cm="1">
        <f t="array" ref="C27">IFERROR(INDEX(Upload_Indiv_Team,MATCH(1,($A21=Upload_Indiv_Player)*(C$2=Upload_Indiv_Date),0)),"")</f>
        <v/>
      </c>
      <c r="D27" s="2" t="str" cm="1">
        <f t="array" ref="D27">IFERROR(INDEX(Upload_Indiv_Team,MATCH(1,($A21=Upload_Indiv_Player)*(D$2=Upload_Indiv_Date),0)),"")</f>
        <v/>
      </c>
      <c r="E27" s="2" t="str" cm="1">
        <f t="array" ref="E27">IFERROR(INDEX(Upload_Indiv_Team,MATCH(1,($A21=Upload_Indiv_Player)*(E$2=Upload_Indiv_Date),0)),"")</f>
        <v/>
      </c>
      <c r="F27" s="2" t="str" cm="1">
        <f t="array" ref="F27">IFERROR(INDEX(Upload_Indiv_Team,MATCH(1,($A21=Upload_Indiv_Player)*(F$2=Upload_Indiv_Date),0)),"")</f>
        <v/>
      </c>
      <c r="G27" s="2" t="str" cm="1">
        <f t="array" ref="G27">IFERROR(INDEX(Upload_Indiv_Team,MATCH(1,($A21=Upload_Indiv_Player)*(G$2=Upload_Indiv_Date),0)),"")</f>
        <v/>
      </c>
      <c r="H27" s="2" t="str" cm="1">
        <f t="array" ref="H27">IFERROR(INDEX(Upload_Indiv_Team,MATCH(1,($A21=Upload_Indiv_Player)*(H$2=Upload_Indiv_Date),0)),"")</f>
        <v/>
      </c>
      <c r="I27" s="2" t="str" cm="1">
        <f t="array" ref="I27">IFERROR(INDEX(Upload_Indiv_Team,MATCH(1,($A21=Upload_Indiv_Player)*(I$2=Upload_Indiv_Date),0)),"")</f>
        <v/>
      </c>
      <c r="J27" s="2" t="str" cm="1">
        <f t="array" ref="J27">IFERROR(INDEX(Upload_Indiv_Team,MATCH(1,($A21=Upload_Indiv_Player)*(J$2=Upload_Indiv_Date),0)),"")</f>
        <v/>
      </c>
      <c r="K27" s="2" t="str" cm="1">
        <f t="array" ref="K27">IFERROR(INDEX(Upload_Indiv_Team,MATCH(1,($A21=Upload_Indiv_Player)*(K$2=Upload_Indiv_Date),0)),"")</f>
        <v/>
      </c>
      <c r="L27" s="2" t="str" cm="1">
        <f t="array" ref="L27">IFERROR(INDEX(Upload_Indiv_Team,MATCH(1,($A21=Upload_Indiv_Player)*(L$2=Upload_Indiv_Date),0)),"")</f>
        <v/>
      </c>
      <c r="M27" s="2" t="str" cm="1">
        <f t="array" ref="M27">IFERROR(INDEX(Upload_Indiv_Team,MATCH(1,($A21=Upload_Indiv_Player)*(M$2=Upload_Indiv_Date),0)),"")</f>
        <v/>
      </c>
      <c r="N27" s="2" t="str" cm="1">
        <f t="array" ref="N27">IFERROR(INDEX(Upload_Indiv_Team,MATCH(1,($A21=Upload_Indiv_Player)*(N$2=Upload_Indiv_Date),0)),"")</f>
        <v/>
      </c>
      <c r="O27" s="2" t="str" cm="1">
        <f t="array" ref="O27">IFERROR(INDEX(Upload_Indiv_Team,MATCH(1,($A21=Upload_Indiv_Player)*(O$2=Upload_Indiv_Date),0)),"")</f>
        <v/>
      </c>
      <c r="P27" s="2" t="str" cm="1">
        <f t="array" ref="P27">IFERROR(INDEX(Upload_Indiv_Team,MATCH(1,($A21=Upload_Indiv_Player)*(P$2=Upload_Indiv_Date),0)),"")</f>
        <v/>
      </c>
      <c r="Q27" s="2" t="str" cm="1">
        <f t="array" ref="Q27">IFERROR(INDEX(Upload_Indiv_Team,MATCH(1,($A21=Upload_Indiv_Player)*(Q$2=Upload_Indiv_Date),0)),"")</f>
        <v/>
      </c>
      <c r="R27" s="2" t="str" cm="1">
        <f t="array" ref="R27">IFERROR(INDEX(Upload_Indiv_Team,MATCH(1,($A21=Upload_Indiv_Player)*(R$2=Upload_Indiv_Date),0)),"")</f>
        <v/>
      </c>
      <c r="S27" s="2" t="str" cm="1">
        <f t="array" ref="S27">IFERROR(INDEX(Upload_Indiv_Team,MATCH(1,($A21=Upload_Indiv_Player)*(S$2=Upload_Indiv_Date),0)),"")</f>
        <v/>
      </c>
      <c r="T27" s="2" t="str" cm="1">
        <f t="array" ref="T27">IFERROR(INDEX(Upload_Indiv_Team,MATCH(1,($A21=Upload_Indiv_Player)*(T$2=Upload_Indiv_Date),0)),"")</f>
        <v/>
      </c>
      <c r="U27" s="2" t="str" cm="1">
        <f t="array" ref="U27">IFERROR(INDEX(Upload_Indiv_Team,MATCH(1,($A21=Upload_Indiv_Player)*(U$2=Upload_Indiv_Date),0)),"")</f>
        <v/>
      </c>
      <c r="V27" s="276"/>
      <c r="W27" s="276"/>
      <c r="X27" s="276"/>
      <c r="Y27" s="277"/>
      <c r="Z27" s="277"/>
      <c r="AA27" s="277"/>
    </row>
    <row r="28" spans="1:27" ht="13.8" thickBot="1" x14ac:dyDescent="0.3">
      <c r="A28" s="329" t="s">
        <v>160</v>
      </c>
      <c r="B28" s="8" t="s">
        <v>178</v>
      </c>
      <c r="C28" s="58" t="str">
        <f t="shared" ref="C28:U28" si="3">IF(C21="", "", IF(C23&gt;=11, "w", IF(C23&lt;=9, "l", "t")))</f>
        <v/>
      </c>
      <c r="D28" s="58" t="str">
        <f t="shared" si="3"/>
        <v/>
      </c>
      <c r="E28" s="58" t="str">
        <f t="shared" si="3"/>
        <v/>
      </c>
      <c r="F28" s="58" t="str">
        <f t="shared" si="3"/>
        <v/>
      </c>
      <c r="G28" s="58" t="str">
        <f t="shared" si="3"/>
        <v/>
      </c>
      <c r="H28" s="58" t="str">
        <f t="shared" si="3"/>
        <v/>
      </c>
      <c r="I28" s="58" t="str">
        <f t="shared" si="3"/>
        <v/>
      </c>
      <c r="J28" s="58" t="str">
        <f t="shared" si="3"/>
        <v/>
      </c>
      <c r="K28" s="58" t="str">
        <f t="shared" si="3"/>
        <v/>
      </c>
      <c r="L28" s="58" t="str">
        <f t="shared" si="3"/>
        <v/>
      </c>
      <c r="M28" s="58" t="str">
        <f t="shared" si="3"/>
        <v/>
      </c>
      <c r="N28" s="58" t="str">
        <f t="shared" si="3"/>
        <v/>
      </c>
      <c r="O28" s="58" t="str">
        <f t="shared" si="3"/>
        <v/>
      </c>
      <c r="P28" s="58" t="str">
        <f t="shared" si="3"/>
        <v/>
      </c>
      <c r="Q28" s="58" t="str">
        <f t="shared" si="3"/>
        <v/>
      </c>
      <c r="R28" s="58" t="str">
        <f t="shared" si="3"/>
        <v/>
      </c>
      <c r="S28" s="58" t="str">
        <f t="shared" si="3"/>
        <v/>
      </c>
      <c r="T28" s="58" t="str">
        <f t="shared" si="3"/>
        <v/>
      </c>
      <c r="U28" s="58" t="str">
        <f t="shared" si="3"/>
        <v/>
      </c>
      <c r="V28" s="276"/>
      <c r="W28" s="276"/>
      <c r="X28" s="276"/>
      <c r="Y28" s="277"/>
      <c r="Z28" s="277"/>
      <c r="AA28" s="277"/>
    </row>
    <row r="29" spans="1:27" x14ac:dyDescent="0.25">
      <c r="A29" s="11" t="s">
        <v>433</v>
      </c>
      <c r="B29" s="3" t="s">
        <v>170</v>
      </c>
      <c r="C29" s="3" t="str" cm="1">
        <f t="array" ref="C29">IF(SUMPRODUCT((Upload_Indiv_Player=$A29)*(Upload_Indiv_Date=C$2)*(Upload_Indiv_Gross))=0,"",SUMPRODUCT((Upload_Indiv_Player=$A29)*(Upload_Indiv_Date=C$2)*(Upload_Indiv_Gross)))</f>
        <v/>
      </c>
      <c r="D29" s="3" t="str" cm="1">
        <f t="array" ref="D29">IF(SUMPRODUCT((Upload_Indiv_Player=$A29)*(Upload_Indiv_Date=D$2)*(Upload_Indiv_Gross))=0,"",SUMPRODUCT((Upload_Indiv_Player=$A29)*(Upload_Indiv_Date=D$2)*(Upload_Indiv_Gross)))</f>
        <v/>
      </c>
      <c r="E29" s="3" cm="1">
        <f t="array" ref="E29">IF(SUMPRODUCT((Upload_Indiv_Player=$A29)*(Upload_Indiv_Date=E$2)*(Upload_Indiv_Gross))=0,"",SUMPRODUCT((Upload_Indiv_Player=$A29)*(Upload_Indiv_Date=E$2)*(Upload_Indiv_Gross)))</f>
        <v>45</v>
      </c>
      <c r="F29" s="3" t="str" cm="1">
        <f t="array" ref="F29">IF(SUMPRODUCT((Upload_Indiv_Player=$A29)*(Upload_Indiv_Date=F$2)*(Upload_Indiv_Gross))=0,"",SUMPRODUCT((Upload_Indiv_Player=$A29)*(Upload_Indiv_Date=F$2)*(Upload_Indiv_Gross)))</f>
        <v/>
      </c>
      <c r="G29" s="3" cm="1">
        <f t="array" ref="G29">IF(SUMPRODUCT((Upload_Indiv_Player=$A29)*(Upload_Indiv_Date=G$2)*(Upload_Indiv_Gross))=0,"",SUMPRODUCT((Upload_Indiv_Player=$A29)*(Upload_Indiv_Date=G$2)*(Upload_Indiv_Gross)))</f>
        <v>44</v>
      </c>
      <c r="H29" s="3" t="str" cm="1">
        <f t="array" ref="H29">IF(SUMPRODUCT((Upload_Indiv_Player=$A29)*(Upload_Indiv_Date=H$2)*(Upload_Indiv_Gross))=0,"",SUMPRODUCT((Upload_Indiv_Player=$A29)*(Upload_Indiv_Date=H$2)*(Upload_Indiv_Gross)))</f>
        <v/>
      </c>
      <c r="I29" s="3" t="str" cm="1">
        <f t="array" ref="I29">IF(SUMPRODUCT((Upload_Indiv_Player=$A29)*(Upload_Indiv_Date=I$2)*(Upload_Indiv_Gross))=0,"",SUMPRODUCT((Upload_Indiv_Player=$A29)*(Upload_Indiv_Date=I$2)*(Upload_Indiv_Gross)))</f>
        <v/>
      </c>
      <c r="J29" s="3" t="str" cm="1">
        <f t="array" ref="J29">IF(SUMPRODUCT((Upload_Indiv_Player=$A29)*(Upload_Indiv_Date=J$2)*(Upload_Indiv_Gross))=0,"",SUMPRODUCT((Upload_Indiv_Player=$A29)*(Upload_Indiv_Date=J$2)*(Upload_Indiv_Gross)))</f>
        <v/>
      </c>
      <c r="K29" s="3" t="str" cm="1">
        <f t="array" ref="K29">IF(SUMPRODUCT((Upload_Indiv_Player=$A29)*(Upload_Indiv_Date=K$2)*(Upload_Indiv_Gross))=0,"",SUMPRODUCT((Upload_Indiv_Player=$A29)*(Upload_Indiv_Date=K$2)*(Upload_Indiv_Gross)))</f>
        <v/>
      </c>
      <c r="L29" s="3" cm="1">
        <f t="array" ref="L29">IF(SUMPRODUCT((Upload_Indiv_Player=$A29)*(Upload_Indiv_Date=L$2)*(Upload_Indiv_Gross))=0,"",SUMPRODUCT((Upload_Indiv_Player=$A29)*(Upload_Indiv_Date=L$2)*(Upload_Indiv_Gross)))</f>
        <v>43</v>
      </c>
      <c r="M29" s="3" cm="1">
        <f t="array" ref="M29">IF(SUMPRODUCT((Upload_Indiv_Player=$A29)*(Upload_Indiv_Date=M$2)*(Upload_Indiv_Gross))=0,"",SUMPRODUCT((Upload_Indiv_Player=$A29)*(Upload_Indiv_Date=M$2)*(Upload_Indiv_Gross)))</f>
        <v>39</v>
      </c>
      <c r="N29" s="3" t="str" cm="1">
        <f t="array" ref="N29">IF(SUMPRODUCT((Upload_Indiv_Player=$A29)*(Upload_Indiv_Date=N$2)*(Upload_Indiv_Gross))=0,"",SUMPRODUCT((Upload_Indiv_Player=$A29)*(Upload_Indiv_Date=N$2)*(Upload_Indiv_Gross)))</f>
        <v/>
      </c>
      <c r="O29" s="3" cm="1">
        <f t="array" ref="O29">IF(SUMPRODUCT((Upload_Indiv_Player=$A29)*(Upload_Indiv_Date=O$2)*(Upload_Indiv_Gross))=0,"",SUMPRODUCT((Upload_Indiv_Player=$A29)*(Upload_Indiv_Date=O$2)*(Upload_Indiv_Gross)))</f>
        <v>47</v>
      </c>
      <c r="P29" s="3" t="str" cm="1">
        <f t="array" ref="P29">IF(SUMPRODUCT((Upload_Indiv_Player=$A29)*(Upload_Indiv_Date=P$2)*(Upload_Indiv_Gross))=0,"",SUMPRODUCT((Upload_Indiv_Player=$A29)*(Upload_Indiv_Date=P$2)*(Upload_Indiv_Gross)))</f>
        <v/>
      </c>
      <c r="Q29" s="2" t="str" cm="1">
        <f t="array" ref="Q29">IF(SUMPRODUCT((Upload_Indiv_Player=$A29)*(Upload_Indiv_Date=Q$2)*(Upload_Indiv_Gross))=0,"",SUMPRODUCT((Upload_Indiv_Player=$A29)*(Upload_Indiv_Date=Q$2)*(Upload_Indiv_Gross)))</f>
        <v/>
      </c>
      <c r="R29" s="2" cm="1">
        <f t="array" ref="R29">IF(SUMPRODUCT((Upload_Indiv_Player=$A29)*(Upload_Indiv_Date=R$2)*(Upload_Indiv_Gross))=0,"",SUMPRODUCT((Upload_Indiv_Player=$A29)*(Upload_Indiv_Date=R$2)*(Upload_Indiv_Gross)))</f>
        <v>47</v>
      </c>
      <c r="S29" s="2" t="str" cm="1">
        <f t="array" ref="S29">IF(SUMPRODUCT((Upload_Indiv_Player=$A29)*(Upload_Indiv_Date=S$2)*(Upload_Indiv_Gross))=0,"",SUMPRODUCT((Upload_Indiv_Player=$A29)*(Upload_Indiv_Date=S$2)*(Upload_Indiv_Gross)))</f>
        <v/>
      </c>
      <c r="T29" s="2" cm="1">
        <f t="array" ref="T29">IF(SUMPRODUCT((Upload_Indiv_Player=$A29)*(Upload_Indiv_Date=T$2)*(Upload_Indiv_Gross))=0,"",SUMPRODUCT((Upload_Indiv_Player=$A29)*(Upload_Indiv_Date=T$2)*(Upload_Indiv_Gross)))</f>
        <v>45</v>
      </c>
      <c r="U29" s="2" t="str" cm="1">
        <f t="array" ref="U29">IF(SUMPRODUCT((Upload_Indiv_Player=$A29)*(Upload_Indiv_Date=U$2)*(Upload_Indiv_Gross))=0,"",SUMPRODUCT((Upload_Indiv_Player=$A29)*(Upload_Indiv_Date=U$2)*(Upload_Indiv_Gross)))</f>
        <v/>
      </c>
      <c r="V29" s="273">
        <v>1</v>
      </c>
      <c r="W29" s="273">
        <v>0</v>
      </c>
      <c r="X29" s="273"/>
      <c r="Y29" s="277"/>
      <c r="Z29" s="277"/>
      <c r="AA29" s="277"/>
    </row>
    <row r="30" spans="1:27" x14ac:dyDescent="0.25">
      <c r="A30" s="216"/>
      <c r="B30" s="2" t="s">
        <v>171</v>
      </c>
      <c r="C30" s="2" t="str" cm="1">
        <f t="array" ref="C30">IF(SUMPRODUCT((Upload_Indiv_Player=$A29)*(Upload_Indiv_Date=C$2)*(Upload_Indiv_Net))=0,"",SUMPRODUCT((Upload_Indiv_Player=$A29)*(Upload_Indiv_Date=C$2)*(Upload_Indiv_Net)))</f>
        <v/>
      </c>
      <c r="D30" s="2" t="str" cm="1">
        <f t="array" ref="D30">IF(SUMPRODUCT((Upload_Indiv_Player=$A29)*(Upload_Indiv_Date=D$2)*(Upload_Indiv_Net))=0,"",SUMPRODUCT((Upload_Indiv_Player=$A29)*(Upload_Indiv_Date=D$2)*(Upload_Indiv_Net)))</f>
        <v/>
      </c>
      <c r="E30" s="2" cm="1">
        <f t="array" ref="E30">IF(SUMPRODUCT((Upload_Indiv_Player=$A29)*(Upload_Indiv_Date=E$2)*(Upload_Indiv_Net))=0,"",SUMPRODUCT((Upload_Indiv_Player=$A29)*(Upload_Indiv_Date=E$2)*(Upload_Indiv_Net)))</f>
        <v>37</v>
      </c>
      <c r="F30" s="2" t="str" cm="1">
        <f t="array" ref="F30">IF(SUMPRODUCT((Upload_Indiv_Player=$A29)*(Upload_Indiv_Date=F$2)*(Upload_Indiv_Net))=0,"",SUMPRODUCT((Upload_Indiv_Player=$A29)*(Upload_Indiv_Date=F$2)*(Upload_Indiv_Net)))</f>
        <v/>
      </c>
      <c r="G30" s="2" cm="1">
        <f t="array" ref="G30">IF(SUMPRODUCT((Upload_Indiv_Player=$A29)*(Upload_Indiv_Date=G$2)*(Upload_Indiv_Net))=0,"",SUMPRODUCT((Upload_Indiv_Player=$A29)*(Upload_Indiv_Date=G$2)*(Upload_Indiv_Net)))</f>
        <v>36</v>
      </c>
      <c r="H30" s="2" t="str" cm="1">
        <f t="array" ref="H30">IF(SUMPRODUCT((Upload_Indiv_Player=$A29)*(Upload_Indiv_Date=H$2)*(Upload_Indiv_Net))=0,"",SUMPRODUCT((Upload_Indiv_Player=$A29)*(Upload_Indiv_Date=H$2)*(Upload_Indiv_Net)))</f>
        <v/>
      </c>
      <c r="I30" s="2" t="str" cm="1">
        <f t="array" ref="I30">IF(SUMPRODUCT((Upload_Indiv_Player=$A29)*(Upload_Indiv_Date=I$2)*(Upload_Indiv_Net))=0,"",SUMPRODUCT((Upload_Indiv_Player=$A29)*(Upload_Indiv_Date=I$2)*(Upload_Indiv_Net)))</f>
        <v/>
      </c>
      <c r="J30" s="2" t="str" cm="1">
        <f t="array" ref="J30">IF(SUMPRODUCT((Upload_Indiv_Player=$A29)*(Upload_Indiv_Date=J$2)*(Upload_Indiv_Net))=0,"",SUMPRODUCT((Upload_Indiv_Player=$A29)*(Upload_Indiv_Date=J$2)*(Upload_Indiv_Net)))</f>
        <v/>
      </c>
      <c r="K30" s="2" t="str" cm="1">
        <f t="array" ref="K30">IF(SUMPRODUCT((Upload_Indiv_Player=$A29)*(Upload_Indiv_Date=K$2)*(Upload_Indiv_Net))=0,"",SUMPRODUCT((Upload_Indiv_Player=$A29)*(Upload_Indiv_Date=K$2)*(Upload_Indiv_Net)))</f>
        <v/>
      </c>
      <c r="L30" s="2" cm="1">
        <f t="array" ref="L30">IF(SUMPRODUCT((Upload_Indiv_Player=$A29)*(Upload_Indiv_Date=L$2)*(Upload_Indiv_Net))=0,"",SUMPRODUCT((Upload_Indiv_Player=$A29)*(Upload_Indiv_Date=L$2)*(Upload_Indiv_Net)))</f>
        <v>36</v>
      </c>
      <c r="M30" s="2" cm="1">
        <f t="array" ref="M30">IF(SUMPRODUCT((Upload_Indiv_Player=$A29)*(Upload_Indiv_Date=M$2)*(Upload_Indiv_Net))=0,"",SUMPRODUCT((Upload_Indiv_Player=$A29)*(Upload_Indiv_Date=M$2)*(Upload_Indiv_Net)))</f>
        <v>36</v>
      </c>
      <c r="N30" s="2" t="str" cm="1">
        <f t="array" ref="N30">IF(SUMPRODUCT((Upload_Indiv_Player=$A29)*(Upload_Indiv_Date=N$2)*(Upload_Indiv_Net))=0,"",SUMPRODUCT((Upload_Indiv_Player=$A29)*(Upload_Indiv_Date=N$2)*(Upload_Indiv_Net)))</f>
        <v/>
      </c>
      <c r="O30" s="2" cm="1">
        <f t="array" ref="O30">IF(SUMPRODUCT((Upload_Indiv_Player=$A29)*(Upload_Indiv_Date=O$2)*(Upload_Indiv_Net))=0,"",SUMPRODUCT((Upload_Indiv_Player=$A29)*(Upload_Indiv_Date=O$2)*(Upload_Indiv_Net)))</f>
        <v>44</v>
      </c>
      <c r="P30" s="2" t="str" cm="1">
        <f t="array" ref="P30">IF(SUMPRODUCT((Upload_Indiv_Player=$A29)*(Upload_Indiv_Date=P$2)*(Upload_Indiv_Net))=0,"",SUMPRODUCT((Upload_Indiv_Player=$A29)*(Upload_Indiv_Date=P$2)*(Upload_Indiv_Net)))</f>
        <v/>
      </c>
      <c r="Q30" s="2" t="str" cm="1">
        <f t="array" ref="Q30">IF(SUMPRODUCT((Upload_Indiv_Player=$A29)*(Upload_Indiv_Date=Q$2)*(Upload_Indiv_Net))=0,"",SUMPRODUCT((Upload_Indiv_Player=$A29)*(Upload_Indiv_Date=Q$2)*(Upload_Indiv_Net)))</f>
        <v/>
      </c>
      <c r="R30" s="2" cm="1">
        <f t="array" ref="R30">IF(SUMPRODUCT((Upload_Indiv_Player=$A29)*(Upload_Indiv_Date=R$2)*(Upload_Indiv_Net))=0,"",SUMPRODUCT((Upload_Indiv_Player=$A29)*(Upload_Indiv_Date=R$2)*(Upload_Indiv_Net)))</f>
        <v>42</v>
      </c>
      <c r="S30" s="2" t="str" cm="1">
        <f t="array" ref="S30">IF(SUMPRODUCT((Upload_Indiv_Player=$A29)*(Upload_Indiv_Date=S$2)*(Upload_Indiv_Net))=0,"",SUMPRODUCT((Upload_Indiv_Player=$A29)*(Upload_Indiv_Date=S$2)*(Upload_Indiv_Net)))</f>
        <v/>
      </c>
      <c r="T30" s="2" cm="1">
        <f t="array" ref="T30">IF(SUMPRODUCT((Upload_Indiv_Player=$A29)*(Upload_Indiv_Date=T$2)*(Upload_Indiv_Net))=0,"",SUMPRODUCT((Upload_Indiv_Player=$A29)*(Upload_Indiv_Date=T$2)*(Upload_Indiv_Net)))</f>
        <v>39</v>
      </c>
      <c r="U30" s="2" t="str" cm="1">
        <f t="array" ref="U30">IF(SUMPRODUCT((Upload_Indiv_Player=$A29)*(Upload_Indiv_Date=U$2)*(Upload_Indiv_Net))=0,"",SUMPRODUCT((Upload_Indiv_Player=$A29)*(Upload_Indiv_Date=U$2)*(Upload_Indiv_Net)))</f>
        <v/>
      </c>
      <c r="V30" s="279">
        <v>49</v>
      </c>
      <c r="W30" s="276"/>
      <c r="X30" s="276"/>
      <c r="Y30" s="277"/>
      <c r="Z30" s="277"/>
      <c r="AA30" s="277"/>
    </row>
    <row r="31" spans="1:27" x14ac:dyDescent="0.25">
      <c r="A31" s="65"/>
      <c r="B31" s="2" t="s">
        <v>173</v>
      </c>
      <c r="C31" s="2" t="str" cm="1">
        <f t="array" ref="C31">IF(SUMPRODUCT((Upload_Indiv_Player=$A29)*(Upload_Indiv_Date=C$2)*(Upload_Indiv_PointsTot))=0,"",SUMPRODUCT((Upload_Indiv_Player=$A29)*(Upload_Indiv_Date=C$2)*(Upload_Indiv_PointsTot)))</f>
        <v/>
      </c>
      <c r="D31" s="2" t="str" cm="1">
        <f t="array" ref="D31">IF(SUMPRODUCT((Upload_Indiv_Player=$A29)*(Upload_Indiv_Date=D$2)*(Upload_Indiv_PointsTot))=0,"",SUMPRODUCT((Upload_Indiv_Player=$A29)*(Upload_Indiv_Date=D$2)*(Upload_Indiv_PointsTot)))</f>
        <v/>
      </c>
      <c r="E31" s="2" cm="1">
        <f t="array" ref="E31">IF(SUMPRODUCT((Upload_Indiv_Player=$A29)*(Upload_Indiv_Date=E$2)*(Upload_Indiv_PointsTot))=0,"",SUMPRODUCT((Upload_Indiv_Player=$A29)*(Upload_Indiv_Date=E$2)*(Upload_Indiv_PointsTot)))</f>
        <v>12</v>
      </c>
      <c r="F31" s="2" t="str" cm="1">
        <f t="array" ref="F31">IF(SUMPRODUCT((Upload_Indiv_Player=$A29)*(Upload_Indiv_Date=F$2)*(Upload_Indiv_PointsTot))=0,"",SUMPRODUCT((Upload_Indiv_Player=$A29)*(Upload_Indiv_Date=F$2)*(Upload_Indiv_PointsTot)))</f>
        <v/>
      </c>
      <c r="G31" s="2" cm="1">
        <f t="array" ref="G31">IF(SUMPRODUCT((Upload_Indiv_Player=$A29)*(Upload_Indiv_Date=G$2)*(Upload_Indiv_PointsTot))=0,"",SUMPRODUCT((Upload_Indiv_Player=$A29)*(Upload_Indiv_Date=G$2)*(Upload_Indiv_PointsTot)))</f>
        <v>14</v>
      </c>
      <c r="H31" s="2" t="str" cm="1">
        <f t="array" ref="H31">IF(SUMPRODUCT((Upload_Indiv_Player=$A29)*(Upload_Indiv_Date=H$2)*(Upload_Indiv_PointsTot))=0,"",SUMPRODUCT((Upload_Indiv_Player=$A29)*(Upload_Indiv_Date=H$2)*(Upload_Indiv_PointsTot)))</f>
        <v/>
      </c>
      <c r="I31" s="2" t="str" cm="1">
        <f t="array" ref="I31">IF(SUMPRODUCT((Upload_Indiv_Player=$A29)*(Upload_Indiv_Date=I$2)*(Upload_Indiv_PointsTot))=0,"",SUMPRODUCT((Upload_Indiv_Player=$A29)*(Upload_Indiv_Date=I$2)*(Upload_Indiv_PointsTot)))</f>
        <v/>
      </c>
      <c r="J31" s="2" t="str" cm="1">
        <f t="array" ref="J31">IF(SUMPRODUCT((Upload_Indiv_Player=$A29)*(Upload_Indiv_Date=J$2)*(Upload_Indiv_PointsTot))=0,"",SUMPRODUCT((Upload_Indiv_Player=$A29)*(Upload_Indiv_Date=J$2)*(Upload_Indiv_PointsTot)))</f>
        <v/>
      </c>
      <c r="K31" s="2" t="str" cm="1">
        <f t="array" ref="K31">IF(SUMPRODUCT((Upload_Indiv_Player=$A29)*(Upload_Indiv_Date=K$2)*(Upload_Indiv_PointsTot))=0,"",SUMPRODUCT((Upload_Indiv_Player=$A29)*(Upload_Indiv_Date=K$2)*(Upload_Indiv_PointsTot)))</f>
        <v/>
      </c>
      <c r="L31" s="2" cm="1">
        <f t="array" ref="L31">IF(SUMPRODUCT((Upload_Indiv_Player=$A29)*(Upload_Indiv_Date=L$2)*(Upload_Indiv_PointsTot))=0,"",SUMPRODUCT((Upload_Indiv_Player=$A29)*(Upload_Indiv_Date=L$2)*(Upload_Indiv_PointsTot)))</f>
        <v>13</v>
      </c>
      <c r="M31" s="2" cm="1">
        <f t="array" ref="M31">IF(SUMPRODUCT((Upload_Indiv_Player=$A29)*(Upload_Indiv_Date=M$2)*(Upload_Indiv_PointsTot))=0,"",SUMPRODUCT((Upload_Indiv_Player=$A29)*(Upload_Indiv_Date=M$2)*(Upload_Indiv_PointsTot)))</f>
        <v>13</v>
      </c>
      <c r="N31" s="2" t="str" cm="1">
        <f t="array" ref="N31">IF(SUMPRODUCT((Upload_Indiv_Player=$A29)*(Upload_Indiv_Date=N$2)*(Upload_Indiv_PointsTot))=0,"",SUMPRODUCT((Upload_Indiv_Player=$A29)*(Upload_Indiv_Date=N$2)*(Upload_Indiv_PointsTot)))</f>
        <v/>
      </c>
      <c r="O31" s="2" cm="1">
        <f t="array" ref="O31">IF(SUMPRODUCT((Upload_Indiv_Player=$A29)*(Upload_Indiv_Date=O$2)*(Upload_Indiv_PointsTot))=0,"",SUMPRODUCT((Upload_Indiv_Player=$A29)*(Upload_Indiv_Date=O$2)*(Upload_Indiv_PointsTot)))</f>
        <v>4</v>
      </c>
      <c r="P31" s="2" t="str" cm="1">
        <f t="array" ref="P31">IF(SUMPRODUCT((Upload_Indiv_Player=$A29)*(Upload_Indiv_Date=P$2)*(Upload_Indiv_PointsTot))=0,"",SUMPRODUCT((Upload_Indiv_Player=$A29)*(Upload_Indiv_Date=P$2)*(Upload_Indiv_PointsTot)))</f>
        <v/>
      </c>
      <c r="Q31" s="2" t="str" cm="1">
        <f t="array" ref="Q31">IF(SUMPRODUCT((Upload_Indiv_Player=$A29)*(Upload_Indiv_Date=Q$2)*(Upload_Indiv_PointsTot))=0,"",SUMPRODUCT((Upload_Indiv_Player=$A29)*(Upload_Indiv_Date=Q$2)*(Upload_Indiv_PointsTot)))</f>
        <v/>
      </c>
      <c r="R31" s="2" cm="1">
        <f t="array" ref="R31">IF(SUMPRODUCT((Upload_Indiv_Player=$A29)*(Upload_Indiv_Date=R$2)*(Upload_Indiv_PointsTot))=0,"",SUMPRODUCT((Upload_Indiv_Player=$A29)*(Upload_Indiv_Date=R$2)*(Upload_Indiv_PointsTot)))</f>
        <v>8</v>
      </c>
      <c r="S31" s="2" t="str" cm="1">
        <f t="array" ref="S31">IF(SUMPRODUCT((Upload_Indiv_Player=$A29)*(Upload_Indiv_Date=S$2)*(Upload_Indiv_PointsTot))=0,"",SUMPRODUCT((Upload_Indiv_Player=$A29)*(Upload_Indiv_Date=S$2)*(Upload_Indiv_PointsTot)))</f>
        <v/>
      </c>
      <c r="T31" s="2" cm="1">
        <f t="array" ref="T31">IF(SUMPRODUCT((Upload_Indiv_Player=$A29)*(Upload_Indiv_Date=T$2)*(Upload_Indiv_PointsTot))=0,"",SUMPRODUCT((Upload_Indiv_Player=$A29)*(Upload_Indiv_Date=T$2)*(Upload_Indiv_PointsTot)))</f>
        <v>9</v>
      </c>
      <c r="U31" s="2" t="str" cm="1">
        <f t="array" ref="U31">IF(SUMPRODUCT((Upload_Indiv_Player=$A29)*(Upload_Indiv_Date=U$2)*(Upload_Indiv_PointsTot))=0,"",SUMPRODUCT((Upload_Indiv_Player=$A29)*(Upload_Indiv_Date=U$2)*(Upload_Indiv_PointsTot)))</f>
        <v/>
      </c>
      <c r="V31" s="276"/>
      <c r="W31" s="276"/>
      <c r="X31" s="276"/>
      <c r="Y31" s="277"/>
      <c r="Z31" s="277"/>
      <c r="AA31" s="277"/>
    </row>
    <row r="32" spans="1:27" x14ac:dyDescent="0.25">
      <c r="A32" s="14" t="s">
        <v>160</v>
      </c>
      <c r="B32" s="2" t="s">
        <v>174</v>
      </c>
      <c r="C32" s="2" t="str" cm="1">
        <f t="array" ref="C32">IF(SUMPRODUCT((Upload_Indiv_Player=$A29)*(Upload_Indiv_Date=C$2)*(Upload_Indiv_Tot_Birds))=0,"",SUMPRODUCT((Upload_Indiv_Player=$A29)*(Upload_Indiv_Date=C$2)*(Upload_Indiv_Tot_Birds)))</f>
        <v/>
      </c>
      <c r="D32" s="2" t="str" cm="1">
        <f t="array" ref="D32">IF(SUMPRODUCT((Upload_Indiv_Player=$A29)*(Upload_Indiv_Date=D$2)*(Upload_Indiv_Tot_Birds))=0,"",SUMPRODUCT((Upload_Indiv_Player=$A29)*(Upload_Indiv_Date=D$2)*(Upload_Indiv_Tot_Birds)))</f>
        <v/>
      </c>
      <c r="E32" s="2" t="str" cm="1">
        <f t="array" ref="E32">IF(SUMPRODUCT((Upload_Indiv_Player=$A29)*(Upload_Indiv_Date=E$2)*(Upload_Indiv_Tot_Birds))=0,"",SUMPRODUCT((Upload_Indiv_Player=$A29)*(Upload_Indiv_Date=E$2)*(Upload_Indiv_Tot_Birds)))</f>
        <v/>
      </c>
      <c r="F32" s="2" t="str" cm="1">
        <f t="array" ref="F32">IF(SUMPRODUCT((Upload_Indiv_Player=$A29)*(Upload_Indiv_Date=F$2)*(Upload_Indiv_Tot_Birds))=0,"",SUMPRODUCT((Upload_Indiv_Player=$A29)*(Upload_Indiv_Date=F$2)*(Upload_Indiv_Tot_Birds)))</f>
        <v/>
      </c>
      <c r="G32" s="2" cm="1">
        <f t="array" ref="G32">IF(SUMPRODUCT((Upload_Indiv_Player=$A29)*(Upload_Indiv_Date=G$2)*(Upload_Indiv_Tot_Birds))=0,"",SUMPRODUCT((Upload_Indiv_Player=$A29)*(Upload_Indiv_Date=G$2)*(Upload_Indiv_Tot_Birds)))</f>
        <v>1</v>
      </c>
      <c r="H32" s="2" t="str" cm="1">
        <f t="array" ref="H32">IF(SUMPRODUCT((Upload_Indiv_Player=$A29)*(Upload_Indiv_Date=H$2)*(Upload_Indiv_Tot_Birds))=0,"",SUMPRODUCT((Upload_Indiv_Player=$A29)*(Upload_Indiv_Date=H$2)*(Upload_Indiv_Tot_Birds)))</f>
        <v/>
      </c>
      <c r="I32" s="2" t="str" cm="1">
        <f t="array" ref="I32">IF(SUMPRODUCT((Upload_Indiv_Player=$A29)*(Upload_Indiv_Date=I$2)*(Upload_Indiv_Tot_Birds))=0,"",SUMPRODUCT((Upload_Indiv_Player=$A29)*(Upload_Indiv_Date=I$2)*(Upload_Indiv_Tot_Birds)))</f>
        <v/>
      </c>
      <c r="J32" s="2" t="str" cm="1">
        <f t="array" ref="J32">IF(SUMPRODUCT((Upload_Indiv_Player=$A29)*(Upload_Indiv_Date=J$2)*(Upload_Indiv_Tot_Birds))=0,"",SUMPRODUCT((Upload_Indiv_Player=$A29)*(Upload_Indiv_Date=J$2)*(Upload_Indiv_Tot_Birds)))</f>
        <v/>
      </c>
      <c r="K32" s="2" t="str" cm="1">
        <f t="array" ref="K32">IF(SUMPRODUCT((Upload_Indiv_Player=$A29)*(Upload_Indiv_Date=K$2)*(Upload_Indiv_Tot_Birds))=0,"",SUMPRODUCT((Upload_Indiv_Player=$A29)*(Upload_Indiv_Date=K$2)*(Upload_Indiv_Tot_Birds)))</f>
        <v/>
      </c>
      <c r="L32" s="2" cm="1">
        <f t="array" ref="L32">IF(SUMPRODUCT((Upload_Indiv_Player=$A29)*(Upload_Indiv_Date=L$2)*(Upload_Indiv_Tot_Birds))=0,"",SUMPRODUCT((Upload_Indiv_Player=$A29)*(Upload_Indiv_Date=L$2)*(Upload_Indiv_Tot_Birds)))</f>
        <v>1</v>
      </c>
      <c r="M32" s="2" cm="1">
        <f t="array" ref="M32">IF(SUMPRODUCT((Upload_Indiv_Player=$A29)*(Upload_Indiv_Date=M$2)*(Upload_Indiv_Tot_Birds))=0,"",SUMPRODUCT((Upload_Indiv_Player=$A29)*(Upload_Indiv_Date=M$2)*(Upload_Indiv_Tot_Birds)))</f>
        <v>1</v>
      </c>
      <c r="N32" s="2" t="str" cm="1">
        <f t="array" ref="N32">IF(SUMPRODUCT((Upload_Indiv_Player=$A29)*(Upload_Indiv_Date=N$2)*(Upload_Indiv_Tot_Birds))=0,"",SUMPRODUCT((Upload_Indiv_Player=$A29)*(Upload_Indiv_Date=N$2)*(Upload_Indiv_Tot_Birds)))</f>
        <v/>
      </c>
      <c r="O32" s="2" t="str" cm="1">
        <f t="array" ref="O32">IF(SUMPRODUCT((Upload_Indiv_Player=$A29)*(Upload_Indiv_Date=O$2)*(Upload_Indiv_Tot_Birds))=0,"",SUMPRODUCT((Upload_Indiv_Player=$A29)*(Upload_Indiv_Date=O$2)*(Upload_Indiv_Tot_Birds)))</f>
        <v/>
      </c>
      <c r="P32" s="2" t="str" cm="1">
        <f t="array" ref="P32">IF(SUMPRODUCT((Upload_Indiv_Player=$A29)*(Upload_Indiv_Date=P$2)*(Upload_Indiv_Tot_Birds))=0,"",SUMPRODUCT((Upload_Indiv_Player=$A29)*(Upload_Indiv_Date=P$2)*(Upload_Indiv_Tot_Birds)))</f>
        <v/>
      </c>
      <c r="Q32" s="2" t="str" cm="1">
        <f t="array" ref="Q32">IF(SUMPRODUCT((Upload_Indiv_Player=$A29)*(Upload_Indiv_Date=Q$2)*(Upload_Indiv_Tot_Birds))=0,"",SUMPRODUCT((Upload_Indiv_Player=$A29)*(Upload_Indiv_Date=Q$2)*(Upload_Indiv_Tot_Birds)))</f>
        <v/>
      </c>
      <c r="R32" s="2" t="str" cm="1">
        <f t="array" ref="R32">IF(SUMPRODUCT((Upload_Indiv_Player=$A29)*(Upload_Indiv_Date=R$2)*(Upload_Indiv_Tot_Birds))=0,"",SUMPRODUCT((Upload_Indiv_Player=$A29)*(Upload_Indiv_Date=R$2)*(Upload_Indiv_Tot_Birds)))</f>
        <v/>
      </c>
      <c r="S32" s="2" t="str" cm="1">
        <f t="array" ref="S32">IF(SUMPRODUCT((Upload_Indiv_Player=$A29)*(Upload_Indiv_Date=S$2)*(Upload_Indiv_Tot_Birds))=0,"",SUMPRODUCT((Upload_Indiv_Player=$A29)*(Upload_Indiv_Date=S$2)*(Upload_Indiv_Tot_Birds)))</f>
        <v/>
      </c>
      <c r="T32" s="2" t="str" cm="1">
        <f t="array" ref="T32">IF(SUMPRODUCT((Upload_Indiv_Player=$A29)*(Upload_Indiv_Date=T$2)*(Upload_Indiv_Tot_Birds))=0,"",SUMPRODUCT((Upload_Indiv_Player=$A29)*(Upload_Indiv_Date=T$2)*(Upload_Indiv_Tot_Birds)))</f>
        <v/>
      </c>
      <c r="U32" s="2" t="str" cm="1">
        <f t="array" ref="U32">IF(SUMPRODUCT((Upload_Indiv_Player=$A29)*(Upload_Indiv_Date=U$2)*(Upload_Indiv_Tot_Birds))=0,"",SUMPRODUCT((Upload_Indiv_Player=$A29)*(Upload_Indiv_Date=U$2)*(Upload_Indiv_Tot_Birds)))</f>
        <v/>
      </c>
      <c r="V32" s="276"/>
      <c r="W32" s="276"/>
      <c r="X32" s="276"/>
      <c r="Y32" s="277"/>
      <c r="Z32" s="277"/>
      <c r="AA32" s="277"/>
    </row>
    <row r="33" spans="1:27" x14ac:dyDescent="0.25">
      <c r="A33" s="14"/>
      <c r="B33" s="8" t="s">
        <v>175</v>
      </c>
      <c r="C33" s="2" t="str" cm="1">
        <f t="array" ref="C33">IF(SUMPRODUCT((Upload_Indiv_Player=$A29)*(Upload_Indiv_Date=C$2)*(Upload_Indiv_Tot_Eagles))=0,"",SUMPRODUCT((Upload_Indiv_Player=$A29)*(Upload_Indiv_Date=C$2)*(Upload_Indiv_Tot_Eagles)))</f>
        <v/>
      </c>
      <c r="D33" s="2" t="str" cm="1">
        <f t="array" ref="D33">IF(SUMPRODUCT((Upload_Indiv_Player=$A29)*(Upload_Indiv_Date=D$2)*(Upload_Indiv_Tot_Eagles))=0,"",SUMPRODUCT((Upload_Indiv_Player=$A29)*(Upload_Indiv_Date=D$2)*(Upload_Indiv_Tot_Eagles)))</f>
        <v/>
      </c>
      <c r="E33" s="2" cm="1">
        <f t="array" ref="E33">IF(SUMPRODUCT((Upload_Indiv_Player=$A29)*(Upload_Indiv_Date=E$2)*(Upload_Indiv_Tot_Eagles))=0,"",SUMPRODUCT((Upload_Indiv_Player=$A29)*(Upload_Indiv_Date=E$2)*(Upload_Indiv_Tot_Eagles)))</f>
        <v>1</v>
      </c>
      <c r="F33" s="2" t="str" cm="1">
        <f t="array" ref="F33">IF(SUMPRODUCT((Upload_Indiv_Player=$A29)*(Upload_Indiv_Date=F$2)*(Upload_Indiv_Tot_Eagles))=0,"",SUMPRODUCT((Upload_Indiv_Player=$A29)*(Upload_Indiv_Date=F$2)*(Upload_Indiv_Tot_Eagles)))</f>
        <v/>
      </c>
      <c r="G33" s="2" t="str" cm="1">
        <f t="array" ref="G33">IF(SUMPRODUCT((Upload_Indiv_Player=$A29)*(Upload_Indiv_Date=G$2)*(Upload_Indiv_Tot_Eagles))=0,"",SUMPRODUCT((Upload_Indiv_Player=$A29)*(Upload_Indiv_Date=G$2)*(Upload_Indiv_Tot_Eagles)))</f>
        <v/>
      </c>
      <c r="H33" s="2" t="str" cm="1">
        <f t="array" ref="H33">IF(SUMPRODUCT((Upload_Indiv_Player=$A29)*(Upload_Indiv_Date=H$2)*(Upload_Indiv_Tot_Eagles))=0,"",SUMPRODUCT((Upload_Indiv_Player=$A29)*(Upload_Indiv_Date=H$2)*(Upload_Indiv_Tot_Eagles)))</f>
        <v/>
      </c>
      <c r="I33" s="2" t="str" cm="1">
        <f t="array" ref="I33">IF(SUMPRODUCT((Upload_Indiv_Player=$A29)*(Upload_Indiv_Date=I$2)*(Upload_Indiv_Tot_Eagles))=0,"",SUMPRODUCT((Upload_Indiv_Player=$A29)*(Upload_Indiv_Date=I$2)*(Upload_Indiv_Tot_Eagles)))</f>
        <v/>
      </c>
      <c r="J33" s="2" t="str" cm="1">
        <f t="array" ref="J33">IF(SUMPRODUCT((Upload_Indiv_Player=$A29)*(Upload_Indiv_Date=J$2)*(Upload_Indiv_Tot_Eagles))=0,"",SUMPRODUCT((Upload_Indiv_Player=$A29)*(Upload_Indiv_Date=J$2)*(Upload_Indiv_Tot_Eagles)))</f>
        <v/>
      </c>
      <c r="K33" s="2" t="str" cm="1">
        <f t="array" ref="K33">IF(SUMPRODUCT((Upload_Indiv_Player=$A29)*(Upload_Indiv_Date=K$2)*(Upload_Indiv_Tot_Eagles))=0,"",SUMPRODUCT((Upload_Indiv_Player=$A29)*(Upload_Indiv_Date=K$2)*(Upload_Indiv_Tot_Eagles)))</f>
        <v/>
      </c>
      <c r="L33" s="2" t="str" cm="1">
        <f t="array" ref="L33">IF(SUMPRODUCT((Upload_Indiv_Player=$A29)*(Upload_Indiv_Date=L$2)*(Upload_Indiv_Tot_Eagles))=0,"",SUMPRODUCT((Upload_Indiv_Player=$A29)*(Upload_Indiv_Date=L$2)*(Upload_Indiv_Tot_Eagles)))</f>
        <v/>
      </c>
      <c r="M33" s="2" t="str" cm="1">
        <f t="array" ref="M33">IF(SUMPRODUCT((Upload_Indiv_Player=$A29)*(Upload_Indiv_Date=M$2)*(Upload_Indiv_Tot_Eagles))=0,"",SUMPRODUCT((Upload_Indiv_Player=$A29)*(Upload_Indiv_Date=M$2)*(Upload_Indiv_Tot_Eagles)))</f>
        <v/>
      </c>
      <c r="N33" s="2" t="str" cm="1">
        <f t="array" ref="N33">IF(SUMPRODUCT((Upload_Indiv_Player=$A29)*(Upload_Indiv_Date=N$2)*(Upload_Indiv_Tot_Eagles))=0,"",SUMPRODUCT((Upload_Indiv_Player=$A29)*(Upload_Indiv_Date=N$2)*(Upload_Indiv_Tot_Eagles)))</f>
        <v/>
      </c>
      <c r="O33" s="2" t="str" cm="1">
        <f t="array" ref="O33">IF(SUMPRODUCT((Upload_Indiv_Player=$A29)*(Upload_Indiv_Date=O$2)*(Upload_Indiv_Tot_Eagles))=0,"",SUMPRODUCT((Upload_Indiv_Player=$A29)*(Upload_Indiv_Date=O$2)*(Upload_Indiv_Tot_Eagles)))</f>
        <v/>
      </c>
      <c r="P33" s="2" t="str" cm="1">
        <f t="array" ref="P33">IF(SUMPRODUCT((Upload_Indiv_Player=$A29)*(Upload_Indiv_Date=P$2)*(Upload_Indiv_Tot_Eagles))=0,"",SUMPRODUCT((Upload_Indiv_Player=$A29)*(Upload_Indiv_Date=P$2)*(Upload_Indiv_Tot_Eagles)))</f>
        <v/>
      </c>
      <c r="Q33" s="2" t="str" cm="1">
        <f t="array" ref="Q33">IF(SUMPRODUCT((Upload_Indiv_Player=$A29)*(Upload_Indiv_Date=Q$2)*(Upload_Indiv_Tot_Eagles))=0,"",SUMPRODUCT((Upload_Indiv_Player=$A29)*(Upload_Indiv_Date=Q$2)*(Upload_Indiv_Tot_Eagles)))</f>
        <v/>
      </c>
      <c r="R33" s="2" t="str" cm="1">
        <f t="array" ref="R33">IF(SUMPRODUCT((Upload_Indiv_Player=$A29)*(Upload_Indiv_Date=R$2)*(Upload_Indiv_Tot_Eagles))=0,"",SUMPRODUCT((Upload_Indiv_Player=$A29)*(Upload_Indiv_Date=R$2)*(Upload_Indiv_Tot_Eagles)))</f>
        <v/>
      </c>
      <c r="S33" s="2" t="str" cm="1">
        <f t="array" ref="S33">IF(SUMPRODUCT((Upload_Indiv_Player=$A29)*(Upload_Indiv_Date=S$2)*(Upload_Indiv_Tot_Eagles))=0,"",SUMPRODUCT((Upload_Indiv_Player=$A29)*(Upload_Indiv_Date=S$2)*(Upload_Indiv_Tot_Eagles)))</f>
        <v/>
      </c>
      <c r="T33" s="2" t="str" cm="1">
        <f t="array" ref="T33">IF(SUMPRODUCT((Upload_Indiv_Player=$A29)*(Upload_Indiv_Date=T$2)*(Upload_Indiv_Tot_Eagles))=0,"",SUMPRODUCT((Upload_Indiv_Player=$A29)*(Upload_Indiv_Date=T$2)*(Upload_Indiv_Tot_Eagles)))</f>
        <v/>
      </c>
      <c r="U33" s="2" t="str" cm="1">
        <f t="array" ref="U33">IF(SUMPRODUCT((Upload_Indiv_Player=$A29)*(Upload_Indiv_Date=U$2)*(Upload_Indiv_Tot_Eagles))=0,"",SUMPRODUCT((Upload_Indiv_Player=$A29)*(Upload_Indiv_Date=U$2)*(Upload_Indiv_Tot_Eagles)))</f>
        <v/>
      </c>
      <c r="V33" s="276"/>
      <c r="W33" s="276"/>
      <c r="X33" s="276"/>
      <c r="Y33" s="277"/>
      <c r="Z33" s="278"/>
      <c r="AA33" s="277"/>
    </row>
    <row r="34" spans="1:27" x14ac:dyDescent="0.25">
      <c r="A34" s="14"/>
      <c r="B34" s="2" t="s">
        <v>176</v>
      </c>
      <c r="C34" s="2" t="str" cm="1">
        <f t="array" ref="C34">IF(SUMPRODUCT((Upload_Indiv_Player=$A29)*(Upload_Indiv_Date=C$2)*(Upload_Indiv_Excl_Score))=0,"",SUMPRODUCT((Upload_Indiv_Player=$A29)*(Upload_Indiv_Date=C$2)*(Upload_Indiv_Excl_Score)))</f>
        <v/>
      </c>
      <c r="D34" s="2" t="str" cm="1">
        <f t="array" ref="D34">IF(SUMPRODUCT((Upload_Indiv_Player=$A29)*(Upload_Indiv_Date=D$2)*(Upload_Indiv_Excl_Score))=0,"",SUMPRODUCT((Upload_Indiv_Player=$A29)*(Upload_Indiv_Date=D$2)*(Upload_Indiv_Excl_Score)))</f>
        <v/>
      </c>
      <c r="E34" s="2" t="str" cm="1">
        <f t="array" ref="E34">IF(SUMPRODUCT((Upload_Indiv_Player=$A29)*(Upload_Indiv_Date=E$2)*(Upload_Indiv_Excl_Score))=0,"",SUMPRODUCT((Upload_Indiv_Player=$A29)*(Upload_Indiv_Date=E$2)*(Upload_Indiv_Excl_Score)))</f>
        <v/>
      </c>
      <c r="F34" s="2" t="str" cm="1">
        <f t="array" ref="F34">IF(SUMPRODUCT((Upload_Indiv_Player=$A29)*(Upload_Indiv_Date=F$2)*(Upload_Indiv_Excl_Score))=0,"",SUMPRODUCT((Upload_Indiv_Player=$A29)*(Upload_Indiv_Date=F$2)*(Upload_Indiv_Excl_Score)))</f>
        <v/>
      </c>
      <c r="G34" s="2" t="str" cm="1">
        <f t="array" ref="G34">IF(SUMPRODUCT((Upload_Indiv_Player=$A29)*(Upload_Indiv_Date=G$2)*(Upload_Indiv_Excl_Score))=0,"",SUMPRODUCT((Upload_Indiv_Player=$A29)*(Upload_Indiv_Date=G$2)*(Upload_Indiv_Excl_Score)))</f>
        <v/>
      </c>
      <c r="H34" s="2" t="str" cm="1">
        <f t="array" ref="H34">IF(SUMPRODUCT((Upload_Indiv_Player=$A29)*(Upload_Indiv_Date=H$2)*(Upload_Indiv_Excl_Score))=0,"",SUMPRODUCT((Upload_Indiv_Player=$A29)*(Upload_Indiv_Date=H$2)*(Upload_Indiv_Excl_Score)))</f>
        <v/>
      </c>
      <c r="I34" s="2" t="str" cm="1">
        <f t="array" ref="I34">IF(SUMPRODUCT((Upload_Indiv_Player=$A29)*(Upload_Indiv_Date=I$2)*(Upload_Indiv_Excl_Score))=0,"",SUMPRODUCT((Upload_Indiv_Player=$A29)*(Upload_Indiv_Date=I$2)*(Upload_Indiv_Excl_Score)))</f>
        <v/>
      </c>
      <c r="J34" s="2" t="str" cm="1">
        <f t="array" ref="J34">IF(SUMPRODUCT((Upload_Indiv_Player=$A29)*(Upload_Indiv_Date=J$2)*(Upload_Indiv_Excl_Score))=0,"",SUMPRODUCT((Upload_Indiv_Player=$A29)*(Upload_Indiv_Date=J$2)*(Upload_Indiv_Excl_Score)))</f>
        <v/>
      </c>
      <c r="K34" s="2" t="str" cm="1">
        <f t="array" ref="K34">IF(SUMPRODUCT((Upload_Indiv_Player=$A29)*(Upload_Indiv_Date=K$2)*(Upload_Indiv_Excl_Score))=0,"",SUMPRODUCT((Upload_Indiv_Player=$A29)*(Upload_Indiv_Date=K$2)*(Upload_Indiv_Excl_Score)))</f>
        <v/>
      </c>
      <c r="L34" s="2" t="str" cm="1">
        <f t="array" ref="L34">IF(SUMPRODUCT((Upload_Indiv_Player=$A29)*(Upload_Indiv_Date=L$2)*(Upload_Indiv_Excl_Score))=0,"",SUMPRODUCT((Upload_Indiv_Player=$A29)*(Upload_Indiv_Date=L$2)*(Upload_Indiv_Excl_Score)))</f>
        <v/>
      </c>
      <c r="M34" s="2" t="str" cm="1">
        <f t="array" ref="M34">IF(SUMPRODUCT((Upload_Indiv_Player=$A29)*(Upload_Indiv_Date=M$2)*(Upload_Indiv_Excl_Score))=0,"",SUMPRODUCT((Upload_Indiv_Player=$A29)*(Upload_Indiv_Date=M$2)*(Upload_Indiv_Excl_Score)))</f>
        <v/>
      </c>
      <c r="N34" s="2" t="str" cm="1">
        <f t="array" ref="N34">IF(SUMPRODUCT((Upload_Indiv_Player=$A29)*(Upload_Indiv_Date=N$2)*(Upload_Indiv_Excl_Score))=0,"",SUMPRODUCT((Upload_Indiv_Player=$A29)*(Upload_Indiv_Date=N$2)*(Upload_Indiv_Excl_Score)))</f>
        <v/>
      </c>
      <c r="O34" s="2" t="str" cm="1">
        <f t="array" ref="O34">IF(SUMPRODUCT((Upload_Indiv_Player=$A29)*(Upload_Indiv_Date=O$2)*(Upload_Indiv_Excl_Score))=0,"",SUMPRODUCT((Upload_Indiv_Player=$A29)*(Upload_Indiv_Date=O$2)*(Upload_Indiv_Excl_Score)))</f>
        <v/>
      </c>
      <c r="P34" s="2" t="str" cm="1">
        <f t="array" ref="P34">IF(SUMPRODUCT((Upload_Indiv_Player=$A29)*(Upload_Indiv_Date=P$2)*(Upload_Indiv_Excl_Score))=0,"",SUMPRODUCT((Upload_Indiv_Player=$A29)*(Upload_Indiv_Date=P$2)*(Upload_Indiv_Excl_Score)))</f>
        <v/>
      </c>
      <c r="Q34" s="2" t="str" cm="1">
        <f t="array" ref="Q34">IF(SUMPRODUCT((Upload_Indiv_Player=$A29)*(Upload_Indiv_Date=Q$2)*(Upload_Indiv_Excl_Score))=0,"",SUMPRODUCT((Upload_Indiv_Player=$A29)*(Upload_Indiv_Date=Q$2)*(Upload_Indiv_Excl_Score)))</f>
        <v/>
      </c>
      <c r="R34" s="2" t="str" cm="1">
        <f t="array" ref="R34">IF(SUMPRODUCT((Upload_Indiv_Player=$A29)*(Upload_Indiv_Date=R$2)*(Upload_Indiv_Excl_Score))=0,"",SUMPRODUCT((Upload_Indiv_Player=$A29)*(Upload_Indiv_Date=R$2)*(Upload_Indiv_Excl_Score)))</f>
        <v/>
      </c>
      <c r="S34" s="2" t="str" cm="1">
        <f t="array" ref="S34">IF(SUMPRODUCT((Upload_Indiv_Player=$A29)*(Upload_Indiv_Date=S$2)*(Upload_Indiv_Excl_Score))=0,"",SUMPRODUCT((Upload_Indiv_Player=$A29)*(Upload_Indiv_Date=S$2)*(Upload_Indiv_Excl_Score)))</f>
        <v/>
      </c>
      <c r="T34" s="2" cm="1">
        <f t="array" ref="T34">IF(SUMPRODUCT((Upload_Indiv_Player=$A29)*(Upload_Indiv_Date=T$2)*(Upload_Indiv_Excl_Score))=0,"",SUMPRODUCT((Upload_Indiv_Player=$A29)*(Upload_Indiv_Date=T$2)*(Upload_Indiv_Excl_Score)))</f>
        <v>1</v>
      </c>
      <c r="U34" s="2" t="str" cm="1">
        <f t="array" ref="U34">IF(SUMPRODUCT((Upload_Indiv_Player=$A29)*(Upload_Indiv_Date=U$2)*(Upload_Indiv_Excl_Score))=0,"",SUMPRODUCT((Upload_Indiv_Player=$A29)*(Upload_Indiv_Date=U$2)*(Upload_Indiv_Excl_Score)))</f>
        <v/>
      </c>
      <c r="V34" s="276"/>
      <c r="W34" s="276"/>
      <c r="X34" s="276"/>
      <c r="Y34" s="277"/>
      <c r="Z34" s="277"/>
      <c r="AA34" s="277"/>
    </row>
    <row r="35" spans="1:27" x14ac:dyDescent="0.25">
      <c r="A35" s="14"/>
      <c r="B35" s="2" t="s">
        <v>177</v>
      </c>
      <c r="C35" s="2" t="str" cm="1">
        <f t="array" ref="C35">IFERROR(INDEX(Upload_Indiv_Team,MATCH(1,($A29=Upload_Indiv_Player)*(C$2=Upload_Indiv_Date),0)),"")</f>
        <v/>
      </c>
      <c r="D35" s="2" t="str" cm="1">
        <f t="array" ref="D35">IFERROR(INDEX(Upload_Indiv_Team,MATCH(1,($A29=Upload_Indiv_Player)*(D$2=Upload_Indiv_Date),0)),"")</f>
        <v/>
      </c>
      <c r="E35" s="2" t="str" cm="1">
        <f t="array" ref="E35">IFERROR(INDEX(Upload_Indiv_Team,MATCH(1,($A29=Upload_Indiv_Player)*(E$2=Upload_Indiv_Date),0)),"")</f>
        <v>The Four Puttz</v>
      </c>
      <c r="F35" s="2" t="str" cm="1">
        <f t="array" ref="F35">IFERROR(INDEX(Upload_Indiv_Team,MATCH(1,($A29=Upload_Indiv_Player)*(F$2=Upload_Indiv_Date),0)),"")</f>
        <v/>
      </c>
      <c r="G35" s="2" t="str" cm="1">
        <f t="array" ref="G35">IFERROR(INDEX(Upload_Indiv_Team,MATCH(1,($A29=Upload_Indiv_Player)*(G$2=Upload_Indiv_Date),0)),"")</f>
        <v>The Four Puttz</v>
      </c>
      <c r="H35" s="2" t="str" cm="1">
        <f t="array" ref="H35">IFERROR(INDEX(Upload_Indiv_Team,MATCH(1,($A29=Upload_Indiv_Player)*(H$2=Upload_Indiv_Date),0)),"")</f>
        <v/>
      </c>
      <c r="I35" s="2" t="str" cm="1">
        <f t="array" ref="I35">IFERROR(INDEX(Upload_Indiv_Team,MATCH(1,($A29=Upload_Indiv_Player)*(I$2=Upload_Indiv_Date),0)),"")</f>
        <v/>
      </c>
      <c r="J35" s="2" t="str" cm="1">
        <f t="array" ref="J35">IFERROR(INDEX(Upload_Indiv_Team,MATCH(1,($A29=Upload_Indiv_Player)*(J$2=Upload_Indiv_Date),0)),"")</f>
        <v/>
      </c>
      <c r="K35" s="2" t="str" cm="1">
        <f t="array" ref="K35">IFERROR(INDEX(Upload_Indiv_Team,MATCH(1,($A29=Upload_Indiv_Player)*(K$2=Upload_Indiv_Date),0)),"")</f>
        <v/>
      </c>
      <c r="L35" s="2" t="str" cm="1">
        <f t="array" ref="L35">IFERROR(INDEX(Upload_Indiv_Team,MATCH(1,($A29=Upload_Indiv_Player)*(L$2=Upload_Indiv_Date),0)),"")</f>
        <v>The Four Puttz</v>
      </c>
      <c r="M35" s="2" t="str" cm="1">
        <f t="array" ref="M35">IFERROR(INDEX(Upload_Indiv_Team,MATCH(1,($A29=Upload_Indiv_Player)*(M$2=Upload_Indiv_Date),0)),"")</f>
        <v>The Four Puttz</v>
      </c>
      <c r="N35" s="2" t="str" cm="1">
        <f t="array" ref="N35">IFERROR(INDEX(Upload_Indiv_Team,MATCH(1,($A29=Upload_Indiv_Player)*(N$2=Upload_Indiv_Date),0)),"")</f>
        <v/>
      </c>
      <c r="O35" s="2" t="str" cm="1">
        <f t="array" ref="O35">IFERROR(INDEX(Upload_Indiv_Team,MATCH(1,($A29=Upload_Indiv_Player)*(O$2=Upload_Indiv_Date),0)),"")</f>
        <v>The Four Puttz</v>
      </c>
      <c r="P35" s="2" t="str" cm="1">
        <f t="array" ref="P35">IFERROR(INDEX(Upload_Indiv_Team,MATCH(1,($A29=Upload_Indiv_Player)*(P$2=Upload_Indiv_Date),0)),"")</f>
        <v/>
      </c>
      <c r="Q35" s="2" t="str" cm="1">
        <f t="array" ref="Q35">IFERROR(INDEX(Upload_Indiv_Team,MATCH(1,($A29=Upload_Indiv_Player)*(Q$2=Upload_Indiv_Date),0)),"")</f>
        <v/>
      </c>
      <c r="R35" s="2" t="str" cm="1">
        <f t="array" ref="R35">IFERROR(INDEX(Upload_Indiv_Team,MATCH(1,($A29=Upload_Indiv_Player)*(R$2=Upload_Indiv_Date),0)),"")</f>
        <v>The Four Puttz</v>
      </c>
      <c r="S35" s="2" t="str" cm="1">
        <f t="array" ref="S35">IFERROR(INDEX(Upload_Indiv_Team,MATCH(1,($A29=Upload_Indiv_Player)*(S$2=Upload_Indiv_Date),0)),"")</f>
        <v/>
      </c>
      <c r="T35" s="2" t="str" cm="1">
        <f t="array" ref="T35">IFERROR(INDEX(Upload_Indiv_Team,MATCH(1,($A29=Upload_Indiv_Player)*(T$2=Upload_Indiv_Date),0)),"")</f>
        <v>The Four Puttz</v>
      </c>
      <c r="U35" s="2" t="str" cm="1">
        <f t="array" ref="U35">IFERROR(INDEX(Upload_Indiv_Team,MATCH(1,($A29=Upload_Indiv_Player)*(U$2=Upload_Indiv_Date),0)),"")</f>
        <v/>
      </c>
      <c r="V35" s="276"/>
      <c r="W35" s="276"/>
      <c r="X35" s="276"/>
      <c r="Y35" s="277"/>
      <c r="Z35" s="277"/>
      <c r="AA35" s="277"/>
    </row>
    <row r="36" spans="1:27" ht="13.8" thickBot="1" x14ac:dyDescent="0.3">
      <c r="A36" s="329" t="s">
        <v>160</v>
      </c>
      <c r="B36" s="8" t="s">
        <v>178</v>
      </c>
      <c r="C36" s="58" t="str">
        <f t="shared" ref="C36:U36" si="4">IF(C29="", "", IF(C31&gt;=11, "w", IF(C31&lt;=9, "l", "t")))</f>
        <v/>
      </c>
      <c r="D36" s="58" t="str">
        <f t="shared" si="4"/>
        <v/>
      </c>
      <c r="E36" s="58" t="str">
        <f t="shared" si="4"/>
        <v>w</v>
      </c>
      <c r="F36" s="58" t="str">
        <f t="shared" si="4"/>
        <v/>
      </c>
      <c r="G36" s="58" t="str">
        <f t="shared" si="4"/>
        <v>w</v>
      </c>
      <c r="H36" s="58" t="str">
        <f t="shared" si="4"/>
        <v/>
      </c>
      <c r="I36" s="58" t="str">
        <f t="shared" si="4"/>
        <v/>
      </c>
      <c r="J36" s="58" t="str">
        <f t="shared" si="4"/>
        <v/>
      </c>
      <c r="K36" s="58" t="str">
        <f t="shared" si="4"/>
        <v/>
      </c>
      <c r="L36" s="58" t="str">
        <f t="shared" si="4"/>
        <v>w</v>
      </c>
      <c r="M36" s="58" t="str">
        <f t="shared" si="4"/>
        <v>w</v>
      </c>
      <c r="N36" s="58" t="str">
        <f t="shared" si="4"/>
        <v/>
      </c>
      <c r="O36" s="58" t="str">
        <f t="shared" si="4"/>
        <v>l</v>
      </c>
      <c r="P36" s="58" t="str">
        <f t="shared" si="4"/>
        <v/>
      </c>
      <c r="Q36" s="58" t="str">
        <f t="shared" si="4"/>
        <v/>
      </c>
      <c r="R36" s="58" t="str">
        <f t="shared" si="4"/>
        <v>l</v>
      </c>
      <c r="S36" s="58" t="str">
        <f t="shared" si="4"/>
        <v/>
      </c>
      <c r="T36" s="58" t="str">
        <f t="shared" si="4"/>
        <v>l</v>
      </c>
      <c r="U36" s="58" t="str">
        <f t="shared" si="4"/>
        <v/>
      </c>
      <c r="V36" s="276"/>
      <c r="W36" s="276"/>
      <c r="X36" s="276"/>
      <c r="Y36" s="277"/>
      <c r="Z36" s="277"/>
      <c r="AA36" s="277"/>
    </row>
    <row r="37" spans="1:27" x14ac:dyDescent="0.25">
      <c r="A37" s="11" t="s">
        <v>304</v>
      </c>
      <c r="B37" s="3" t="s">
        <v>170</v>
      </c>
      <c r="C37" s="3" t="str" cm="1">
        <f t="array" ref="C37">IF(SUMPRODUCT((Upload_Indiv_Player=$A37)*(Upload_Indiv_Date=C$2)*(Upload_Indiv_Gross))=0,"",SUMPRODUCT((Upload_Indiv_Player=$A37)*(Upload_Indiv_Date=C$2)*(Upload_Indiv_Gross)))</f>
        <v/>
      </c>
      <c r="D37" s="3" t="str" cm="1">
        <f t="array" ref="D37">IF(SUMPRODUCT((Upload_Indiv_Player=$A37)*(Upload_Indiv_Date=D$2)*(Upload_Indiv_Gross))=0,"",SUMPRODUCT((Upload_Indiv_Player=$A37)*(Upload_Indiv_Date=D$2)*(Upload_Indiv_Gross)))</f>
        <v/>
      </c>
      <c r="E37" s="3" t="str" cm="1">
        <f t="array" ref="E37">IF(SUMPRODUCT((Upload_Indiv_Player=$A37)*(Upload_Indiv_Date=E$2)*(Upload_Indiv_Gross))=0,"",SUMPRODUCT((Upload_Indiv_Player=$A37)*(Upload_Indiv_Date=E$2)*(Upload_Indiv_Gross)))</f>
        <v/>
      </c>
      <c r="F37" s="3" t="str" cm="1">
        <f t="array" ref="F37">IF(SUMPRODUCT((Upload_Indiv_Player=$A37)*(Upload_Indiv_Date=F$2)*(Upload_Indiv_Gross))=0,"",SUMPRODUCT((Upload_Indiv_Player=$A37)*(Upload_Indiv_Date=F$2)*(Upload_Indiv_Gross)))</f>
        <v/>
      </c>
      <c r="G37" s="3" t="str" cm="1">
        <f t="array" ref="G37">IF(SUMPRODUCT((Upload_Indiv_Player=$A37)*(Upload_Indiv_Date=G$2)*(Upload_Indiv_Gross))=0,"",SUMPRODUCT((Upload_Indiv_Player=$A37)*(Upload_Indiv_Date=G$2)*(Upload_Indiv_Gross)))</f>
        <v/>
      </c>
      <c r="H37" s="3" t="str" cm="1">
        <f t="array" ref="H37">IF(SUMPRODUCT((Upload_Indiv_Player=$A37)*(Upload_Indiv_Date=H$2)*(Upload_Indiv_Gross))=0,"",SUMPRODUCT((Upload_Indiv_Player=$A37)*(Upload_Indiv_Date=H$2)*(Upload_Indiv_Gross)))</f>
        <v/>
      </c>
      <c r="I37" s="3" t="str" cm="1">
        <f t="array" ref="I37">IF(SUMPRODUCT((Upload_Indiv_Player=$A37)*(Upload_Indiv_Date=I$2)*(Upload_Indiv_Gross))=0,"",SUMPRODUCT((Upload_Indiv_Player=$A37)*(Upload_Indiv_Date=I$2)*(Upload_Indiv_Gross)))</f>
        <v/>
      </c>
      <c r="J37" s="3" t="str" cm="1">
        <f t="array" ref="J37">IF(SUMPRODUCT((Upload_Indiv_Player=$A37)*(Upload_Indiv_Date=J$2)*(Upload_Indiv_Gross))=0,"",SUMPRODUCT((Upload_Indiv_Player=$A37)*(Upload_Indiv_Date=J$2)*(Upload_Indiv_Gross)))</f>
        <v/>
      </c>
      <c r="K37" s="3" t="str" cm="1">
        <f t="array" ref="K37">IF(SUMPRODUCT((Upload_Indiv_Player=$A37)*(Upload_Indiv_Date=K$2)*(Upload_Indiv_Gross))=0,"",SUMPRODUCT((Upload_Indiv_Player=$A37)*(Upload_Indiv_Date=K$2)*(Upload_Indiv_Gross)))</f>
        <v/>
      </c>
      <c r="L37" s="3" t="str" cm="1">
        <f t="array" ref="L37">IF(SUMPRODUCT((Upload_Indiv_Player=$A37)*(Upload_Indiv_Date=L$2)*(Upload_Indiv_Gross))=0,"",SUMPRODUCT((Upload_Indiv_Player=$A37)*(Upload_Indiv_Date=L$2)*(Upload_Indiv_Gross)))</f>
        <v/>
      </c>
      <c r="M37" s="3" t="str" cm="1">
        <f t="array" ref="M37">IF(SUMPRODUCT((Upload_Indiv_Player=$A37)*(Upload_Indiv_Date=M$2)*(Upload_Indiv_Gross))=0,"",SUMPRODUCT((Upload_Indiv_Player=$A37)*(Upload_Indiv_Date=M$2)*(Upload_Indiv_Gross)))</f>
        <v/>
      </c>
      <c r="N37" s="3" t="str" cm="1">
        <f t="array" ref="N37">IF(SUMPRODUCT((Upload_Indiv_Player=$A37)*(Upload_Indiv_Date=N$2)*(Upload_Indiv_Gross))=0,"",SUMPRODUCT((Upload_Indiv_Player=$A37)*(Upload_Indiv_Date=N$2)*(Upload_Indiv_Gross)))</f>
        <v/>
      </c>
      <c r="O37" s="3" t="str" cm="1">
        <f t="array" ref="O37">IF(SUMPRODUCT((Upload_Indiv_Player=$A37)*(Upload_Indiv_Date=O$2)*(Upload_Indiv_Gross))=0,"",SUMPRODUCT((Upload_Indiv_Player=$A37)*(Upload_Indiv_Date=O$2)*(Upload_Indiv_Gross)))</f>
        <v/>
      </c>
      <c r="P37" s="3" t="str" cm="1">
        <f t="array" ref="P37">IF(SUMPRODUCT((Upload_Indiv_Player=$A37)*(Upload_Indiv_Date=P$2)*(Upload_Indiv_Gross))=0,"",SUMPRODUCT((Upload_Indiv_Player=$A37)*(Upload_Indiv_Date=P$2)*(Upload_Indiv_Gross)))</f>
        <v/>
      </c>
      <c r="Q37" s="2" cm="1">
        <f t="array" ref="Q37">IF(SUMPRODUCT((Upload_Indiv_Player=$A37)*(Upload_Indiv_Date=Q$2)*(Upload_Indiv_Gross))=0,"",SUMPRODUCT((Upload_Indiv_Player=$A37)*(Upload_Indiv_Date=Q$2)*(Upload_Indiv_Gross)))</f>
        <v>48</v>
      </c>
      <c r="R37" s="2" t="str" cm="1">
        <f t="array" ref="R37">IF(SUMPRODUCT((Upload_Indiv_Player=$A37)*(Upload_Indiv_Date=R$2)*(Upload_Indiv_Gross))=0,"",SUMPRODUCT((Upload_Indiv_Player=$A37)*(Upload_Indiv_Date=R$2)*(Upload_Indiv_Gross)))</f>
        <v/>
      </c>
      <c r="S37" s="2" t="str" cm="1">
        <f t="array" ref="S37">IF(SUMPRODUCT((Upload_Indiv_Player=$A37)*(Upload_Indiv_Date=S$2)*(Upload_Indiv_Gross))=0,"",SUMPRODUCT((Upload_Indiv_Player=$A37)*(Upload_Indiv_Date=S$2)*(Upload_Indiv_Gross)))</f>
        <v/>
      </c>
      <c r="T37" s="2" t="str" cm="1">
        <f t="array" ref="T37">IF(SUMPRODUCT((Upload_Indiv_Player=$A37)*(Upload_Indiv_Date=T$2)*(Upload_Indiv_Gross))=0,"",SUMPRODUCT((Upload_Indiv_Player=$A37)*(Upload_Indiv_Date=T$2)*(Upload_Indiv_Gross)))</f>
        <v/>
      </c>
      <c r="U37" s="2" t="str" cm="1">
        <f t="array" ref="U37">IF(SUMPRODUCT((Upload_Indiv_Player=$A37)*(Upload_Indiv_Date=U$2)*(Upload_Indiv_Gross))=0,"",SUMPRODUCT((Upload_Indiv_Player=$A37)*(Upload_Indiv_Date=U$2)*(Upload_Indiv_Gross)))</f>
        <v/>
      </c>
      <c r="V37" s="273">
        <v>0</v>
      </c>
      <c r="W37" s="273">
        <v>9</v>
      </c>
      <c r="X37" s="273">
        <v>7</v>
      </c>
      <c r="Y37" s="277">
        <v>15</v>
      </c>
      <c r="Z37" s="277">
        <v>11</v>
      </c>
      <c r="AA37" s="277">
        <v>10</v>
      </c>
    </row>
    <row r="38" spans="1:27" x14ac:dyDescent="0.25">
      <c r="A38" s="216">
        <v>3302847865</v>
      </c>
      <c r="B38" s="2" t="s">
        <v>171</v>
      </c>
      <c r="C38" s="2" t="str" cm="1">
        <f t="array" ref="C38">IF(SUMPRODUCT((Upload_Indiv_Player=$A37)*(Upload_Indiv_Date=C$2)*(Upload_Indiv_Net))=0,"",SUMPRODUCT((Upload_Indiv_Player=$A37)*(Upload_Indiv_Date=C$2)*(Upload_Indiv_Net)))</f>
        <v/>
      </c>
      <c r="D38" s="2" t="str" cm="1">
        <f t="array" ref="D38">IF(SUMPRODUCT((Upload_Indiv_Player=$A37)*(Upload_Indiv_Date=D$2)*(Upload_Indiv_Net))=0,"",SUMPRODUCT((Upload_Indiv_Player=$A37)*(Upload_Indiv_Date=D$2)*(Upload_Indiv_Net)))</f>
        <v/>
      </c>
      <c r="E38" s="2" t="str" cm="1">
        <f t="array" ref="E38">IF(SUMPRODUCT((Upload_Indiv_Player=$A37)*(Upload_Indiv_Date=E$2)*(Upload_Indiv_Net))=0,"",SUMPRODUCT((Upload_Indiv_Player=$A37)*(Upload_Indiv_Date=E$2)*(Upload_Indiv_Net)))</f>
        <v/>
      </c>
      <c r="F38" s="2" t="str" cm="1">
        <f t="array" ref="F38">IF(SUMPRODUCT((Upload_Indiv_Player=$A37)*(Upload_Indiv_Date=F$2)*(Upload_Indiv_Net))=0,"",SUMPRODUCT((Upload_Indiv_Player=$A37)*(Upload_Indiv_Date=F$2)*(Upload_Indiv_Net)))</f>
        <v/>
      </c>
      <c r="G38" s="2" t="str" cm="1">
        <f t="array" ref="G38">IF(SUMPRODUCT((Upload_Indiv_Player=$A37)*(Upload_Indiv_Date=G$2)*(Upload_Indiv_Net))=0,"",SUMPRODUCT((Upload_Indiv_Player=$A37)*(Upload_Indiv_Date=G$2)*(Upload_Indiv_Net)))</f>
        <v/>
      </c>
      <c r="H38" s="2" t="str" cm="1">
        <f t="array" ref="H38">IF(SUMPRODUCT((Upload_Indiv_Player=$A37)*(Upload_Indiv_Date=H$2)*(Upload_Indiv_Net))=0,"",SUMPRODUCT((Upload_Indiv_Player=$A37)*(Upload_Indiv_Date=H$2)*(Upload_Indiv_Net)))</f>
        <v/>
      </c>
      <c r="I38" s="2" t="str" cm="1">
        <f t="array" ref="I38">IF(SUMPRODUCT((Upload_Indiv_Player=$A37)*(Upload_Indiv_Date=I$2)*(Upload_Indiv_Net))=0,"",SUMPRODUCT((Upload_Indiv_Player=$A37)*(Upload_Indiv_Date=I$2)*(Upload_Indiv_Net)))</f>
        <v/>
      </c>
      <c r="J38" s="2" t="str" cm="1">
        <f t="array" ref="J38">IF(SUMPRODUCT((Upload_Indiv_Player=$A37)*(Upload_Indiv_Date=J$2)*(Upload_Indiv_Net))=0,"",SUMPRODUCT((Upload_Indiv_Player=$A37)*(Upload_Indiv_Date=J$2)*(Upload_Indiv_Net)))</f>
        <v/>
      </c>
      <c r="K38" s="2" t="str" cm="1">
        <f t="array" ref="K38">IF(SUMPRODUCT((Upload_Indiv_Player=$A37)*(Upload_Indiv_Date=K$2)*(Upload_Indiv_Net))=0,"",SUMPRODUCT((Upload_Indiv_Player=$A37)*(Upload_Indiv_Date=K$2)*(Upload_Indiv_Net)))</f>
        <v/>
      </c>
      <c r="L38" s="2" t="str" cm="1">
        <f t="array" ref="L38">IF(SUMPRODUCT((Upload_Indiv_Player=$A37)*(Upload_Indiv_Date=L$2)*(Upload_Indiv_Net))=0,"",SUMPRODUCT((Upload_Indiv_Player=$A37)*(Upload_Indiv_Date=L$2)*(Upload_Indiv_Net)))</f>
        <v/>
      </c>
      <c r="M38" s="2" t="str" cm="1">
        <f t="array" ref="M38">IF(SUMPRODUCT((Upload_Indiv_Player=$A37)*(Upload_Indiv_Date=M$2)*(Upload_Indiv_Net))=0,"",SUMPRODUCT((Upload_Indiv_Player=$A37)*(Upload_Indiv_Date=M$2)*(Upload_Indiv_Net)))</f>
        <v/>
      </c>
      <c r="N38" s="2" t="str" cm="1">
        <f t="array" ref="N38">IF(SUMPRODUCT((Upload_Indiv_Player=$A37)*(Upload_Indiv_Date=N$2)*(Upload_Indiv_Net))=0,"",SUMPRODUCT((Upload_Indiv_Player=$A37)*(Upload_Indiv_Date=N$2)*(Upload_Indiv_Net)))</f>
        <v/>
      </c>
      <c r="O38" s="2" t="str" cm="1">
        <f t="array" ref="O38">IF(SUMPRODUCT((Upload_Indiv_Player=$A37)*(Upload_Indiv_Date=O$2)*(Upload_Indiv_Net))=0,"",SUMPRODUCT((Upload_Indiv_Player=$A37)*(Upload_Indiv_Date=O$2)*(Upload_Indiv_Net)))</f>
        <v/>
      </c>
      <c r="P38" s="2" t="str" cm="1">
        <f t="array" ref="P38">IF(SUMPRODUCT((Upload_Indiv_Player=$A37)*(Upload_Indiv_Date=P$2)*(Upload_Indiv_Net))=0,"",SUMPRODUCT((Upload_Indiv_Player=$A37)*(Upload_Indiv_Date=P$2)*(Upload_Indiv_Net)))</f>
        <v/>
      </c>
      <c r="Q38" s="2" t="str" cm="1">
        <f t="array" ref="Q38">IF(SUMPRODUCT((Upload_Indiv_Player=$A37)*(Upload_Indiv_Date=Q$2)*(Upload_Indiv_Net))=0,"",SUMPRODUCT((Upload_Indiv_Player=$A37)*(Upload_Indiv_Date=Q$2)*(Upload_Indiv_Net)))</f>
        <v/>
      </c>
      <c r="R38" s="2" t="str" cm="1">
        <f t="array" ref="R38">IF(SUMPRODUCT((Upload_Indiv_Player=$A37)*(Upload_Indiv_Date=R$2)*(Upload_Indiv_Net))=0,"",SUMPRODUCT((Upload_Indiv_Player=$A37)*(Upload_Indiv_Date=R$2)*(Upload_Indiv_Net)))</f>
        <v/>
      </c>
      <c r="S38" s="2" t="str" cm="1">
        <f t="array" ref="S38">IF(SUMPRODUCT((Upload_Indiv_Player=$A37)*(Upload_Indiv_Date=S$2)*(Upload_Indiv_Net))=0,"",SUMPRODUCT((Upload_Indiv_Player=$A37)*(Upload_Indiv_Date=S$2)*(Upload_Indiv_Net)))</f>
        <v/>
      </c>
      <c r="T38" s="2" t="str" cm="1">
        <f t="array" ref="T38">IF(SUMPRODUCT((Upload_Indiv_Player=$A37)*(Upload_Indiv_Date=T$2)*(Upload_Indiv_Net))=0,"",SUMPRODUCT((Upload_Indiv_Player=$A37)*(Upload_Indiv_Date=T$2)*(Upload_Indiv_Net)))</f>
        <v/>
      </c>
      <c r="U38" s="2" t="str" cm="1">
        <f t="array" ref="U38">IF(SUMPRODUCT((Upload_Indiv_Player=$A37)*(Upload_Indiv_Date=U$2)*(Upload_Indiv_Net))=0,"",SUMPRODUCT((Upload_Indiv_Player=$A37)*(Upload_Indiv_Date=U$2)*(Upload_Indiv_Net)))</f>
        <v/>
      </c>
      <c r="V38" s="279"/>
      <c r="W38" s="276"/>
      <c r="X38" s="276"/>
      <c r="Y38" s="277"/>
      <c r="Z38" s="277"/>
      <c r="AA38" s="277"/>
    </row>
    <row r="39" spans="1:27" x14ac:dyDescent="0.25">
      <c r="A39" s="65" t="s">
        <v>305</v>
      </c>
      <c r="B39" s="2" t="s">
        <v>173</v>
      </c>
      <c r="C39" s="2" t="str" cm="1">
        <f t="array" ref="C39">IF(SUMPRODUCT((Upload_Indiv_Player=$A37)*(Upload_Indiv_Date=C$2)*(Upload_Indiv_PointsTot))=0,"",SUMPRODUCT((Upload_Indiv_Player=$A37)*(Upload_Indiv_Date=C$2)*(Upload_Indiv_PointsTot)))</f>
        <v/>
      </c>
      <c r="D39" s="2" t="str" cm="1">
        <f t="array" ref="D39">IF(SUMPRODUCT((Upload_Indiv_Player=$A37)*(Upload_Indiv_Date=D$2)*(Upload_Indiv_PointsTot))=0,"",SUMPRODUCT((Upload_Indiv_Player=$A37)*(Upload_Indiv_Date=D$2)*(Upload_Indiv_PointsTot)))</f>
        <v/>
      </c>
      <c r="E39" s="2" t="str" cm="1">
        <f t="array" ref="E39">IF(SUMPRODUCT((Upload_Indiv_Player=$A37)*(Upload_Indiv_Date=E$2)*(Upload_Indiv_PointsTot))=0,"",SUMPRODUCT((Upload_Indiv_Player=$A37)*(Upload_Indiv_Date=E$2)*(Upload_Indiv_PointsTot)))</f>
        <v/>
      </c>
      <c r="F39" s="2" t="str" cm="1">
        <f t="array" ref="F39">IF(SUMPRODUCT((Upload_Indiv_Player=$A37)*(Upload_Indiv_Date=F$2)*(Upload_Indiv_PointsTot))=0,"",SUMPRODUCT((Upload_Indiv_Player=$A37)*(Upload_Indiv_Date=F$2)*(Upload_Indiv_PointsTot)))</f>
        <v/>
      </c>
      <c r="G39" s="2" t="str" cm="1">
        <f t="array" ref="G39">IF(SUMPRODUCT((Upload_Indiv_Player=$A37)*(Upload_Indiv_Date=G$2)*(Upload_Indiv_PointsTot))=0,"",SUMPRODUCT((Upload_Indiv_Player=$A37)*(Upload_Indiv_Date=G$2)*(Upload_Indiv_PointsTot)))</f>
        <v/>
      </c>
      <c r="H39" s="2" t="str" cm="1">
        <f t="array" ref="H39">IF(SUMPRODUCT((Upload_Indiv_Player=$A37)*(Upload_Indiv_Date=H$2)*(Upload_Indiv_PointsTot))=0,"",SUMPRODUCT((Upload_Indiv_Player=$A37)*(Upload_Indiv_Date=H$2)*(Upload_Indiv_PointsTot)))</f>
        <v/>
      </c>
      <c r="I39" s="2" t="str" cm="1">
        <f t="array" ref="I39">IF(SUMPRODUCT((Upload_Indiv_Player=$A37)*(Upload_Indiv_Date=I$2)*(Upload_Indiv_PointsTot))=0,"",SUMPRODUCT((Upload_Indiv_Player=$A37)*(Upload_Indiv_Date=I$2)*(Upload_Indiv_PointsTot)))</f>
        <v/>
      </c>
      <c r="J39" s="2" t="str" cm="1">
        <f t="array" ref="J39">IF(SUMPRODUCT((Upload_Indiv_Player=$A37)*(Upload_Indiv_Date=J$2)*(Upload_Indiv_PointsTot))=0,"",SUMPRODUCT((Upload_Indiv_Player=$A37)*(Upload_Indiv_Date=J$2)*(Upload_Indiv_PointsTot)))</f>
        <v/>
      </c>
      <c r="K39" s="2" t="str" cm="1">
        <f t="array" ref="K39">IF(SUMPRODUCT((Upload_Indiv_Player=$A37)*(Upload_Indiv_Date=K$2)*(Upload_Indiv_PointsTot))=0,"",SUMPRODUCT((Upload_Indiv_Player=$A37)*(Upload_Indiv_Date=K$2)*(Upload_Indiv_PointsTot)))</f>
        <v/>
      </c>
      <c r="L39" s="2" t="str" cm="1">
        <f t="array" ref="L39">IF(SUMPRODUCT((Upload_Indiv_Player=$A37)*(Upload_Indiv_Date=L$2)*(Upload_Indiv_PointsTot))=0,"",SUMPRODUCT((Upload_Indiv_Player=$A37)*(Upload_Indiv_Date=L$2)*(Upload_Indiv_PointsTot)))</f>
        <v/>
      </c>
      <c r="M39" s="2" t="str" cm="1">
        <f t="array" ref="M39">IF(SUMPRODUCT((Upload_Indiv_Player=$A37)*(Upload_Indiv_Date=M$2)*(Upload_Indiv_PointsTot))=0,"",SUMPRODUCT((Upload_Indiv_Player=$A37)*(Upload_Indiv_Date=M$2)*(Upload_Indiv_PointsTot)))</f>
        <v/>
      </c>
      <c r="N39" s="2" t="str" cm="1">
        <f t="array" ref="N39">IF(SUMPRODUCT((Upload_Indiv_Player=$A37)*(Upload_Indiv_Date=N$2)*(Upload_Indiv_PointsTot))=0,"",SUMPRODUCT((Upload_Indiv_Player=$A37)*(Upload_Indiv_Date=N$2)*(Upload_Indiv_PointsTot)))</f>
        <v/>
      </c>
      <c r="O39" s="2" t="str" cm="1">
        <f t="array" ref="O39">IF(SUMPRODUCT((Upload_Indiv_Player=$A37)*(Upload_Indiv_Date=O$2)*(Upload_Indiv_PointsTot))=0,"",SUMPRODUCT((Upload_Indiv_Player=$A37)*(Upload_Indiv_Date=O$2)*(Upload_Indiv_PointsTot)))</f>
        <v/>
      </c>
      <c r="P39" s="2" t="str" cm="1">
        <f t="array" ref="P39">IF(SUMPRODUCT((Upload_Indiv_Player=$A37)*(Upload_Indiv_Date=P$2)*(Upload_Indiv_PointsTot))=0,"",SUMPRODUCT((Upload_Indiv_Player=$A37)*(Upload_Indiv_Date=P$2)*(Upload_Indiv_PointsTot)))</f>
        <v/>
      </c>
      <c r="Q39" s="2" cm="1">
        <f t="array" ref="Q39">IF(SUMPRODUCT((Upload_Indiv_Player=$A37)*(Upload_Indiv_Date=Q$2)*(Upload_Indiv_PointsTot))=0,"",SUMPRODUCT((Upload_Indiv_Player=$A37)*(Upload_Indiv_Date=Q$2)*(Upload_Indiv_PointsTot)))</f>
        <v>10</v>
      </c>
      <c r="R39" s="2" t="str" cm="1">
        <f t="array" ref="R39">IF(SUMPRODUCT((Upload_Indiv_Player=$A37)*(Upload_Indiv_Date=R$2)*(Upload_Indiv_PointsTot))=0,"",SUMPRODUCT((Upload_Indiv_Player=$A37)*(Upload_Indiv_Date=R$2)*(Upload_Indiv_PointsTot)))</f>
        <v/>
      </c>
      <c r="S39" s="2" t="str" cm="1">
        <f t="array" ref="S39">IF(SUMPRODUCT((Upload_Indiv_Player=$A37)*(Upload_Indiv_Date=S$2)*(Upload_Indiv_PointsTot))=0,"",SUMPRODUCT((Upload_Indiv_Player=$A37)*(Upload_Indiv_Date=S$2)*(Upload_Indiv_PointsTot)))</f>
        <v/>
      </c>
      <c r="T39" s="2" t="str" cm="1">
        <f t="array" ref="T39">IF(SUMPRODUCT((Upload_Indiv_Player=$A37)*(Upload_Indiv_Date=T$2)*(Upload_Indiv_PointsTot))=0,"",SUMPRODUCT((Upload_Indiv_Player=$A37)*(Upload_Indiv_Date=T$2)*(Upload_Indiv_PointsTot)))</f>
        <v/>
      </c>
      <c r="U39" s="2" t="str" cm="1">
        <f t="array" ref="U39">IF(SUMPRODUCT((Upload_Indiv_Player=$A37)*(Upload_Indiv_Date=U$2)*(Upload_Indiv_PointsTot))=0,"",SUMPRODUCT((Upload_Indiv_Player=$A37)*(Upload_Indiv_Date=U$2)*(Upload_Indiv_PointsTot)))</f>
        <v/>
      </c>
      <c r="V39" s="276"/>
      <c r="W39" s="276"/>
      <c r="X39" s="276"/>
      <c r="Y39" s="277"/>
      <c r="Z39" s="277"/>
      <c r="AA39" s="277"/>
    </row>
    <row r="40" spans="1:27" x14ac:dyDescent="0.25">
      <c r="A40" s="14" t="s">
        <v>160</v>
      </c>
      <c r="B40" s="2" t="s">
        <v>174</v>
      </c>
      <c r="C40" s="2" t="str" cm="1">
        <f t="array" ref="C40">IF(SUMPRODUCT((Upload_Indiv_Player=$A37)*(Upload_Indiv_Date=C$2)*(Upload_Indiv_Tot_Birds))=0,"",SUMPRODUCT((Upload_Indiv_Player=$A37)*(Upload_Indiv_Date=C$2)*(Upload_Indiv_Tot_Birds)))</f>
        <v/>
      </c>
      <c r="D40" s="2" t="str" cm="1">
        <f t="array" ref="D40">IF(SUMPRODUCT((Upload_Indiv_Player=$A37)*(Upload_Indiv_Date=D$2)*(Upload_Indiv_Tot_Birds))=0,"",SUMPRODUCT((Upload_Indiv_Player=$A37)*(Upload_Indiv_Date=D$2)*(Upload_Indiv_Tot_Birds)))</f>
        <v/>
      </c>
      <c r="E40" s="2" t="str" cm="1">
        <f t="array" ref="E40">IF(SUMPRODUCT((Upload_Indiv_Player=$A37)*(Upload_Indiv_Date=E$2)*(Upload_Indiv_Tot_Birds))=0,"",SUMPRODUCT((Upload_Indiv_Player=$A37)*(Upload_Indiv_Date=E$2)*(Upload_Indiv_Tot_Birds)))</f>
        <v/>
      </c>
      <c r="F40" s="2" t="str" cm="1">
        <f t="array" ref="F40">IF(SUMPRODUCT((Upload_Indiv_Player=$A37)*(Upload_Indiv_Date=F$2)*(Upload_Indiv_Tot_Birds))=0,"",SUMPRODUCT((Upload_Indiv_Player=$A37)*(Upload_Indiv_Date=F$2)*(Upload_Indiv_Tot_Birds)))</f>
        <v/>
      </c>
      <c r="G40" s="2" t="str" cm="1">
        <f t="array" ref="G40">IF(SUMPRODUCT((Upload_Indiv_Player=$A37)*(Upload_Indiv_Date=G$2)*(Upload_Indiv_Tot_Birds))=0,"",SUMPRODUCT((Upload_Indiv_Player=$A37)*(Upload_Indiv_Date=G$2)*(Upload_Indiv_Tot_Birds)))</f>
        <v/>
      </c>
      <c r="H40" s="2" t="str" cm="1">
        <f t="array" ref="H40">IF(SUMPRODUCT((Upload_Indiv_Player=$A37)*(Upload_Indiv_Date=H$2)*(Upload_Indiv_Tot_Birds))=0,"",SUMPRODUCT((Upload_Indiv_Player=$A37)*(Upload_Indiv_Date=H$2)*(Upload_Indiv_Tot_Birds)))</f>
        <v/>
      </c>
      <c r="I40" s="2" t="str" cm="1">
        <f t="array" ref="I40">IF(SUMPRODUCT((Upload_Indiv_Player=$A37)*(Upload_Indiv_Date=I$2)*(Upload_Indiv_Tot_Birds))=0,"",SUMPRODUCT((Upload_Indiv_Player=$A37)*(Upload_Indiv_Date=I$2)*(Upload_Indiv_Tot_Birds)))</f>
        <v/>
      </c>
      <c r="J40" s="2" t="str" cm="1">
        <f t="array" ref="J40">IF(SUMPRODUCT((Upload_Indiv_Player=$A37)*(Upload_Indiv_Date=J$2)*(Upload_Indiv_Tot_Birds))=0,"",SUMPRODUCT((Upload_Indiv_Player=$A37)*(Upload_Indiv_Date=J$2)*(Upload_Indiv_Tot_Birds)))</f>
        <v/>
      </c>
      <c r="K40" s="2" t="str" cm="1">
        <f t="array" ref="K40">IF(SUMPRODUCT((Upload_Indiv_Player=$A37)*(Upload_Indiv_Date=K$2)*(Upload_Indiv_Tot_Birds))=0,"",SUMPRODUCT((Upload_Indiv_Player=$A37)*(Upload_Indiv_Date=K$2)*(Upload_Indiv_Tot_Birds)))</f>
        <v/>
      </c>
      <c r="L40" s="2" t="str" cm="1">
        <f t="array" ref="L40">IF(SUMPRODUCT((Upload_Indiv_Player=$A37)*(Upload_Indiv_Date=L$2)*(Upload_Indiv_Tot_Birds))=0,"",SUMPRODUCT((Upload_Indiv_Player=$A37)*(Upload_Indiv_Date=L$2)*(Upload_Indiv_Tot_Birds)))</f>
        <v/>
      </c>
      <c r="M40" s="2" t="str" cm="1">
        <f t="array" ref="M40">IF(SUMPRODUCT((Upload_Indiv_Player=$A37)*(Upload_Indiv_Date=M$2)*(Upload_Indiv_Tot_Birds))=0,"",SUMPRODUCT((Upload_Indiv_Player=$A37)*(Upload_Indiv_Date=M$2)*(Upload_Indiv_Tot_Birds)))</f>
        <v/>
      </c>
      <c r="N40" s="2" t="str" cm="1">
        <f t="array" ref="N40">IF(SUMPRODUCT((Upload_Indiv_Player=$A37)*(Upload_Indiv_Date=N$2)*(Upload_Indiv_Tot_Birds))=0,"",SUMPRODUCT((Upload_Indiv_Player=$A37)*(Upload_Indiv_Date=N$2)*(Upload_Indiv_Tot_Birds)))</f>
        <v/>
      </c>
      <c r="O40" s="2" t="str" cm="1">
        <f t="array" ref="O40">IF(SUMPRODUCT((Upload_Indiv_Player=$A37)*(Upload_Indiv_Date=O$2)*(Upload_Indiv_Tot_Birds))=0,"",SUMPRODUCT((Upload_Indiv_Player=$A37)*(Upload_Indiv_Date=O$2)*(Upload_Indiv_Tot_Birds)))</f>
        <v/>
      </c>
      <c r="P40" s="2" t="str" cm="1">
        <f t="array" ref="P40">IF(SUMPRODUCT((Upload_Indiv_Player=$A37)*(Upload_Indiv_Date=P$2)*(Upload_Indiv_Tot_Birds))=0,"",SUMPRODUCT((Upload_Indiv_Player=$A37)*(Upload_Indiv_Date=P$2)*(Upload_Indiv_Tot_Birds)))</f>
        <v/>
      </c>
      <c r="Q40" s="2" t="str" cm="1">
        <f t="array" ref="Q40">IF(SUMPRODUCT((Upload_Indiv_Player=$A37)*(Upload_Indiv_Date=Q$2)*(Upload_Indiv_Tot_Birds))=0,"",SUMPRODUCT((Upload_Indiv_Player=$A37)*(Upload_Indiv_Date=Q$2)*(Upload_Indiv_Tot_Birds)))</f>
        <v/>
      </c>
      <c r="R40" s="2" t="str" cm="1">
        <f t="array" ref="R40">IF(SUMPRODUCT((Upload_Indiv_Player=$A37)*(Upload_Indiv_Date=R$2)*(Upload_Indiv_Tot_Birds))=0,"",SUMPRODUCT((Upload_Indiv_Player=$A37)*(Upload_Indiv_Date=R$2)*(Upload_Indiv_Tot_Birds)))</f>
        <v/>
      </c>
      <c r="S40" s="2" t="str" cm="1">
        <f t="array" ref="S40">IF(SUMPRODUCT((Upload_Indiv_Player=$A37)*(Upload_Indiv_Date=S$2)*(Upload_Indiv_Tot_Birds))=0,"",SUMPRODUCT((Upload_Indiv_Player=$A37)*(Upload_Indiv_Date=S$2)*(Upload_Indiv_Tot_Birds)))</f>
        <v/>
      </c>
      <c r="T40" s="2" t="str" cm="1">
        <f t="array" ref="T40">IF(SUMPRODUCT((Upload_Indiv_Player=$A37)*(Upload_Indiv_Date=T$2)*(Upload_Indiv_Tot_Birds))=0,"",SUMPRODUCT((Upload_Indiv_Player=$A37)*(Upload_Indiv_Date=T$2)*(Upload_Indiv_Tot_Birds)))</f>
        <v/>
      </c>
      <c r="U40" s="2" t="str" cm="1">
        <f t="array" ref="U40">IF(SUMPRODUCT((Upload_Indiv_Player=$A37)*(Upload_Indiv_Date=U$2)*(Upload_Indiv_Tot_Birds))=0,"",SUMPRODUCT((Upload_Indiv_Player=$A37)*(Upload_Indiv_Date=U$2)*(Upload_Indiv_Tot_Birds)))</f>
        <v/>
      </c>
      <c r="V40" s="276"/>
      <c r="W40" s="276"/>
      <c r="X40" s="276"/>
      <c r="Y40" s="277"/>
      <c r="Z40" s="277"/>
      <c r="AA40" s="277"/>
    </row>
    <row r="41" spans="1:27" x14ac:dyDescent="0.25">
      <c r="A41" s="14"/>
      <c r="B41" s="8" t="s">
        <v>175</v>
      </c>
      <c r="C41" s="2" t="str" cm="1">
        <f t="array" ref="C41">IF(SUMPRODUCT((Upload_Indiv_Player=$A37)*(Upload_Indiv_Date=C$2)*(Upload_Indiv_Tot_Eagles))=0,"",SUMPRODUCT((Upload_Indiv_Player=$A37)*(Upload_Indiv_Date=C$2)*(Upload_Indiv_Tot_Eagles)))</f>
        <v/>
      </c>
      <c r="D41" s="2" t="str" cm="1">
        <f t="array" ref="D41">IF(SUMPRODUCT((Upload_Indiv_Player=$A37)*(Upload_Indiv_Date=D$2)*(Upload_Indiv_Tot_Eagles))=0,"",SUMPRODUCT((Upload_Indiv_Player=$A37)*(Upload_Indiv_Date=D$2)*(Upload_Indiv_Tot_Eagles)))</f>
        <v/>
      </c>
      <c r="E41" s="2" t="str" cm="1">
        <f t="array" ref="E41">IF(SUMPRODUCT((Upload_Indiv_Player=$A37)*(Upload_Indiv_Date=E$2)*(Upload_Indiv_Tot_Eagles))=0,"",SUMPRODUCT((Upload_Indiv_Player=$A37)*(Upload_Indiv_Date=E$2)*(Upload_Indiv_Tot_Eagles)))</f>
        <v/>
      </c>
      <c r="F41" s="2" t="str" cm="1">
        <f t="array" ref="F41">IF(SUMPRODUCT((Upload_Indiv_Player=$A37)*(Upload_Indiv_Date=F$2)*(Upload_Indiv_Tot_Eagles))=0,"",SUMPRODUCT((Upload_Indiv_Player=$A37)*(Upload_Indiv_Date=F$2)*(Upload_Indiv_Tot_Eagles)))</f>
        <v/>
      </c>
      <c r="G41" s="2" t="str" cm="1">
        <f t="array" ref="G41">IF(SUMPRODUCT((Upload_Indiv_Player=$A37)*(Upload_Indiv_Date=G$2)*(Upload_Indiv_Tot_Eagles))=0,"",SUMPRODUCT((Upload_Indiv_Player=$A37)*(Upload_Indiv_Date=G$2)*(Upload_Indiv_Tot_Eagles)))</f>
        <v/>
      </c>
      <c r="H41" s="2" t="str" cm="1">
        <f t="array" ref="H41">IF(SUMPRODUCT((Upload_Indiv_Player=$A37)*(Upload_Indiv_Date=H$2)*(Upload_Indiv_Tot_Eagles))=0,"",SUMPRODUCT((Upload_Indiv_Player=$A37)*(Upload_Indiv_Date=H$2)*(Upload_Indiv_Tot_Eagles)))</f>
        <v/>
      </c>
      <c r="I41" s="2" t="str" cm="1">
        <f t="array" ref="I41">IF(SUMPRODUCT((Upload_Indiv_Player=$A37)*(Upload_Indiv_Date=I$2)*(Upload_Indiv_Tot_Eagles))=0,"",SUMPRODUCT((Upload_Indiv_Player=$A37)*(Upload_Indiv_Date=I$2)*(Upload_Indiv_Tot_Eagles)))</f>
        <v/>
      </c>
      <c r="J41" s="2" t="str" cm="1">
        <f t="array" ref="J41">IF(SUMPRODUCT((Upload_Indiv_Player=$A37)*(Upload_Indiv_Date=J$2)*(Upload_Indiv_Tot_Eagles))=0,"",SUMPRODUCT((Upload_Indiv_Player=$A37)*(Upload_Indiv_Date=J$2)*(Upload_Indiv_Tot_Eagles)))</f>
        <v/>
      </c>
      <c r="K41" s="2" t="str" cm="1">
        <f t="array" ref="K41">IF(SUMPRODUCT((Upload_Indiv_Player=$A37)*(Upload_Indiv_Date=K$2)*(Upload_Indiv_Tot_Eagles))=0,"",SUMPRODUCT((Upload_Indiv_Player=$A37)*(Upload_Indiv_Date=K$2)*(Upload_Indiv_Tot_Eagles)))</f>
        <v/>
      </c>
      <c r="L41" s="2" t="str" cm="1">
        <f t="array" ref="L41">IF(SUMPRODUCT((Upload_Indiv_Player=$A37)*(Upload_Indiv_Date=L$2)*(Upload_Indiv_Tot_Eagles))=0,"",SUMPRODUCT((Upload_Indiv_Player=$A37)*(Upload_Indiv_Date=L$2)*(Upload_Indiv_Tot_Eagles)))</f>
        <v/>
      </c>
      <c r="M41" s="2" t="str" cm="1">
        <f t="array" ref="M41">IF(SUMPRODUCT((Upload_Indiv_Player=$A37)*(Upload_Indiv_Date=M$2)*(Upload_Indiv_Tot_Eagles))=0,"",SUMPRODUCT((Upload_Indiv_Player=$A37)*(Upload_Indiv_Date=M$2)*(Upload_Indiv_Tot_Eagles)))</f>
        <v/>
      </c>
      <c r="N41" s="2" t="str" cm="1">
        <f t="array" ref="N41">IF(SUMPRODUCT((Upload_Indiv_Player=$A37)*(Upload_Indiv_Date=N$2)*(Upload_Indiv_Tot_Eagles))=0,"",SUMPRODUCT((Upload_Indiv_Player=$A37)*(Upload_Indiv_Date=N$2)*(Upload_Indiv_Tot_Eagles)))</f>
        <v/>
      </c>
      <c r="O41" s="2" t="str" cm="1">
        <f t="array" ref="O41">IF(SUMPRODUCT((Upload_Indiv_Player=$A37)*(Upload_Indiv_Date=O$2)*(Upload_Indiv_Tot_Eagles))=0,"",SUMPRODUCT((Upload_Indiv_Player=$A37)*(Upload_Indiv_Date=O$2)*(Upload_Indiv_Tot_Eagles)))</f>
        <v/>
      </c>
      <c r="P41" s="2" t="str" cm="1">
        <f t="array" ref="P41">IF(SUMPRODUCT((Upload_Indiv_Player=$A37)*(Upload_Indiv_Date=P$2)*(Upload_Indiv_Tot_Eagles))=0,"",SUMPRODUCT((Upload_Indiv_Player=$A37)*(Upload_Indiv_Date=P$2)*(Upload_Indiv_Tot_Eagles)))</f>
        <v/>
      </c>
      <c r="Q41" s="2" t="str" cm="1">
        <f t="array" ref="Q41">IF(SUMPRODUCT((Upload_Indiv_Player=$A37)*(Upload_Indiv_Date=Q$2)*(Upload_Indiv_Tot_Eagles))=0,"",SUMPRODUCT((Upload_Indiv_Player=$A37)*(Upload_Indiv_Date=Q$2)*(Upload_Indiv_Tot_Eagles)))</f>
        <v/>
      </c>
      <c r="R41" s="2" t="str" cm="1">
        <f t="array" ref="R41">IF(SUMPRODUCT((Upload_Indiv_Player=$A37)*(Upload_Indiv_Date=R$2)*(Upload_Indiv_Tot_Eagles))=0,"",SUMPRODUCT((Upload_Indiv_Player=$A37)*(Upload_Indiv_Date=R$2)*(Upload_Indiv_Tot_Eagles)))</f>
        <v/>
      </c>
      <c r="S41" s="2" t="str" cm="1">
        <f t="array" ref="S41">IF(SUMPRODUCT((Upload_Indiv_Player=$A37)*(Upload_Indiv_Date=S$2)*(Upload_Indiv_Tot_Eagles))=0,"",SUMPRODUCT((Upload_Indiv_Player=$A37)*(Upload_Indiv_Date=S$2)*(Upload_Indiv_Tot_Eagles)))</f>
        <v/>
      </c>
      <c r="T41" s="2" t="str" cm="1">
        <f t="array" ref="T41">IF(SUMPRODUCT((Upload_Indiv_Player=$A37)*(Upload_Indiv_Date=T$2)*(Upload_Indiv_Tot_Eagles))=0,"",SUMPRODUCT((Upload_Indiv_Player=$A37)*(Upload_Indiv_Date=T$2)*(Upload_Indiv_Tot_Eagles)))</f>
        <v/>
      </c>
      <c r="U41" s="2" t="str" cm="1">
        <f t="array" ref="U41">IF(SUMPRODUCT((Upload_Indiv_Player=$A37)*(Upload_Indiv_Date=U$2)*(Upload_Indiv_Tot_Eagles))=0,"",SUMPRODUCT((Upload_Indiv_Player=$A37)*(Upload_Indiv_Date=U$2)*(Upload_Indiv_Tot_Eagles)))</f>
        <v/>
      </c>
      <c r="V41" s="276"/>
      <c r="W41" s="276"/>
      <c r="X41" s="276"/>
      <c r="Y41" s="277"/>
      <c r="Z41" s="278"/>
      <c r="AA41" s="277"/>
    </row>
    <row r="42" spans="1:27" x14ac:dyDescent="0.25">
      <c r="A42" s="14"/>
      <c r="B42" s="2" t="s">
        <v>176</v>
      </c>
      <c r="C42" s="2" t="str" cm="1">
        <f t="array" ref="C42">IF(SUMPRODUCT((Upload_Indiv_Player=$A37)*(Upload_Indiv_Date=C$2)*(Upload_Indiv_Excl_Score))=0,"",SUMPRODUCT((Upload_Indiv_Player=$A37)*(Upload_Indiv_Date=C$2)*(Upload_Indiv_Excl_Score)))</f>
        <v/>
      </c>
      <c r="D42" s="2" t="str" cm="1">
        <f t="array" ref="D42">IF(SUMPRODUCT((Upload_Indiv_Player=$A37)*(Upload_Indiv_Date=D$2)*(Upload_Indiv_Excl_Score))=0,"",SUMPRODUCT((Upload_Indiv_Player=$A37)*(Upload_Indiv_Date=D$2)*(Upload_Indiv_Excl_Score)))</f>
        <v/>
      </c>
      <c r="E42" s="2" t="str" cm="1">
        <f t="array" ref="E42">IF(SUMPRODUCT((Upload_Indiv_Player=$A37)*(Upload_Indiv_Date=E$2)*(Upload_Indiv_Excl_Score))=0,"",SUMPRODUCT((Upload_Indiv_Player=$A37)*(Upload_Indiv_Date=E$2)*(Upload_Indiv_Excl_Score)))</f>
        <v/>
      </c>
      <c r="F42" s="2" t="str" cm="1">
        <f t="array" ref="F42">IF(SUMPRODUCT((Upload_Indiv_Player=$A37)*(Upload_Indiv_Date=F$2)*(Upload_Indiv_Excl_Score))=0,"",SUMPRODUCT((Upload_Indiv_Player=$A37)*(Upload_Indiv_Date=F$2)*(Upload_Indiv_Excl_Score)))</f>
        <v/>
      </c>
      <c r="G42" s="2" t="str" cm="1">
        <f t="array" ref="G42">IF(SUMPRODUCT((Upload_Indiv_Player=$A37)*(Upload_Indiv_Date=G$2)*(Upload_Indiv_Excl_Score))=0,"",SUMPRODUCT((Upload_Indiv_Player=$A37)*(Upload_Indiv_Date=G$2)*(Upload_Indiv_Excl_Score)))</f>
        <v/>
      </c>
      <c r="H42" s="2" t="str" cm="1">
        <f t="array" ref="H42">IF(SUMPRODUCT((Upload_Indiv_Player=$A37)*(Upload_Indiv_Date=H$2)*(Upload_Indiv_Excl_Score))=0,"",SUMPRODUCT((Upload_Indiv_Player=$A37)*(Upload_Indiv_Date=H$2)*(Upload_Indiv_Excl_Score)))</f>
        <v/>
      </c>
      <c r="I42" s="2" t="str" cm="1">
        <f t="array" ref="I42">IF(SUMPRODUCT((Upload_Indiv_Player=$A37)*(Upload_Indiv_Date=I$2)*(Upload_Indiv_Excl_Score))=0,"",SUMPRODUCT((Upload_Indiv_Player=$A37)*(Upload_Indiv_Date=I$2)*(Upload_Indiv_Excl_Score)))</f>
        <v/>
      </c>
      <c r="J42" s="2" t="str" cm="1">
        <f t="array" ref="J42">IF(SUMPRODUCT((Upload_Indiv_Player=$A37)*(Upload_Indiv_Date=J$2)*(Upload_Indiv_Excl_Score))=0,"",SUMPRODUCT((Upload_Indiv_Player=$A37)*(Upload_Indiv_Date=J$2)*(Upload_Indiv_Excl_Score)))</f>
        <v/>
      </c>
      <c r="K42" s="2" t="str" cm="1">
        <f t="array" ref="K42">IF(SUMPRODUCT((Upload_Indiv_Player=$A37)*(Upload_Indiv_Date=K$2)*(Upload_Indiv_Excl_Score))=0,"",SUMPRODUCT((Upload_Indiv_Player=$A37)*(Upload_Indiv_Date=K$2)*(Upload_Indiv_Excl_Score)))</f>
        <v/>
      </c>
      <c r="L42" s="2" t="str" cm="1">
        <f t="array" ref="L42">IF(SUMPRODUCT((Upload_Indiv_Player=$A37)*(Upload_Indiv_Date=L$2)*(Upload_Indiv_Excl_Score))=0,"",SUMPRODUCT((Upload_Indiv_Player=$A37)*(Upload_Indiv_Date=L$2)*(Upload_Indiv_Excl_Score)))</f>
        <v/>
      </c>
      <c r="M42" s="2" t="str" cm="1">
        <f t="array" ref="M42">IF(SUMPRODUCT((Upload_Indiv_Player=$A37)*(Upload_Indiv_Date=M$2)*(Upload_Indiv_Excl_Score))=0,"",SUMPRODUCT((Upload_Indiv_Player=$A37)*(Upload_Indiv_Date=M$2)*(Upload_Indiv_Excl_Score)))</f>
        <v/>
      </c>
      <c r="N42" s="2" t="str" cm="1">
        <f t="array" ref="N42">IF(SUMPRODUCT((Upload_Indiv_Player=$A37)*(Upload_Indiv_Date=N$2)*(Upload_Indiv_Excl_Score))=0,"",SUMPRODUCT((Upload_Indiv_Player=$A37)*(Upload_Indiv_Date=N$2)*(Upload_Indiv_Excl_Score)))</f>
        <v/>
      </c>
      <c r="O42" s="2" t="str" cm="1">
        <f t="array" ref="O42">IF(SUMPRODUCT((Upload_Indiv_Player=$A37)*(Upload_Indiv_Date=O$2)*(Upload_Indiv_Excl_Score))=0,"",SUMPRODUCT((Upload_Indiv_Player=$A37)*(Upload_Indiv_Date=O$2)*(Upload_Indiv_Excl_Score)))</f>
        <v/>
      </c>
      <c r="P42" s="2" t="str" cm="1">
        <f t="array" ref="P42">IF(SUMPRODUCT((Upload_Indiv_Player=$A37)*(Upload_Indiv_Date=P$2)*(Upload_Indiv_Excl_Score))=0,"",SUMPRODUCT((Upload_Indiv_Player=$A37)*(Upload_Indiv_Date=P$2)*(Upload_Indiv_Excl_Score)))</f>
        <v/>
      </c>
      <c r="Q42" s="2" cm="1">
        <f t="array" ref="Q42">IF(SUMPRODUCT((Upload_Indiv_Player=$A37)*(Upload_Indiv_Date=Q$2)*(Upload_Indiv_Excl_Score))=0,"",SUMPRODUCT((Upload_Indiv_Player=$A37)*(Upload_Indiv_Date=Q$2)*(Upload_Indiv_Excl_Score)))</f>
        <v>1</v>
      </c>
      <c r="R42" s="2" t="str" cm="1">
        <f t="array" ref="R42">IF(SUMPRODUCT((Upload_Indiv_Player=$A37)*(Upload_Indiv_Date=R$2)*(Upload_Indiv_Excl_Score))=0,"",SUMPRODUCT((Upload_Indiv_Player=$A37)*(Upload_Indiv_Date=R$2)*(Upload_Indiv_Excl_Score)))</f>
        <v/>
      </c>
      <c r="S42" s="2" t="str" cm="1">
        <f t="array" ref="S42">IF(SUMPRODUCT((Upload_Indiv_Player=$A37)*(Upload_Indiv_Date=S$2)*(Upload_Indiv_Excl_Score))=0,"",SUMPRODUCT((Upload_Indiv_Player=$A37)*(Upload_Indiv_Date=S$2)*(Upload_Indiv_Excl_Score)))</f>
        <v/>
      </c>
      <c r="T42" s="2" t="str" cm="1">
        <f t="array" ref="T42">IF(SUMPRODUCT((Upload_Indiv_Player=$A37)*(Upload_Indiv_Date=T$2)*(Upload_Indiv_Excl_Score))=0,"",SUMPRODUCT((Upload_Indiv_Player=$A37)*(Upload_Indiv_Date=T$2)*(Upload_Indiv_Excl_Score)))</f>
        <v/>
      </c>
      <c r="U42" s="2" t="str" cm="1">
        <f t="array" ref="U42">IF(SUMPRODUCT((Upload_Indiv_Player=$A37)*(Upload_Indiv_Date=U$2)*(Upload_Indiv_Excl_Score))=0,"",SUMPRODUCT((Upload_Indiv_Player=$A37)*(Upload_Indiv_Date=U$2)*(Upload_Indiv_Excl_Score)))</f>
        <v/>
      </c>
      <c r="V42" s="276"/>
      <c r="W42" s="276"/>
      <c r="X42" s="276"/>
      <c r="Y42" s="277"/>
      <c r="Z42" s="277"/>
      <c r="AA42" s="277"/>
    </row>
    <row r="43" spans="1:27" x14ac:dyDescent="0.25">
      <c r="A43" s="14"/>
      <c r="B43" s="2" t="s">
        <v>177</v>
      </c>
      <c r="C43" s="2" t="str" cm="1">
        <f t="array" ref="C43">IFERROR(INDEX(Upload_Indiv_Team,MATCH(1,($A37=Upload_Indiv_Player)*(C$2=Upload_Indiv_Date),0)),"")</f>
        <v/>
      </c>
      <c r="D43" s="2" t="str" cm="1">
        <f t="array" ref="D43">IFERROR(INDEX(Upload_Indiv_Team,MATCH(1,($A37=Upload_Indiv_Player)*(D$2=Upload_Indiv_Date),0)),"")</f>
        <v/>
      </c>
      <c r="E43" s="2" t="str" cm="1">
        <f t="array" ref="E43">IFERROR(INDEX(Upload_Indiv_Team,MATCH(1,($A37=Upload_Indiv_Player)*(E$2=Upload_Indiv_Date),0)),"")</f>
        <v/>
      </c>
      <c r="F43" s="2" t="str" cm="1">
        <f t="array" ref="F43">IFERROR(INDEX(Upload_Indiv_Team,MATCH(1,($A37=Upload_Indiv_Player)*(F$2=Upload_Indiv_Date),0)),"")</f>
        <v/>
      </c>
      <c r="G43" s="2" t="str" cm="1">
        <f t="array" ref="G43">IFERROR(INDEX(Upload_Indiv_Team,MATCH(1,($A37=Upload_Indiv_Player)*(G$2=Upload_Indiv_Date),0)),"")</f>
        <v/>
      </c>
      <c r="H43" s="2" t="str" cm="1">
        <f t="array" ref="H43">IFERROR(INDEX(Upload_Indiv_Team,MATCH(1,($A37=Upload_Indiv_Player)*(H$2=Upload_Indiv_Date),0)),"")</f>
        <v/>
      </c>
      <c r="I43" s="2" t="str" cm="1">
        <f t="array" ref="I43">IFERROR(INDEX(Upload_Indiv_Team,MATCH(1,($A37=Upload_Indiv_Player)*(I$2=Upload_Indiv_Date),0)),"")</f>
        <v/>
      </c>
      <c r="J43" s="2" t="str" cm="1">
        <f t="array" ref="J43">IFERROR(INDEX(Upload_Indiv_Team,MATCH(1,($A37=Upload_Indiv_Player)*(J$2=Upload_Indiv_Date),0)),"")</f>
        <v/>
      </c>
      <c r="K43" s="2" t="str" cm="1">
        <f t="array" ref="K43">IFERROR(INDEX(Upload_Indiv_Team,MATCH(1,($A37=Upload_Indiv_Player)*(K$2=Upload_Indiv_Date),0)),"")</f>
        <v/>
      </c>
      <c r="L43" s="2" t="str" cm="1">
        <f t="array" ref="L43">IFERROR(INDEX(Upload_Indiv_Team,MATCH(1,($A37=Upload_Indiv_Player)*(L$2=Upload_Indiv_Date),0)),"")</f>
        <v/>
      </c>
      <c r="M43" s="2" t="str" cm="1">
        <f t="array" ref="M43">IFERROR(INDEX(Upload_Indiv_Team,MATCH(1,($A37=Upload_Indiv_Player)*(M$2=Upload_Indiv_Date),0)),"")</f>
        <v/>
      </c>
      <c r="N43" s="2" t="str" cm="1">
        <f t="array" ref="N43">IFERROR(INDEX(Upload_Indiv_Team,MATCH(1,($A37=Upload_Indiv_Player)*(N$2=Upload_Indiv_Date),0)),"")</f>
        <v/>
      </c>
      <c r="O43" s="2" t="str" cm="1">
        <f t="array" ref="O43">IFERROR(INDEX(Upload_Indiv_Team,MATCH(1,($A37=Upload_Indiv_Player)*(O$2=Upload_Indiv_Date),0)),"")</f>
        <v/>
      </c>
      <c r="P43" s="2" t="str" cm="1">
        <f t="array" ref="P43">IFERROR(INDEX(Upload_Indiv_Team,MATCH(1,($A37=Upload_Indiv_Player)*(P$2=Upload_Indiv_Date),0)),"")</f>
        <v/>
      </c>
      <c r="Q43" s="2" t="str" cm="1">
        <f t="array" ref="Q43">IFERROR(INDEX(Upload_Indiv_Team,MATCH(1,($A37=Upload_Indiv_Player)*(Q$2=Upload_Indiv_Date),0)),"")</f>
        <v>Who's Your Caddy?</v>
      </c>
      <c r="R43" s="2" t="str" cm="1">
        <f t="array" ref="R43">IFERROR(INDEX(Upload_Indiv_Team,MATCH(1,($A37=Upload_Indiv_Player)*(R$2=Upload_Indiv_Date),0)),"")</f>
        <v/>
      </c>
      <c r="S43" s="2" t="str" cm="1">
        <f t="array" ref="S43">IFERROR(INDEX(Upload_Indiv_Team,MATCH(1,($A37=Upload_Indiv_Player)*(S$2=Upload_Indiv_Date),0)),"")</f>
        <v/>
      </c>
      <c r="T43" s="2" t="str" cm="1">
        <f t="array" ref="T43">IFERROR(INDEX(Upload_Indiv_Team,MATCH(1,($A37=Upload_Indiv_Player)*(T$2=Upload_Indiv_Date),0)),"")</f>
        <v/>
      </c>
      <c r="U43" s="2" t="str" cm="1">
        <f t="array" ref="U43">IFERROR(INDEX(Upload_Indiv_Team,MATCH(1,($A37=Upload_Indiv_Player)*(U$2=Upload_Indiv_Date),0)),"")</f>
        <v/>
      </c>
      <c r="V43" s="276"/>
      <c r="W43" s="276"/>
      <c r="X43" s="276"/>
      <c r="Y43" s="277"/>
      <c r="Z43" s="277"/>
      <c r="AA43" s="277"/>
    </row>
    <row r="44" spans="1:27" ht="13.8" thickBot="1" x14ac:dyDescent="0.3">
      <c r="A44" s="15" t="s">
        <v>160</v>
      </c>
      <c r="B44" s="8" t="s">
        <v>178</v>
      </c>
      <c r="C44" s="58" t="str">
        <f t="shared" ref="C44:U44" si="5">IF(C37="", "", IF(C39&gt;=11, "w", IF(C39&lt;=9, "l", "t")))</f>
        <v/>
      </c>
      <c r="D44" s="58" t="str">
        <f t="shared" si="5"/>
        <v/>
      </c>
      <c r="E44" s="58" t="str">
        <f t="shared" si="5"/>
        <v/>
      </c>
      <c r="F44" s="58" t="str">
        <f t="shared" si="5"/>
        <v/>
      </c>
      <c r="G44" s="58" t="str">
        <f t="shared" si="5"/>
        <v/>
      </c>
      <c r="H44" s="58" t="str">
        <f t="shared" si="5"/>
        <v/>
      </c>
      <c r="I44" s="58" t="str">
        <f t="shared" si="5"/>
        <v/>
      </c>
      <c r="J44" s="58" t="str">
        <f t="shared" si="5"/>
        <v/>
      </c>
      <c r="K44" s="58" t="str">
        <f t="shared" si="5"/>
        <v/>
      </c>
      <c r="L44" s="58" t="str">
        <f t="shared" si="5"/>
        <v/>
      </c>
      <c r="M44" s="58" t="str">
        <f t="shared" si="5"/>
        <v/>
      </c>
      <c r="N44" s="58" t="str">
        <f t="shared" si="5"/>
        <v/>
      </c>
      <c r="O44" s="58" t="str">
        <f t="shared" si="5"/>
        <v/>
      </c>
      <c r="P44" s="58" t="str">
        <f t="shared" si="5"/>
        <v/>
      </c>
      <c r="Q44" s="58" t="str">
        <f t="shared" si="5"/>
        <v>t</v>
      </c>
      <c r="R44" s="58" t="str">
        <f t="shared" si="5"/>
        <v/>
      </c>
      <c r="S44" s="58" t="str">
        <f t="shared" si="5"/>
        <v/>
      </c>
      <c r="T44" s="58" t="str">
        <f t="shared" si="5"/>
        <v/>
      </c>
      <c r="U44" s="58" t="str">
        <f t="shared" si="5"/>
        <v/>
      </c>
      <c r="V44" s="276"/>
      <c r="W44" s="276"/>
      <c r="X44" s="276"/>
      <c r="Y44" s="277"/>
      <c r="Z44" s="277"/>
      <c r="AA44" s="277"/>
    </row>
    <row r="45" spans="1:27" x14ac:dyDescent="0.25">
      <c r="A45" s="11" t="s">
        <v>428</v>
      </c>
      <c r="B45" s="3" t="s">
        <v>170</v>
      </c>
      <c r="C45" s="3" t="str" cm="1">
        <f t="array" ref="C45">IF(SUMPRODUCT((Upload_Indiv_Player=$A45)*(Upload_Indiv_Date=C$2)*(Upload_Indiv_Gross))=0,"",SUMPRODUCT((Upload_Indiv_Player=$A45)*(Upload_Indiv_Date=C$2)*(Upload_Indiv_Gross)))</f>
        <v/>
      </c>
      <c r="D45" s="3" t="str" cm="1">
        <f t="array" ref="D45">IF(SUMPRODUCT((Upload_Indiv_Player=$A45)*(Upload_Indiv_Date=D$2)*(Upload_Indiv_Gross))=0,"",SUMPRODUCT((Upload_Indiv_Player=$A45)*(Upload_Indiv_Date=D$2)*(Upload_Indiv_Gross)))</f>
        <v/>
      </c>
      <c r="E45" s="3" t="str" cm="1">
        <f t="array" ref="E45">IF(SUMPRODUCT((Upload_Indiv_Player=$A45)*(Upload_Indiv_Date=E$2)*(Upload_Indiv_Gross))=0,"",SUMPRODUCT((Upload_Indiv_Player=$A45)*(Upload_Indiv_Date=E$2)*(Upload_Indiv_Gross)))</f>
        <v/>
      </c>
      <c r="F45" s="3" t="str" cm="1">
        <f t="array" ref="F45">IF(SUMPRODUCT((Upload_Indiv_Player=$A45)*(Upload_Indiv_Date=F$2)*(Upload_Indiv_Gross))=0,"",SUMPRODUCT((Upload_Indiv_Player=$A45)*(Upload_Indiv_Date=F$2)*(Upload_Indiv_Gross)))</f>
        <v/>
      </c>
      <c r="G45" s="3" t="str" cm="1">
        <f t="array" ref="G45">IF(SUMPRODUCT((Upload_Indiv_Player=$A45)*(Upload_Indiv_Date=G$2)*(Upload_Indiv_Gross))=0,"",SUMPRODUCT((Upload_Indiv_Player=$A45)*(Upload_Indiv_Date=G$2)*(Upload_Indiv_Gross)))</f>
        <v/>
      </c>
      <c r="H45" s="3" t="str" cm="1">
        <f t="array" ref="H45">IF(SUMPRODUCT((Upload_Indiv_Player=$A45)*(Upload_Indiv_Date=H$2)*(Upload_Indiv_Gross))=0,"",SUMPRODUCT((Upload_Indiv_Player=$A45)*(Upload_Indiv_Date=H$2)*(Upload_Indiv_Gross)))</f>
        <v/>
      </c>
      <c r="I45" s="3" t="str" cm="1">
        <f t="array" ref="I45">IF(SUMPRODUCT((Upload_Indiv_Player=$A45)*(Upload_Indiv_Date=I$2)*(Upload_Indiv_Gross))=0,"",SUMPRODUCT((Upload_Indiv_Player=$A45)*(Upload_Indiv_Date=I$2)*(Upload_Indiv_Gross)))</f>
        <v/>
      </c>
      <c r="J45" s="3" t="str" cm="1">
        <f t="array" ref="J45">IF(SUMPRODUCT((Upload_Indiv_Player=$A45)*(Upload_Indiv_Date=J$2)*(Upload_Indiv_Gross))=0,"",SUMPRODUCT((Upload_Indiv_Player=$A45)*(Upload_Indiv_Date=J$2)*(Upload_Indiv_Gross)))</f>
        <v/>
      </c>
      <c r="K45" s="3" t="str" cm="1">
        <f t="array" ref="K45">IF(SUMPRODUCT((Upload_Indiv_Player=$A45)*(Upload_Indiv_Date=K$2)*(Upload_Indiv_Gross))=0,"",SUMPRODUCT((Upload_Indiv_Player=$A45)*(Upload_Indiv_Date=K$2)*(Upload_Indiv_Gross)))</f>
        <v/>
      </c>
      <c r="L45" s="3" t="str" cm="1">
        <f t="array" ref="L45">IF(SUMPRODUCT((Upload_Indiv_Player=$A45)*(Upload_Indiv_Date=L$2)*(Upload_Indiv_Gross))=0,"",SUMPRODUCT((Upload_Indiv_Player=$A45)*(Upload_Indiv_Date=L$2)*(Upload_Indiv_Gross)))</f>
        <v/>
      </c>
      <c r="M45" s="3" t="str" cm="1">
        <f t="array" ref="M45">IF(SUMPRODUCT((Upload_Indiv_Player=$A45)*(Upload_Indiv_Date=M$2)*(Upload_Indiv_Gross))=0,"",SUMPRODUCT((Upload_Indiv_Player=$A45)*(Upload_Indiv_Date=M$2)*(Upload_Indiv_Gross)))</f>
        <v/>
      </c>
      <c r="N45" s="3" t="str" cm="1">
        <f t="array" ref="N45">IF(SUMPRODUCT((Upload_Indiv_Player=$A45)*(Upload_Indiv_Date=N$2)*(Upload_Indiv_Gross))=0,"",SUMPRODUCT((Upload_Indiv_Player=$A45)*(Upload_Indiv_Date=N$2)*(Upload_Indiv_Gross)))</f>
        <v/>
      </c>
      <c r="O45" s="3" t="str" cm="1">
        <f t="array" ref="O45">IF(SUMPRODUCT((Upload_Indiv_Player=$A45)*(Upload_Indiv_Date=O$2)*(Upload_Indiv_Gross))=0,"",SUMPRODUCT((Upload_Indiv_Player=$A45)*(Upload_Indiv_Date=O$2)*(Upload_Indiv_Gross)))</f>
        <v/>
      </c>
      <c r="P45" s="3" t="str" cm="1">
        <f t="array" ref="P45">IF(SUMPRODUCT((Upload_Indiv_Player=$A45)*(Upload_Indiv_Date=P$2)*(Upload_Indiv_Gross))=0,"",SUMPRODUCT((Upload_Indiv_Player=$A45)*(Upload_Indiv_Date=P$2)*(Upload_Indiv_Gross)))</f>
        <v/>
      </c>
      <c r="Q45" s="2" t="str" cm="1">
        <f t="array" ref="Q45">IF(SUMPRODUCT((Upload_Indiv_Player=$A45)*(Upload_Indiv_Date=Q$2)*(Upload_Indiv_Gross))=0,"",SUMPRODUCT((Upload_Indiv_Player=$A45)*(Upload_Indiv_Date=Q$2)*(Upload_Indiv_Gross)))</f>
        <v/>
      </c>
      <c r="R45" s="2" t="str" cm="1">
        <f t="array" ref="R45">IF(SUMPRODUCT((Upload_Indiv_Player=$A45)*(Upload_Indiv_Date=R$2)*(Upload_Indiv_Gross))=0,"",SUMPRODUCT((Upload_Indiv_Player=$A45)*(Upload_Indiv_Date=R$2)*(Upload_Indiv_Gross)))</f>
        <v/>
      </c>
      <c r="S45" s="2" t="str" cm="1">
        <f t="array" ref="S45">IF(SUMPRODUCT((Upload_Indiv_Player=$A45)*(Upload_Indiv_Date=S$2)*(Upload_Indiv_Gross))=0,"",SUMPRODUCT((Upload_Indiv_Player=$A45)*(Upload_Indiv_Date=S$2)*(Upload_Indiv_Gross)))</f>
        <v/>
      </c>
      <c r="T45" s="2" t="str" cm="1">
        <f t="array" ref="T45">IF(SUMPRODUCT((Upload_Indiv_Player=$A45)*(Upload_Indiv_Date=T$2)*(Upload_Indiv_Gross))=0,"",SUMPRODUCT((Upload_Indiv_Player=$A45)*(Upload_Indiv_Date=T$2)*(Upload_Indiv_Gross)))</f>
        <v/>
      </c>
      <c r="U45" s="2" t="str" cm="1">
        <f t="array" ref="U45">IF(SUMPRODUCT((Upload_Indiv_Player=$A45)*(Upload_Indiv_Date=U$2)*(Upload_Indiv_Gross))=0,"",SUMPRODUCT((Upload_Indiv_Player=$A45)*(Upload_Indiv_Date=U$2)*(Upload_Indiv_Gross)))</f>
        <v/>
      </c>
      <c r="V45" s="273">
        <v>1</v>
      </c>
      <c r="W45" s="273">
        <v>5</v>
      </c>
      <c r="X45" s="273">
        <v>0</v>
      </c>
      <c r="Y45" s="277">
        <v>0</v>
      </c>
      <c r="Z45" s="277">
        <v>0</v>
      </c>
      <c r="AA45" s="277">
        <v>0</v>
      </c>
    </row>
    <row r="46" spans="1:27" x14ac:dyDescent="0.25">
      <c r="A46" s="216"/>
      <c r="B46" s="2" t="s">
        <v>171</v>
      </c>
      <c r="C46" s="2" t="str" cm="1">
        <f t="array" ref="C46">IF(SUMPRODUCT((Upload_Indiv_Player=$A45)*(Upload_Indiv_Date=C$2)*(Upload_Indiv_Net))=0,"",SUMPRODUCT((Upload_Indiv_Player=$A45)*(Upload_Indiv_Date=C$2)*(Upload_Indiv_Net)))</f>
        <v/>
      </c>
      <c r="D46" s="2" t="str" cm="1">
        <f t="array" ref="D46">IF(SUMPRODUCT((Upload_Indiv_Player=$A45)*(Upload_Indiv_Date=D$2)*(Upload_Indiv_Net))=0,"",SUMPRODUCT((Upload_Indiv_Player=$A45)*(Upload_Indiv_Date=D$2)*(Upload_Indiv_Net)))</f>
        <v/>
      </c>
      <c r="E46" s="2" t="str" cm="1">
        <f t="array" ref="E46">IF(SUMPRODUCT((Upload_Indiv_Player=$A45)*(Upload_Indiv_Date=E$2)*(Upload_Indiv_Net))=0,"",SUMPRODUCT((Upload_Indiv_Player=$A45)*(Upload_Indiv_Date=E$2)*(Upload_Indiv_Net)))</f>
        <v/>
      </c>
      <c r="F46" s="2" t="str" cm="1">
        <f t="array" ref="F46">IF(SUMPRODUCT((Upload_Indiv_Player=$A45)*(Upload_Indiv_Date=F$2)*(Upload_Indiv_Net))=0,"",SUMPRODUCT((Upload_Indiv_Player=$A45)*(Upload_Indiv_Date=F$2)*(Upload_Indiv_Net)))</f>
        <v/>
      </c>
      <c r="G46" s="2" t="str" cm="1">
        <f t="array" ref="G46">IF(SUMPRODUCT((Upload_Indiv_Player=$A45)*(Upload_Indiv_Date=G$2)*(Upload_Indiv_Net))=0,"",SUMPRODUCT((Upload_Indiv_Player=$A45)*(Upload_Indiv_Date=G$2)*(Upload_Indiv_Net)))</f>
        <v/>
      </c>
      <c r="H46" s="2" t="str" cm="1">
        <f t="array" ref="H46">IF(SUMPRODUCT((Upload_Indiv_Player=$A45)*(Upload_Indiv_Date=H$2)*(Upload_Indiv_Net))=0,"",SUMPRODUCT((Upload_Indiv_Player=$A45)*(Upload_Indiv_Date=H$2)*(Upload_Indiv_Net)))</f>
        <v/>
      </c>
      <c r="I46" s="2" t="str" cm="1">
        <f t="array" ref="I46">IF(SUMPRODUCT((Upload_Indiv_Player=$A45)*(Upload_Indiv_Date=I$2)*(Upload_Indiv_Net))=0,"",SUMPRODUCT((Upload_Indiv_Player=$A45)*(Upload_Indiv_Date=I$2)*(Upload_Indiv_Net)))</f>
        <v/>
      </c>
      <c r="J46" s="2" t="str" cm="1">
        <f t="array" ref="J46">IF(SUMPRODUCT((Upload_Indiv_Player=$A45)*(Upload_Indiv_Date=J$2)*(Upload_Indiv_Net))=0,"",SUMPRODUCT((Upload_Indiv_Player=$A45)*(Upload_Indiv_Date=J$2)*(Upload_Indiv_Net)))</f>
        <v/>
      </c>
      <c r="K46" s="2" t="str" cm="1">
        <f t="array" ref="K46">IF(SUMPRODUCT((Upload_Indiv_Player=$A45)*(Upload_Indiv_Date=K$2)*(Upload_Indiv_Net))=0,"",SUMPRODUCT((Upload_Indiv_Player=$A45)*(Upload_Indiv_Date=K$2)*(Upload_Indiv_Net)))</f>
        <v/>
      </c>
      <c r="L46" s="2" t="str" cm="1">
        <f t="array" ref="L46">IF(SUMPRODUCT((Upload_Indiv_Player=$A45)*(Upload_Indiv_Date=L$2)*(Upload_Indiv_Net))=0,"",SUMPRODUCT((Upload_Indiv_Player=$A45)*(Upload_Indiv_Date=L$2)*(Upload_Indiv_Net)))</f>
        <v/>
      </c>
      <c r="M46" s="2" t="str" cm="1">
        <f t="array" ref="M46">IF(SUMPRODUCT((Upload_Indiv_Player=$A45)*(Upload_Indiv_Date=M$2)*(Upload_Indiv_Net))=0,"",SUMPRODUCT((Upload_Indiv_Player=$A45)*(Upload_Indiv_Date=M$2)*(Upload_Indiv_Net)))</f>
        <v/>
      </c>
      <c r="N46" s="2" t="str" cm="1">
        <f t="array" ref="N46">IF(SUMPRODUCT((Upload_Indiv_Player=$A45)*(Upload_Indiv_Date=N$2)*(Upload_Indiv_Net))=0,"",SUMPRODUCT((Upload_Indiv_Player=$A45)*(Upload_Indiv_Date=N$2)*(Upload_Indiv_Net)))</f>
        <v/>
      </c>
      <c r="O46" s="2" t="str" cm="1">
        <f t="array" ref="O46">IF(SUMPRODUCT((Upload_Indiv_Player=$A45)*(Upload_Indiv_Date=O$2)*(Upload_Indiv_Net))=0,"",SUMPRODUCT((Upload_Indiv_Player=$A45)*(Upload_Indiv_Date=O$2)*(Upload_Indiv_Net)))</f>
        <v/>
      </c>
      <c r="P46" s="2" t="str" cm="1">
        <f t="array" ref="P46">IF(SUMPRODUCT((Upload_Indiv_Player=$A45)*(Upload_Indiv_Date=P$2)*(Upload_Indiv_Net))=0,"",SUMPRODUCT((Upload_Indiv_Player=$A45)*(Upload_Indiv_Date=P$2)*(Upload_Indiv_Net)))</f>
        <v/>
      </c>
      <c r="Q46" s="2" t="str" cm="1">
        <f t="array" ref="Q46">IF(SUMPRODUCT((Upload_Indiv_Player=$A45)*(Upload_Indiv_Date=Q$2)*(Upload_Indiv_Net))=0,"",SUMPRODUCT((Upload_Indiv_Player=$A45)*(Upload_Indiv_Date=Q$2)*(Upload_Indiv_Net)))</f>
        <v/>
      </c>
      <c r="R46" s="2" t="str" cm="1">
        <f t="array" ref="R46">IF(SUMPRODUCT((Upload_Indiv_Player=$A45)*(Upload_Indiv_Date=R$2)*(Upload_Indiv_Net))=0,"",SUMPRODUCT((Upload_Indiv_Player=$A45)*(Upload_Indiv_Date=R$2)*(Upload_Indiv_Net)))</f>
        <v/>
      </c>
      <c r="S46" s="2" t="str" cm="1">
        <f t="array" ref="S46">IF(SUMPRODUCT((Upload_Indiv_Player=$A45)*(Upload_Indiv_Date=S$2)*(Upload_Indiv_Net))=0,"",SUMPRODUCT((Upload_Indiv_Player=$A45)*(Upload_Indiv_Date=S$2)*(Upload_Indiv_Net)))</f>
        <v/>
      </c>
      <c r="T46" s="2" t="str" cm="1">
        <f t="array" ref="T46">IF(SUMPRODUCT((Upload_Indiv_Player=$A45)*(Upload_Indiv_Date=T$2)*(Upload_Indiv_Net))=0,"",SUMPRODUCT((Upload_Indiv_Player=$A45)*(Upload_Indiv_Date=T$2)*(Upload_Indiv_Net)))</f>
        <v/>
      </c>
      <c r="U46" s="2" t="str" cm="1">
        <f t="array" ref="U46">IF(SUMPRODUCT((Upload_Indiv_Player=$A45)*(Upload_Indiv_Date=U$2)*(Upload_Indiv_Net))=0,"",SUMPRODUCT((Upload_Indiv_Player=$A45)*(Upload_Indiv_Date=U$2)*(Upload_Indiv_Net)))</f>
        <v/>
      </c>
      <c r="V46" s="279">
        <v>46</v>
      </c>
      <c r="W46" s="276"/>
      <c r="X46" s="276"/>
      <c r="Y46" s="277"/>
      <c r="Z46" s="277"/>
      <c r="AA46" s="277"/>
    </row>
    <row r="47" spans="1:27" x14ac:dyDescent="0.25">
      <c r="A47" s="65" t="s">
        <v>200</v>
      </c>
      <c r="B47" s="2" t="s">
        <v>173</v>
      </c>
      <c r="C47" s="2" t="str" cm="1">
        <f t="array" ref="C47">IF(SUMPRODUCT((Upload_Indiv_Player=$A45)*(Upload_Indiv_Date=C$2)*(Upload_Indiv_PointsTot))=0,"",SUMPRODUCT((Upload_Indiv_Player=$A45)*(Upload_Indiv_Date=C$2)*(Upload_Indiv_PointsTot)))</f>
        <v/>
      </c>
      <c r="D47" s="2" t="str" cm="1">
        <f t="array" ref="D47">IF(SUMPRODUCT((Upload_Indiv_Player=$A45)*(Upload_Indiv_Date=D$2)*(Upload_Indiv_PointsTot))=0,"",SUMPRODUCT((Upload_Indiv_Player=$A45)*(Upload_Indiv_Date=D$2)*(Upload_Indiv_PointsTot)))</f>
        <v/>
      </c>
      <c r="E47" s="2" t="str" cm="1">
        <f t="array" ref="E47">IF(SUMPRODUCT((Upload_Indiv_Player=$A45)*(Upload_Indiv_Date=E$2)*(Upload_Indiv_PointsTot))=0,"",SUMPRODUCT((Upload_Indiv_Player=$A45)*(Upload_Indiv_Date=E$2)*(Upload_Indiv_PointsTot)))</f>
        <v/>
      </c>
      <c r="F47" s="2" t="str" cm="1">
        <f t="array" ref="F47">IF(SUMPRODUCT((Upload_Indiv_Player=$A45)*(Upload_Indiv_Date=F$2)*(Upload_Indiv_PointsTot))=0,"",SUMPRODUCT((Upload_Indiv_Player=$A45)*(Upload_Indiv_Date=F$2)*(Upload_Indiv_PointsTot)))</f>
        <v/>
      </c>
      <c r="G47" s="2" t="str" cm="1">
        <f t="array" ref="G47">IF(SUMPRODUCT((Upload_Indiv_Player=$A45)*(Upload_Indiv_Date=G$2)*(Upload_Indiv_PointsTot))=0,"",SUMPRODUCT((Upload_Indiv_Player=$A45)*(Upload_Indiv_Date=G$2)*(Upload_Indiv_PointsTot)))</f>
        <v/>
      </c>
      <c r="H47" s="2" t="str" cm="1">
        <f t="array" ref="H47">IF(SUMPRODUCT((Upload_Indiv_Player=$A45)*(Upload_Indiv_Date=H$2)*(Upload_Indiv_PointsTot))=0,"",SUMPRODUCT((Upload_Indiv_Player=$A45)*(Upload_Indiv_Date=H$2)*(Upload_Indiv_PointsTot)))</f>
        <v/>
      </c>
      <c r="I47" s="2" t="str" cm="1">
        <f t="array" ref="I47">IF(SUMPRODUCT((Upload_Indiv_Player=$A45)*(Upload_Indiv_Date=I$2)*(Upload_Indiv_PointsTot))=0,"",SUMPRODUCT((Upload_Indiv_Player=$A45)*(Upload_Indiv_Date=I$2)*(Upload_Indiv_PointsTot)))</f>
        <v/>
      </c>
      <c r="J47" s="2" t="str" cm="1">
        <f t="array" ref="J47">IF(SUMPRODUCT((Upload_Indiv_Player=$A45)*(Upload_Indiv_Date=J$2)*(Upload_Indiv_PointsTot))=0,"",SUMPRODUCT((Upload_Indiv_Player=$A45)*(Upload_Indiv_Date=J$2)*(Upload_Indiv_PointsTot)))</f>
        <v/>
      </c>
      <c r="K47" s="2" t="str" cm="1">
        <f t="array" ref="K47">IF(SUMPRODUCT((Upload_Indiv_Player=$A45)*(Upload_Indiv_Date=K$2)*(Upload_Indiv_PointsTot))=0,"",SUMPRODUCT((Upload_Indiv_Player=$A45)*(Upload_Indiv_Date=K$2)*(Upload_Indiv_PointsTot)))</f>
        <v/>
      </c>
      <c r="L47" s="2" t="str" cm="1">
        <f t="array" ref="L47">IF(SUMPRODUCT((Upload_Indiv_Player=$A45)*(Upload_Indiv_Date=L$2)*(Upload_Indiv_PointsTot))=0,"",SUMPRODUCT((Upload_Indiv_Player=$A45)*(Upload_Indiv_Date=L$2)*(Upload_Indiv_PointsTot)))</f>
        <v/>
      </c>
      <c r="M47" s="2" t="str" cm="1">
        <f t="array" ref="M47">IF(SUMPRODUCT((Upload_Indiv_Player=$A45)*(Upload_Indiv_Date=M$2)*(Upload_Indiv_PointsTot))=0,"",SUMPRODUCT((Upload_Indiv_Player=$A45)*(Upload_Indiv_Date=M$2)*(Upload_Indiv_PointsTot)))</f>
        <v/>
      </c>
      <c r="N47" s="2" t="str" cm="1">
        <f t="array" ref="N47">IF(SUMPRODUCT((Upload_Indiv_Player=$A45)*(Upload_Indiv_Date=N$2)*(Upload_Indiv_PointsTot))=0,"",SUMPRODUCT((Upload_Indiv_Player=$A45)*(Upload_Indiv_Date=N$2)*(Upload_Indiv_PointsTot)))</f>
        <v/>
      </c>
      <c r="O47" s="2" t="str" cm="1">
        <f t="array" ref="O47">IF(SUMPRODUCT((Upload_Indiv_Player=$A45)*(Upload_Indiv_Date=O$2)*(Upload_Indiv_PointsTot))=0,"",SUMPRODUCT((Upload_Indiv_Player=$A45)*(Upload_Indiv_Date=O$2)*(Upload_Indiv_PointsTot)))</f>
        <v/>
      </c>
      <c r="P47" s="2" t="str" cm="1">
        <f t="array" ref="P47">IF(SUMPRODUCT((Upload_Indiv_Player=$A45)*(Upload_Indiv_Date=P$2)*(Upload_Indiv_PointsTot))=0,"",SUMPRODUCT((Upload_Indiv_Player=$A45)*(Upload_Indiv_Date=P$2)*(Upload_Indiv_PointsTot)))</f>
        <v/>
      </c>
      <c r="Q47" s="2" t="str" cm="1">
        <f t="array" ref="Q47">IF(SUMPRODUCT((Upload_Indiv_Player=$A45)*(Upload_Indiv_Date=Q$2)*(Upload_Indiv_PointsTot))=0,"",SUMPRODUCT((Upload_Indiv_Player=$A45)*(Upload_Indiv_Date=Q$2)*(Upload_Indiv_PointsTot)))</f>
        <v/>
      </c>
      <c r="R47" s="2" t="str" cm="1">
        <f t="array" ref="R47">IF(SUMPRODUCT((Upload_Indiv_Player=$A45)*(Upload_Indiv_Date=R$2)*(Upload_Indiv_PointsTot))=0,"",SUMPRODUCT((Upload_Indiv_Player=$A45)*(Upload_Indiv_Date=R$2)*(Upload_Indiv_PointsTot)))</f>
        <v/>
      </c>
      <c r="S47" s="2" t="str" cm="1">
        <f t="array" ref="S47">IF(SUMPRODUCT((Upload_Indiv_Player=$A45)*(Upload_Indiv_Date=S$2)*(Upload_Indiv_PointsTot))=0,"",SUMPRODUCT((Upload_Indiv_Player=$A45)*(Upload_Indiv_Date=S$2)*(Upload_Indiv_PointsTot)))</f>
        <v/>
      </c>
      <c r="T47" s="2" t="str" cm="1">
        <f t="array" ref="T47">IF(SUMPRODUCT((Upload_Indiv_Player=$A45)*(Upload_Indiv_Date=T$2)*(Upload_Indiv_PointsTot))=0,"",SUMPRODUCT((Upload_Indiv_Player=$A45)*(Upload_Indiv_Date=T$2)*(Upload_Indiv_PointsTot)))</f>
        <v/>
      </c>
      <c r="U47" s="2" t="str" cm="1">
        <f t="array" ref="U47">IF(SUMPRODUCT((Upload_Indiv_Player=$A45)*(Upload_Indiv_Date=U$2)*(Upload_Indiv_PointsTot))=0,"",SUMPRODUCT((Upload_Indiv_Player=$A45)*(Upload_Indiv_Date=U$2)*(Upload_Indiv_PointsTot)))</f>
        <v/>
      </c>
      <c r="V47" s="276"/>
      <c r="W47" s="276"/>
      <c r="X47" s="276"/>
      <c r="Y47" s="277"/>
      <c r="Z47" s="277"/>
      <c r="AA47" s="277"/>
    </row>
    <row r="48" spans="1:27" x14ac:dyDescent="0.25">
      <c r="A48" s="14"/>
      <c r="B48" s="2" t="s">
        <v>174</v>
      </c>
      <c r="C48" s="2" t="str" cm="1">
        <f t="array" ref="C48">IF(SUMPRODUCT((Upload_Indiv_Player=$A45)*(Upload_Indiv_Date=C$2)*(Upload_Indiv_Tot_Birds))=0,"",SUMPRODUCT((Upload_Indiv_Player=$A45)*(Upload_Indiv_Date=C$2)*(Upload_Indiv_Tot_Birds)))</f>
        <v/>
      </c>
      <c r="D48" s="2" t="str" cm="1">
        <f t="array" ref="D48">IF(SUMPRODUCT((Upload_Indiv_Player=$A45)*(Upload_Indiv_Date=D$2)*(Upload_Indiv_Tot_Birds))=0,"",SUMPRODUCT((Upload_Indiv_Player=$A45)*(Upload_Indiv_Date=D$2)*(Upload_Indiv_Tot_Birds)))</f>
        <v/>
      </c>
      <c r="E48" s="2" t="str" cm="1">
        <f t="array" ref="E48">IF(SUMPRODUCT((Upload_Indiv_Player=$A45)*(Upload_Indiv_Date=E$2)*(Upload_Indiv_Tot_Birds))=0,"",SUMPRODUCT((Upload_Indiv_Player=$A45)*(Upload_Indiv_Date=E$2)*(Upload_Indiv_Tot_Birds)))</f>
        <v/>
      </c>
      <c r="F48" s="2" t="str" cm="1">
        <f t="array" ref="F48">IF(SUMPRODUCT((Upload_Indiv_Player=$A45)*(Upload_Indiv_Date=F$2)*(Upload_Indiv_Tot_Birds))=0,"",SUMPRODUCT((Upload_Indiv_Player=$A45)*(Upload_Indiv_Date=F$2)*(Upload_Indiv_Tot_Birds)))</f>
        <v/>
      </c>
      <c r="G48" s="2" t="str" cm="1">
        <f t="array" ref="G48">IF(SUMPRODUCT((Upload_Indiv_Player=$A45)*(Upload_Indiv_Date=G$2)*(Upload_Indiv_Tot_Birds))=0,"",SUMPRODUCT((Upload_Indiv_Player=$A45)*(Upload_Indiv_Date=G$2)*(Upload_Indiv_Tot_Birds)))</f>
        <v/>
      </c>
      <c r="H48" s="2" t="str" cm="1">
        <f t="array" ref="H48">IF(SUMPRODUCT((Upload_Indiv_Player=$A45)*(Upload_Indiv_Date=H$2)*(Upload_Indiv_Tot_Birds))=0,"",SUMPRODUCT((Upload_Indiv_Player=$A45)*(Upload_Indiv_Date=H$2)*(Upload_Indiv_Tot_Birds)))</f>
        <v/>
      </c>
      <c r="I48" s="2" t="str" cm="1">
        <f t="array" ref="I48">IF(SUMPRODUCT((Upload_Indiv_Player=$A45)*(Upload_Indiv_Date=I$2)*(Upload_Indiv_Tot_Birds))=0,"",SUMPRODUCT((Upload_Indiv_Player=$A45)*(Upload_Indiv_Date=I$2)*(Upload_Indiv_Tot_Birds)))</f>
        <v/>
      </c>
      <c r="J48" s="2" t="str" cm="1">
        <f t="array" ref="J48">IF(SUMPRODUCT((Upload_Indiv_Player=$A45)*(Upload_Indiv_Date=J$2)*(Upload_Indiv_Tot_Birds))=0,"",SUMPRODUCT((Upload_Indiv_Player=$A45)*(Upload_Indiv_Date=J$2)*(Upload_Indiv_Tot_Birds)))</f>
        <v/>
      </c>
      <c r="K48" s="2" t="str" cm="1">
        <f t="array" ref="K48">IF(SUMPRODUCT((Upload_Indiv_Player=$A45)*(Upload_Indiv_Date=K$2)*(Upload_Indiv_Tot_Birds))=0,"",SUMPRODUCT((Upload_Indiv_Player=$A45)*(Upload_Indiv_Date=K$2)*(Upload_Indiv_Tot_Birds)))</f>
        <v/>
      </c>
      <c r="L48" s="2" t="str" cm="1">
        <f t="array" ref="L48">IF(SUMPRODUCT((Upload_Indiv_Player=$A45)*(Upload_Indiv_Date=L$2)*(Upload_Indiv_Tot_Birds))=0,"",SUMPRODUCT((Upload_Indiv_Player=$A45)*(Upload_Indiv_Date=L$2)*(Upload_Indiv_Tot_Birds)))</f>
        <v/>
      </c>
      <c r="M48" s="2" t="str" cm="1">
        <f t="array" ref="M48">IF(SUMPRODUCT((Upload_Indiv_Player=$A45)*(Upload_Indiv_Date=M$2)*(Upload_Indiv_Tot_Birds))=0,"",SUMPRODUCT((Upload_Indiv_Player=$A45)*(Upload_Indiv_Date=M$2)*(Upload_Indiv_Tot_Birds)))</f>
        <v/>
      </c>
      <c r="N48" s="2" t="str" cm="1">
        <f t="array" ref="N48">IF(SUMPRODUCT((Upload_Indiv_Player=$A45)*(Upload_Indiv_Date=N$2)*(Upload_Indiv_Tot_Birds))=0,"",SUMPRODUCT((Upload_Indiv_Player=$A45)*(Upload_Indiv_Date=N$2)*(Upload_Indiv_Tot_Birds)))</f>
        <v/>
      </c>
      <c r="O48" s="2" t="str" cm="1">
        <f t="array" ref="O48">IF(SUMPRODUCT((Upload_Indiv_Player=$A45)*(Upload_Indiv_Date=O$2)*(Upload_Indiv_Tot_Birds))=0,"",SUMPRODUCT((Upload_Indiv_Player=$A45)*(Upload_Indiv_Date=O$2)*(Upload_Indiv_Tot_Birds)))</f>
        <v/>
      </c>
      <c r="P48" s="2" t="str" cm="1">
        <f t="array" ref="P48">IF(SUMPRODUCT((Upload_Indiv_Player=$A45)*(Upload_Indiv_Date=P$2)*(Upload_Indiv_Tot_Birds))=0,"",SUMPRODUCT((Upload_Indiv_Player=$A45)*(Upload_Indiv_Date=P$2)*(Upload_Indiv_Tot_Birds)))</f>
        <v/>
      </c>
      <c r="Q48" s="2" t="str" cm="1">
        <f t="array" ref="Q48">IF(SUMPRODUCT((Upload_Indiv_Player=$A45)*(Upload_Indiv_Date=Q$2)*(Upload_Indiv_Tot_Birds))=0,"",SUMPRODUCT((Upload_Indiv_Player=$A45)*(Upload_Indiv_Date=Q$2)*(Upload_Indiv_Tot_Birds)))</f>
        <v/>
      </c>
      <c r="R48" s="2" t="str" cm="1">
        <f t="array" ref="R48">IF(SUMPRODUCT((Upload_Indiv_Player=$A45)*(Upload_Indiv_Date=R$2)*(Upload_Indiv_Tot_Birds))=0,"",SUMPRODUCT((Upload_Indiv_Player=$A45)*(Upload_Indiv_Date=R$2)*(Upload_Indiv_Tot_Birds)))</f>
        <v/>
      </c>
      <c r="S48" s="2" t="str" cm="1">
        <f t="array" ref="S48">IF(SUMPRODUCT((Upload_Indiv_Player=$A45)*(Upload_Indiv_Date=S$2)*(Upload_Indiv_Tot_Birds))=0,"",SUMPRODUCT((Upload_Indiv_Player=$A45)*(Upload_Indiv_Date=S$2)*(Upload_Indiv_Tot_Birds)))</f>
        <v/>
      </c>
      <c r="T48" s="2" t="str" cm="1">
        <f t="array" ref="T48">IF(SUMPRODUCT((Upload_Indiv_Player=$A45)*(Upload_Indiv_Date=T$2)*(Upload_Indiv_Tot_Birds))=0,"",SUMPRODUCT((Upload_Indiv_Player=$A45)*(Upload_Indiv_Date=T$2)*(Upload_Indiv_Tot_Birds)))</f>
        <v/>
      </c>
      <c r="U48" s="2" t="str" cm="1">
        <f t="array" ref="U48">IF(SUMPRODUCT((Upload_Indiv_Player=$A45)*(Upload_Indiv_Date=U$2)*(Upload_Indiv_Tot_Birds))=0,"",SUMPRODUCT((Upload_Indiv_Player=$A45)*(Upload_Indiv_Date=U$2)*(Upload_Indiv_Tot_Birds)))</f>
        <v/>
      </c>
      <c r="V48" s="276"/>
      <c r="W48" s="276"/>
      <c r="X48" s="276"/>
      <c r="Y48" s="277"/>
      <c r="Z48" s="277"/>
      <c r="AA48" s="277"/>
    </row>
    <row r="49" spans="1:27" x14ac:dyDescent="0.25">
      <c r="A49" s="14"/>
      <c r="B49" s="8" t="s">
        <v>175</v>
      </c>
      <c r="C49" s="2" t="str" cm="1">
        <f t="array" ref="C49">IF(SUMPRODUCT((Upload_Indiv_Player=$A45)*(Upload_Indiv_Date=C$2)*(Upload_Indiv_Tot_Eagles))=0,"",SUMPRODUCT((Upload_Indiv_Player=$A45)*(Upload_Indiv_Date=C$2)*(Upload_Indiv_Tot_Eagles)))</f>
        <v/>
      </c>
      <c r="D49" s="2" t="str" cm="1">
        <f t="array" ref="D49">IF(SUMPRODUCT((Upload_Indiv_Player=$A45)*(Upload_Indiv_Date=D$2)*(Upload_Indiv_Tot_Eagles))=0,"",SUMPRODUCT((Upload_Indiv_Player=$A45)*(Upload_Indiv_Date=D$2)*(Upload_Indiv_Tot_Eagles)))</f>
        <v/>
      </c>
      <c r="E49" s="2" t="str" cm="1">
        <f t="array" ref="E49">IF(SUMPRODUCT((Upload_Indiv_Player=$A45)*(Upload_Indiv_Date=E$2)*(Upload_Indiv_Tot_Eagles))=0,"",SUMPRODUCT((Upload_Indiv_Player=$A45)*(Upload_Indiv_Date=E$2)*(Upload_Indiv_Tot_Eagles)))</f>
        <v/>
      </c>
      <c r="F49" s="2" t="str" cm="1">
        <f t="array" ref="F49">IF(SUMPRODUCT((Upload_Indiv_Player=$A45)*(Upload_Indiv_Date=F$2)*(Upload_Indiv_Tot_Eagles))=0,"",SUMPRODUCT((Upload_Indiv_Player=$A45)*(Upload_Indiv_Date=F$2)*(Upload_Indiv_Tot_Eagles)))</f>
        <v/>
      </c>
      <c r="G49" s="2" t="str" cm="1">
        <f t="array" ref="G49">IF(SUMPRODUCT((Upload_Indiv_Player=$A45)*(Upload_Indiv_Date=G$2)*(Upload_Indiv_Tot_Eagles))=0,"",SUMPRODUCT((Upload_Indiv_Player=$A45)*(Upload_Indiv_Date=G$2)*(Upload_Indiv_Tot_Eagles)))</f>
        <v/>
      </c>
      <c r="H49" s="2" t="str" cm="1">
        <f t="array" ref="H49">IF(SUMPRODUCT((Upload_Indiv_Player=$A45)*(Upload_Indiv_Date=H$2)*(Upload_Indiv_Tot_Eagles))=0,"",SUMPRODUCT((Upload_Indiv_Player=$A45)*(Upload_Indiv_Date=H$2)*(Upload_Indiv_Tot_Eagles)))</f>
        <v/>
      </c>
      <c r="I49" s="2" t="str" cm="1">
        <f t="array" ref="I49">IF(SUMPRODUCT((Upload_Indiv_Player=$A45)*(Upload_Indiv_Date=I$2)*(Upload_Indiv_Tot_Eagles))=0,"",SUMPRODUCT((Upload_Indiv_Player=$A45)*(Upload_Indiv_Date=I$2)*(Upload_Indiv_Tot_Eagles)))</f>
        <v/>
      </c>
      <c r="J49" s="2" t="str" cm="1">
        <f t="array" ref="J49">IF(SUMPRODUCT((Upload_Indiv_Player=$A45)*(Upload_Indiv_Date=J$2)*(Upload_Indiv_Tot_Eagles))=0,"",SUMPRODUCT((Upload_Indiv_Player=$A45)*(Upload_Indiv_Date=J$2)*(Upload_Indiv_Tot_Eagles)))</f>
        <v/>
      </c>
      <c r="K49" s="2" t="str" cm="1">
        <f t="array" ref="K49">IF(SUMPRODUCT((Upload_Indiv_Player=$A45)*(Upload_Indiv_Date=K$2)*(Upload_Indiv_Tot_Eagles))=0,"",SUMPRODUCT((Upload_Indiv_Player=$A45)*(Upload_Indiv_Date=K$2)*(Upload_Indiv_Tot_Eagles)))</f>
        <v/>
      </c>
      <c r="L49" s="2" t="str" cm="1">
        <f t="array" ref="L49">IF(SUMPRODUCT((Upload_Indiv_Player=$A45)*(Upload_Indiv_Date=L$2)*(Upload_Indiv_Tot_Eagles))=0,"",SUMPRODUCT((Upload_Indiv_Player=$A45)*(Upload_Indiv_Date=L$2)*(Upload_Indiv_Tot_Eagles)))</f>
        <v/>
      </c>
      <c r="M49" s="2" t="str" cm="1">
        <f t="array" ref="M49">IF(SUMPRODUCT((Upload_Indiv_Player=$A45)*(Upload_Indiv_Date=M$2)*(Upload_Indiv_Tot_Eagles))=0,"",SUMPRODUCT((Upload_Indiv_Player=$A45)*(Upload_Indiv_Date=M$2)*(Upload_Indiv_Tot_Eagles)))</f>
        <v/>
      </c>
      <c r="N49" s="2" t="str" cm="1">
        <f t="array" ref="N49">IF(SUMPRODUCT((Upload_Indiv_Player=$A45)*(Upload_Indiv_Date=N$2)*(Upload_Indiv_Tot_Eagles))=0,"",SUMPRODUCT((Upload_Indiv_Player=$A45)*(Upload_Indiv_Date=N$2)*(Upload_Indiv_Tot_Eagles)))</f>
        <v/>
      </c>
      <c r="O49" s="2" t="str" cm="1">
        <f t="array" ref="O49">IF(SUMPRODUCT((Upload_Indiv_Player=$A45)*(Upload_Indiv_Date=O$2)*(Upload_Indiv_Tot_Eagles))=0,"",SUMPRODUCT((Upload_Indiv_Player=$A45)*(Upload_Indiv_Date=O$2)*(Upload_Indiv_Tot_Eagles)))</f>
        <v/>
      </c>
      <c r="P49" s="2" t="str" cm="1">
        <f t="array" ref="P49">IF(SUMPRODUCT((Upload_Indiv_Player=$A45)*(Upload_Indiv_Date=P$2)*(Upload_Indiv_Tot_Eagles))=0,"",SUMPRODUCT((Upload_Indiv_Player=$A45)*(Upload_Indiv_Date=P$2)*(Upload_Indiv_Tot_Eagles)))</f>
        <v/>
      </c>
      <c r="Q49" s="2" t="str" cm="1">
        <f t="array" ref="Q49">IF(SUMPRODUCT((Upload_Indiv_Player=$A45)*(Upload_Indiv_Date=Q$2)*(Upload_Indiv_Tot_Eagles))=0,"",SUMPRODUCT((Upload_Indiv_Player=$A45)*(Upload_Indiv_Date=Q$2)*(Upload_Indiv_Tot_Eagles)))</f>
        <v/>
      </c>
      <c r="R49" s="2" t="str" cm="1">
        <f t="array" ref="R49">IF(SUMPRODUCT((Upload_Indiv_Player=$A45)*(Upload_Indiv_Date=R$2)*(Upload_Indiv_Tot_Eagles))=0,"",SUMPRODUCT((Upload_Indiv_Player=$A45)*(Upload_Indiv_Date=R$2)*(Upload_Indiv_Tot_Eagles)))</f>
        <v/>
      </c>
      <c r="S49" s="2" t="str" cm="1">
        <f t="array" ref="S49">IF(SUMPRODUCT((Upload_Indiv_Player=$A45)*(Upload_Indiv_Date=S$2)*(Upload_Indiv_Tot_Eagles))=0,"",SUMPRODUCT((Upload_Indiv_Player=$A45)*(Upload_Indiv_Date=S$2)*(Upload_Indiv_Tot_Eagles)))</f>
        <v/>
      </c>
      <c r="T49" s="2" t="str" cm="1">
        <f t="array" ref="T49">IF(SUMPRODUCT((Upload_Indiv_Player=$A45)*(Upload_Indiv_Date=T$2)*(Upload_Indiv_Tot_Eagles))=0,"",SUMPRODUCT((Upload_Indiv_Player=$A45)*(Upload_Indiv_Date=T$2)*(Upload_Indiv_Tot_Eagles)))</f>
        <v/>
      </c>
      <c r="U49" s="2" t="str" cm="1">
        <f t="array" ref="U49">IF(SUMPRODUCT((Upload_Indiv_Player=$A45)*(Upload_Indiv_Date=U$2)*(Upload_Indiv_Tot_Eagles))=0,"",SUMPRODUCT((Upload_Indiv_Player=$A45)*(Upload_Indiv_Date=U$2)*(Upload_Indiv_Tot_Eagles)))</f>
        <v/>
      </c>
      <c r="V49" s="276"/>
      <c r="W49" s="276"/>
      <c r="X49" s="276"/>
      <c r="Y49" s="277"/>
      <c r="Z49" s="277"/>
      <c r="AA49" s="277"/>
    </row>
    <row r="50" spans="1:27" x14ac:dyDescent="0.25">
      <c r="A50" s="14"/>
      <c r="B50" s="2" t="s">
        <v>176</v>
      </c>
      <c r="C50" s="2" t="str" cm="1">
        <f t="array" ref="C50">IF(SUMPRODUCT((Upload_Indiv_Player=$A45)*(Upload_Indiv_Date=C$2)*(Upload_Indiv_Excl_Score))=0,"",SUMPRODUCT((Upload_Indiv_Player=$A45)*(Upload_Indiv_Date=C$2)*(Upload_Indiv_Excl_Score)))</f>
        <v/>
      </c>
      <c r="D50" s="2" t="str" cm="1">
        <f t="array" ref="D50">IF(SUMPRODUCT((Upload_Indiv_Player=$A45)*(Upload_Indiv_Date=D$2)*(Upload_Indiv_Excl_Score))=0,"",SUMPRODUCT((Upload_Indiv_Player=$A45)*(Upload_Indiv_Date=D$2)*(Upload_Indiv_Excl_Score)))</f>
        <v/>
      </c>
      <c r="E50" s="2" t="str" cm="1">
        <f t="array" ref="E50">IF(SUMPRODUCT((Upload_Indiv_Player=$A45)*(Upload_Indiv_Date=E$2)*(Upload_Indiv_Excl_Score))=0,"",SUMPRODUCT((Upload_Indiv_Player=$A45)*(Upload_Indiv_Date=E$2)*(Upload_Indiv_Excl_Score)))</f>
        <v/>
      </c>
      <c r="F50" s="2" t="str" cm="1">
        <f t="array" ref="F50">IF(SUMPRODUCT((Upload_Indiv_Player=$A45)*(Upload_Indiv_Date=F$2)*(Upload_Indiv_Excl_Score))=0,"",SUMPRODUCT((Upload_Indiv_Player=$A45)*(Upload_Indiv_Date=F$2)*(Upload_Indiv_Excl_Score)))</f>
        <v/>
      </c>
      <c r="G50" s="2" t="str" cm="1">
        <f t="array" ref="G50">IF(SUMPRODUCT((Upload_Indiv_Player=$A45)*(Upload_Indiv_Date=G$2)*(Upload_Indiv_Excl_Score))=0,"",SUMPRODUCT((Upload_Indiv_Player=$A45)*(Upload_Indiv_Date=G$2)*(Upload_Indiv_Excl_Score)))</f>
        <v/>
      </c>
      <c r="H50" s="2" t="str" cm="1">
        <f t="array" ref="H50">IF(SUMPRODUCT((Upload_Indiv_Player=$A45)*(Upload_Indiv_Date=H$2)*(Upload_Indiv_Excl_Score))=0,"",SUMPRODUCT((Upload_Indiv_Player=$A45)*(Upload_Indiv_Date=H$2)*(Upload_Indiv_Excl_Score)))</f>
        <v/>
      </c>
      <c r="I50" s="2" t="str" cm="1">
        <f t="array" ref="I50">IF(SUMPRODUCT((Upload_Indiv_Player=$A45)*(Upload_Indiv_Date=I$2)*(Upload_Indiv_Excl_Score))=0,"",SUMPRODUCT((Upload_Indiv_Player=$A45)*(Upload_Indiv_Date=I$2)*(Upload_Indiv_Excl_Score)))</f>
        <v/>
      </c>
      <c r="J50" s="2" t="str" cm="1">
        <f t="array" ref="J50">IF(SUMPRODUCT((Upload_Indiv_Player=$A45)*(Upload_Indiv_Date=J$2)*(Upload_Indiv_Excl_Score))=0,"",SUMPRODUCT((Upload_Indiv_Player=$A45)*(Upload_Indiv_Date=J$2)*(Upload_Indiv_Excl_Score)))</f>
        <v/>
      </c>
      <c r="K50" s="2" t="str" cm="1">
        <f t="array" ref="K50">IF(SUMPRODUCT((Upload_Indiv_Player=$A45)*(Upload_Indiv_Date=K$2)*(Upload_Indiv_Excl_Score))=0,"",SUMPRODUCT((Upload_Indiv_Player=$A45)*(Upload_Indiv_Date=K$2)*(Upload_Indiv_Excl_Score)))</f>
        <v/>
      </c>
      <c r="L50" s="2" t="str" cm="1">
        <f t="array" ref="L50">IF(SUMPRODUCT((Upload_Indiv_Player=$A45)*(Upload_Indiv_Date=L$2)*(Upload_Indiv_Excl_Score))=0,"",SUMPRODUCT((Upload_Indiv_Player=$A45)*(Upload_Indiv_Date=L$2)*(Upload_Indiv_Excl_Score)))</f>
        <v/>
      </c>
      <c r="M50" s="2" t="str" cm="1">
        <f t="array" ref="M50">IF(SUMPRODUCT((Upload_Indiv_Player=$A45)*(Upload_Indiv_Date=M$2)*(Upload_Indiv_Excl_Score))=0,"",SUMPRODUCT((Upload_Indiv_Player=$A45)*(Upload_Indiv_Date=M$2)*(Upload_Indiv_Excl_Score)))</f>
        <v/>
      </c>
      <c r="N50" s="2" t="str" cm="1">
        <f t="array" ref="N50">IF(SUMPRODUCT((Upload_Indiv_Player=$A45)*(Upload_Indiv_Date=N$2)*(Upload_Indiv_Excl_Score))=0,"",SUMPRODUCT((Upload_Indiv_Player=$A45)*(Upload_Indiv_Date=N$2)*(Upload_Indiv_Excl_Score)))</f>
        <v/>
      </c>
      <c r="O50" s="2" t="str" cm="1">
        <f t="array" ref="O50">IF(SUMPRODUCT((Upload_Indiv_Player=$A45)*(Upload_Indiv_Date=O$2)*(Upload_Indiv_Excl_Score))=0,"",SUMPRODUCT((Upload_Indiv_Player=$A45)*(Upload_Indiv_Date=O$2)*(Upload_Indiv_Excl_Score)))</f>
        <v/>
      </c>
      <c r="P50" s="2" t="str" cm="1">
        <f t="array" ref="P50">IF(SUMPRODUCT((Upload_Indiv_Player=$A45)*(Upload_Indiv_Date=P$2)*(Upload_Indiv_Excl_Score))=0,"",SUMPRODUCT((Upload_Indiv_Player=$A45)*(Upload_Indiv_Date=P$2)*(Upload_Indiv_Excl_Score)))</f>
        <v/>
      </c>
      <c r="Q50" s="2" t="str" cm="1">
        <f t="array" ref="Q50">IF(SUMPRODUCT((Upload_Indiv_Player=$A45)*(Upload_Indiv_Date=Q$2)*(Upload_Indiv_Excl_Score))=0,"",SUMPRODUCT((Upload_Indiv_Player=$A45)*(Upload_Indiv_Date=Q$2)*(Upload_Indiv_Excl_Score)))</f>
        <v/>
      </c>
      <c r="R50" s="2" t="str" cm="1">
        <f t="array" ref="R50">IF(SUMPRODUCT((Upload_Indiv_Player=$A45)*(Upload_Indiv_Date=R$2)*(Upload_Indiv_Excl_Score))=0,"",SUMPRODUCT((Upload_Indiv_Player=$A45)*(Upload_Indiv_Date=R$2)*(Upload_Indiv_Excl_Score)))</f>
        <v/>
      </c>
      <c r="S50" s="2" t="str" cm="1">
        <f t="array" ref="S50">IF(SUMPRODUCT((Upload_Indiv_Player=$A45)*(Upload_Indiv_Date=S$2)*(Upload_Indiv_Excl_Score))=0,"",SUMPRODUCT((Upload_Indiv_Player=$A45)*(Upload_Indiv_Date=S$2)*(Upload_Indiv_Excl_Score)))</f>
        <v/>
      </c>
      <c r="T50" s="2" t="str" cm="1">
        <f t="array" ref="T50">IF(SUMPRODUCT((Upload_Indiv_Player=$A45)*(Upload_Indiv_Date=T$2)*(Upload_Indiv_Excl_Score))=0,"",SUMPRODUCT((Upload_Indiv_Player=$A45)*(Upload_Indiv_Date=T$2)*(Upload_Indiv_Excl_Score)))</f>
        <v/>
      </c>
      <c r="U50" s="2" t="str" cm="1">
        <f t="array" ref="U50">IF(SUMPRODUCT((Upload_Indiv_Player=$A45)*(Upload_Indiv_Date=U$2)*(Upload_Indiv_Excl_Score))=0,"",SUMPRODUCT((Upload_Indiv_Player=$A45)*(Upload_Indiv_Date=U$2)*(Upload_Indiv_Excl_Score)))</f>
        <v/>
      </c>
      <c r="V50" s="276"/>
      <c r="W50" s="276"/>
      <c r="X50" s="276"/>
      <c r="Y50" s="277"/>
      <c r="Z50" s="277"/>
      <c r="AA50" s="277"/>
    </row>
    <row r="51" spans="1:27" x14ac:dyDescent="0.25">
      <c r="A51" s="14"/>
      <c r="B51" s="2" t="s">
        <v>177</v>
      </c>
      <c r="C51" s="2" t="str" cm="1">
        <f t="array" ref="C51">IFERROR(INDEX(Upload_Indiv_Team,MATCH(1,($A45=Upload_Indiv_Player)*(C$2=Upload_Indiv_Date),0)),"")</f>
        <v/>
      </c>
      <c r="D51" s="2" t="str" cm="1">
        <f t="array" ref="D51">IFERROR(INDEX(Upload_Indiv_Team,MATCH(1,($A45=Upload_Indiv_Player)*(D$2=Upload_Indiv_Date),0)),"")</f>
        <v/>
      </c>
      <c r="E51" s="2" t="str" cm="1">
        <f t="array" ref="E51">IFERROR(INDEX(Upload_Indiv_Team,MATCH(1,($A45=Upload_Indiv_Player)*(E$2=Upload_Indiv_Date),0)),"")</f>
        <v/>
      </c>
      <c r="F51" s="2" t="str" cm="1">
        <f t="array" ref="F51">IFERROR(INDEX(Upload_Indiv_Team,MATCH(1,($A45=Upload_Indiv_Player)*(F$2=Upload_Indiv_Date),0)),"")</f>
        <v/>
      </c>
      <c r="G51" s="2" t="str" cm="1">
        <f t="array" ref="G51">IFERROR(INDEX(Upload_Indiv_Team,MATCH(1,($A45=Upload_Indiv_Player)*(G$2=Upload_Indiv_Date),0)),"")</f>
        <v/>
      </c>
      <c r="H51" s="2" t="str" cm="1">
        <f t="array" ref="H51">IFERROR(INDEX(Upload_Indiv_Team,MATCH(1,($A45=Upload_Indiv_Player)*(H$2=Upload_Indiv_Date),0)),"")</f>
        <v/>
      </c>
      <c r="I51" s="2" t="str" cm="1">
        <f t="array" ref="I51">IFERROR(INDEX(Upload_Indiv_Team,MATCH(1,($A45=Upload_Indiv_Player)*(I$2=Upload_Indiv_Date),0)),"")</f>
        <v/>
      </c>
      <c r="J51" s="2" t="str" cm="1">
        <f t="array" ref="J51">IFERROR(INDEX(Upload_Indiv_Team,MATCH(1,($A45=Upload_Indiv_Player)*(J$2=Upload_Indiv_Date),0)),"")</f>
        <v/>
      </c>
      <c r="K51" s="2" t="str" cm="1">
        <f t="array" ref="K51">IFERROR(INDEX(Upload_Indiv_Team,MATCH(1,($A45=Upload_Indiv_Player)*(K$2=Upload_Indiv_Date),0)),"")</f>
        <v/>
      </c>
      <c r="L51" s="2" t="str" cm="1">
        <f t="array" ref="L51">IFERROR(INDEX(Upload_Indiv_Team,MATCH(1,($A45=Upload_Indiv_Player)*(L$2=Upload_Indiv_Date),0)),"")</f>
        <v/>
      </c>
      <c r="M51" s="2" t="str" cm="1">
        <f t="array" ref="M51">IFERROR(INDEX(Upload_Indiv_Team,MATCH(1,($A45=Upload_Indiv_Player)*(M$2=Upload_Indiv_Date),0)),"")</f>
        <v/>
      </c>
      <c r="N51" s="2" t="str" cm="1">
        <f t="array" ref="N51">IFERROR(INDEX(Upload_Indiv_Team,MATCH(1,($A45=Upload_Indiv_Player)*(N$2=Upload_Indiv_Date),0)),"")</f>
        <v/>
      </c>
      <c r="O51" s="2" t="str" cm="1">
        <f t="array" ref="O51">IFERROR(INDEX(Upload_Indiv_Team,MATCH(1,($A45=Upload_Indiv_Player)*(O$2=Upload_Indiv_Date),0)),"")</f>
        <v/>
      </c>
      <c r="P51" s="2" t="str" cm="1">
        <f t="array" ref="P51">IFERROR(INDEX(Upload_Indiv_Team,MATCH(1,($A45=Upload_Indiv_Player)*(P$2=Upload_Indiv_Date),0)),"")</f>
        <v/>
      </c>
      <c r="Q51" s="2" t="str" cm="1">
        <f t="array" ref="Q51">IFERROR(INDEX(Upload_Indiv_Team,MATCH(1,($A45=Upload_Indiv_Player)*(Q$2=Upload_Indiv_Date),0)),"")</f>
        <v/>
      </c>
      <c r="R51" s="2" t="str" cm="1">
        <f t="array" ref="R51">IFERROR(INDEX(Upload_Indiv_Team,MATCH(1,($A45=Upload_Indiv_Player)*(R$2=Upload_Indiv_Date),0)),"")</f>
        <v/>
      </c>
      <c r="S51" s="2" t="str" cm="1">
        <f t="array" ref="S51">IFERROR(INDEX(Upload_Indiv_Team,MATCH(1,($A45=Upload_Indiv_Player)*(S$2=Upload_Indiv_Date),0)),"")</f>
        <v/>
      </c>
      <c r="T51" s="2" t="str" cm="1">
        <f t="array" ref="T51">IFERROR(INDEX(Upload_Indiv_Team,MATCH(1,($A45=Upload_Indiv_Player)*(T$2=Upload_Indiv_Date),0)),"")</f>
        <v/>
      </c>
      <c r="U51" s="2" t="str" cm="1">
        <f t="array" ref="U51">IFERROR(INDEX(Upload_Indiv_Team,MATCH(1,($A45=Upload_Indiv_Player)*(U$2=Upload_Indiv_Date),0)),"")</f>
        <v/>
      </c>
      <c r="V51" s="276"/>
      <c r="W51" s="276"/>
      <c r="X51" s="276"/>
      <c r="Y51" s="277"/>
      <c r="Z51" s="277"/>
      <c r="AA51" s="277"/>
    </row>
    <row r="52" spans="1:27" ht="13.8" thickBot="1" x14ac:dyDescent="0.3">
      <c r="A52" s="329"/>
      <c r="B52" s="8" t="s">
        <v>178</v>
      </c>
      <c r="C52" s="58" t="str">
        <f t="shared" ref="C52:U52" si="6">IF(C45="", "", IF(C47&gt;=11, "w", IF(C47&lt;=9, "l", "t")))</f>
        <v/>
      </c>
      <c r="D52" s="58" t="str">
        <f t="shared" si="6"/>
        <v/>
      </c>
      <c r="E52" s="58" t="str">
        <f t="shared" si="6"/>
        <v/>
      </c>
      <c r="F52" s="58" t="str">
        <f t="shared" si="6"/>
        <v/>
      </c>
      <c r="G52" s="58" t="str">
        <f t="shared" si="6"/>
        <v/>
      </c>
      <c r="H52" s="58" t="str">
        <f t="shared" si="6"/>
        <v/>
      </c>
      <c r="I52" s="58" t="str">
        <f t="shared" si="6"/>
        <v/>
      </c>
      <c r="J52" s="58" t="str">
        <f t="shared" si="6"/>
        <v/>
      </c>
      <c r="K52" s="58" t="str">
        <f t="shared" si="6"/>
        <v/>
      </c>
      <c r="L52" s="58" t="str">
        <f t="shared" si="6"/>
        <v/>
      </c>
      <c r="M52" s="58" t="str">
        <f t="shared" si="6"/>
        <v/>
      </c>
      <c r="N52" s="58" t="str">
        <f t="shared" si="6"/>
        <v/>
      </c>
      <c r="O52" s="58" t="str">
        <f t="shared" si="6"/>
        <v/>
      </c>
      <c r="P52" s="58" t="str">
        <f t="shared" si="6"/>
        <v/>
      </c>
      <c r="Q52" s="58" t="str">
        <f t="shared" si="6"/>
        <v/>
      </c>
      <c r="R52" s="58" t="str">
        <f t="shared" si="6"/>
        <v/>
      </c>
      <c r="S52" s="58" t="str">
        <f t="shared" si="6"/>
        <v/>
      </c>
      <c r="T52" s="58" t="str">
        <f t="shared" si="6"/>
        <v/>
      </c>
      <c r="U52" s="58" t="str">
        <f t="shared" si="6"/>
        <v/>
      </c>
      <c r="V52" s="276"/>
      <c r="W52" s="276"/>
      <c r="X52" s="276"/>
      <c r="Y52" s="277"/>
      <c r="Z52" s="277"/>
      <c r="AA52" s="277"/>
    </row>
    <row r="53" spans="1:27" x14ac:dyDescent="0.25">
      <c r="A53" s="11" t="s">
        <v>201</v>
      </c>
      <c r="B53" s="17" t="s">
        <v>170</v>
      </c>
      <c r="C53" s="3" t="str" cm="1">
        <f t="array" ref="C53">IF(SUMPRODUCT((Upload_Indiv_Player=$A53)*(Upload_Indiv_Date=C$2)*(Upload_Indiv_Gross))=0,"",SUMPRODUCT((Upload_Indiv_Player=$A53)*(Upload_Indiv_Date=C$2)*(Upload_Indiv_Gross)))</f>
        <v/>
      </c>
      <c r="D53" s="3" t="str" cm="1">
        <f t="array" ref="D53">IF(SUMPRODUCT((Upload_Indiv_Player=$A53)*(Upload_Indiv_Date=D$2)*(Upload_Indiv_Gross))=0,"",SUMPRODUCT((Upload_Indiv_Player=$A53)*(Upload_Indiv_Date=D$2)*(Upload_Indiv_Gross)))</f>
        <v/>
      </c>
      <c r="E53" s="3" t="str" cm="1">
        <f t="array" ref="E53">IF(SUMPRODUCT((Upload_Indiv_Player=$A53)*(Upload_Indiv_Date=E$2)*(Upload_Indiv_Gross))=0,"",SUMPRODUCT((Upload_Indiv_Player=$A53)*(Upload_Indiv_Date=E$2)*(Upload_Indiv_Gross)))</f>
        <v/>
      </c>
      <c r="F53" s="3" t="str" cm="1">
        <f t="array" ref="F53">IF(SUMPRODUCT((Upload_Indiv_Player=$A53)*(Upload_Indiv_Date=F$2)*(Upload_Indiv_Gross))=0,"",SUMPRODUCT((Upload_Indiv_Player=$A53)*(Upload_Indiv_Date=F$2)*(Upload_Indiv_Gross)))</f>
        <v/>
      </c>
      <c r="G53" s="3" t="str" cm="1">
        <f t="array" ref="G53">IF(SUMPRODUCT((Upload_Indiv_Player=$A53)*(Upload_Indiv_Date=G$2)*(Upload_Indiv_Gross))=0,"",SUMPRODUCT((Upload_Indiv_Player=$A53)*(Upload_Indiv_Date=G$2)*(Upload_Indiv_Gross)))</f>
        <v/>
      </c>
      <c r="H53" s="3" t="str" cm="1">
        <f t="array" ref="H53">IF(SUMPRODUCT((Upload_Indiv_Player=$A53)*(Upload_Indiv_Date=H$2)*(Upload_Indiv_Gross))=0,"",SUMPRODUCT((Upload_Indiv_Player=$A53)*(Upload_Indiv_Date=H$2)*(Upload_Indiv_Gross)))</f>
        <v/>
      </c>
      <c r="I53" s="3" t="str" cm="1">
        <f t="array" ref="I53">IF(SUMPRODUCT((Upload_Indiv_Player=$A53)*(Upload_Indiv_Date=I$2)*(Upload_Indiv_Gross))=0,"",SUMPRODUCT((Upload_Indiv_Player=$A53)*(Upload_Indiv_Date=I$2)*(Upload_Indiv_Gross)))</f>
        <v/>
      </c>
      <c r="J53" s="3" t="str" cm="1">
        <f t="array" ref="J53">IF(SUMPRODUCT((Upload_Indiv_Player=$A53)*(Upload_Indiv_Date=J$2)*(Upload_Indiv_Gross))=0,"",SUMPRODUCT((Upload_Indiv_Player=$A53)*(Upload_Indiv_Date=J$2)*(Upload_Indiv_Gross)))</f>
        <v/>
      </c>
      <c r="K53" s="3" t="str" cm="1">
        <f t="array" ref="K53">IF(SUMPRODUCT((Upload_Indiv_Player=$A53)*(Upload_Indiv_Date=K$2)*(Upload_Indiv_Gross))=0,"",SUMPRODUCT((Upload_Indiv_Player=$A53)*(Upload_Indiv_Date=K$2)*(Upload_Indiv_Gross)))</f>
        <v/>
      </c>
      <c r="L53" s="3" t="str" cm="1">
        <f t="array" ref="L53">IF(SUMPRODUCT((Upload_Indiv_Player=$A53)*(Upload_Indiv_Date=L$2)*(Upload_Indiv_Gross))=0,"",SUMPRODUCT((Upload_Indiv_Player=$A53)*(Upload_Indiv_Date=L$2)*(Upload_Indiv_Gross)))</f>
        <v/>
      </c>
      <c r="M53" s="3" t="str" cm="1">
        <f t="array" ref="M53">IF(SUMPRODUCT((Upload_Indiv_Player=$A53)*(Upload_Indiv_Date=M$2)*(Upload_Indiv_Gross))=0,"",SUMPRODUCT((Upload_Indiv_Player=$A53)*(Upload_Indiv_Date=M$2)*(Upload_Indiv_Gross)))</f>
        <v/>
      </c>
      <c r="N53" s="3" t="str" cm="1">
        <f t="array" ref="N53">IF(SUMPRODUCT((Upload_Indiv_Player=$A53)*(Upload_Indiv_Date=N$2)*(Upload_Indiv_Gross))=0,"",SUMPRODUCT((Upload_Indiv_Player=$A53)*(Upload_Indiv_Date=N$2)*(Upload_Indiv_Gross)))</f>
        <v/>
      </c>
      <c r="O53" s="3" t="str" cm="1">
        <f t="array" ref="O53">IF(SUMPRODUCT((Upload_Indiv_Player=$A53)*(Upload_Indiv_Date=O$2)*(Upload_Indiv_Gross))=0,"",SUMPRODUCT((Upload_Indiv_Player=$A53)*(Upload_Indiv_Date=O$2)*(Upload_Indiv_Gross)))</f>
        <v/>
      </c>
      <c r="P53" s="3" t="str" cm="1">
        <f t="array" ref="P53">IF(SUMPRODUCT((Upload_Indiv_Player=$A53)*(Upload_Indiv_Date=P$2)*(Upload_Indiv_Gross))=0,"",SUMPRODUCT((Upload_Indiv_Player=$A53)*(Upload_Indiv_Date=P$2)*(Upload_Indiv_Gross)))</f>
        <v/>
      </c>
      <c r="Q53" s="2" t="str" cm="1">
        <f t="array" ref="Q53">IF(SUMPRODUCT((Upload_Indiv_Player=$A53)*(Upload_Indiv_Date=Q$2)*(Upload_Indiv_Gross))=0,"",SUMPRODUCT((Upload_Indiv_Player=$A53)*(Upload_Indiv_Date=Q$2)*(Upload_Indiv_Gross)))</f>
        <v/>
      </c>
      <c r="R53" s="2" t="str" cm="1">
        <f t="array" ref="R53">IF(SUMPRODUCT((Upload_Indiv_Player=$A53)*(Upload_Indiv_Date=R$2)*(Upload_Indiv_Gross))=0,"",SUMPRODUCT((Upload_Indiv_Player=$A53)*(Upload_Indiv_Date=R$2)*(Upload_Indiv_Gross)))</f>
        <v/>
      </c>
      <c r="S53" s="2" t="str" cm="1">
        <f t="array" ref="S53">IF(SUMPRODUCT((Upload_Indiv_Player=$A53)*(Upload_Indiv_Date=S$2)*(Upload_Indiv_Gross))=0,"",SUMPRODUCT((Upload_Indiv_Player=$A53)*(Upload_Indiv_Date=S$2)*(Upload_Indiv_Gross)))</f>
        <v/>
      </c>
      <c r="T53" s="2" t="str" cm="1">
        <f t="array" ref="T53">IF(SUMPRODUCT((Upload_Indiv_Player=$A53)*(Upload_Indiv_Date=T$2)*(Upload_Indiv_Gross))=0,"",SUMPRODUCT((Upload_Indiv_Player=$A53)*(Upload_Indiv_Date=T$2)*(Upload_Indiv_Gross)))</f>
        <v/>
      </c>
      <c r="U53" s="2" t="str" cm="1">
        <f t="array" ref="U53">IF(SUMPRODUCT((Upload_Indiv_Player=$A53)*(Upload_Indiv_Date=U$2)*(Upload_Indiv_Gross))=0,"",SUMPRODUCT((Upload_Indiv_Player=$A53)*(Upload_Indiv_Date=U$2)*(Upload_Indiv_Gross)))</f>
        <v/>
      </c>
      <c r="V53" s="273">
        <v>0</v>
      </c>
      <c r="W53" s="273">
        <v>2</v>
      </c>
      <c r="X53" s="273">
        <v>6</v>
      </c>
      <c r="Y53" s="277">
        <v>5</v>
      </c>
      <c r="Z53" s="277">
        <v>1</v>
      </c>
      <c r="AA53" s="277">
        <v>13</v>
      </c>
    </row>
    <row r="54" spans="1:27" x14ac:dyDescent="0.25">
      <c r="A54" s="216">
        <v>3302050167</v>
      </c>
      <c r="B54" s="8" t="s">
        <v>171</v>
      </c>
      <c r="C54" s="2" t="str" cm="1">
        <f t="array" ref="C54">IF(SUMPRODUCT((Upload_Indiv_Player=$A53)*(Upload_Indiv_Date=C$2)*(Upload_Indiv_Net))=0,"",SUMPRODUCT((Upload_Indiv_Player=$A53)*(Upload_Indiv_Date=C$2)*(Upload_Indiv_Net)))</f>
        <v/>
      </c>
      <c r="D54" s="2" t="str" cm="1">
        <f t="array" ref="D54">IF(SUMPRODUCT((Upload_Indiv_Player=$A53)*(Upload_Indiv_Date=D$2)*(Upload_Indiv_Net))=0,"",SUMPRODUCT((Upload_Indiv_Player=$A53)*(Upload_Indiv_Date=D$2)*(Upload_Indiv_Net)))</f>
        <v/>
      </c>
      <c r="E54" s="2" t="str" cm="1">
        <f t="array" ref="E54">IF(SUMPRODUCT((Upload_Indiv_Player=$A53)*(Upload_Indiv_Date=E$2)*(Upload_Indiv_Net))=0,"",SUMPRODUCT((Upload_Indiv_Player=$A53)*(Upload_Indiv_Date=E$2)*(Upload_Indiv_Net)))</f>
        <v/>
      </c>
      <c r="F54" s="2" t="str" cm="1">
        <f t="array" ref="F54">IF(SUMPRODUCT((Upload_Indiv_Player=$A53)*(Upload_Indiv_Date=F$2)*(Upload_Indiv_Net))=0,"",SUMPRODUCT((Upload_Indiv_Player=$A53)*(Upload_Indiv_Date=F$2)*(Upload_Indiv_Net)))</f>
        <v/>
      </c>
      <c r="G54" s="2" t="str" cm="1">
        <f t="array" ref="G54">IF(SUMPRODUCT((Upload_Indiv_Player=$A53)*(Upload_Indiv_Date=G$2)*(Upload_Indiv_Net))=0,"",SUMPRODUCT((Upload_Indiv_Player=$A53)*(Upload_Indiv_Date=G$2)*(Upload_Indiv_Net)))</f>
        <v/>
      </c>
      <c r="H54" s="2" t="str" cm="1">
        <f t="array" ref="H54">IF(SUMPRODUCT((Upload_Indiv_Player=$A53)*(Upload_Indiv_Date=H$2)*(Upload_Indiv_Net))=0,"",SUMPRODUCT((Upload_Indiv_Player=$A53)*(Upload_Indiv_Date=H$2)*(Upload_Indiv_Net)))</f>
        <v/>
      </c>
      <c r="I54" s="2" t="str" cm="1">
        <f t="array" ref="I54">IF(SUMPRODUCT((Upload_Indiv_Player=$A53)*(Upload_Indiv_Date=I$2)*(Upload_Indiv_Net))=0,"",SUMPRODUCT((Upload_Indiv_Player=$A53)*(Upload_Indiv_Date=I$2)*(Upload_Indiv_Net)))</f>
        <v/>
      </c>
      <c r="J54" s="2" t="str" cm="1">
        <f t="array" ref="J54">IF(SUMPRODUCT((Upload_Indiv_Player=$A53)*(Upload_Indiv_Date=J$2)*(Upload_Indiv_Net))=0,"",SUMPRODUCT((Upload_Indiv_Player=$A53)*(Upload_Indiv_Date=J$2)*(Upload_Indiv_Net)))</f>
        <v/>
      </c>
      <c r="K54" s="2" t="str" cm="1">
        <f t="array" ref="K54">IF(SUMPRODUCT((Upload_Indiv_Player=$A53)*(Upload_Indiv_Date=K$2)*(Upload_Indiv_Net))=0,"",SUMPRODUCT((Upload_Indiv_Player=$A53)*(Upload_Indiv_Date=K$2)*(Upload_Indiv_Net)))</f>
        <v/>
      </c>
      <c r="L54" s="2" t="str" cm="1">
        <f t="array" ref="L54">IF(SUMPRODUCT((Upload_Indiv_Player=$A53)*(Upload_Indiv_Date=L$2)*(Upload_Indiv_Net))=0,"",SUMPRODUCT((Upload_Indiv_Player=$A53)*(Upload_Indiv_Date=L$2)*(Upload_Indiv_Net)))</f>
        <v/>
      </c>
      <c r="M54" s="2" t="str" cm="1">
        <f t="array" ref="M54">IF(SUMPRODUCT((Upload_Indiv_Player=$A53)*(Upload_Indiv_Date=M$2)*(Upload_Indiv_Net))=0,"",SUMPRODUCT((Upload_Indiv_Player=$A53)*(Upload_Indiv_Date=M$2)*(Upload_Indiv_Net)))</f>
        <v/>
      </c>
      <c r="N54" s="2" t="str" cm="1">
        <f t="array" ref="N54">IF(SUMPRODUCT((Upload_Indiv_Player=$A53)*(Upload_Indiv_Date=N$2)*(Upload_Indiv_Net))=0,"",SUMPRODUCT((Upload_Indiv_Player=$A53)*(Upload_Indiv_Date=N$2)*(Upload_Indiv_Net)))</f>
        <v/>
      </c>
      <c r="O54" s="2" t="str" cm="1">
        <f t="array" ref="O54">IF(SUMPRODUCT((Upload_Indiv_Player=$A53)*(Upload_Indiv_Date=O$2)*(Upload_Indiv_Net))=0,"",SUMPRODUCT((Upload_Indiv_Player=$A53)*(Upload_Indiv_Date=O$2)*(Upload_Indiv_Net)))</f>
        <v/>
      </c>
      <c r="P54" s="2" t="str" cm="1">
        <f t="array" ref="P54">IF(SUMPRODUCT((Upload_Indiv_Player=$A53)*(Upload_Indiv_Date=P$2)*(Upload_Indiv_Net))=0,"",SUMPRODUCT((Upload_Indiv_Player=$A53)*(Upload_Indiv_Date=P$2)*(Upload_Indiv_Net)))</f>
        <v/>
      </c>
      <c r="Q54" s="2" t="str" cm="1">
        <f t="array" ref="Q54">IF(SUMPRODUCT((Upload_Indiv_Player=$A53)*(Upload_Indiv_Date=Q$2)*(Upload_Indiv_Net))=0,"",SUMPRODUCT((Upload_Indiv_Player=$A53)*(Upload_Indiv_Date=Q$2)*(Upload_Indiv_Net)))</f>
        <v/>
      </c>
      <c r="R54" s="2" t="str" cm="1">
        <f t="array" ref="R54">IF(SUMPRODUCT((Upload_Indiv_Player=$A53)*(Upload_Indiv_Date=R$2)*(Upload_Indiv_Net))=0,"",SUMPRODUCT((Upload_Indiv_Player=$A53)*(Upload_Indiv_Date=R$2)*(Upload_Indiv_Net)))</f>
        <v/>
      </c>
      <c r="S54" s="2" t="str" cm="1">
        <f t="array" ref="S54">IF(SUMPRODUCT((Upload_Indiv_Player=$A53)*(Upload_Indiv_Date=S$2)*(Upload_Indiv_Net))=0,"",SUMPRODUCT((Upload_Indiv_Player=$A53)*(Upload_Indiv_Date=S$2)*(Upload_Indiv_Net)))</f>
        <v/>
      </c>
      <c r="T54" s="2" t="str" cm="1">
        <f t="array" ref="T54">IF(SUMPRODUCT((Upload_Indiv_Player=$A53)*(Upload_Indiv_Date=T$2)*(Upload_Indiv_Net))=0,"",SUMPRODUCT((Upload_Indiv_Player=$A53)*(Upload_Indiv_Date=T$2)*(Upload_Indiv_Net)))</f>
        <v/>
      </c>
      <c r="U54" s="2" t="str" cm="1">
        <f t="array" ref="U54">IF(SUMPRODUCT((Upload_Indiv_Player=$A53)*(Upload_Indiv_Date=U$2)*(Upload_Indiv_Net))=0,"",SUMPRODUCT((Upload_Indiv_Player=$A53)*(Upload_Indiv_Date=U$2)*(Upload_Indiv_Net)))</f>
        <v/>
      </c>
      <c r="V54" s="276"/>
      <c r="W54" s="276"/>
      <c r="X54" s="276"/>
      <c r="Y54" s="277"/>
      <c r="Z54" s="277"/>
      <c r="AA54" s="277"/>
    </row>
    <row r="55" spans="1:27" x14ac:dyDescent="0.25">
      <c r="A55" s="65" t="s">
        <v>202</v>
      </c>
      <c r="B55" s="8" t="s">
        <v>173</v>
      </c>
      <c r="C55" s="2" t="str" cm="1">
        <f t="array" ref="C55">IF(SUMPRODUCT((Upload_Indiv_Player=$A53)*(Upload_Indiv_Date=C$2)*(Upload_Indiv_PointsTot))=0,"",SUMPRODUCT((Upload_Indiv_Player=$A53)*(Upload_Indiv_Date=C$2)*(Upload_Indiv_PointsTot)))</f>
        <v/>
      </c>
      <c r="D55" s="2" t="str" cm="1">
        <f t="array" ref="D55">IF(SUMPRODUCT((Upload_Indiv_Player=$A53)*(Upload_Indiv_Date=D$2)*(Upload_Indiv_PointsTot))=0,"",SUMPRODUCT((Upload_Indiv_Player=$A53)*(Upload_Indiv_Date=D$2)*(Upload_Indiv_PointsTot)))</f>
        <v/>
      </c>
      <c r="E55" s="2" t="str" cm="1">
        <f t="array" ref="E55">IF(SUMPRODUCT((Upload_Indiv_Player=$A53)*(Upload_Indiv_Date=E$2)*(Upload_Indiv_PointsTot))=0,"",SUMPRODUCT((Upload_Indiv_Player=$A53)*(Upload_Indiv_Date=E$2)*(Upload_Indiv_PointsTot)))</f>
        <v/>
      </c>
      <c r="F55" s="2" t="str" cm="1">
        <f t="array" ref="F55">IF(SUMPRODUCT((Upload_Indiv_Player=$A53)*(Upload_Indiv_Date=F$2)*(Upload_Indiv_PointsTot))=0,"",SUMPRODUCT((Upload_Indiv_Player=$A53)*(Upload_Indiv_Date=F$2)*(Upload_Indiv_PointsTot)))</f>
        <v/>
      </c>
      <c r="G55" s="2" t="str" cm="1">
        <f t="array" ref="G55">IF(SUMPRODUCT((Upload_Indiv_Player=$A53)*(Upload_Indiv_Date=G$2)*(Upload_Indiv_PointsTot))=0,"",SUMPRODUCT((Upload_Indiv_Player=$A53)*(Upload_Indiv_Date=G$2)*(Upload_Indiv_PointsTot)))</f>
        <v/>
      </c>
      <c r="H55" s="2" t="str" cm="1">
        <f t="array" ref="H55">IF(SUMPRODUCT((Upload_Indiv_Player=$A53)*(Upload_Indiv_Date=H$2)*(Upload_Indiv_PointsTot))=0,"",SUMPRODUCT((Upload_Indiv_Player=$A53)*(Upload_Indiv_Date=H$2)*(Upload_Indiv_PointsTot)))</f>
        <v/>
      </c>
      <c r="I55" s="2" t="str" cm="1">
        <f t="array" ref="I55">IF(SUMPRODUCT((Upload_Indiv_Player=$A53)*(Upload_Indiv_Date=I$2)*(Upload_Indiv_PointsTot))=0,"",SUMPRODUCT((Upload_Indiv_Player=$A53)*(Upload_Indiv_Date=I$2)*(Upload_Indiv_PointsTot)))</f>
        <v/>
      </c>
      <c r="J55" s="2" t="str" cm="1">
        <f t="array" ref="J55">IF(SUMPRODUCT((Upload_Indiv_Player=$A53)*(Upload_Indiv_Date=J$2)*(Upload_Indiv_PointsTot))=0,"",SUMPRODUCT((Upload_Indiv_Player=$A53)*(Upload_Indiv_Date=J$2)*(Upload_Indiv_PointsTot)))</f>
        <v/>
      </c>
      <c r="K55" s="2" t="str" cm="1">
        <f t="array" ref="K55">IF(SUMPRODUCT((Upload_Indiv_Player=$A53)*(Upload_Indiv_Date=K$2)*(Upload_Indiv_PointsTot))=0,"",SUMPRODUCT((Upload_Indiv_Player=$A53)*(Upload_Indiv_Date=K$2)*(Upload_Indiv_PointsTot)))</f>
        <v/>
      </c>
      <c r="L55" s="2" t="str" cm="1">
        <f t="array" ref="L55">IF(SUMPRODUCT((Upload_Indiv_Player=$A53)*(Upload_Indiv_Date=L$2)*(Upload_Indiv_PointsTot))=0,"",SUMPRODUCT((Upload_Indiv_Player=$A53)*(Upload_Indiv_Date=L$2)*(Upload_Indiv_PointsTot)))</f>
        <v/>
      </c>
      <c r="M55" s="2" t="str" cm="1">
        <f t="array" ref="M55">IF(SUMPRODUCT((Upload_Indiv_Player=$A53)*(Upload_Indiv_Date=M$2)*(Upload_Indiv_PointsTot))=0,"",SUMPRODUCT((Upload_Indiv_Player=$A53)*(Upload_Indiv_Date=M$2)*(Upload_Indiv_PointsTot)))</f>
        <v/>
      </c>
      <c r="N55" s="2" t="str" cm="1">
        <f t="array" ref="N55">IF(SUMPRODUCT((Upload_Indiv_Player=$A53)*(Upload_Indiv_Date=N$2)*(Upload_Indiv_PointsTot))=0,"",SUMPRODUCT((Upload_Indiv_Player=$A53)*(Upload_Indiv_Date=N$2)*(Upload_Indiv_PointsTot)))</f>
        <v/>
      </c>
      <c r="O55" s="2" t="str" cm="1">
        <f t="array" ref="O55">IF(SUMPRODUCT((Upload_Indiv_Player=$A53)*(Upload_Indiv_Date=O$2)*(Upload_Indiv_PointsTot))=0,"",SUMPRODUCT((Upload_Indiv_Player=$A53)*(Upload_Indiv_Date=O$2)*(Upload_Indiv_PointsTot)))</f>
        <v/>
      </c>
      <c r="P55" s="2" t="str" cm="1">
        <f t="array" ref="P55">IF(SUMPRODUCT((Upload_Indiv_Player=$A53)*(Upload_Indiv_Date=P$2)*(Upload_Indiv_PointsTot))=0,"",SUMPRODUCT((Upload_Indiv_Player=$A53)*(Upload_Indiv_Date=P$2)*(Upload_Indiv_PointsTot)))</f>
        <v/>
      </c>
      <c r="Q55" s="2" t="str" cm="1">
        <f t="array" ref="Q55">IF(SUMPRODUCT((Upload_Indiv_Player=$A53)*(Upload_Indiv_Date=Q$2)*(Upload_Indiv_PointsTot))=0,"",SUMPRODUCT((Upload_Indiv_Player=$A53)*(Upload_Indiv_Date=Q$2)*(Upload_Indiv_PointsTot)))</f>
        <v/>
      </c>
      <c r="R55" s="2" t="str" cm="1">
        <f t="array" ref="R55">IF(SUMPRODUCT((Upload_Indiv_Player=$A53)*(Upload_Indiv_Date=R$2)*(Upload_Indiv_PointsTot))=0,"",SUMPRODUCT((Upload_Indiv_Player=$A53)*(Upload_Indiv_Date=R$2)*(Upload_Indiv_PointsTot)))</f>
        <v/>
      </c>
      <c r="S55" s="2" t="str" cm="1">
        <f t="array" ref="S55">IF(SUMPRODUCT((Upload_Indiv_Player=$A53)*(Upload_Indiv_Date=S$2)*(Upload_Indiv_PointsTot))=0,"",SUMPRODUCT((Upload_Indiv_Player=$A53)*(Upload_Indiv_Date=S$2)*(Upload_Indiv_PointsTot)))</f>
        <v/>
      </c>
      <c r="T55" s="2" t="str" cm="1">
        <f t="array" ref="T55">IF(SUMPRODUCT((Upload_Indiv_Player=$A53)*(Upload_Indiv_Date=T$2)*(Upload_Indiv_PointsTot))=0,"",SUMPRODUCT((Upload_Indiv_Player=$A53)*(Upload_Indiv_Date=T$2)*(Upload_Indiv_PointsTot)))</f>
        <v/>
      </c>
      <c r="U55" s="2" t="str" cm="1">
        <f t="array" ref="U55">IF(SUMPRODUCT((Upload_Indiv_Player=$A53)*(Upload_Indiv_Date=U$2)*(Upload_Indiv_PointsTot))=0,"",SUMPRODUCT((Upload_Indiv_Player=$A53)*(Upload_Indiv_Date=U$2)*(Upload_Indiv_PointsTot)))</f>
        <v/>
      </c>
      <c r="V55" s="276"/>
      <c r="W55" s="276"/>
      <c r="X55" s="276"/>
      <c r="Y55" s="277"/>
      <c r="Z55" s="277"/>
      <c r="AA55" s="277"/>
    </row>
    <row r="56" spans="1:27" x14ac:dyDescent="0.25">
      <c r="A56" s="14" t="s">
        <v>160</v>
      </c>
      <c r="B56" s="8" t="s">
        <v>174</v>
      </c>
      <c r="C56" s="2" t="str" cm="1">
        <f t="array" ref="C56">IF(SUMPRODUCT((Upload_Indiv_Player=$A53)*(Upload_Indiv_Date=C$2)*(Upload_Indiv_Tot_Birds))=0,"",SUMPRODUCT((Upload_Indiv_Player=$A53)*(Upload_Indiv_Date=C$2)*(Upload_Indiv_Tot_Birds)))</f>
        <v/>
      </c>
      <c r="D56" s="2" t="str" cm="1">
        <f t="array" ref="D56">IF(SUMPRODUCT((Upload_Indiv_Player=$A53)*(Upload_Indiv_Date=D$2)*(Upload_Indiv_Tot_Birds))=0,"",SUMPRODUCT((Upload_Indiv_Player=$A53)*(Upload_Indiv_Date=D$2)*(Upload_Indiv_Tot_Birds)))</f>
        <v/>
      </c>
      <c r="E56" s="2" t="str" cm="1">
        <f t="array" ref="E56">IF(SUMPRODUCT((Upload_Indiv_Player=$A53)*(Upload_Indiv_Date=E$2)*(Upload_Indiv_Tot_Birds))=0,"",SUMPRODUCT((Upload_Indiv_Player=$A53)*(Upload_Indiv_Date=E$2)*(Upload_Indiv_Tot_Birds)))</f>
        <v/>
      </c>
      <c r="F56" s="2" t="str" cm="1">
        <f t="array" ref="F56">IF(SUMPRODUCT((Upload_Indiv_Player=$A53)*(Upload_Indiv_Date=F$2)*(Upload_Indiv_Tot_Birds))=0,"",SUMPRODUCT((Upload_Indiv_Player=$A53)*(Upload_Indiv_Date=F$2)*(Upload_Indiv_Tot_Birds)))</f>
        <v/>
      </c>
      <c r="G56" s="2" t="str" cm="1">
        <f t="array" ref="G56">IF(SUMPRODUCT((Upload_Indiv_Player=$A53)*(Upload_Indiv_Date=G$2)*(Upload_Indiv_Tot_Birds))=0,"",SUMPRODUCT((Upload_Indiv_Player=$A53)*(Upload_Indiv_Date=G$2)*(Upload_Indiv_Tot_Birds)))</f>
        <v/>
      </c>
      <c r="H56" s="2" t="str" cm="1">
        <f t="array" ref="H56">IF(SUMPRODUCT((Upload_Indiv_Player=$A53)*(Upload_Indiv_Date=H$2)*(Upload_Indiv_Tot_Birds))=0,"",SUMPRODUCT((Upload_Indiv_Player=$A53)*(Upload_Indiv_Date=H$2)*(Upload_Indiv_Tot_Birds)))</f>
        <v/>
      </c>
      <c r="I56" s="2" t="str" cm="1">
        <f t="array" ref="I56">IF(SUMPRODUCT((Upload_Indiv_Player=$A53)*(Upload_Indiv_Date=I$2)*(Upload_Indiv_Tot_Birds))=0,"",SUMPRODUCT((Upload_Indiv_Player=$A53)*(Upload_Indiv_Date=I$2)*(Upload_Indiv_Tot_Birds)))</f>
        <v/>
      </c>
      <c r="J56" s="2" t="str" cm="1">
        <f t="array" ref="J56">IF(SUMPRODUCT((Upload_Indiv_Player=$A53)*(Upload_Indiv_Date=J$2)*(Upload_Indiv_Tot_Birds))=0,"",SUMPRODUCT((Upload_Indiv_Player=$A53)*(Upload_Indiv_Date=J$2)*(Upload_Indiv_Tot_Birds)))</f>
        <v/>
      </c>
      <c r="K56" s="2" t="str" cm="1">
        <f t="array" ref="K56">IF(SUMPRODUCT((Upload_Indiv_Player=$A53)*(Upload_Indiv_Date=K$2)*(Upload_Indiv_Tot_Birds))=0,"",SUMPRODUCT((Upload_Indiv_Player=$A53)*(Upload_Indiv_Date=K$2)*(Upload_Indiv_Tot_Birds)))</f>
        <v/>
      </c>
      <c r="L56" s="2" t="str" cm="1">
        <f t="array" ref="L56">IF(SUMPRODUCT((Upload_Indiv_Player=$A53)*(Upload_Indiv_Date=L$2)*(Upload_Indiv_Tot_Birds))=0,"",SUMPRODUCT((Upload_Indiv_Player=$A53)*(Upload_Indiv_Date=L$2)*(Upload_Indiv_Tot_Birds)))</f>
        <v/>
      </c>
      <c r="M56" s="2" t="str" cm="1">
        <f t="array" ref="M56">IF(SUMPRODUCT((Upload_Indiv_Player=$A53)*(Upload_Indiv_Date=M$2)*(Upload_Indiv_Tot_Birds))=0,"",SUMPRODUCT((Upload_Indiv_Player=$A53)*(Upload_Indiv_Date=M$2)*(Upload_Indiv_Tot_Birds)))</f>
        <v/>
      </c>
      <c r="N56" s="2" t="str" cm="1">
        <f t="array" ref="N56">IF(SUMPRODUCT((Upload_Indiv_Player=$A53)*(Upload_Indiv_Date=N$2)*(Upload_Indiv_Tot_Birds))=0,"",SUMPRODUCT((Upload_Indiv_Player=$A53)*(Upload_Indiv_Date=N$2)*(Upload_Indiv_Tot_Birds)))</f>
        <v/>
      </c>
      <c r="O56" s="2" t="str" cm="1">
        <f t="array" ref="O56">IF(SUMPRODUCT((Upload_Indiv_Player=$A53)*(Upload_Indiv_Date=O$2)*(Upload_Indiv_Tot_Birds))=0,"",SUMPRODUCT((Upload_Indiv_Player=$A53)*(Upload_Indiv_Date=O$2)*(Upload_Indiv_Tot_Birds)))</f>
        <v/>
      </c>
      <c r="P56" s="2" t="str" cm="1">
        <f t="array" ref="P56">IF(SUMPRODUCT((Upload_Indiv_Player=$A53)*(Upload_Indiv_Date=P$2)*(Upload_Indiv_Tot_Birds))=0,"",SUMPRODUCT((Upload_Indiv_Player=$A53)*(Upload_Indiv_Date=P$2)*(Upload_Indiv_Tot_Birds)))</f>
        <v/>
      </c>
      <c r="Q56" s="2" t="str" cm="1">
        <f t="array" ref="Q56">IF(SUMPRODUCT((Upload_Indiv_Player=$A53)*(Upload_Indiv_Date=Q$2)*(Upload_Indiv_Tot_Birds))=0,"",SUMPRODUCT((Upload_Indiv_Player=$A53)*(Upload_Indiv_Date=Q$2)*(Upload_Indiv_Tot_Birds)))</f>
        <v/>
      </c>
      <c r="R56" s="2" t="str" cm="1">
        <f t="array" ref="R56">IF(SUMPRODUCT((Upload_Indiv_Player=$A53)*(Upload_Indiv_Date=R$2)*(Upload_Indiv_Tot_Birds))=0,"",SUMPRODUCT((Upload_Indiv_Player=$A53)*(Upload_Indiv_Date=R$2)*(Upload_Indiv_Tot_Birds)))</f>
        <v/>
      </c>
      <c r="S56" s="2" t="str" cm="1">
        <f t="array" ref="S56">IF(SUMPRODUCT((Upload_Indiv_Player=$A53)*(Upload_Indiv_Date=S$2)*(Upload_Indiv_Tot_Birds))=0,"",SUMPRODUCT((Upload_Indiv_Player=$A53)*(Upload_Indiv_Date=S$2)*(Upload_Indiv_Tot_Birds)))</f>
        <v/>
      </c>
      <c r="T56" s="2" t="str" cm="1">
        <f t="array" ref="T56">IF(SUMPRODUCT((Upload_Indiv_Player=$A53)*(Upload_Indiv_Date=T$2)*(Upload_Indiv_Tot_Birds))=0,"",SUMPRODUCT((Upload_Indiv_Player=$A53)*(Upload_Indiv_Date=T$2)*(Upload_Indiv_Tot_Birds)))</f>
        <v/>
      </c>
      <c r="U56" s="2" t="str" cm="1">
        <f t="array" ref="U56">IF(SUMPRODUCT((Upload_Indiv_Player=$A53)*(Upload_Indiv_Date=U$2)*(Upload_Indiv_Tot_Birds))=0,"",SUMPRODUCT((Upload_Indiv_Player=$A53)*(Upload_Indiv_Date=U$2)*(Upload_Indiv_Tot_Birds)))</f>
        <v/>
      </c>
      <c r="V56" s="276"/>
      <c r="W56" s="276"/>
      <c r="X56" s="276"/>
      <c r="Y56" s="277"/>
      <c r="Z56" s="277"/>
      <c r="AA56" s="277"/>
    </row>
    <row r="57" spans="1:27" x14ac:dyDescent="0.25">
      <c r="A57" s="14"/>
      <c r="B57" s="8" t="s">
        <v>175</v>
      </c>
      <c r="C57" s="2" t="str" cm="1">
        <f t="array" ref="C57">IF(SUMPRODUCT((Upload_Indiv_Player=$A53)*(Upload_Indiv_Date=C$2)*(Upload_Indiv_Tot_Eagles))=0,"",SUMPRODUCT((Upload_Indiv_Player=$A53)*(Upload_Indiv_Date=C$2)*(Upload_Indiv_Tot_Eagles)))</f>
        <v/>
      </c>
      <c r="D57" s="2" t="str" cm="1">
        <f t="array" ref="D57">IF(SUMPRODUCT((Upload_Indiv_Player=$A53)*(Upload_Indiv_Date=D$2)*(Upload_Indiv_Tot_Eagles))=0,"",SUMPRODUCT((Upload_Indiv_Player=$A53)*(Upload_Indiv_Date=D$2)*(Upload_Indiv_Tot_Eagles)))</f>
        <v/>
      </c>
      <c r="E57" s="2" t="str" cm="1">
        <f t="array" ref="E57">IF(SUMPRODUCT((Upload_Indiv_Player=$A53)*(Upload_Indiv_Date=E$2)*(Upload_Indiv_Tot_Eagles))=0,"",SUMPRODUCT((Upload_Indiv_Player=$A53)*(Upload_Indiv_Date=E$2)*(Upload_Indiv_Tot_Eagles)))</f>
        <v/>
      </c>
      <c r="F57" s="2" t="str" cm="1">
        <f t="array" ref="F57">IF(SUMPRODUCT((Upload_Indiv_Player=$A53)*(Upload_Indiv_Date=F$2)*(Upload_Indiv_Tot_Eagles))=0,"",SUMPRODUCT((Upload_Indiv_Player=$A53)*(Upload_Indiv_Date=F$2)*(Upload_Indiv_Tot_Eagles)))</f>
        <v/>
      </c>
      <c r="G57" s="2" t="str" cm="1">
        <f t="array" ref="G57">IF(SUMPRODUCT((Upload_Indiv_Player=$A53)*(Upload_Indiv_Date=G$2)*(Upload_Indiv_Tot_Eagles))=0,"",SUMPRODUCT((Upload_Indiv_Player=$A53)*(Upload_Indiv_Date=G$2)*(Upload_Indiv_Tot_Eagles)))</f>
        <v/>
      </c>
      <c r="H57" s="2" t="str" cm="1">
        <f t="array" ref="H57">IF(SUMPRODUCT((Upload_Indiv_Player=$A53)*(Upload_Indiv_Date=H$2)*(Upload_Indiv_Tot_Eagles))=0,"",SUMPRODUCT((Upload_Indiv_Player=$A53)*(Upload_Indiv_Date=H$2)*(Upload_Indiv_Tot_Eagles)))</f>
        <v/>
      </c>
      <c r="I57" s="2" t="str" cm="1">
        <f t="array" ref="I57">IF(SUMPRODUCT((Upload_Indiv_Player=$A53)*(Upload_Indiv_Date=I$2)*(Upload_Indiv_Tot_Eagles))=0,"",SUMPRODUCT((Upload_Indiv_Player=$A53)*(Upload_Indiv_Date=I$2)*(Upload_Indiv_Tot_Eagles)))</f>
        <v/>
      </c>
      <c r="J57" s="2" t="str" cm="1">
        <f t="array" ref="J57">IF(SUMPRODUCT((Upload_Indiv_Player=$A53)*(Upload_Indiv_Date=J$2)*(Upload_Indiv_Tot_Eagles))=0,"",SUMPRODUCT((Upload_Indiv_Player=$A53)*(Upload_Indiv_Date=J$2)*(Upload_Indiv_Tot_Eagles)))</f>
        <v/>
      </c>
      <c r="K57" s="2" t="str" cm="1">
        <f t="array" ref="K57">IF(SUMPRODUCT((Upload_Indiv_Player=$A53)*(Upload_Indiv_Date=K$2)*(Upload_Indiv_Tot_Eagles))=0,"",SUMPRODUCT((Upload_Indiv_Player=$A53)*(Upload_Indiv_Date=K$2)*(Upload_Indiv_Tot_Eagles)))</f>
        <v/>
      </c>
      <c r="L57" s="2" t="str" cm="1">
        <f t="array" ref="L57">IF(SUMPRODUCT((Upload_Indiv_Player=$A53)*(Upload_Indiv_Date=L$2)*(Upload_Indiv_Tot_Eagles))=0,"",SUMPRODUCT((Upload_Indiv_Player=$A53)*(Upload_Indiv_Date=L$2)*(Upload_Indiv_Tot_Eagles)))</f>
        <v/>
      </c>
      <c r="M57" s="2" t="str" cm="1">
        <f t="array" ref="M57">IF(SUMPRODUCT((Upload_Indiv_Player=$A53)*(Upload_Indiv_Date=M$2)*(Upload_Indiv_Tot_Eagles))=0,"",SUMPRODUCT((Upload_Indiv_Player=$A53)*(Upload_Indiv_Date=M$2)*(Upload_Indiv_Tot_Eagles)))</f>
        <v/>
      </c>
      <c r="N57" s="2" t="str" cm="1">
        <f t="array" ref="N57">IF(SUMPRODUCT((Upload_Indiv_Player=$A53)*(Upload_Indiv_Date=N$2)*(Upload_Indiv_Tot_Eagles))=0,"",SUMPRODUCT((Upload_Indiv_Player=$A53)*(Upload_Indiv_Date=N$2)*(Upload_Indiv_Tot_Eagles)))</f>
        <v/>
      </c>
      <c r="O57" s="2" t="str" cm="1">
        <f t="array" ref="O57">IF(SUMPRODUCT((Upload_Indiv_Player=$A53)*(Upload_Indiv_Date=O$2)*(Upload_Indiv_Tot_Eagles))=0,"",SUMPRODUCT((Upload_Indiv_Player=$A53)*(Upload_Indiv_Date=O$2)*(Upload_Indiv_Tot_Eagles)))</f>
        <v/>
      </c>
      <c r="P57" s="2" t="str" cm="1">
        <f t="array" ref="P57">IF(SUMPRODUCT((Upload_Indiv_Player=$A53)*(Upload_Indiv_Date=P$2)*(Upload_Indiv_Tot_Eagles))=0,"",SUMPRODUCT((Upload_Indiv_Player=$A53)*(Upload_Indiv_Date=P$2)*(Upload_Indiv_Tot_Eagles)))</f>
        <v/>
      </c>
      <c r="Q57" s="2" t="str" cm="1">
        <f t="array" ref="Q57">IF(SUMPRODUCT((Upload_Indiv_Player=$A53)*(Upload_Indiv_Date=Q$2)*(Upload_Indiv_Tot_Eagles))=0,"",SUMPRODUCT((Upload_Indiv_Player=$A53)*(Upload_Indiv_Date=Q$2)*(Upload_Indiv_Tot_Eagles)))</f>
        <v/>
      </c>
      <c r="R57" s="2" t="str" cm="1">
        <f t="array" ref="R57">IF(SUMPRODUCT((Upload_Indiv_Player=$A53)*(Upload_Indiv_Date=R$2)*(Upload_Indiv_Tot_Eagles))=0,"",SUMPRODUCT((Upload_Indiv_Player=$A53)*(Upload_Indiv_Date=R$2)*(Upload_Indiv_Tot_Eagles)))</f>
        <v/>
      </c>
      <c r="S57" s="2" t="str" cm="1">
        <f t="array" ref="S57">IF(SUMPRODUCT((Upload_Indiv_Player=$A53)*(Upload_Indiv_Date=S$2)*(Upload_Indiv_Tot_Eagles))=0,"",SUMPRODUCT((Upload_Indiv_Player=$A53)*(Upload_Indiv_Date=S$2)*(Upload_Indiv_Tot_Eagles)))</f>
        <v/>
      </c>
      <c r="T57" s="2" t="str" cm="1">
        <f t="array" ref="T57">IF(SUMPRODUCT((Upload_Indiv_Player=$A53)*(Upload_Indiv_Date=T$2)*(Upload_Indiv_Tot_Eagles))=0,"",SUMPRODUCT((Upload_Indiv_Player=$A53)*(Upload_Indiv_Date=T$2)*(Upload_Indiv_Tot_Eagles)))</f>
        <v/>
      </c>
      <c r="U57" s="2" t="str" cm="1">
        <f t="array" ref="U57">IF(SUMPRODUCT((Upload_Indiv_Player=$A53)*(Upload_Indiv_Date=U$2)*(Upload_Indiv_Tot_Eagles))=0,"",SUMPRODUCT((Upload_Indiv_Player=$A53)*(Upload_Indiv_Date=U$2)*(Upload_Indiv_Tot_Eagles)))</f>
        <v/>
      </c>
      <c r="V57" s="276"/>
      <c r="W57" s="276"/>
      <c r="X57" s="276"/>
      <c r="Y57" s="277"/>
      <c r="Z57" s="278"/>
      <c r="AA57" s="277"/>
    </row>
    <row r="58" spans="1:27" x14ac:dyDescent="0.25">
      <c r="A58" s="14"/>
      <c r="B58" s="2" t="s">
        <v>176</v>
      </c>
      <c r="C58" s="2" t="str" cm="1">
        <f t="array" ref="C58">IF(SUMPRODUCT((Upload_Indiv_Player=$A53)*(Upload_Indiv_Date=C$2)*(Upload_Indiv_Excl_Score))=0,"",SUMPRODUCT((Upload_Indiv_Player=$A53)*(Upload_Indiv_Date=C$2)*(Upload_Indiv_Excl_Score)))</f>
        <v/>
      </c>
      <c r="D58" s="2" t="str" cm="1">
        <f t="array" ref="D58">IF(SUMPRODUCT((Upload_Indiv_Player=$A53)*(Upload_Indiv_Date=D$2)*(Upload_Indiv_Excl_Score))=0,"",SUMPRODUCT((Upload_Indiv_Player=$A53)*(Upload_Indiv_Date=D$2)*(Upload_Indiv_Excl_Score)))</f>
        <v/>
      </c>
      <c r="E58" s="2" t="str" cm="1">
        <f t="array" ref="E58">IF(SUMPRODUCT((Upload_Indiv_Player=$A53)*(Upload_Indiv_Date=E$2)*(Upload_Indiv_Excl_Score))=0,"",SUMPRODUCT((Upload_Indiv_Player=$A53)*(Upload_Indiv_Date=E$2)*(Upload_Indiv_Excl_Score)))</f>
        <v/>
      </c>
      <c r="F58" s="2" t="str" cm="1">
        <f t="array" ref="F58">IF(SUMPRODUCT((Upload_Indiv_Player=$A53)*(Upload_Indiv_Date=F$2)*(Upload_Indiv_Excl_Score))=0,"",SUMPRODUCT((Upload_Indiv_Player=$A53)*(Upload_Indiv_Date=F$2)*(Upload_Indiv_Excl_Score)))</f>
        <v/>
      </c>
      <c r="G58" s="2" t="str" cm="1">
        <f t="array" ref="G58">IF(SUMPRODUCT((Upload_Indiv_Player=$A53)*(Upload_Indiv_Date=G$2)*(Upload_Indiv_Excl_Score))=0,"",SUMPRODUCT((Upload_Indiv_Player=$A53)*(Upload_Indiv_Date=G$2)*(Upload_Indiv_Excl_Score)))</f>
        <v/>
      </c>
      <c r="H58" s="2" t="str" cm="1">
        <f t="array" ref="H58">IF(SUMPRODUCT((Upload_Indiv_Player=$A53)*(Upload_Indiv_Date=H$2)*(Upload_Indiv_Excl_Score))=0,"",SUMPRODUCT((Upload_Indiv_Player=$A53)*(Upload_Indiv_Date=H$2)*(Upload_Indiv_Excl_Score)))</f>
        <v/>
      </c>
      <c r="I58" s="2" t="str" cm="1">
        <f t="array" ref="I58">IF(SUMPRODUCT((Upload_Indiv_Player=$A53)*(Upload_Indiv_Date=I$2)*(Upload_Indiv_Excl_Score))=0,"",SUMPRODUCT((Upload_Indiv_Player=$A53)*(Upload_Indiv_Date=I$2)*(Upload_Indiv_Excl_Score)))</f>
        <v/>
      </c>
      <c r="J58" s="2" t="str" cm="1">
        <f t="array" ref="J58">IF(SUMPRODUCT((Upload_Indiv_Player=$A53)*(Upload_Indiv_Date=J$2)*(Upload_Indiv_Excl_Score))=0,"",SUMPRODUCT((Upload_Indiv_Player=$A53)*(Upload_Indiv_Date=J$2)*(Upload_Indiv_Excl_Score)))</f>
        <v/>
      </c>
      <c r="K58" s="2" t="str" cm="1">
        <f t="array" ref="K58">IF(SUMPRODUCT((Upload_Indiv_Player=$A53)*(Upload_Indiv_Date=K$2)*(Upload_Indiv_Excl_Score))=0,"",SUMPRODUCT((Upload_Indiv_Player=$A53)*(Upload_Indiv_Date=K$2)*(Upload_Indiv_Excl_Score)))</f>
        <v/>
      </c>
      <c r="L58" s="2" t="str" cm="1">
        <f t="array" ref="L58">IF(SUMPRODUCT((Upload_Indiv_Player=$A53)*(Upload_Indiv_Date=L$2)*(Upload_Indiv_Excl_Score))=0,"",SUMPRODUCT((Upload_Indiv_Player=$A53)*(Upload_Indiv_Date=L$2)*(Upload_Indiv_Excl_Score)))</f>
        <v/>
      </c>
      <c r="M58" s="2" t="str" cm="1">
        <f t="array" ref="M58">IF(SUMPRODUCT((Upload_Indiv_Player=$A53)*(Upload_Indiv_Date=M$2)*(Upload_Indiv_Excl_Score))=0,"",SUMPRODUCT((Upload_Indiv_Player=$A53)*(Upload_Indiv_Date=M$2)*(Upload_Indiv_Excl_Score)))</f>
        <v/>
      </c>
      <c r="N58" s="2" t="str" cm="1">
        <f t="array" ref="N58">IF(SUMPRODUCT((Upload_Indiv_Player=$A53)*(Upload_Indiv_Date=N$2)*(Upload_Indiv_Excl_Score))=0,"",SUMPRODUCT((Upload_Indiv_Player=$A53)*(Upload_Indiv_Date=N$2)*(Upload_Indiv_Excl_Score)))</f>
        <v/>
      </c>
      <c r="O58" s="2" t="str" cm="1">
        <f t="array" ref="O58">IF(SUMPRODUCT((Upload_Indiv_Player=$A53)*(Upload_Indiv_Date=O$2)*(Upload_Indiv_Excl_Score))=0,"",SUMPRODUCT((Upload_Indiv_Player=$A53)*(Upload_Indiv_Date=O$2)*(Upload_Indiv_Excl_Score)))</f>
        <v/>
      </c>
      <c r="P58" s="2" t="str" cm="1">
        <f t="array" ref="P58">IF(SUMPRODUCT((Upload_Indiv_Player=$A53)*(Upload_Indiv_Date=P$2)*(Upload_Indiv_Excl_Score))=0,"",SUMPRODUCT((Upload_Indiv_Player=$A53)*(Upload_Indiv_Date=P$2)*(Upload_Indiv_Excl_Score)))</f>
        <v/>
      </c>
      <c r="Q58" s="2" t="str" cm="1">
        <f t="array" ref="Q58">IF(SUMPRODUCT((Upload_Indiv_Player=$A53)*(Upload_Indiv_Date=Q$2)*(Upload_Indiv_Excl_Score))=0,"",SUMPRODUCT((Upload_Indiv_Player=$A53)*(Upload_Indiv_Date=Q$2)*(Upload_Indiv_Excl_Score)))</f>
        <v/>
      </c>
      <c r="R58" s="2" t="str" cm="1">
        <f t="array" ref="R58">IF(SUMPRODUCT((Upload_Indiv_Player=$A53)*(Upload_Indiv_Date=R$2)*(Upload_Indiv_Excl_Score))=0,"",SUMPRODUCT((Upload_Indiv_Player=$A53)*(Upload_Indiv_Date=R$2)*(Upload_Indiv_Excl_Score)))</f>
        <v/>
      </c>
      <c r="S58" s="2" t="str" cm="1">
        <f t="array" ref="S58">IF(SUMPRODUCT((Upload_Indiv_Player=$A53)*(Upload_Indiv_Date=S$2)*(Upload_Indiv_Excl_Score))=0,"",SUMPRODUCT((Upload_Indiv_Player=$A53)*(Upload_Indiv_Date=S$2)*(Upload_Indiv_Excl_Score)))</f>
        <v/>
      </c>
      <c r="T58" s="2" t="str" cm="1">
        <f t="array" ref="T58">IF(SUMPRODUCT((Upload_Indiv_Player=$A53)*(Upload_Indiv_Date=T$2)*(Upload_Indiv_Excl_Score))=0,"",SUMPRODUCT((Upload_Indiv_Player=$A53)*(Upload_Indiv_Date=T$2)*(Upload_Indiv_Excl_Score)))</f>
        <v/>
      </c>
      <c r="U58" s="2" t="str" cm="1">
        <f t="array" ref="U58">IF(SUMPRODUCT((Upload_Indiv_Player=$A53)*(Upload_Indiv_Date=U$2)*(Upload_Indiv_Excl_Score))=0,"",SUMPRODUCT((Upload_Indiv_Player=$A53)*(Upload_Indiv_Date=U$2)*(Upload_Indiv_Excl_Score)))</f>
        <v/>
      </c>
      <c r="V58" s="276"/>
      <c r="W58" s="276"/>
      <c r="X58" s="276"/>
      <c r="Y58" s="277"/>
      <c r="Z58" s="277"/>
      <c r="AA58" s="277"/>
    </row>
    <row r="59" spans="1:27" x14ac:dyDescent="0.25">
      <c r="A59" s="14"/>
      <c r="B59" s="2" t="s">
        <v>177</v>
      </c>
      <c r="C59" s="2" t="str" cm="1">
        <f t="array" ref="C59">IFERROR(INDEX(Upload_Indiv_Team,MATCH(1,($A53=Upload_Indiv_Player)*(C$2=Upload_Indiv_Date),0)),"")</f>
        <v/>
      </c>
      <c r="D59" s="2" t="str" cm="1">
        <f t="array" ref="D59">IFERROR(INDEX(Upload_Indiv_Team,MATCH(1,($A53=Upload_Indiv_Player)*(D$2=Upload_Indiv_Date),0)),"")</f>
        <v/>
      </c>
      <c r="E59" s="2" t="str" cm="1">
        <f t="array" ref="E59">IFERROR(INDEX(Upload_Indiv_Team,MATCH(1,($A53=Upload_Indiv_Player)*(E$2=Upload_Indiv_Date),0)),"")</f>
        <v/>
      </c>
      <c r="F59" s="2" t="str" cm="1">
        <f t="array" ref="F59">IFERROR(INDEX(Upload_Indiv_Team,MATCH(1,($A53=Upload_Indiv_Player)*(F$2=Upload_Indiv_Date),0)),"")</f>
        <v/>
      </c>
      <c r="G59" s="2" t="str" cm="1">
        <f t="array" ref="G59">IFERROR(INDEX(Upload_Indiv_Team,MATCH(1,($A53=Upload_Indiv_Player)*(G$2=Upload_Indiv_Date),0)),"")</f>
        <v/>
      </c>
      <c r="H59" s="2" t="str" cm="1">
        <f t="array" ref="H59">IFERROR(INDEX(Upload_Indiv_Team,MATCH(1,($A53=Upload_Indiv_Player)*(H$2=Upload_Indiv_Date),0)),"")</f>
        <v/>
      </c>
      <c r="I59" s="2" t="str" cm="1">
        <f t="array" ref="I59">IFERROR(INDEX(Upload_Indiv_Team,MATCH(1,($A53=Upload_Indiv_Player)*(I$2=Upload_Indiv_Date),0)),"")</f>
        <v/>
      </c>
      <c r="J59" s="2" t="str" cm="1">
        <f t="array" ref="J59">IFERROR(INDEX(Upload_Indiv_Team,MATCH(1,($A53=Upload_Indiv_Player)*(J$2=Upload_Indiv_Date),0)),"")</f>
        <v/>
      </c>
      <c r="K59" s="2" t="str" cm="1">
        <f t="array" ref="K59">IFERROR(INDEX(Upload_Indiv_Team,MATCH(1,($A53=Upload_Indiv_Player)*(K$2=Upload_Indiv_Date),0)),"")</f>
        <v/>
      </c>
      <c r="L59" s="2" t="str" cm="1">
        <f t="array" ref="L59">IFERROR(INDEX(Upload_Indiv_Team,MATCH(1,($A53=Upload_Indiv_Player)*(L$2=Upload_Indiv_Date),0)),"")</f>
        <v/>
      </c>
      <c r="M59" s="2" t="str" cm="1">
        <f t="array" ref="M59">IFERROR(INDEX(Upload_Indiv_Team,MATCH(1,($A53=Upload_Indiv_Player)*(M$2=Upload_Indiv_Date),0)),"")</f>
        <v/>
      </c>
      <c r="N59" s="2" t="str" cm="1">
        <f t="array" ref="N59">IFERROR(INDEX(Upload_Indiv_Team,MATCH(1,($A53=Upload_Indiv_Player)*(N$2=Upload_Indiv_Date),0)),"")</f>
        <v/>
      </c>
      <c r="O59" s="2" t="str" cm="1">
        <f t="array" ref="O59">IFERROR(INDEX(Upload_Indiv_Team,MATCH(1,($A53=Upload_Indiv_Player)*(O$2=Upload_Indiv_Date),0)),"")</f>
        <v/>
      </c>
      <c r="P59" s="2" t="str" cm="1">
        <f t="array" ref="P59">IFERROR(INDEX(Upload_Indiv_Team,MATCH(1,($A53=Upload_Indiv_Player)*(P$2=Upload_Indiv_Date),0)),"")</f>
        <v/>
      </c>
      <c r="Q59" s="2" t="str" cm="1">
        <f t="array" ref="Q59">IFERROR(INDEX(Upload_Indiv_Team,MATCH(1,($A53=Upload_Indiv_Player)*(Q$2=Upload_Indiv_Date),0)),"")</f>
        <v/>
      </c>
      <c r="R59" s="2" t="str" cm="1">
        <f t="array" ref="R59">IFERROR(INDEX(Upload_Indiv_Team,MATCH(1,($A53=Upload_Indiv_Player)*(R$2=Upload_Indiv_Date),0)),"")</f>
        <v/>
      </c>
      <c r="S59" s="2" t="str" cm="1">
        <f t="array" ref="S59">IFERROR(INDEX(Upload_Indiv_Team,MATCH(1,($A53=Upload_Indiv_Player)*(S$2=Upload_Indiv_Date),0)),"")</f>
        <v/>
      </c>
      <c r="T59" s="2" t="str" cm="1">
        <f t="array" ref="T59">IFERROR(INDEX(Upload_Indiv_Team,MATCH(1,($A53=Upload_Indiv_Player)*(T$2=Upload_Indiv_Date),0)),"")</f>
        <v/>
      </c>
      <c r="U59" s="2" t="str" cm="1">
        <f t="array" ref="U59">IFERROR(INDEX(Upload_Indiv_Team,MATCH(1,($A53=Upload_Indiv_Player)*(U$2=Upload_Indiv_Date),0)),"")</f>
        <v/>
      </c>
      <c r="V59" s="276"/>
      <c r="W59" s="276"/>
      <c r="X59" s="276"/>
      <c r="Y59" s="277"/>
      <c r="Z59" s="277"/>
      <c r="AA59" s="277"/>
    </row>
    <row r="60" spans="1:27" ht="13.8" thickBot="1" x14ac:dyDescent="0.3">
      <c r="A60" s="15" t="s">
        <v>160</v>
      </c>
      <c r="B60" s="8" t="s">
        <v>178</v>
      </c>
      <c r="C60" s="58" t="str">
        <f t="shared" ref="C60:U60" si="7">IF(C53="", "", IF(C55&gt;=11, "w", IF(C55&lt;=9, "l", "t")))</f>
        <v/>
      </c>
      <c r="D60" s="58" t="str">
        <f t="shared" si="7"/>
        <v/>
      </c>
      <c r="E60" s="58" t="str">
        <f t="shared" si="7"/>
        <v/>
      </c>
      <c r="F60" s="58" t="str">
        <f t="shared" si="7"/>
        <v/>
      </c>
      <c r="G60" s="58" t="str">
        <f t="shared" si="7"/>
        <v/>
      </c>
      <c r="H60" s="58" t="str">
        <f t="shared" si="7"/>
        <v/>
      </c>
      <c r="I60" s="58" t="str">
        <f t="shared" si="7"/>
        <v/>
      </c>
      <c r="J60" s="58" t="str">
        <f t="shared" si="7"/>
        <v/>
      </c>
      <c r="K60" s="58" t="str">
        <f t="shared" si="7"/>
        <v/>
      </c>
      <c r="L60" s="58" t="str">
        <f t="shared" si="7"/>
        <v/>
      </c>
      <c r="M60" s="58" t="str">
        <f t="shared" si="7"/>
        <v/>
      </c>
      <c r="N60" s="58" t="str">
        <f t="shared" si="7"/>
        <v/>
      </c>
      <c r="O60" s="58" t="str">
        <f t="shared" si="7"/>
        <v/>
      </c>
      <c r="P60" s="58" t="str">
        <f t="shared" si="7"/>
        <v/>
      </c>
      <c r="Q60" s="58" t="str">
        <f t="shared" si="7"/>
        <v/>
      </c>
      <c r="R60" s="58" t="str">
        <f t="shared" si="7"/>
        <v/>
      </c>
      <c r="S60" s="58" t="str">
        <f t="shared" si="7"/>
        <v/>
      </c>
      <c r="T60" s="58" t="str">
        <f t="shared" si="7"/>
        <v/>
      </c>
      <c r="U60" s="58" t="str">
        <f t="shared" si="7"/>
        <v/>
      </c>
      <c r="V60" s="276"/>
      <c r="W60" s="276"/>
      <c r="X60" s="276"/>
      <c r="Y60" s="277"/>
      <c r="Z60" s="277"/>
      <c r="AA60" s="277"/>
    </row>
    <row r="61" spans="1:27" x14ac:dyDescent="0.25">
      <c r="A61" s="11" t="s">
        <v>102</v>
      </c>
      <c r="B61" s="17" t="s">
        <v>170</v>
      </c>
      <c r="C61" s="3" t="str" cm="1">
        <f t="array" ref="C61">IF(SUMPRODUCT((Upload_Indiv_Player=$A61)*(Upload_Indiv_Date=C$2)*(Upload_Indiv_Gross))=0,"",SUMPRODUCT((Upload_Indiv_Player=$A61)*(Upload_Indiv_Date=C$2)*(Upload_Indiv_Gross)))</f>
        <v/>
      </c>
      <c r="D61" s="3" cm="1">
        <f t="array" ref="D61">IF(SUMPRODUCT((Upload_Indiv_Player=$A61)*(Upload_Indiv_Date=D$2)*(Upload_Indiv_Gross))=0,"",SUMPRODUCT((Upload_Indiv_Player=$A61)*(Upload_Indiv_Date=D$2)*(Upload_Indiv_Gross)))</f>
        <v>49</v>
      </c>
      <c r="E61" s="3" t="str" cm="1">
        <f t="array" ref="E61">IF(SUMPRODUCT((Upload_Indiv_Player=$A61)*(Upload_Indiv_Date=E$2)*(Upload_Indiv_Gross))=0,"",SUMPRODUCT((Upload_Indiv_Player=$A61)*(Upload_Indiv_Date=E$2)*(Upload_Indiv_Gross)))</f>
        <v/>
      </c>
      <c r="F61" s="3" cm="1">
        <f t="array" ref="F61">IF(SUMPRODUCT((Upload_Indiv_Player=$A61)*(Upload_Indiv_Date=F$2)*(Upload_Indiv_Gross))=0,"",SUMPRODUCT((Upload_Indiv_Player=$A61)*(Upload_Indiv_Date=F$2)*(Upload_Indiv_Gross)))</f>
        <v>49</v>
      </c>
      <c r="G61" s="3" cm="1">
        <f t="array" ref="G61">IF(SUMPRODUCT((Upload_Indiv_Player=$A61)*(Upload_Indiv_Date=G$2)*(Upload_Indiv_Gross))=0,"",SUMPRODUCT((Upload_Indiv_Player=$A61)*(Upload_Indiv_Date=G$2)*(Upload_Indiv_Gross)))</f>
        <v>57</v>
      </c>
      <c r="H61" s="3" cm="1">
        <f t="array" ref="H61">IF(SUMPRODUCT((Upload_Indiv_Player=$A61)*(Upload_Indiv_Date=H$2)*(Upload_Indiv_Gross))=0,"",SUMPRODUCT((Upload_Indiv_Player=$A61)*(Upload_Indiv_Date=H$2)*(Upload_Indiv_Gross)))</f>
        <v>49</v>
      </c>
      <c r="I61" s="3" t="str" cm="1">
        <f t="array" ref="I61">IF(SUMPRODUCT((Upload_Indiv_Player=$A61)*(Upload_Indiv_Date=I$2)*(Upload_Indiv_Gross))=0,"",SUMPRODUCT((Upload_Indiv_Player=$A61)*(Upload_Indiv_Date=I$2)*(Upload_Indiv_Gross)))</f>
        <v/>
      </c>
      <c r="J61" s="3" t="str" cm="1">
        <f t="array" ref="J61">IF(SUMPRODUCT((Upload_Indiv_Player=$A61)*(Upload_Indiv_Date=J$2)*(Upload_Indiv_Gross))=0,"",SUMPRODUCT((Upload_Indiv_Player=$A61)*(Upload_Indiv_Date=J$2)*(Upload_Indiv_Gross)))</f>
        <v/>
      </c>
      <c r="K61" s="3" t="str" cm="1">
        <f t="array" ref="K61">IF(SUMPRODUCT((Upload_Indiv_Player=$A61)*(Upload_Indiv_Date=K$2)*(Upload_Indiv_Gross))=0,"",SUMPRODUCT((Upload_Indiv_Player=$A61)*(Upload_Indiv_Date=K$2)*(Upload_Indiv_Gross)))</f>
        <v/>
      </c>
      <c r="L61" s="3" t="str" cm="1">
        <f t="array" ref="L61">IF(SUMPRODUCT((Upload_Indiv_Player=$A61)*(Upload_Indiv_Date=L$2)*(Upload_Indiv_Gross))=0,"",SUMPRODUCT((Upload_Indiv_Player=$A61)*(Upload_Indiv_Date=L$2)*(Upload_Indiv_Gross)))</f>
        <v/>
      </c>
      <c r="M61" s="3" t="str" cm="1">
        <f t="array" ref="M61">IF(SUMPRODUCT((Upload_Indiv_Player=$A61)*(Upload_Indiv_Date=M$2)*(Upload_Indiv_Gross))=0,"",SUMPRODUCT((Upload_Indiv_Player=$A61)*(Upload_Indiv_Date=M$2)*(Upload_Indiv_Gross)))</f>
        <v/>
      </c>
      <c r="N61" s="3" t="str" cm="1">
        <f t="array" ref="N61">IF(SUMPRODUCT((Upload_Indiv_Player=$A61)*(Upload_Indiv_Date=N$2)*(Upload_Indiv_Gross))=0,"",SUMPRODUCT((Upload_Indiv_Player=$A61)*(Upload_Indiv_Date=N$2)*(Upload_Indiv_Gross)))</f>
        <v/>
      </c>
      <c r="O61" s="3" t="str" cm="1">
        <f t="array" ref="O61">IF(SUMPRODUCT((Upload_Indiv_Player=$A61)*(Upload_Indiv_Date=O$2)*(Upload_Indiv_Gross))=0,"",SUMPRODUCT((Upload_Indiv_Player=$A61)*(Upload_Indiv_Date=O$2)*(Upload_Indiv_Gross)))</f>
        <v/>
      </c>
      <c r="P61" s="3" t="str" cm="1">
        <f t="array" ref="P61">IF(SUMPRODUCT((Upload_Indiv_Player=$A61)*(Upload_Indiv_Date=P$2)*(Upload_Indiv_Gross))=0,"",SUMPRODUCT((Upload_Indiv_Player=$A61)*(Upload_Indiv_Date=P$2)*(Upload_Indiv_Gross)))</f>
        <v/>
      </c>
      <c r="Q61" s="2" t="str" cm="1">
        <f t="array" ref="Q61">IF(SUMPRODUCT((Upload_Indiv_Player=$A61)*(Upload_Indiv_Date=Q$2)*(Upload_Indiv_Gross))=0,"",SUMPRODUCT((Upload_Indiv_Player=$A61)*(Upload_Indiv_Date=Q$2)*(Upload_Indiv_Gross)))</f>
        <v/>
      </c>
      <c r="R61" s="2" cm="1">
        <f t="array" ref="R61">IF(SUMPRODUCT((Upload_Indiv_Player=$A61)*(Upload_Indiv_Date=R$2)*(Upload_Indiv_Gross))=0,"",SUMPRODUCT((Upload_Indiv_Player=$A61)*(Upload_Indiv_Date=R$2)*(Upload_Indiv_Gross)))</f>
        <v>44</v>
      </c>
      <c r="S61" s="2" t="str" cm="1">
        <f t="array" ref="S61">IF(SUMPRODUCT((Upload_Indiv_Player=$A61)*(Upload_Indiv_Date=S$2)*(Upload_Indiv_Gross))=0,"",SUMPRODUCT((Upload_Indiv_Player=$A61)*(Upload_Indiv_Date=S$2)*(Upload_Indiv_Gross)))</f>
        <v/>
      </c>
      <c r="T61" s="2" t="str" cm="1">
        <f t="array" ref="T61">IF(SUMPRODUCT((Upload_Indiv_Player=$A61)*(Upload_Indiv_Date=T$2)*(Upload_Indiv_Gross))=0,"",SUMPRODUCT((Upload_Indiv_Player=$A61)*(Upload_Indiv_Date=T$2)*(Upload_Indiv_Gross)))</f>
        <v/>
      </c>
      <c r="U61" s="2">
        <v>53</v>
      </c>
      <c r="V61" s="273">
        <v>15</v>
      </c>
      <c r="W61" s="273">
        <v>11</v>
      </c>
      <c r="X61" s="273">
        <v>0</v>
      </c>
      <c r="Y61" s="277">
        <v>2</v>
      </c>
      <c r="Z61" s="277">
        <v>0</v>
      </c>
      <c r="AA61" s="277">
        <v>0</v>
      </c>
    </row>
    <row r="62" spans="1:27" x14ac:dyDescent="0.25">
      <c r="A62" s="216">
        <v>3308069638</v>
      </c>
      <c r="B62" s="8" t="s">
        <v>171</v>
      </c>
      <c r="C62" s="2" t="str" cm="1">
        <f t="array" ref="C62">IF(SUMPRODUCT((Upload_Indiv_Player=$A61)*(Upload_Indiv_Date=C$2)*(Upload_Indiv_Net))=0,"",SUMPRODUCT((Upload_Indiv_Player=$A61)*(Upload_Indiv_Date=C$2)*(Upload_Indiv_Net)))</f>
        <v/>
      </c>
      <c r="D62" s="2" cm="1">
        <f t="array" ref="D62">IF(SUMPRODUCT((Upload_Indiv_Player=$A61)*(Upload_Indiv_Date=D$2)*(Upload_Indiv_Net))=0,"",SUMPRODUCT((Upload_Indiv_Player=$A61)*(Upload_Indiv_Date=D$2)*(Upload_Indiv_Net)))</f>
        <v>36</v>
      </c>
      <c r="E62" s="2" t="str" cm="1">
        <f t="array" ref="E62">IF(SUMPRODUCT((Upload_Indiv_Player=$A61)*(Upload_Indiv_Date=E$2)*(Upload_Indiv_Net))=0,"",SUMPRODUCT((Upload_Indiv_Player=$A61)*(Upload_Indiv_Date=E$2)*(Upload_Indiv_Net)))</f>
        <v/>
      </c>
      <c r="F62" s="2" cm="1">
        <f t="array" ref="F62">IF(SUMPRODUCT((Upload_Indiv_Player=$A61)*(Upload_Indiv_Date=F$2)*(Upload_Indiv_Net))=0,"",SUMPRODUCT((Upload_Indiv_Player=$A61)*(Upload_Indiv_Date=F$2)*(Upload_Indiv_Net)))</f>
        <v>37</v>
      </c>
      <c r="G62" s="2" cm="1">
        <f t="array" ref="G62">IF(SUMPRODUCT((Upload_Indiv_Player=$A61)*(Upload_Indiv_Date=G$2)*(Upload_Indiv_Net))=0,"",SUMPRODUCT((Upload_Indiv_Player=$A61)*(Upload_Indiv_Date=G$2)*(Upload_Indiv_Net)))</f>
        <v>45</v>
      </c>
      <c r="H62" s="2" cm="1">
        <f t="array" ref="H62">IF(SUMPRODUCT((Upload_Indiv_Player=$A61)*(Upload_Indiv_Date=H$2)*(Upload_Indiv_Net))=0,"",SUMPRODUCT((Upload_Indiv_Player=$A61)*(Upload_Indiv_Date=H$2)*(Upload_Indiv_Net)))</f>
        <v>37</v>
      </c>
      <c r="I62" s="2" t="str" cm="1">
        <f t="array" ref="I62">IF(SUMPRODUCT((Upload_Indiv_Player=$A61)*(Upload_Indiv_Date=I$2)*(Upload_Indiv_Net))=0,"",SUMPRODUCT((Upload_Indiv_Player=$A61)*(Upload_Indiv_Date=I$2)*(Upload_Indiv_Net)))</f>
        <v/>
      </c>
      <c r="J62" s="2" t="str" cm="1">
        <f t="array" ref="J62">IF(SUMPRODUCT((Upload_Indiv_Player=$A61)*(Upload_Indiv_Date=J$2)*(Upload_Indiv_Net))=0,"",SUMPRODUCT((Upload_Indiv_Player=$A61)*(Upload_Indiv_Date=J$2)*(Upload_Indiv_Net)))</f>
        <v/>
      </c>
      <c r="K62" s="2" t="str" cm="1">
        <f t="array" ref="K62">IF(SUMPRODUCT((Upload_Indiv_Player=$A61)*(Upload_Indiv_Date=K$2)*(Upload_Indiv_Net))=0,"",SUMPRODUCT((Upload_Indiv_Player=$A61)*(Upload_Indiv_Date=K$2)*(Upload_Indiv_Net)))</f>
        <v/>
      </c>
      <c r="L62" s="2" t="str" cm="1">
        <f t="array" ref="L62">IF(SUMPRODUCT((Upload_Indiv_Player=$A61)*(Upload_Indiv_Date=L$2)*(Upload_Indiv_Net))=0,"",SUMPRODUCT((Upload_Indiv_Player=$A61)*(Upload_Indiv_Date=L$2)*(Upload_Indiv_Net)))</f>
        <v/>
      </c>
      <c r="M62" s="2" t="str" cm="1">
        <f t="array" ref="M62">IF(SUMPRODUCT((Upload_Indiv_Player=$A61)*(Upload_Indiv_Date=M$2)*(Upload_Indiv_Net))=0,"",SUMPRODUCT((Upload_Indiv_Player=$A61)*(Upload_Indiv_Date=M$2)*(Upload_Indiv_Net)))</f>
        <v/>
      </c>
      <c r="N62" s="2" t="str" cm="1">
        <f t="array" ref="N62">IF(SUMPRODUCT((Upload_Indiv_Player=$A61)*(Upload_Indiv_Date=N$2)*(Upload_Indiv_Net))=0,"",SUMPRODUCT((Upload_Indiv_Player=$A61)*(Upload_Indiv_Date=N$2)*(Upload_Indiv_Net)))</f>
        <v/>
      </c>
      <c r="O62" s="2" t="str" cm="1">
        <f t="array" ref="O62">IF(SUMPRODUCT((Upload_Indiv_Player=$A61)*(Upload_Indiv_Date=O$2)*(Upload_Indiv_Net))=0,"",SUMPRODUCT((Upload_Indiv_Player=$A61)*(Upload_Indiv_Date=O$2)*(Upload_Indiv_Net)))</f>
        <v/>
      </c>
      <c r="P62" s="2" t="str" cm="1">
        <f t="array" ref="P62">IF(SUMPRODUCT((Upload_Indiv_Player=$A61)*(Upload_Indiv_Date=P$2)*(Upload_Indiv_Net))=0,"",SUMPRODUCT((Upload_Indiv_Player=$A61)*(Upload_Indiv_Date=P$2)*(Upload_Indiv_Net)))</f>
        <v/>
      </c>
      <c r="Q62" s="2" t="str" cm="1">
        <f t="array" ref="Q62">IF(SUMPRODUCT((Upload_Indiv_Player=$A61)*(Upload_Indiv_Date=Q$2)*(Upload_Indiv_Net))=0,"",SUMPRODUCT((Upload_Indiv_Player=$A61)*(Upload_Indiv_Date=Q$2)*(Upload_Indiv_Net)))</f>
        <v/>
      </c>
      <c r="R62" s="2" cm="1">
        <f t="array" ref="R62">IF(SUMPRODUCT((Upload_Indiv_Player=$A61)*(Upload_Indiv_Date=R$2)*(Upload_Indiv_Net))=0,"",SUMPRODUCT((Upload_Indiv_Player=$A61)*(Upload_Indiv_Date=R$2)*(Upload_Indiv_Net)))</f>
        <v>33</v>
      </c>
      <c r="S62" s="2" t="str" cm="1">
        <f t="array" ref="S62">IF(SUMPRODUCT((Upload_Indiv_Player=$A61)*(Upload_Indiv_Date=S$2)*(Upload_Indiv_Net))=0,"",SUMPRODUCT((Upload_Indiv_Player=$A61)*(Upload_Indiv_Date=S$2)*(Upload_Indiv_Net)))</f>
        <v/>
      </c>
      <c r="T62" s="2" t="str" cm="1">
        <f t="array" ref="T62">IF(SUMPRODUCT((Upload_Indiv_Player=$A61)*(Upload_Indiv_Date=T$2)*(Upload_Indiv_Net))=0,"",SUMPRODUCT((Upload_Indiv_Player=$A61)*(Upload_Indiv_Date=T$2)*(Upload_Indiv_Net)))</f>
        <v/>
      </c>
      <c r="U62" s="2">
        <v>42</v>
      </c>
      <c r="V62" s="279">
        <v>51.47</v>
      </c>
      <c r="W62" s="276"/>
      <c r="X62" s="276"/>
      <c r="Y62" s="277"/>
      <c r="Z62" s="277"/>
      <c r="AA62" s="277"/>
    </row>
    <row r="63" spans="1:27" x14ac:dyDescent="0.25">
      <c r="A63" s="65" t="s">
        <v>264</v>
      </c>
      <c r="B63" s="8" t="s">
        <v>173</v>
      </c>
      <c r="C63" s="2" t="str" cm="1">
        <f t="array" ref="C63">IF(SUMPRODUCT((Upload_Indiv_Player=$A61)*(Upload_Indiv_Date=C$2)*(Upload_Indiv_PointsTot))=0,"",SUMPRODUCT((Upload_Indiv_Player=$A61)*(Upload_Indiv_Date=C$2)*(Upload_Indiv_PointsTot)))</f>
        <v/>
      </c>
      <c r="D63" s="2" cm="1">
        <f t="array" ref="D63">IF(SUMPRODUCT((Upload_Indiv_Player=$A61)*(Upload_Indiv_Date=D$2)*(Upload_Indiv_PointsTot))=0,"",SUMPRODUCT((Upload_Indiv_Player=$A61)*(Upload_Indiv_Date=D$2)*(Upload_Indiv_PointsTot)))</f>
        <v>16</v>
      </c>
      <c r="E63" s="2" t="str" cm="1">
        <f t="array" ref="E63">IF(SUMPRODUCT((Upload_Indiv_Player=$A61)*(Upload_Indiv_Date=E$2)*(Upload_Indiv_PointsTot))=0,"",SUMPRODUCT((Upload_Indiv_Player=$A61)*(Upload_Indiv_Date=E$2)*(Upload_Indiv_PointsTot)))</f>
        <v/>
      </c>
      <c r="F63" s="2" cm="1">
        <f t="array" ref="F63">IF(SUMPRODUCT((Upload_Indiv_Player=$A61)*(Upload_Indiv_Date=F$2)*(Upload_Indiv_PointsTot))=0,"",SUMPRODUCT((Upload_Indiv_Player=$A61)*(Upload_Indiv_Date=F$2)*(Upload_Indiv_PointsTot)))</f>
        <v>11</v>
      </c>
      <c r="G63" s="2" cm="1">
        <f t="array" ref="G63">IF(SUMPRODUCT((Upload_Indiv_Player=$A61)*(Upload_Indiv_Date=G$2)*(Upload_Indiv_PointsTot))=0,"",SUMPRODUCT((Upload_Indiv_Player=$A61)*(Upload_Indiv_Date=G$2)*(Upload_Indiv_PointsTot)))</f>
        <v>6</v>
      </c>
      <c r="H63" s="2" cm="1">
        <f t="array" ref="H63">IF(SUMPRODUCT((Upload_Indiv_Player=$A61)*(Upload_Indiv_Date=H$2)*(Upload_Indiv_PointsTot))=0,"",SUMPRODUCT((Upload_Indiv_Player=$A61)*(Upload_Indiv_Date=H$2)*(Upload_Indiv_PointsTot)))</f>
        <v>12</v>
      </c>
      <c r="I63" s="2" t="str" cm="1">
        <f t="array" ref="I63">IF(SUMPRODUCT((Upload_Indiv_Player=$A61)*(Upload_Indiv_Date=I$2)*(Upload_Indiv_PointsTot))=0,"",SUMPRODUCT((Upload_Indiv_Player=$A61)*(Upload_Indiv_Date=I$2)*(Upload_Indiv_PointsTot)))</f>
        <v/>
      </c>
      <c r="J63" s="2" t="str" cm="1">
        <f t="array" ref="J63">IF(SUMPRODUCT((Upload_Indiv_Player=$A61)*(Upload_Indiv_Date=J$2)*(Upload_Indiv_PointsTot))=0,"",SUMPRODUCT((Upload_Indiv_Player=$A61)*(Upload_Indiv_Date=J$2)*(Upload_Indiv_PointsTot)))</f>
        <v/>
      </c>
      <c r="K63" s="2" t="str" cm="1">
        <f t="array" ref="K63">IF(SUMPRODUCT((Upload_Indiv_Player=$A61)*(Upload_Indiv_Date=K$2)*(Upload_Indiv_PointsTot))=0,"",SUMPRODUCT((Upload_Indiv_Player=$A61)*(Upload_Indiv_Date=K$2)*(Upload_Indiv_PointsTot)))</f>
        <v/>
      </c>
      <c r="L63" s="2" t="str" cm="1">
        <f t="array" ref="L63">IF(SUMPRODUCT((Upload_Indiv_Player=$A61)*(Upload_Indiv_Date=L$2)*(Upload_Indiv_PointsTot))=0,"",SUMPRODUCT((Upload_Indiv_Player=$A61)*(Upload_Indiv_Date=L$2)*(Upload_Indiv_PointsTot)))</f>
        <v/>
      </c>
      <c r="M63" s="2" t="str" cm="1">
        <f t="array" ref="M63">IF(SUMPRODUCT((Upload_Indiv_Player=$A61)*(Upload_Indiv_Date=M$2)*(Upload_Indiv_PointsTot))=0,"",SUMPRODUCT((Upload_Indiv_Player=$A61)*(Upload_Indiv_Date=M$2)*(Upload_Indiv_PointsTot)))</f>
        <v/>
      </c>
      <c r="N63" s="2" t="str" cm="1">
        <f t="array" ref="N63">IF(SUMPRODUCT((Upload_Indiv_Player=$A61)*(Upload_Indiv_Date=N$2)*(Upload_Indiv_PointsTot))=0,"",SUMPRODUCT((Upload_Indiv_Player=$A61)*(Upload_Indiv_Date=N$2)*(Upload_Indiv_PointsTot)))</f>
        <v/>
      </c>
      <c r="O63" s="2" t="str" cm="1">
        <f t="array" ref="O63">IF(SUMPRODUCT((Upload_Indiv_Player=$A61)*(Upload_Indiv_Date=O$2)*(Upload_Indiv_PointsTot))=0,"",SUMPRODUCT((Upload_Indiv_Player=$A61)*(Upload_Indiv_Date=O$2)*(Upload_Indiv_PointsTot)))</f>
        <v/>
      </c>
      <c r="P63" s="2" t="str" cm="1">
        <f t="array" ref="P63">IF(SUMPRODUCT((Upload_Indiv_Player=$A61)*(Upload_Indiv_Date=P$2)*(Upload_Indiv_PointsTot))=0,"",SUMPRODUCT((Upload_Indiv_Player=$A61)*(Upload_Indiv_Date=P$2)*(Upload_Indiv_PointsTot)))</f>
        <v/>
      </c>
      <c r="Q63" s="2" t="str" cm="1">
        <f t="array" ref="Q63">IF(SUMPRODUCT((Upload_Indiv_Player=$A61)*(Upload_Indiv_Date=Q$2)*(Upload_Indiv_PointsTot))=0,"",SUMPRODUCT((Upload_Indiv_Player=$A61)*(Upload_Indiv_Date=Q$2)*(Upload_Indiv_PointsTot)))</f>
        <v/>
      </c>
      <c r="R63" s="2" cm="1">
        <f t="array" ref="R63">IF(SUMPRODUCT((Upload_Indiv_Player=$A61)*(Upload_Indiv_Date=R$2)*(Upload_Indiv_PointsTot))=0,"",SUMPRODUCT((Upload_Indiv_Player=$A61)*(Upload_Indiv_Date=R$2)*(Upload_Indiv_PointsTot)))</f>
        <v>12</v>
      </c>
      <c r="S63" s="2" t="str" cm="1">
        <f t="array" ref="S63">IF(SUMPRODUCT((Upload_Indiv_Player=$A61)*(Upload_Indiv_Date=S$2)*(Upload_Indiv_PointsTot))=0,"",SUMPRODUCT((Upload_Indiv_Player=$A61)*(Upload_Indiv_Date=S$2)*(Upload_Indiv_PointsTot)))</f>
        <v/>
      </c>
      <c r="T63" s="2" t="str" cm="1">
        <f t="array" ref="T63">IF(SUMPRODUCT((Upload_Indiv_Player=$A61)*(Upload_Indiv_Date=T$2)*(Upload_Indiv_PointsTot))=0,"",SUMPRODUCT((Upload_Indiv_Player=$A61)*(Upload_Indiv_Date=T$2)*(Upload_Indiv_PointsTot)))</f>
        <v/>
      </c>
      <c r="U63" s="2" t="str" cm="1">
        <f t="array" ref="U63">IF(SUMPRODUCT((Upload_Indiv_Player=$A61)*(Upload_Indiv_Date=U$2)*(Upload_Indiv_PointsTot))=0,"",SUMPRODUCT((Upload_Indiv_Player=$A61)*(Upload_Indiv_Date=U$2)*(Upload_Indiv_PointsTot)))</f>
        <v/>
      </c>
      <c r="V63" s="276"/>
      <c r="W63" s="276"/>
      <c r="X63" s="276"/>
      <c r="Y63" s="277"/>
      <c r="Z63" s="277"/>
      <c r="AA63" s="277"/>
    </row>
    <row r="64" spans="1:27" x14ac:dyDescent="0.25">
      <c r="A64" s="14" t="s">
        <v>160</v>
      </c>
      <c r="B64" s="8" t="s">
        <v>174</v>
      </c>
      <c r="C64" s="2" t="str" cm="1">
        <f t="array" ref="C64">IF(SUMPRODUCT((Upload_Indiv_Player=$A61)*(Upload_Indiv_Date=C$2)*(Upload_Indiv_Tot_Birds))=0,"",SUMPRODUCT((Upload_Indiv_Player=$A61)*(Upload_Indiv_Date=C$2)*(Upload_Indiv_Tot_Birds)))</f>
        <v/>
      </c>
      <c r="D64" s="2" cm="1">
        <f t="array" ref="D64">IF(SUMPRODUCT((Upload_Indiv_Player=$A61)*(Upload_Indiv_Date=D$2)*(Upload_Indiv_Tot_Birds))=0,"",SUMPRODUCT((Upload_Indiv_Player=$A61)*(Upload_Indiv_Date=D$2)*(Upload_Indiv_Tot_Birds)))</f>
        <v>1</v>
      </c>
      <c r="E64" s="2" t="str" cm="1">
        <f t="array" ref="E64">IF(SUMPRODUCT((Upload_Indiv_Player=$A61)*(Upload_Indiv_Date=E$2)*(Upload_Indiv_Tot_Birds))=0,"",SUMPRODUCT((Upload_Indiv_Player=$A61)*(Upload_Indiv_Date=E$2)*(Upload_Indiv_Tot_Birds)))</f>
        <v/>
      </c>
      <c r="F64" s="2" t="str" cm="1">
        <f t="array" ref="F64">IF(SUMPRODUCT((Upload_Indiv_Player=$A61)*(Upload_Indiv_Date=F$2)*(Upload_Indiv_Tot_Birds))=0,"",SUMPRODUCT((Upload_Indiv_Player=$A61)*(Upload_Indiv_Date=F$2)*(Upload_Indiv_Tot_Birds)))</f>
        <v/>
      </c>
      <c r="G64" s="2" t="str" cm="1">
        <f t="array" ref="G64">IF(SUMPRODUCT((Upload_Indiv_Player=$A61)*(Upload_Indiv_Date=G$2)*(Upload_Indiv_Tot_Birds))=0,"",SUMPRODUCT((Upload_Indiv_Player=$A61)*(Upload_Indiv_Date=G$2)*(Upload_Indiv_Tot_Birds)))</f>
        <v/>
      </c>
      <c r="H64" s="2" cm="1">
        <f t="array" ref="H64">IF(SUMPRODUCT((Upload_Indiv_Player=$A61)*(Upload_Indiv_Date=H$2)*(Upload_Indiv_Tot_Birds))=0,"",SUMPRODUCT((Upload_Indiv_Player=$A61)*(Upload_Indiv_Date=H$2)*(Upload_Indiv_Tot_Birds)))</f>
        <v>1</v>
      </c>
      <c r="I64" s="2" t="str" cm="1">
        <f t="array" ref="I64">IF(SUMPRODUCT((Upload_Indiv_Player=$A61)*(Upload_Indiv_Date=I$2)*(Upload_Indiv_Tot_Birds))=0,"",SUMPRODUCT((Upload_Indiv_Player=$A61)*(Upload_Indiv_Date=I$2)*(Upload_Indiv_Tot_Birds)))</f>
        <v/>
      </c>
      <c r="J64" s="2" t="str" cm="1">
        <f t="array" ref="J64">IF(SUMPRODUCT((Upload_Indiv_Player=$A61)*(Upload_Indiv_Date=J$2)*(Upload_Indiv_Tot_Birds))=0,"",SUMPRODUCT((Upload_Indiv_Player=$A61)*(Upload_Indiv_Date=J$2)*(Upload_Indiv_Tot_Birds)))</f>
        <v/>
      </c>
      <c r="K64" s="2" t="str" cm="1">
        <f t="array" ref="K64">IF(SUMPRODUCT((Upload_Indiv_Player=$A61)*(Upload_Indiv_Date=K$2)*(Upload_Indiv_Tot_Birds))=0,"",SUMPRODUCT((Upload_Indiv_Player=$A61)*(Upload_Indiv_Date=K$2)*(Upload_Indiv_Tot_Birds)))</f>
        <v/>
      </c>
      <c r="L64" s="2" t="str" cm="1">
        <f t="array" ref="L64">IF(SUMPRODUCT((Upload_Indiv_Player=$A61)*(Upload_Indiv_Date=L$2)*(Upload_Indiv_Tot_Birds))=0,"",SUMPRODUCT((Upload_Indiv_Player=$A61)*(Upload_Indiv_Date=L$2)*(Upload_Indiv_Tot_Birds)))</f>
        <v/>
      </c>
      <c r="M64" s="2" t="str" cm="1">
        <f t="array" ref="M64">IF(SUMPRODUCT((Upload_Indiv_Player=$A61)*(Upload_Indiv_Date=M$2)*(Upload_Indiv_Tot_Birds))=0,"",SUMPRODUCT((Upload_Indiv_Player=$A61)*(Upload_Indiv_Date=M$2)*(Upload_Indiv_Tot_Birds)))</f>
        <v/>
      </c>
      <c r="N64" s="2" t="str" cm="1">
        <f t="array" ref="N64">IF(SUMPRODUCT((Upload_Indiv_Player=$A61)*(Upload_Indiv_Date=N$2)*(Upload_Indiv_Tot_Birds))=0,"",SUMPRODUCT((Upload_Indiv_Player=$A61)*(Upload_Indiv_Date=N$2)*(Upload_Indiv_Tot_Birds)))</f>
        <v/>
      </c>
      <c r="O64" s="2" t="str" cm="1">
        <f t="array" ref="O64">IF(SUMPRODUCT((Upload_Indiv_Player=$A61)*(Upload_Indiv_Date=O$2)*(Upload_Indiv_Tot_Birds))=0,"",SUMPRODUCT((Upload_Indiv_Player=$A61)*(Upload_Indiv_Date=O$2)*(Upload_Indiv_Tot_Birds)))</f>
        <v/>
      </c>
      <c r="P64" s="2" t="str" cm="1">
        <f t="array" ref="P64">IF(SUMPRODUCT((Upload_Indiv_Player=$A61)*(Upload_Indiv_Date=P$2)*(Upload_Indiv_Tot_Birds))=0,"",SUMPRODUCT((Upload_Indiv_Player=$A61)*(Upload_Indiv_Date=P$2)*(Upload_Indiv_Tot_Birds)))</f>
        <v/>
      </c>
      <c r="Q64" s="2" t="str" cm="1">
        <f t="array" ref="Q64">IF(SUMPRODUCT((Upload_Indiv_Player=$A61)*(Upload_Indiv_Date=Q$2)*(Upload_Indiv_Tot_Birds))=0,"",SUMPRODUCT((Upload_Indiv_Player=$A61)*(Upload_Indiv_Date=Q$2)*(Upload_Indiv_Tot_Birds)))</f>
        <v/>
      </c>
      <c r="R64" s="2" t="str" cm="1">
        <f t="array" ref="R64">IF(SUMPRODUCT((Upload_Indiv_Player=$A61)*(Upload_Indiv_Date=R$2)*(Upload_Indiv_Tot_Birds))=0,"",SUMPRODUCT((Upload_Indiv_Player=$A61)*(Upload_Indiv_Date=R$2)*(Upload_Indiv_Tot_Birds)))</f>
        <v/>
      </c>
      <c r="S64" s="2" t="str" cm="1">
        <f t="array" ref="S64">IF(SUMPRODUCT((Upload_Indiv_Player=$A61)*(Upload_Indiv_Date=S$2)*(Upload_Indiv_Tot_Birds))=0,"",SUMPRODUCT((Upload_Indiv_Player=$A61)*(Upload_Indiv_Date=S$2)*(Upload_Indiv_Tot_Birds)))</f>
        <v/>
      </c>
      <c r="T64" s="2" t="str" cm="1">
        <f t="array" ref="T64">IF(SUMPRODUCT((Upload_Indiv_Player=$A61)*(Upload_Indiv_Date=T$2)*(Upload_Indiv_Tot_Birds))=0,"",SUMPRODUCT((Upload_Indiv_Player=$A61)*(Upload_Indiv_Date=T$2)*(Upload_Indiv_Tot_Birds)))</f>
        <v/>
      </c>
      <c r="U64" s="2" t="str" cm="1">
        <f t="array" ref="U64">IF(SUMPRODUCT((Upload_Indiv_Player=$A61)*(Upload_Indiv_Date=U$2)*(Upload_Indiv_Tot_Birds))=0,"",SUMPRODUCT((Upload_Indiv_Player=$A61)*(Upload_Indiv_Date=U$2)*(Upload_Indiv_Tot_Birds)))</f>
        <v/>
      </c>
      <c r="V64" s="276"/>
      <c r="W64" s="276"/>
      <c r="X64" s="276"/>
      <c r="Y64" s="277"/>
      <c r="Z64" s="277"/>
      <c r="AA64" s="277"/>
    </row>
    <row r="65" spans="1:27" x14ac:dyDescent="0.25">
      <c r="A65" s="14"/>
      <c r="B65" s="8" t="s">
        <v>175</v>
      </c>
      <c r="C65" s="2" t="str" cm="1">
        <f t="array" ref="C65">IF(SUMPRODUCT((Upload_Indiv_Player=$A61)*(Upload_Indiv_Date=C$2)*(Upload_Indiv_Tot_Eagles))=0,"",SUMPRODUCT((Upload_Indiv_Player=$A61)*(Upload_Indiv_Date=C$2)*(Upload_Indiv_Tot_Eagles)))</f>
        <v/>
      </c>
      <c r="D65" s="2" t="str" cm="1">
        <f t="array" ref="D65">IF(SUMPRODUCT((Upload_Indiv_Player=$A61)*(Upload_Indiv_Date=D$2)*(Upload_Indiv_Tot_Eagles))=0,"",SUMPRODUCT((Upload_Indiv_Player=$A61)*(Upload_Indiv_Date=D$2)*(Upload_Indiv_Tot_Eagles)))</f>
        <v/>
      </c>
      <c r="E65" s="2" t="str" cm="1">
        <f t="array" ref="E65">IF(SUMPRODUCT((Upload_Indiv_Player=$A61)*(Upload_Indiv_Date=E$2)*(Upload_Indiv_Tot_Eagles))=0,"",SUMPRODUCT((Upload_Indiv_Player=$A61)*(Upload_Indiv_Date=E$2)*(Upload_Indiv_Tot_Eagles)))</f>
        <v/>
      </c>
      <c r="F65" s="2" t="str" cm="1">
        <f t="array" ref="F65">IF(SUMPRODUCT((Upload_Indiv_Player=$A61)*(Upload_Indiv_Date=F$2)*(Upload_Indiv_Tot_Eagles))=0,"",SUMPRODUCT((Upload_Indiv_Player=$A61)*(Upload_Indiv_Date=F$2)*(Upload_Indiv_Tot_Eagles)))</f>
        <v/>
      </c>
      <c r="G65" s="2" t="str" cm="1">
        <f t="array" ref="G65">IF(SUMPRODUCT((Upload_Indiv_Player=$A61)*(Upload_Indiv_Date=G$2)*(Upload_Indiv_Tot_Eagles))=0,"",SUMPRODUCT((Upload_Indiv_Player=$A61)*(Upload_Indiv_Date=G$2)*(Upload_Indiv_Tot_Eagles)))</f>
        <v/>
      </c>
      <c r="H65" s="2" t="str" cm="1">
        <f t="array" ref="H65">IF(SUMPRODUCT((Upload_Indiv_Player=$A61)*(Upload_Indiv_Date=H$2)*(Upload_Indiv_Tot_Eagles))=0,"",SUMPRODUCT((Upload_Indiv_Player=$A61)*(Upload_Indiv_Date=H$2)*(Upload_Indiv_Tot_Eagles)))</f>
        <v/>
      </c>
      <c r="I65" s="2" t="str" cm="1">
        <f t="array" ref="I65">IF(SUMPRODUCT((Upload_Indiv_Player=$A61)*(Upload_Indiv_Date=I$2)*(Upload_Indiv_Tot_Eagles))=0,"",SUMPRODUCT((Upload_Indiv_Player=$A61)*(Upload_Indiv_Date=I$2)*(Upload_Indiv_Tot_Eagles)))</f>
        <v/>
      </c>
      <c r="J65" s="2" t="str" cm="1">
        <f t="array" ref="J65">IF(SUMPRODUCT((Upload_Indiv_Player=$A61)*(Upload_Indiv_Date=J$2)*(Upload_Indiv_Tot_Eagles))=0,"",SUMPRODUCT((Upload_Indiv_Player=$A61)*(Upload_Indiv_Date=J$2)*(Upload_Indiv_Tot_Eagles)))</f>
        <v/>
      </c>
      <c r="K65" s="2" t="str" cm="1">
        <f t="array" ref="K65">IF(SUMPRODUCT((Upload_Indiv_Player=$A61)*(Upload_Indiv_Date=K$2)*(Upload_Indiv_Tot_Eagles))=0,"",SUMPRODUCT((Upload_Indiv_Player=$A61)*(Upload_Indiv_Date=K$2)*(Upload_Indiv_Tot_Eagles)))</f>
        <v/>
      </c>
      <c r="L65" s="2" t="str" cm="1">
        <f t="array" ref="L65">IF(SUMPRODUCT((Upload_Indiv_Player=$A61)*(Upload_Indiv_Date=L$2)*(Upload_Indiv_Tot_Eagles))=0,"",SUMPRODUCT((Upload_Indiv_Player=$A61)*(Upload_Indiv_Date=L$2)*(Upload_Indiv_Tot_Eagles)))</f>
        <v/>
      </c>
      <c r="M65" s="2" t="str" cm="1">
        <f t="array" ref="M65">IF(SUMPRODUCT((Upload_Indiv_Player=$A61)*(Upload_Indiv_Date=M$2)*(Upload_Indiv_Tot_Eagles))=0,"",SUMPRODUCT((Upload_Indiv_Player=$A61)*(Upload_Indiv_Date=M$2)*(Upload_Indiv_Tot_Eagles)))</f>
        <v/>
      </c>
      <c r="N65" s="2" t="str" cm="1">
        <f t="array" ref="N65">IF(SUMPRODUCT((Upload_Indiv_Player=$A61)*(Upload_Indiv_Date=N$2)*(Upload_Indiv_Tot_Eagles))=0,"",SUMPRODUCT((Upload_Indiv_Player=$A61)*(Upload_Indiv_Date=N$2)*(Upload_Indiv_Tot_Eagles)))</f>
        <v/>
      </c>
      <c r="O65" s="2" t="str" cm="1">
        <f t="array" ref="O65">IF(SUMPRODUCT((Upload_Indiv_Player=$A61)*(Upload_Indiv_Date=O$2)*(Upload_Indiv_Tot_Eagles))=0,"",SUMPRODUCT((Upload_Indiv_Player=$A61)*(Upload_Indiv_Date=O$2)*(Upload_Indiv_Tot_Eagles)))</f>
        <v/>
      </c>
      <c r="P65" s="2" t="str" cm="1">
        <f t="array" ref="P65">IF(SUMPRODUCT((Upload_Indiv_Player=$A61)*(Upload_Indiv_Date=P$2)*(Upload_Indiv_Tot_Eagles))=0,"",SUMPRODUCT((Upload_Indiv_Player=$A61)*(Upload_Indiv_Date=P$2)*(Upload_Indiv_Tot_Eagles)))</f>
        <v/>
      </c>
      <c r="Q65" s="2" t="str" cm="1">
        <f t="array" ref="Q65">IF(SUMPRODUCT((Upload_Indiv_Player=$A61)*(Upload_Indiv_Date=Q$2)*(Upload_Indiv_Tot_Eagles))=0,"",SUMPRODUCT((Upload_Indiv_Player=$A61)*(Upload_Indiv_Date=Q$2)*(Upload_Indiv_Tot_Eagles)))</f>
        <v/>
      </c>
      <c r="R65" s="2" t="str" cm="1">
        <f t="array" ref="R65">IF(SUMPRODUCT((Upload_Indiv_Player=$A61)*(Upload_Indiv_Date=R$2)*(Upload_Indiv_Tot_Eagles))=0,"",SUMPRODUCT((Upload_Indiv_Player=$A61)*(Upload_Indiv_Date=R$2)*(Upload_Indiv_Tot_Eagles)))</f>
        <v/>
      </c>
      <c r="S65" s="2" t="str" cm="1">
        <f t="array" ref="S65">IF(SUMPRODUCT((Upload_Indiv_Player=$A61)*(Upload_Indiv_Date=S$2)*(Upload_Indiv_Tot_Eagles))=0,"",SUMPRODUCT((Upload_Indiv_Player=$A61)*(Upload_Indiv_Date=S$2)*(Upload_Indiv_Tot_Eagles)))</f>
        <v/>
      </c>
      <c r="T65" s="2" t="str" cm="1">
        <f t="array" ref="T65">IF(SUMPRODUCT((Upload_Indiv_Player=$A61)*(Upload_Indiv_Date=T$2)*(Upload_Indiv_Tot_Eagles))=0,"",SUMPRODUCT((Upload_Indiv_Player=$A61)*(Upload_Indiv_Date=T$2)*(Upload_Indiv_Tot_Eagles)))</f>
        <v/>
      </c>
      <c r="U65" s="2" t="str" cm="1">
        <f t="array" ref="U65">IF(SUMPRODUCT((Upload_Indiv_Player=$A61)*(Upload_Indiv_Date=U$2)*(Upload_Indiv_Tot_Eagles))=0,"",SUMPRODUCT((Upload_Indiv_Player=$A61)*(Upload_Indiv_Date=U$2)*(Upload_Indiv_Tot_Eagles)))</f>
        <v/>
      </c>
      <c r="V65" s="276"/>
      <c r="W65" s="276"/>
      <c r="X65" s="276"/>
      <c r="Y65" s="277"/>
      <c r="Z65" s="278"/>
      <c r="AA65" s="277"/>
    </row>
    <row r="66" spans="1:27" x14ac:dyDescent="0.25">
      <c r="A66" s="14"/>
      <c r="B66" s="2" t="s">
        <v>176</v>
      </c>
      <c r="C66" s="2" t="str" cm="1">
        <f t="array" ref="C66">IF(SUMPRODUCT((Upload_Indiv_Player=$A61)*(Upload_Indiv_Date=C$2)*(Upload_Indiv_Excl_Score))=0,"",SUMPRODUCT((Upload_Indiv_Player=$A61)*(Upload_Indiv_Date=C$2)*(Upload_Indiv_Excl_Score)))</f>
        <v/>
      </c>
      <c r="D66" s="2" t="str" cm="1">
        <f t="array" ref="D66">IF(SUMPRODUCT((Upload_Indiv_Player=$A61)*(Upload_Indiv_Date=D$2)*(Upload_Indiv_Excl_Score))=0,"",SUMPRODUCT((Upload_Indiv_Player=$A61)*(Upload_Indiv_Date=D$2)*(Upload_Indiv_Excl_Score)))</f>
        <v/>
      </c>
      <c r="E66" s="2" t="str" cm="1">
        <f t="array" ref="E66">IF(SUMPRODUCT((Upload_Indiv_Player=$A61)*(Upload_Indiv_Date=E$2)*(Upload_Indiv_Excl_Score))=0,"",SUMPRODUCT((Upload_Indiv_Player=$A61)*(Upload_Indiv_Date=E$2)*(Upload_Indiv_Excl_Score)))</f>
        <v/>
      </c>
      <c r="F66" s="2" t="str" cm="1">
        <f t="array" ref="F66">IF(SUMPRODUCT((Upload_Indiv_Player=$A61)*(Upload_Indiv_Date=F$2)*(Upload_Indiv_Excl_Score))=0,"",SUMPRODUCT((Upload_Indiv_Player=$A61)*(Upload_Indiv_Date=F$2)*(Upload_Indiv_Excl_Score)))</f>
        <v/>
      </c>
      <c r="G66" s="2" t="str" cm="1">
        <f t="array" ref="G66">IF(SUMPRODUCT((Upload_Indiv_Player=$A61)*(Upload_Indiv_Date=G$2)*(Upload_Indiv_Excl_Score))=0,"",SUMPRODUCT((Upload_Indiv_Player=$A61)*(Upload_Indiv_Date=G$2)*(Upload_Indiv_Excl_Score)))</f>
        <v/>
      </c>
      <c r="H66" s="2" t="str" cm="1">
        <f t="array" ref="H66">IF(SUMPRODUCT((Upload_Indiv_Player=$A61)*(Upload_Indiv_Date=H$2)*(Upload_Indiv_Excl_Score))=0,"",SUMPRODUCT((Upload_Indiv_Player=$A61)*(Upload_Indiv_Date=H$2)*(Upload_Indiv_Excl_Score)))</f>
        <v/>
      </c>
      <c r="I66" s="2" t="str" cm="1">
        <f t="array" ref="I66">IF(SUMPRODUCT((Upload_Indiv_Player=$A61)*(Upload_Indiv_Date=I$2)*(Upload_Indiv_Excl_Score))=0,"",SUMPRODUCT((Upload_Indiv_Player=$A61)*(Upload_Indiv_Date=I$2)*(Upload_Indiv_Excl_Score)))</f>
        <v/>
      </c>
      <c r="J66" s="2" t="str" cm="1">
        <f t="array" ref="J66">IF(SUMPRODUCT((Upload_Indiv_Player=$A61)*(Upload_Indiv_Date=J$2)*(Upload_Indiv_Excl_Score))=0,"",SUMPRODUCT((Upload_Indiv_Player=$A61)*(Upload_Indiv_Date=J$2)*(Upload_Indiv_Excl_Score)))</f>
        <v/>
      </c>
      <c r="K66" s="2" t="str" cm="1">
        <f t="array" ref="K66">IF(SUMPRODUCT((Upload_Indiv_Player=$A61)*(Upload_Indiv_Date=K$2)*(Upload_Indiv_Excl_Score))=0,"",SUMPRODUCT((Upload_Indiv_Player=$A61)*(Upload_Indiv_Date=K$2)*(Upload_Indiv_Excl_Score)))</f>
        <v/>
      </c>
      <c r="L66" s="2" t="str" cm="1">
        <f t="array" ref="L66">IF(SUMPRODUCT((Upload_Indiv_Player=$A61)*(Upload_Indiv_Date=L$2)*(Upload_Indiv_Excl_Score))=0,"",SUMPRODUCT((Upload_Indiv_Player=$A61)*(Upload_Indiv_Date=L$2)*(Upload_Indiv_Excl_Score)))</f>
        <v/>
      </c>
      <c r="M66" s="2" t="str" cm="1">
        <f t="array" ref="M66">IF(SUMPRODUCT((Upload_Indiv_Player=$A61)*(Upload_Indiv_Date=M$2)*(Upload_Indiv_Excl_Score))=0,"",SUMPRODUCT((Upload_Indiv_Player=$A61)*(Upload_Indiv_Date=M$2)*(Upload_Indiv_Excl_Score)))</f>
        <v/>
      </c>
      <c r="N66" s="2" t="str" cm="1">
        <f t="array" ref="N66">IF(SUMPRODUCT((Upload_Indiv_Player=$A61)*(Upload_Indiv_Date=N$2)*(Upload_Indiv_Excl_Score))=0,"",SUMPRODUCT((Upload_Indiv_Player=$A61)*(Upload_Indiv_Date=N$2)*(Upload_Indiv_Excl_Score)))</f>
        <v/>
      </c>
      <c r="O66" s="2" t="str" cm="1">
        <f t="array" ref="O66">IF(SUMPRODUCT((Upload_Indiv_Player=$A61)*(Upload_Indiv_Date=O$2)*(Upload_Indiv_Excl_Score))=0,"",SUMPRODUCT((Upload_Indiv_Player=$A61)*(Upload_Indiv_Date=O$2)*(Upload_Indiv_Excl_Score)))</f>
        <v/>
      </c>
      <c r="P66" s="2" t="str" cm="1">
        <f t="array" ref="P66">IF(SUMPRODUCT((Upload_Indiv_Player=$A61)*(Upload_Indiv_Date=P$2)*(Upload_Indiv_Excl_Score))=0,"",SUMPRODUCT((Upload_Indiv_Player=$A61)*(Upload_Indiv_Date=P$2)*(Upload_Indiv_Excl_Score)))</f>
        <v/>
      </c>
      <c r="Q66" s="2" t="str" cm="1">
        <f t="array" ref="Q66">IF(SUMPRODUCT((Upload_Indiv_Player=$A61)*(Upload_Indiv_Date=Q$2)*(Upload_Indiv_Excl_Score))=0,"",SUMPRODUCT((Upload_Indiv_Player=$A61)*(Upload_Indiv_Date=Q$2)*(Upload_Indiv_Excl_Score)))</f>
        <v/>
      </c>
      <c r="R66" s="2" t="str" cm="1">
        <f t="array" ref="R66">IF(SUMPRODUCT((Upload_Indiv_Player=$A61)*(Upload_Indiv_Date=R$2)*(Upload_Indiv_Excl_Score))=0,"",SUMPRODUCT((Upload_Indiv_Player=$A61)*(Upload_Indiv_Date=R$2)*(Upload_Indiv_Excl_Score)))</f>
        <v/>
      </c>
      <c r="S66" s="2" t="str" cm="1">
        <f t="array" ref="S66">IF(SUMPRODUCT((Upload_Indiv_Player=$A61)*(Upload_Indiv_Date=S$2)*(Upload_Indiv_Excl_Score))=0,"",SUMPRODUCT((Upload_Indiv_Player=$A61)*(Upload_Indiv_Date=S$2)*(Upload_Indiv_Excl_Score)))</f>
        <v/>
      </c>
      <c r="T66" s="2" t="str" cm="1">
        <f t="array" ref="T66">IF(SUMPRODUCT((Upload_Indiv_Player=$A61)*(Upload_Indiv_Date=T$2)*(Upload_Indiv_Excl_Score))=0,"",SUMPRODUCT((Upload_Indiv_Player=$A61)*(Upload_Indiv_Date=T$2)*(Upload_Indiv_Excl_Score)))</f>
        <v/>
      </c>
      <c r="U66" s="2" t="str" cm="1">
        <f t="array" ref="U66">IF(SUMPRODUCT((Upload_Indiv_Player=$A61)*(Upload_Indiv_Date=U$2)*(Upload_Indiv_Excl_Score))=0,"",SUMPRODUCT((Upload_Indiv_Player=$A61)*(Upload_Indiv_Date=U$2)*(Upload_Indiv_Excl_Score)))</f>
        <v/>
      </c>
      <c r="V66" s="276"/>
      <c r="W66" s="276"/>
      <c r="X66" s="276"/>
      <c r="Y66" s="277"/>
      <c r="Z66" s="277"/>
      <c r="AA66" s="277"/>
    </row>
    <row r="67" spans="1:27" x14ac:dyDescent="0.25">
      <c r="A67" s="14"/>
      <c r="B67" s="2" t="s">
        <v>177</v>
      </c>
      <c r="C67" s="2" t="str" cm="1">
        <f t="array" ref="C67">IFERROR(INDEX(Upload_Indiv_Team,MATCH(1,($A61=Upload_Indiv_Player)*(C$2=Upload_Indiv_Date),0)),"")</f>
        <v/>
      </c>
      <c r="D67" s="2" t="str" cm="1">
        <f t="array" ref="D67">IFERROR(INDEX(Upload_Indiv_Team,MATCH(1,($A61=Upload_Indiv_Player)*(D$2=Upload_Indiv_Date),0)),"")</f>
        <v>Mickey Mouse Club</v>
      </c>
      <c r="E67" s="2" t="str" cm="1">
        <f t="array" ref="E67">IFERROR(INDEX(Upload_Indiv_Team,MATCH(1,($A61=Upload_Indiv_Player)*(E$2=Upload_Indiv_Date),0)),"")</f>
        <v/>
      </c>
      <c r="F67" s="2" t="str" cm="1">
        <f t="array" ref="F67">IFERROR(INDEX(Upload_Indiv_Team,MATCH(1,($A61=Upload_Indiv_Player)*(F$2=Upload_Indiv_Date),0)),"")</f>
        <v>Hack Squad</v>
      </c>
      <c r="G67" s="2" t="str" cm="1">
        <f t="array" ref="G67">IFERROR(INDEX(Upload_Indiv_Team,MATCH(1,($A61=Upload_Indiv_Player)*(G$2=Upload_Indiv_Date),0)),"")</f>
        <v>Mickey Mouse Club</v>
      </c>
      <c r="H67" s="2" t="str" cm="1">
        <f t="array" ref="H67">IFERROR(INDEX(Upload_Indiv_Team,MATCH(1,($A61=Upload_Indiv_Player)*(H$2=Upload_Indiv_Date),0)),"")</f>
        <v>Mickey Mouse Club</v>
      </c>
      <c r="I67" s="2" t="str" cm="1">
        <f t="array" ref="I67">IFERROR(INDEX(Upload_Indiv_Team,MATCH(1,($A61=Upload_Indiv_Player)*(I$2=Upload_Indiv_Date),0)),"")</f>
        <v/>
      </c>
      <c r="J67" s="2" t="str" cm="1">
        <f t="array" ref="J67">IFERROR(INDEX(Upload_Indiv_Team,MATCH(1,($A61=Upload_Indiv_Player)*(J$2=Upload_Indiv_Date),0)),"")</f>
        <v/>
      </c>
      <c r="K67" s="2" t="str" cm="1">
        <f t="array" ref="K67">IFERROR(INDEX(Upload_Indiv_Team,MATCH(1,($A61=Upload_Indiv_Player)*(K$2=Upload_Indiv_Date),0)),"")</f>
        <v/>
      </c>
      <c r="L67" s="2" t="str" cm="1">
        <f t="array" ref="L67">IFERROR(INDEX(Upload_Indiv_Team,MATCH(1,($A61=Upload_Indiv_Player)*(L$2=Upload_Indiv_Date),0)),"")</f>
        <v/>
      </c>
      <c r="M67" s="2" t="str" cm="1">
        <f t="array" ref="M67">IFERROR(INDEX(Upload_Indiv_Team,MATCH(1,($A61=Upload_Indiv_Player)*(M$2=Upload_Indiv_Date),0)),"")</f>
        <v/>
      </c>
      <c r="N67" s="2" t="str" cm="1">
        <f t="array" ref="N67">IFERROR(INDEX(Upload_Indiv_Team,MATCH(1,($A61=Upload_Indiv_Player)*(N$2=Upload_Indiv_Date),0)),"")</f>
        <v/>
      </c>
      <c r="O67" s="2" t="str" cm="1">
        <f t="array" ref="O67">IFERROR(INDEX(Upload_Indiv_Team,MATCH(1,($A61=Upload_Indiv_Player)*(O$2=Upload_Indiv_Date),0)),"")</f>
        <v/>
      </c>
      <c r="P67" s="2" t="str" cm="1">
        <f t="array" ref="P67">IFERROR(INDEX(Upload_Indiv_Team,MATCH(1,($A61=Upload_Indiv_Player)*(P$2=Upload_Indiv_Date),0)),"")</f>
        <v/>
      </c>
      <c r="Q67" s="2" t="str" cm="1">
        <f t="array" ref="Q67">IFERROR(INDEX(Upload_Indiv_Team,MATCH(1,($A61=Upload_Indiv_Player)*(Q$2=Upload_Indiv_Date),0)),"")</f>
        <v/>
      </c>
      <c r="R67" s="2" t="str" cm="1">
        <f t="array" ref="R67">IFERROR(INDEX(Upload_Indiv_Team,MATCH(1,($A61=Upload_Indiv_Player)*(R$2=Upload_Indiv_Date),0)),"")</f>
        <v>Mickey Mouse Club</v>
      </c>
      <c r="S67" s="2" t="str" cm="1">
        <f t="array" ref="S67">IFERROR(INDEX(Upload_Indiv_Team,MATCH(1,($A61=Upload_Indiv_Player)*(S$2=Upload_Indiv_Date),0)),"")</f>
        <v/>
      </c>
      <c r="T67" s="2" t="str" cm="1">
        <f t="array" ref="T67">IFERROR(INDEX(Upload_Indiv_Team,MATCH(1,($A61=Upload_Indiv_Player)*(T$2=Upload_Indiv_Date),0)),"")</f>
        <v/>
      </c>
      <c r="U67" s="2" t="s">
        <v>16</v>
      </c>
      <c r="V67" s="276"/>
      <c r="W67" s="276"/>
      <c r="X67" s="276"/>
      <c r="Y67" s="277"/>
      <c r="Z67" s="277"/>
      <c r="AA67" s="277"/>
    </row>
    <row r="68" spans="1:27" ht="13.8" thickBot="1" x14ac:dyDescent="0.3">
      <c r="A68" s="15" t="s">
        <v>160</v>
      </c>
      <c r="B68" s="8" t="s">
        <v>178</v>
      </c>
      <c r="C68" s="58" t="str">
        <f t="shared" ref="C68:U68" si="8">IF(C61="", "", IF(C63&gt;=11, "w", IF(C63&lt;=9, "l", "t")))</f>
        <v/>
      </c>
      <c r="D68" s="58" t="str">
        <f t="shared" si="8"/>
        <v>w</v>
      </c>
      <c r="E68" s="58" t="str">
        <f t="shared" si="8"/>
        <v/>
      </c>
      <c r="F68" s="58" t="str">
        <f t="shared" si="8"/>
        <v>w</v>
      </c>
      <c r="G68" s="58" t="str">
        <f t="shared" si="8"/>
        <v>l</v>
      </c>
      <c r="H68" s="58" t="str">
        <f t="shared" si="8"/>
        <v>w</v>
      </c>
      <c r="I68" s="58" t="str">
        <f t="shared" si="8"/>
        <v/>
      </c>
      <c r="J68" s="58" t="str">
        <f t="shared" si="8"/>
        <v/>
      </c>
      <c r="K68" s="58" t="str">
        <f t="shared" si="8"/>
        <v/>
      </c>
      <c r="L68" s="58" t="str">
        <f t="shared" si="8"/>
        <v/>
      </c>
      <c r="M68" s="58" t="str">
        <f t="shared" si="8"/>
        <v/>
      </c>
      <c r="N68" s="58" t="str">
        <f t="shared" si="8"/>
        <v/>
      </c>
      <c r="O68" s="58" t="str">
        <f t="shared" si="8"/>
        <v/>
      </c>
      <c r="P68" s="58" t="str">
        <f t="shared" si="8"/>
        <v/>
      </c>
      <c r="Q68" s="58" t="str">
        <f t="shared" si="8"/>
        <v/>
      </c>
      <c r="R68" s="58" t="str">
        <f t="shared" si="8"/>
        <v>w</v>
      </c>
      <c r="S68" s="58" t="str">
        <f t="shared" si="8"/>
        <v/>
      </c>
      <c r="T68" s="58" t="str">
        <f t="shared" si="8"/>
        <v/>
      </c>
      <c r="U68" s="58" t="str">
        <f t="shared" si="8"/>
        <v>w</v>
      </c>
      <c r="V68" s="276"/>
      <c r="W68" s="276"/>
      <c r="X68" s="276"/>
      <c r="Y68" s="277"/>
      <c r="Z68" s="277"/>
      <c r="AA68" s="277"/>
    </row>
    <row r="69" spans="1:27" x14ac:dyDescent="0.25">
      <c r="A69" s="11" t="s">
        <v>205</v>
      </c>
      <c r="B69" s="17" t="s">
        <v>170</v>
      </c>
      <c r="C69" s="3" t="str" cm="1">
        <f t="array" ref="C69">IF(SUMPRODUCT((Upload_Indiv_Player=$A69)*(Upload_Indiv_Date=C$2)*(Upload_Indiv_Gross))=0,"",SUMPRODUCT((Upload_Indiv_Player=$A69)*(Upload_Indiv_Date=C$2)*(Upload_Indiv_Gross)))</f>
        <v/>
      </c>
      <c r="D69" s="3" t="str" cm="1">
        <f t="array" ref="D69">IF(SUMPRODUCT((Upload_Indiv_Player=$A69)*(Upload_Indiv_Date=D$2)*(Upload_Indiv_Gross))=0,"",SUMPRODUCT((Upload_Indiv_Player=$A69)*(Upload_Indiv_Date=D$2)*(Upload_Indiv_Gross)))</f>
        <v/>
      </c>
      <c r="E69" s="3" t="str" cm="1">
        <f t="array" ref="E69">IF(SUMPRODUCT((Upload_Indiv_Player=$A69)*(Upload_Indiv_Date=E$2)*(Upload_Indiv_Gross))=0,"",SUMPRODUCT((Upload_Indiv_Player=$A69)*(Upload_Indiv_Date=E$2)*(Upload_Indiv_Gross)))</f>
        <v/>
      </c>
      <c r="F69" s="3" t="str" cm="1">
        <f t="array" ref="F69">IF(SUMPRODUCT((Upload_Indiv_Player=$A69)*(Upload_Indiv_Date=F$2)*(Upload_Indiv_Gross))=0,"",SUMPRODUCT((Upload_Indiv_Player=$A69)*(Upload_Indiv_Date=F$2)*(Upload_Indiv_Gross)))</f>
        <v/>
      </c>
      <c r="G69" s="3" t="str" cm="1">
        <f t="array" ref="G69">IF(SUMPRODUCT((Upload_Indiv_Player=$A69)*(Upload_Indiv_Date=G$2)*(Upload_Indiv_Gross))=0,"",SUMPRODUCT((Upload_Indiv_Player=$A69)*(Upload_Indiv_Date=G$2)*(Upload_Indiv_Gross)))</f>
        <v/>
      </c>
      <c r="H69" s="3" t="str" cm="1">
        <f t="array" ref="H69">IF(SUMPRODUCT((Upload_Indiv_Player=$A69)*(Upload_Indiv_Date=H$2)*(Upload_Indiv_Gross))=0,"",SUMPRODUCT((Upload_Indiv_Player=$A69)*(Upload_Indiv_Date=H$2)*(Upload_Indiv_Gross)))</f>
        <v/>
      </c>
      <c r="I69" s="3" t="str" cm="1">
        <f t="array" ref="I69">IF(SUMPRODUCT((Upload_Indiv_Player=$A69)*(Upload_Indiv_Date=I$2)*(Upload_Indiv_Gross))=0,"",SUMPRODUCT((Upload_Indiv_Player=$A69)*(Upload_Indiv_Date=I$2)*(Upload_Indiv_Gross)))</f>
        <v/>
      </c>
      <c r="J69" s="3" t="str" cm="1">
        <f t="array" ref="J69">IF(SUMPRODUCT((Upload_Indiv_Player=$A69)*(Upload_Indiv_Date=J$2)*(Upload_Indiv_Gross))=0,"",SUMPRODUCT((Upload_Indiv_Player=$A69)*(Upload_Indiv_Date=J$2)*(Upload_Indiv_Gross)))</f>
        <v/>
      </c>
      <c r="K69" s="3" t="str" cm="1">
        <f t="array" ref="K69">IF(SUMPRODUCT((Upload_Indiv_Player=$A69)*(Upload_Indiv_Date=K$2)*(Upload_Indiv_Gross))=0,"",SUMPRODUCT((Upload_Indiv_Player=$A69)*(Upload_Indiv_Date=K$2)*(Upload_Indiv_Gross)))</f>
        <v/>
      </c>
      <c r="L69" s="3" t="str" cm="1">
        <f t="array" ref="L69">IF(SUMPRODUCT((Upload_Indiv_Player=$A69)*(Upload_Indiv_Date=L$2)*(Upload_Indiv_Gross))=0,"",SUMPRODUCT((Upload_Indiv_Player=$A69)*(Upload_Indiv_Date=L$2)*(Upload_Indiv_Gross)))</f>
        <v/>
      </c>
      <c r="M69" s="3" t="str" cm="1">
        <f t="array" ref="M69">IF(SUMPRODUCT((Upload_Indiv_Player=$A69)*(Upload_Indiv_Date=M$2)*(Upload_Indiv_Gross))=0,"",SUMPRODUCT((Upload_Indiv_Player=$A69)*(Upload_Indiv_Date=M$2)*(Upload_Indiv_Gross)))</f>
        <v/>
      </c>
      <c r="N69" s="3" t="str" cm="1">
        <f t="array" ref="N69">IF(SUMPRODUCT((Upload_Indiv_Player=$A69)*(Upload_Indiv_Date=N$2)*(Upload_Indiv_Gross))=0,"",SUMPRODUCT((Upload_Indiv_Player=$A69)*(Upload_Indiv_Date=N$2)*(Upload_Indiv_Gross)))</f>
        <v/>
      </c>
      <c r="O69" s="3" t="str" cm="1">
        <f t="array" ref="O69">IF(SUMPRODUCT((Upload_Indiv_Player=$A69)*(Upload_Indiv_Date=O$2)*(Upload_Indiv_Gross))=0,"",SUMPRODUCT((Upload_Indiv_Player=$A69)*(Upload_Indiv_Date=O$2)*(Upload_Indiv_Gross)))</f>
        <v/>
      </c>
      <c r="P69" s="3" t="str" cm="1">
        <f t="array" ref="P69">IF(SUMPRODUCT((Upload_Indiv_Player=$A69)*(Upload_Indiv_Date=P$2)*(Upload_Indiv_Gross))=0,"",SUMPRODUCT((Upload_Indiv_Player=$A69)*(Upload_Indiv_Date=P$2)*(Upload_Indiv_Gross)))</f>
        <v/>
      </c>
      <c r="Q69" s="2" t="str" cm="1">
        <f t="array" ref="Q69">IF(SUMPRODUCT((Upload_Indiv_Player=$A69)*(Upload_Indiv_Date=Q$2)*(Upload_Indiv_Gross))=0,"",SUMPRODUCT((Upload_Indiv_Player=$A69)*(Upload_Indiv_Date=Q$2)*(Upload_Indiv_Gross)))</f>
        <v/>
      </c>
      <c r="R69" s="2" t="str" cm="1">
        <f t="array" ref="R69">IF(SUMPRODUCT((Upload_Indiv_Player=$A69)*(Upload_Indiv_Date=R$2)*(Upload_Indiv_Gross))=0,"",SUMPRODUCT((Upload_Indiv_Player=$A69)*(Upload_Indiv_Date=R$2)*(Upload_Indiv_Gross)))</f>
        <v/>
      </c>
      <c r="S69" s="2" t="str" cm="1">
        <f t="array" ref="S69">IF(SUMPRODUCT((Upload_Indiv_Player=$A69)*(Upload_Indiv_Date=S$2)*(Upload_Indiv_Gross))=0,"",SUMPRODUCT((Upload_Indiv_Player=$A69)*(Upload_Indiv_Date=S$2)*(Upload_Indiv_Gross)))</f>
        <v/>
      </c>
      <c r="T69" s="2" t="str" cm="1">
        <f t="array" ref="T69">IF(SUMPRODUCT((Upload_Indiv_Player=$A69)*(Upload_Indiv_Date=T$2)*(Upload_Indiv_Gross))=0,"",SUMPRODUCT((Upload_Indiv_Player=$A69)*(Upload_Indiv_Date=T$2)*(Upload_Indiv_Gross)))</f>
        <v/>
      </c>
      <c r="U69" s="2" t="str" cm="1">
        <f t="array" ref="U69">IF(SUMPRODUCT((Upload_Indiv_Player=$A69)*(Upload_Indiv_Date=U$2)*(Upload_Indiv_Gross))=0,"",SUMPRODUCT((Upload_Indiv_Player=$A69)*(Upload_Indiv_Date=U$2)*(Upload_Indiv_Gross)))</f>
        <v/>
      </c>
      <c r="V69" s="273">
        <v>1</v>
      </c>
      <c r="W69" s="273">
        <v>4</v>
      </c>
      <c r="X69" s="273">
        <v>1</v>
      </c>
      <c r="Y69" s="277">
        <v>1</v>
      </c>
      <c r="Z69" s="277">
        <v>0</v>
      </c>
      <c r="AA69" s="277">
        <v>1</v>
      </c>
    </row>
    <row r="70" spans="1:27" x14ac:dyDescent="0.25">
      <c r="A70" s="216" t="s">
        <v>206</v>
      </c>
      <c r="B70" s="8" t="s">
        <v>171</v>
      </c>
      <c r="C70" s="2" t="str" cm="1">
        <f t="array" ref="C70">IF(SUMPRODUCT((Upload_Indiv_Player=$A69)*(Upload_Indiv_Date=C$2)*(Upload_Indiv_Net))=0,"",SUMPRODUCT((Upload_Indiv_Player=$A69)*(Upload_Indiv_Date=C$2)*(Upload_Indiv_Net)))</f>
        <v/>
      </c>
      <c r="D70" s="2" t="str" cm="1">
        <f t="array" ref="D70">IF(SUMPRODUCT((Upload_Indiv_Player=$A69)*(Upload_Indiv_Date=D$2)*(Upload_Indiv_Net))=0,"",SUMPRODUCT((Upload_Indiv_Player=$A69)*(Upload_Indiv_Date=D$2)*(Upload_Indiv_Net)))</f>
        <v/>
      </c>
      <c r="E70" s="2" t="str" cm="1">
        <f t="array" ref="E70">IF(SUMPRODUCT((Upload_Indiv_Player=$A69)*(Upload_Indiv_Date=E$2)*(Upload_Indiv_Net))=0,"",SUMPRODUCT((Upload_Indiv_Player=$A69)*(Upload_Indiv_Date=E$2)*(Upload_Indiv_Net)))</f>
        <v/>
      </c>
      <c r="F70" s="2" t="str" cm="1">
        <f t="array" ref="F70">IF(SUMPRODUCT((Upload_Indiv_Player=$A69)*(Upload_Indiv_Date=F$2)*(Upload_Indiv_Net))=0,"",SUMPRODUCT((Upload_Indiv_Player=$A69)*(Upload_Indiv_Date=F$2)*(Upload_Indiv_Net)))</f>
        <v/>
      </c>
      <c r="G70" s="2" t="str" cm="1">
        <f t="array" ref="G70">IF(SUMPRODUCT((Upload_Indiv_Player=$A69)*(Upload_Indiv_Date=G$2)*(Upload_Indiv_Net))=0,"",SUMPRODUCT((Upload_Indiv_Player=$A69)*(Upload_Indiv_Date=G$2)*(Upload_Indiv_Net)))</f>
        <v/>
      </c>
      <c r="H70" s="2" t="str" cm="1">
        <f t="array" ref="H70">IF(SUMPRODUCT((Upload_Indiv_Player=$A69)*(Upload_Indiv_Date=H$2)*(Upload_Indiv_Net))=0,"",SUMPRODUCT((Upload_Indiv_Player=$A69)*(Upload_Indiv_Date=H$2)*(Upload_Indiv_Net)))</f>
        <v/>
      </c>
      <c r="I70" s="2" t="str" cm="1">
        <f t="array" ref="I70">IF(SUMPRODUCT((Upload_Indiv_Player=$A69)*(Upload_Indiv_Date=I$2)*(Upload_Indiv_Net))=0,"",SUMPRODUCT((Upload_Indiv_Player=$A69)*(Upload_Indiv_Date=I$2)*(Upload_Indiv_Net)))</f>
        <v/>
      </c>
      <c r="J70" s="2" t="str" cm="1">
        <f t="array" ref="J70">IF(SUMPRODUCT((Upload_Indiv_Player=$A69)*(Upload_Indiv_Date=J$2)*(Upload_Indiv_Net))=0,"",SUMPRODUCT((Upload_Indiv_Player=$A69)*(Upload_Indiv_Date=J$2)*(Upload_Indiv_Net)))</f>
        <v/>
      </c>
      <c r="K70" s="2" t="str" cm="1">
        <f t="array" ref="K70">IF(SUMPRODUCT((Upload_Indiv_Player=$A69)*(Upload_Indiv_Date=K$2)*(Upload_Indiv_Net))=0,"",SUMPRODUCT((Upload_Indiv_Player=$A69)*(Upload_Indiv_Date=K$2)*(Upload_Indiv_Net)))</f>
        <v/>
      </c>
      <c r="L70" s="2" t="str" cm="1">
        <f t="array" ref="L70">IF(SUMPRODUCT((Upload_Indiv_Player=$A69)*(Upload_Indiv_Date=L$2)*(Upload_Indiv_Net))=0,"",SUMPRODUCT((Upload_Indiv_Player=$A69)*(Upload_Indiv_Date=L$2)*(Upload_Indiv_Net)))</f>
        <v/>
      </c>
      <c r="M70" s="2" t="str" cm="1">
        <f t="array" ref="M70">IF(SUMPRODUCT((Upload_Indiv_Player=$A69)*(Upload_Indiv_Date=M$2)*(Upload_Indiv_Net))=0,"",SUMPRODUCT((Upload_Indiv_Player=$A69)*(Upload_Indiv_Date=M$2)*(Upload_Indiv_Net)))</f>
        <v/>
      </c>
      <c r="N70" s="2" t="str" cm="1">
        <f t="array" ref="N70">IF(SUMPRODUCT((Upload_Indiv_Player=$A69)*(Upload_Indiv_Date=N$2)*(Upload_Indiv_Net))=0,"",SUMPRODUCT((Upload_Indiv_Player=$A69)*(Upload_Indiv_Date=N$2)*(Upload_Indiv_Net)))</f>
        <v/>
      </c>
      <c r="O70" s="2" t="str" cm="1">
        <f t="array" ref="O70">IF(SUMPRODUCT((Upload_Indiv_Player=$A69)*(Upload_Indiv_Date=O$2)*(Upload_Indiv_Net))=0,"",SUMPRODUCT((Upload_Indiv_Player=$A69)*(Upload_Indiv_Date=O$2)*(Upload_Indiv_Net)))</f>
        <v/>
      </c>
      <c r="P70" s="2" t="str" cm="1">
        <f t="array" ref="P70">IF(SUMPRODUCT((Upload_Indiv_Player=$A69)*(Upload_Indiv_Date=P$2)*(Upload_Indiv_Net))=0,"",SUMPRODUCT((Upload_Indiv_Player=$A69)*(Upload_Indiv_Date=P$2)*(Upload_Indiv_Net)))</f>
        <v/>
      </c>
      <c r="Q70" s="2" t="str" cm="1">
        <f t="array" ref="Q70">IF(SUMPRODUCT((Upload_Indiv_Player=$A69)*(Upload_Indiv_Date=Q$2)*(Upload_Indiv_Net))=0,"",SUMPRODUCT((Upload_Indiv_Player=$A69)*(Upload_Indiv_Date=Q$2)*(Upload_Indiv_Net)))</f>
        <v/>
      </c>
      <c r="R70" s="2" t="str" cm="1">
        <f t="array" ref="R70">IF(SUMPRODUCT((Upload_Indiv_Player=$A69)*(Upload_Indiv_Date=R$2)*(Upload_Indiv_Net))=0,"",SUMPRODUCT((Upload_Indiv_Player=$A69)*(Upload_Indiv_Date=R$2)*(Upload_Indiv_Net)))</f>
        <v/>
      </c>
      <c r="S70" s="2" t="str" cm="1">
        <f t="array" ref="S70">IF(SUMPRODUCT((Upload_Indiv_Player=$A69)*(Upload_Indiv_Date=S$2)*(Upload_Indiv_Net))=0,"",SUMPRODUCT((Upload_Indiv_Player=$A69)*(Upload_Indiv_Date=S$2)*(Upload_Indiv_Net)))</f>
        <v/>
      </c>
      <c r="T70" s="2" t="str" cm="1">
        <f t="array" ref="T70">IF(SUMPRODUCT((Upload_Indiv_Player=$A69)*(Upload_Indiv_Date=T$2)*(Upload_Indiv_Net))=0,"",SUMPRODUCT((Upload_Indiv_Player=$A69)*(Upload_Indiv_Date=T$2)*(Upload_Indiv_Net)))</f>
        <v/>
      </c>
      <c r="U70" s="2" t="str" cm="1">
        <f t="array" ref="U70">IF(SUMPRODUCT((Upload_Indiv_Player=$A69)*(Upload_Indiv_Date=U$2)*(Upload_Indiv_Net))=0,"",SUMPRODUCT((Upload_Indiv_Player=$A69)*(Upload_Indiv_Date=U$2)*(Upload_Indiv_Net)))</f>
        <v/>
      </c>
      <c r="V70" s="279">
        <v>46</v>
      </c>
      <c r="W70" s="276"/>
      <c r="X70" s="276"/>
      <c r="Y70" s="277"/>
      <c r="Z70" s="277"/>
      <c r="AA70" s="277"/>
    </row>
    <row r="71" spans="1:27" x14ac:dyDescent="0.25">
      <c r="A71" s="65"/>
      <c r="B71" s="8" t="s">
        <v>173</v>
      </c>
      <c r="C71" s="2" t="str" cm="1">
        <f t="array" ref="C71">IF(SUMPRODUCT((Upload_Indiv_Player=$A69)*(Upload_Indiv_Date=C$2)*(Upload_Indiv_PointsTot))=0,"",SUMPRODUCT((Upload_Indiv_Player=$A69)*(Upload_Indiv_Date=C$2)*(Upload_Indiv_PointsTot)))</f>
        <v/>
      </c>
      <c r="D71" s="2" t="str" cm="1">
        <f t="array" ref="D71">IF(SUMPRODUCT((Upload_Indiv_Player=$A69)*(Upload_Indiv_Date=D$2)*(Upload_Indiv_PointsTot))=0,"",SUMPRODUCT((Upload_Indiv_Player=$A69)*(Upload_Indiv_Date=D$2)*(Upload_Indiv_PointsTot)))</f>
        <v/>
      </c>
      <c r="E71" s="2" t="str" cm="1">
        <f t="array" ref="E71">IF(SUMPRODUCT((Upload_Indiv_Player=$A69)*(Upload_Indiv_Date=E$2)*(Upload_Indiv_PointsTot))=0,"",SUMPRODUCT((Upload_Indiv_Player=$A69)*(Upload_Indiv_Date=E$2)*(Upload_Indiv_PointsTot)))</f>
        <v/>
      </c>
      <c r="F71" s="2" t="str" cm="1">
        <f t="array" ref="F71">IF(SUMPRODUCT((Upload_Indiv_Player=$A69)*(Upload_Indiv_Date=F$2)*(Upload_Indiv_PointsTot))=0,"",SUMPRODUCT((Upload_Indiv_Player=$A69)*(Upload_Indiv_Date=F$2)*(Upload_Indiv_PointsTot)))</f>
        <v/>
      </c>
      <c r="G71" s="2" t="str" cm="1">
        <f t="array" ref="G71">IF(SUMPRODUCT((Upload_Indiv_Player=$A69)*(Upload_Indiv_Date=G$2)*(Upload_Indiv_PointsTot))=0,"",SUMPRODUCT((Upload_Indiv_Player=$A69)*(Upload_Indiv_Date=G$2)*(Upload_Indiv_PointsTot)))</f>
        <v/>
      </c>
      <c r="H71" s="2" t="str" cm="1">
        <f t="array" ref="H71">IF(SUMPRODUCT((Upload_Indiv_Player=$A69)*(Upload_Indiv_Date=H$2)*(Upload_Indiv_PointsTot))=0,"",SUMPRODUCT((Upload_Indiv_Player=$A69)*(Upload_Indiv_Date=H$2)*(Upload_Indiv_PointsTot)))</f>
        <v/>
      </c>
      <c r="I71" s="2" t="str" cm="1">
        <f t="array" ref="I71">IF(SUMPRODUCT((Upload_Indiv_Player=$A69)*(Upload_Indiv_Date=I$2)*(Upload_Indiv_PointsTot))=0,"",SUMPRODUCT((Upload_Indiv_Player=$A69)*(Upload_Indiv_Date=I$2)*(Upload_Indiv_PointsTot)))</f>
        <v/>
      </c>
      <c r="J71" s="2" t="str" cm="1">
        <f t="array" ref="J71">IF(SUMPRODUCT((Upload_Indiv_Player=$A69)*(Upload_Indiv_Date=J$2)*(Upload_Indiv_PointsTot))=0,"",SUMPRODUCT((Upload_Indiv_Player=$A69)*(Upload_Indiv_Date=J$2)*(Upload_Indiv_PointsTot)))</f>
        <v/>
      </c>
      <c r="K71" s="2" t="str" cm="1">
        <f t="array" ref="K71">IF(SUMPRODUCT((Upload_Indiv_Player=$A69)*(Upload_Indiv_Date=K$2)*(Upload_Indiv_PointsTot))=0,"",SUMPRODUCT((Upload_Indiv_Player=$A69)*(Upload_Indiv_Date=K$2)*(Upload_Indiv_PointsTot)))</f>
        <v/>
      </c>
      <c r="L71" s="2" t="str" cm="1">
        <f t="array" ref="L71">IF(SUMPRODUCT((Upload_Indiv_Player=$A69)*(Upload_Indiv_Date=L$2)*(Upload_Indiv_PointsTot))=0,"",SUMPRODUCT((Upload_Indiv_Player=$A69)*(Upload_Indiv_Date=L$2)*(Upload_Indiv_PointsTot)))</f>
        <v/>
      </c>
      <c r="M71" s="2" t="str" cm="1">
        <f t="array" ref="M71">IF(SUMPRODUCT((Upload_Indiv_Player=$A69)*(Upload_Indiv_Date=M$2)*(Upload_Indiv_PointsTot))=0,"",SUMPRODUCT((Upload_Indiv_Player=$A69)*(Upload_Indiv_Date=M$2)*(Upload_Indiv_PointsTot)))</f>
        <v/>
      </c>
      <c r="N71" s="2" t="str" cm="1">
        <f t="array" ref="N71">IF(SUMPRODUCT((Upload_Indiv_Player=$A69)*(Upload_Indiv_Date=N$2)*(Upload_Indiv_PointsTot))=0,"",SUMPRODUCT((Upload_Indiv_Player=$A69)*(Upload_Indiv_Date=N$2)*(Upload_Indiv_PointsTot)))</f>
        <v/>
      </c>
      <c r="O71" s="2" t="str" cm="1">
        <f t="array" ref="O71">IF(SUMPRODUCT((Upload_Indiv_Player=$A69)*(Upload_Indiv_Date=O$2)*(Upload_Indiv_PointsTot))=0,"",SUMPRODUCT((Upload_Indiv_Player=$A69)*(Upload_Indiv_Date=O$2)*(Upload_Indiv_PointsTot)))</f>
        <v/>
      </c>
      <c r="P71" s="2" t="str" cm="1">
        <f t="array" ref="P71">IF(SUMPRODUCT((Upload_Indiv_Player=$A69)*(Upload_Indiv_Date=P$2)*(Upload_Indiv_PointsTot))=0,"",SUMPRODUCT((Upload_Indiv_Player=$A69)*(Upload_Indiv_Date=P$2)*(Upload_Indiv_PointsTot)))</f>
        <v/>
      </c>
      <c r="Q71" s="2" t="str" cm="1">
        <f t="array" ref="Q71">IF(SUMPRODUCT((Upload_Indiv_Player=$A69)*(Upload_Indiv_Date=Q$2)*(Upload_Indiv_PointsTot))=0,"",SUMPRODUCT((Upload_Indiv_Player=$A69)*(Upload_Indiv_Date=Q$2)*(Upload_Indiv_PointsTot)))</f>
        <v/>
      </c>
      <c r="R71" s="2" t="str" cm="1">
        <f t="array" ref="R71">IF(SUMPRODUCT((Upload_Indiv_Player=$A69)*(Upload_Indiv_Date=R$2)*(Upload_Indiv_PointsTot))=0,"",SUMPRODUCT((Upload_Indiv_Player=$A69)*(Upload_Indiv_Date=R$2)*(Upload_Indiv_PointsTot)))</f>
        <v/>
      </c>
      <c r="S71" s="2" t="str" cm="1">
        <f t="array" ref="S71">IF(SUMPRODUCT((Upload_Indiv_Player=$A69)*(Upload_Indiv_Date=S$2)*(Upload_Indiv_PointsTot))=0,"",SUMPRODUCT((Upload_Indiv_Player=$A69)*(Upload_Indiv_Date=S$2)*(Upload_Indiv_PointsTot)))</f>
        <v/>
      </c>
      <c r="T71" s="2" t="str" cm="1">
        <f t="array" ref="T71">IF(SUMPRODUCT((Upload_Indiv_Player=$A69)*(Upload_Indiv_Date=T$2)*(Upload_Indiv_PointsTot))=0,"",SUMPRODUCT((Upload_Indiv_Player=$A69)*(Upload_Indiv_Date=T$2)*(Upload_Indiv_PointsTot)))</f>
        <v/>
      </c>
      <c r="U71" s="2" t="str" cm="1">
        <f t="array" ref="U71">IF(SUMPRODUCT((Upload_Indiv_Player=$A69)*(Upload_Indiv_Date=U$2)*(Upload_Indiv_PointsTot))=0,"",SUMPRODUCT((Upload_Indiv_Player=$A69)*(Upload_Indiv_Date=U$2)*(Upload_Indiv_PointsTot)))</f>
        <v/>
      </c>
      <c r="V71" s="276"/>
      <c r="W71" s="276"/>
      <c r="X71" s="276"/>
      <c r="Y71" s="277"/>
      <c r="Z71" s="277"/>
      <c r="AA71" s="277"/>
    </row>
    <row r="72" spans="1:27" x14ac:dyDescent="0.25">
      <c r="A72" s="14" t="s">
        <v>160</v>
      </c>
      <c r="B72" s="8" t="s">
        <v>174</v>
      </c>
      <c r="C72" s="2" t="str" cm="1">
        <f t="array" ref="C72">IF(SUMPRODUCT((Upload_Indiv_Player=$A69)*(Upload_Indiv_Date=C$2)*(Upload_Indiv_Tot_Birds))=0,"",SUMPRODUCT((Upload_Indiv_Player=$A69)*(Upload_Indiv_Date=C$2)*(Upload_Indiv_Tot_Birds)))</f>
        <v/>
      </c>
      <c r="D72" s="2" t="str" cm="1">
        <f t="array" ref="D72">IF(SUMPRODUCT((Upload_Indiv_Player=$A69)*(Upload_Indiv_Date=D$2)*(Upload_Indiv_Tot_Birds))=0,"",SUMPRODUCT((Upload_Indiv_Player=$A69)*(Upload_Indiv_Date=D$2)*(Upload_Indiv_Tot_Birds)))</f>
        <v/>
      </c>
      <c r="E72" s="2" t="str" cm="1">
        <f t="array" ref="E72">IF(SUMPRODUCT((Upload_Indiv_Player=$A69)*(Upload_Indiv_Date=E$2)*(Upload_Indiv_Tot_Birds))=0,"",SUMPRODUCT((Upload_Indiv_Player=$A69)*(Upload_Indiv_Date=E$2)*(Upload_Indiv_Tot_Birds)))</f>
        <v/>
      </c>
      <c r="F72" s="2" t="str" cm="1">
        <f t="array" ref="F72">IF(SUMPRODUCT((Upload_Indiv_Player=$A69)*(Upload_Indiv_Date=F$2)*(Upload_Indiv_Tot_Birds))=0,"",SUMPRODUCT((Upload_Indiv_Player=$A69)*(Upload_Indiv_Date=F$2)*(Upload_Indiv_Tot_Birds)))</f>
        <v/>
      </c>
      <c r="G72" s="2" t="str" cm="1">
        <f t="array" ref="G72">IF(SUMPRODUCT((Upload_Indiv_Player=$A69)*(Upload_Indiv_Date=G$2)*(Upload_Indiv_Tot_Birds))=0,"",SUMPRODUCT((Upload_Indiv_Player=$A69)*(Upload_Indiv_Date=G$2)*(Upload_Indiv_Tot_Birds)))</f>
        <v/>
      </c>
      <c r="H72" s="2" t="str" cm="1">
        <f t="array" ref="H72">IF(SUMPRODUCT((Upload_Indiv_Player=$A69)*(Upload_Indiv_Date=H$2)*(Upload_Indiv_Tot_Birds))=0,"",SUMPRODUCT((Upload_Indiv_Player=$A69)*(Upload_Indiv_Date=H$2)*(Upload_Indiv_Tot_Birds)))</f>
        <v/>
      </c>
      <c r="I72" s="2" t="str" cm="1">
        <f t="array" ref="I72">IF(SUMPRODUCT((Upload_Indiv_Player=$A69)*(Upload_Indiv_Date=I$2)*(Upload_Indiv_Tot_Birds))=0,"",SUMPRODUCT((Upload_Indiv_Player=$A69)*(Upload_Indiv_Date=I$2)*(Upload_Indiv_Tot_Birds)))</f>
        <v/>
      </c>
      <c r="J72" s="2" t="str" cm="1">
        <f t="array" ref="J72">IF(SUMPRODUCT((Upload_Indiv_Player=$A69)*(Upload_Indiv_Date=J$2)*(Upload_Indiv_Tot_Birds))=0,"",SUMPRODUCT((Upload_Indiv_Player=$A69)*(Upload_Indiv_Date=J$2)*(Upload_Indiv_Tot_Birds)))</f>
        <v/>
      </c>
      <c r="K72" s="2" t="str" cm="1">
        <f t="array" ref="K72">IF(SUMPRODUCT((Upload_Indiv_Player=$A69)*(Upload_Indiv_Date=K$2)*(Upload_Indiv_Tot_Birds))=0,"",SUMPRODUCT((Upload_Indiv_Player=$A69)*(Upload_Indiv_Date=K$2)*(Upload_Indiv_Tot_Birds)))</f>
        <v/>
      </c>
      <c r="L72" s="2" t="str" cm="1">
        <f t="array" ref="L72">IF(SUMPRODUCT((Upload_Indiv_Player=$A69)*(Upload_Indiv_Date=L$2)*(Upload_Indiv_Tot_Birds))=0,"",SUMPRODUCT((Upload_Indiv_Player=$A69)*(Upload_Indiv_Date=L$2)*(Upload_Indiv_Tot_Birds)))</f>
        <v/>
      </c>
      <c r="M72" s="2" t="str" cm="1">
        <f t="array" ref="M72">IF(SUMPRODUCT((Upload_Indiv_Player=$A69)*(Upload_Indiv_Date=M$2)*(Upload_Indiv_Tot_Birds))=0,"",SUMPRODUCT((Upload_Indiv_Player=$A69)*(Upload_Indiv_Date=M$2)*(Upload_Indiv_Tot_Birds)))</f>
        <v/>
      </c>
      <c r="N72" s="2" t="str" cm="1">
        <f t="array" ref="N72">IF(SUMPRODUCT((Upload_Indiv_Player=$A69)*(Upload_Indiv_Date=N$2)*(Upload_Indiv_Tot_Birds))=0,"",SUMPRODUCT((Upload_Indiv_Player=$A69)*(Upload_Indiv_Date=N$2)*(Upload_Indiv_Tot_Birds)))</f>
        <v/>
      </c>
      <c r="O72" s="2" t="str" cm="1">
        <f t="array" ref="O72">IF(SUMPRODUCT((Upload_Indiv_Player=$A69)*(Upload_Indiv_Date=O$2)*(Upload_Indiv_Tot_Birds))=0,"",SUMPRODUCT((Upload_Indiv_Player=$A69)*(Upload_Indiv_Date=O$2)*(Upload_Indiv_Tot_Birds)))</f>
        <v/>
      </c>
      <c r="P72" s="2" t="str" cm="1">
        <f t="array" ref="P72">IF(SUMPRODUCT((Upload_Indiv_Player=$A69)*(Upload_Indiv_Date=P$2)*(Upload_Indiv_Tot_Birds))=0,"",SUMPRODUCT((Upload_Indiv_Player=$A69)*(Upload_Indiv_Date=P$2)*(Upload_Indiv_Tot_Birds)))</f>
        <v/>
      </c>
      <c r="Q72" s="2" t="str" cm="1">
        <f t="array" ref="Q72">IF(SUMPRODUCT((Upload_Indiv_Player=$A69)*(Upload_Indiv_Date=Q$2)*(Upload_Indiv_Tot_Birds))=0,"",SUMPRODUCT((Upload_Indiv_Player=$A69)*(Upload_Indiv_Date=Q$2)*(Upload_Indiv_Tot_Birds)))</f>
        <v/>
      </c>
      <c r="R72" s="2" t="str" cm="1">
        <f t="array" ref="R72">IF(SUMPRODUCT((Upload_Indiv_Player=$A69)*(Upload_Indiv_Date=R$2)*(Upload_Indiv_Tot_Birds))=0,"",SUMPRODUCT((Upload_Indiv_Player=$A69)*(Upload_Indiv_Date=R$2)*(Upload_Indiv_Tot_Birds)))</f>
        <v/>
      </c>
      <c r="S72" s="2" t="str" cm="1">
        <f t="array" ref="S72">IF(SUMPRODUCT((Upload_Indiv_Player=$A69)*(Upload_Indiv_Date=S$2)*(Upload_Indiv_Tot_Birds))=0,"",SUMPRODUCT((Upload_Indiv_Player=$A69)*(Upload_Indiv_Date=S$2)*(Upload_Indiv_Tot_Birds)))</f>
        <v/>
      </c>
      <c r="T72" s="2" t="str" cm="1">
        <f t="array" ref="T72">IF(SUMPRODUCT((Upload_Indiv_Player=$A69)*(Upload_Indiv_Date=T$2)*(Upload_Indiv_Tot_Birds))=0,"",SUMPRODUCT((Upload_Indiv_Player=$A69)*(Upload_Indiv_Date=T$2)*(Upload_Indiv_Tot_Birds)))</f>
        <v/>
      </c>
      <c r="U72" s="2" t="str" cm="1">
        <f t="array" ref="U72">IF(SUMPRODUCT((Upload_Indiv_Player=$A69)*(Upload_Indiv_Date=U$2)*(Upload_Indiv_Tot_Birds))=0,"",SUMPRODUCT((Upload_Indiv_Player=$A69)*(Upload_Indiv_Date=U$2)*(Upload_Indiv_Tot_Birds)))</f>
        <v/>
      </c>
      <c r="V72" s="276"/>
      <c r="W72" s="276"/>
      <c r="X72" s="276"/>
      <c r="Y72" s="277"/>
      <c r="Z72" s="277"/>
      <c r="AA72" s="277"/>
    </row>
    <row r="73" spans="1:27" x14ac:dyDescent="0.25">
      <c r="A73" s="14"/>
      <c r="B73" s="8" t="s">
        <v>175</v>
      </c>
      <c r="C73" s="2" t="str" cm="1">
        <f t="array" ref="C73">IF(SUMPRODUCT((Upload_Indiv_Player=$A69)*(Upload_Indiv_Date=C$2)*(Upload_Indiv_Tot_Eagles))=0,"",SUMPRODUCT((Upload_Indiv_Player=$A69)*(Upload_Indiv_Date=C$2)*(Upload_Indiv_Tot_Eagles)))</f>
        <v/>
      </c>
      <c r="D73" s="2" t="str" cm="1">
        <f t="array" ref="D73">IF(SUMPRODUCT((Upload_Indiv_Player=$A69)*(Upload_Indiv_Date=D$2)*(Upload_Indiv_Tot_Eagles))=0,"",SUMPRODUCT((Upload_Indiv_Player=$A69)*(Upload_Indiv_Date=D$2)*(Upload_Indiv_Tot_Eagles)))</f>
        <v/>
      </c>
      <c r="E73" s="2" t="str" cm="1">
        <f t="array" ref="E73">IF(SUMPRODUCT((Upload_Indiv_Player=$A69)*(Upload_Indiv_Date=E$2)*(Upload_Indiv_Tot_Eagles))=0,"",SUMPRODUCT((Upload_Indiv_Player=$A69)*(Upload_Indiv_Date=E$2)*(Upload_Indiv_Tot_Eagles)))</f>
        <v/>
      </c>
      <c r="F73" s="2" t="str" cm="1">
        <f t="array" ref="F73">IF(SUMPRODUCT((Upload_Indiv_Player=$A69)*(Upload_Indiv_Date=F$2)*(Upload_Indiv_Tot_Eagles))=0,"",SUMPRODUCT((Upload_Indiv_Player=$A69)*(Upload_Indiv_Date=F$2)*(Upload_Indiv_Tot_Eagles)))</f>
        <v/>
      </c>
      <c r="G73" s="2" t="str" cm="1">
        <f t="array" ref="G73">IF(SUMPRODUCT((Upload_Indiv_Player=$A69)*(Upload_Indiv_Date=G$2)*(Upload_Indiv_Tot_Eagles))=0,"",SUMPRODUCT((Upload_Indiv_Player=$A69)*(Upload_Indiv_Date=G$2)*(Upload_Indiv_Tot_Eagles)))</f>
        <v/>
      </c>
      <c r="H73" s="2" t="str" cm="1">
        <f t="array" ref="H73">IF(SUMPRODUCT((Upload_Indiv_Player=$A69)*(Upload_Indiv_Date=H$2)*(Upload_Indiv_Tot_Eagles))=0,"",SUMPRODUCT((Upload_Indiv_Player=$A69)*(Upload_Indiv_Date=H$2)*(Upload_Indiv_Tot_Eagles)))</f>
        <v/>
      </c>
      <c r="I73" s="2" t="str" cm="1">
        <f t="array" ref="I73">IF(SUMPRODUCT((Upload_Indiv_Player=$A69)*(Upload_Indiv_Date=I$2)*(Upload_Indiv_Tot_Eagles))=0,"",SUMPRODUCT((Upload_Indiv_Player=$A69)*(Upload_Indiv_Date=I$2)*(Upload_Indiv_Tot_Eagles)))</f>
        <v/>
      </c>
      <c r="J73" s="2" t="str" cm="1">
        <f t="array" ref="J73">IF(SUMPRODUCT((Upload_Indiv_Player=$A69)*(Upload_Indiv_Date=J$2)*(Upload_Indiv_Tot_Eagles))=0,"",SUMPRODUCT((Upload_Indiv_Player=$A69)*(Upload_Indiv_Date=J$2)*(Upload_Indiv_Tot_Eagles)))</f>
        <v/>
      </c>
      <c r="K73" s="2" t="str" cm="1">
        <f t="array" ref="K73">IF(SUMPRODUCT((Upload_Indiv_Player=$A69)*(Upload_Indiv_Date=K$2)*(Upload_Indiv_Tot_Eagles))=0,"",SUMPRODUCT((Upload_Indiv_Player=$A69)*(Upload_Indiv_Date=K$2)*(Upload_Indiv_Tot_Eagles)))</f>
        <v/>
      </c>
      <c r="L73" s="2" t="str" cm="1">
        <f t="array" ref="L73">IF(SUMPRODUCT((Upload_Indiv_Player=$A69)*(Upload_Indiv_Date=L$2)*(Upload_Indiv_Tot_Eagles))=0,"",SUMPRODUCT((Upload_Indiv_Player=$A69)*(Upload_Indiv_Date=L$2)*(Upload_Indiv_Tot_Eagles)))</f>
        <v/>
      </c>
      <c r="M73" s="2" t="str" cm="1">
        <f t="array" ref="M73">IF(SUMPRODUCT((Upload_Indiv_Player=$A69)*(Upload_Indiv_Date=M$2)*(Upload_Indiv_Tot_Eagles))=0,"",SUMPRODUCT((Upload_Indiv_Player=$A69)*(Upload_Indiv_Date=M$2)*(Upload_Indiv_Tot_Eagles)))</f>
        <v/>
      </c>
      <c r="N73" s="2" t="str" cm="1">
        <f t="array" ref="N73">IF(SUMPRODUCT((Upload_Indiv_Player=$A69)*(Upload_Indiv_Date=N$2)*(Upload_Indiv_Tot_Eagles))=0,"",SUMPRODUCT((Upload_Indiv_Player=$A69)*(Upload_Indiv_Date=N$2)*(Upload_Indiv_Tot_Eagles)))</f>
        <v/>
      </c>
      <c r="O73" s="2" t="str" cm="1">
        <f t="array" ref="O73">IF(SUMPRODUCT((Upload_Indiv_Player=$A69)*(Upload_Indiv_Date=O$2)*(Upload_Indiv_Tot_Eagles))=0,"",SUMPRODUCT((Upload_Indiv_Player=$A69)*(Upload_Indiv_Date=O$2)*(Upload_Indiv_Tot_Eagles)))</f>
        <v/>
      </c>
      <c r="P73" s="2" t="str" cm="1">
        <f t="array" ref="P73">IF(SUMPRODUCT((Upload_Indiv_Player=$A69)*(Upload_Indiv_Date=P$2)*(Upload_Indiv_Tot_Eagles))=0,"",SUMPRODUCT((Upload_Indiv_Player=$A69)*(Upload_Indiv_Date=P$2)*(Upload_Indiv_Tot_Eagles)))</f>
        <v/>
      </c>
      <c r="Q73" s="2" t="str" cm="1">
        <f t="array" ref="Q73">IF(SUMPRODUCT((Upload_Indiv_Player=$A69)*(Upload_Indiv_Date=Q$2)*(Upload_Indiv_Tot_Eagles))=0,"",SUMPRODUCT((Upload_Indiv_Player=$A69)*(Upload_Indiv_Date=Q$2)*(Upload_Indiv_Tot_Eagles)))</f>
        <v/>
      </c>
      <c r="R73" s="2" t="str" cm="1">
        <f t="array" ref="R73">IF(SUMPRODUCT((Upload_Indiv_Player=$A69)*(Upload_Indiv_Date=R$2)*(Upload_Indiv_Tot_Eagles))=0,"",SUMPRODUCT((Upload_Indiv_Player=$A69)*(Upload_Indiv_Date=R$2)*(Upload_Indiv_Tot_Eagles)))</f>
        <v/>
      </c>
      <c r="S73" s="2" t="str" cm="1">
        <f t="array" ref="S73">IF(SUMPRODUCT((Upload_Indiv_Player=$A69)*(Upload_Indiv_Date=S$2)*(Upload_Indiv_Tot_Eagles))=0,"",SUMPRODUCT((Upload_Indiv_Player=$A69)*(Upload_Indiv_Date=S$2)*(Upload_Indiv_Tot_Eagles)))</f>
        <v/>
      </c>
      <c r="T73" s="2" t="str" cm="1">
        <f t="array" ref="T73">IF(SUMPRODUCT((Upload_Indiv_Player=$A69)*(Upload_Indiv_Date=T$2)*(Upload_Indiv_Tot_Eagles))=0,"",SUMPRODUCT((Upload_Indiv_Player=$A69)*(Upload_Indiv_Date=T$2)*(Upload_Indiv_Tot_Eagles)))</f>
        <v/>
      </c>
      <c r="U73" s="2" t="str" cm="1">
        <f t="array" ref="U73">IF(SUMPRODUCT((Upload_Indiv_Player=$A69)*(Upload_Indiv_Date=U$2)*(Upload_Indiv_Tot_Eagles))=0,"",SUMPRODUCT((Upload_Indiv_Player=$A69)*(Upload_Indiv_Date=U$2)*(Upload_Indiv_Tot_Eagles)))</f>
        <v/>
      </c>
      <c r="V73" s="276"/>
      <c r="W73" s="276"/>
      <c r="X73" s="276"/>
      <c r="Y73" s="277"/>
      <c r="Z73" s="278"/>
      <c r="AA73" s="277"/>
    </row>
    <row r="74" spans="1:27" x14ac:dyDescent="0.25">
      <c r="A74" s="14"/>
      <c r="B74" s="2" t="s">
        <v>176</v>
      </c>
      <c r="C74" s="2" t="str" cm="1">
        <f t="array" ref="C74">IF(SUMPRODUCT((Upload_Indiv_Player=$A69)*(Upload_Indiv_Date=C$2)*(Upload_Indiv_Excl_Score))=0,"",SUMPRODUCT((Upload_Indiv_Player=$A69)*(Upload_Indiv_Date=C$2)*(Upload_Indiv_Excl_Score)))</f>
        <v/>
      </c>
      <c r="D74" s="2" t="str" cm="1">
        <f t="array" ref="D74">IF(SUMPRODUCT((Upload_Indiv_Player=$A69)*(Upload_Indiv_Date=D$2)*(Upload_Indiv_Excl_Score))=0,"",SUMPRODUCT((Upload_Indiv_Player=$A69)*(Upload_Indiv_Date=D$2)*(Upload_Indiv_Excl_Score)))</f>
        <v/>
      </c>
      <c r="E74" s="2" t="str" cm="1">
        <f t="array" ref="E74">IF(SUMPRODUCT((Upload_Indiv_Player=$A69)*(Upload_Indiv_Date=E$2)*(Upload_Indiv_Excl_Score))=0,"",SUMPRODUCT((Upload_Indiv_Player=$A69)*(Upload_Indiv_Date=E$2)*(Upload_Indiv_Excl_Score)))</f>
        <v/>
      </c>
      <c r="F74" s="2" t="str" cm="1">
        <f t="array" ref="F74">IF(SUMPRODUCT((Upload_Indiv_Player=$A69)*(Upload_Indiv_Date=F$2)*(Upload_Indiv_Excl_Score))=0,"",SUMPRODUCT((Upload_Indiv_Player=$A69)*(Upload_Indiv_Date=F$2)*(Upload_Indiv_Excl_Score)))</f>
        <v/>
      </c>
      <c r="G74" s="2" t="str" cm="1">
        <f t="array" ref="G74">IF(SUMPRODUCT((Upload_Indiv_Player=$A69)*(Upload_Indiv_Date=G$2)*(Upload_Indiv_Excl_Score))=0,"",SUMPRODUCT((Upload_Indiv_Player=$A69)*(Upload_Indiv_Date=G$2)*(Upload_Indiv_Excl_Score)))</f>
        <v/>
      </c>
      <c r="H74" s="2" t="str" cm="1">
        <f t="array" ref="H74">IF(SUMPRODUCT((Upload_Indiv_Player=$A69)*(Upload_Indiv_Date=H$2)*(Upload_Indiv_Excl_Score))=0,"",SUMPRODUCT((Upload_Indiv_Player=$A69)*(Upload_Indiv_Date=H$2)*(Upload_Indiv_Excl_Score)))</f>
        <v/>
      </c>
      <c r="I74" s="2" t="str" cm="1">
        <f t="array" ref="I74">IF(SUMPRODUCT((Upload_Indiv_Player=$A69)*(Upload_Indiv_Date=I$2)*(Upload_Indiv_Excl_Score))=0,"",SUMPRODUCT((Upload_Indiv_Player=$A69)*(Upload_Indiv_Date=I$2)*(Upload_Indiv_Excl_Score)))</f>
        <v/>
      </c>
      <c r="J74" s="2" t="str" cm="1">
        <f t="array" ref="J74">IF(SUMPRODUCT((Upload_Indiv_Player=$A69)*(Upload_Indiv_Date=J$2)*(Upload_Indiv_Excl_Score))=0,"",SUMPRODUCT((Upload_Indiv_Player=$A69)*(Upload_Indiv_Date=J$2)*(Upload_Indiv_Excl_Score)))</f>
        <v/>
      </c>
      <c r="K74" s="2" t="str" cm="1">
        <f t="array" ref="K74">IF(SUMPRODUCT((Upload_Indiv_Player=$A69)*(Upload_Indiv_Date=K$2)*(Upload_Indiv_Excl_Score))=0,"",SUMPRODUCT((Upload_Indiv_Player=$A69)*(Upload_Indiv_Date=K$2)*(Upload_Indiv_Excl_Score)))</f>
        <v/>
      </c>
      <c r="L74" s="2" t="str" cm="1">
        <f t="array" ref="L74">IF(SUMPRODUCT((Upload_Indiv_Player=$A69)*(Upload_Indiv_Date=L$2)*(Upload_Indiv_Excl_Score))=0,"",SUMPRODUCT((Upload_Indiv_Player=$A69)*(Upload_Indiv_Date=L$2)*(Upload_Indiv_Excl_Score)))</f>
        <v/>
      </c>
      <c r="M74" s="2" t="str" cm="1">
        <f t="array" ref="M74">IF(SUMPRODUCT((Upload_Indiv_Player=$A69)*(Upload_Indiv_Date=M$2)*(Upload_Indiv_Excl_Score))=0,"",SUMPRODUCT((Upload_Indiv_Player=$A69)*(Upload_Indiv_Date=M$2)*(Upload_Indiv_Excl_Score)))</f>
        <v/>
      </c>
      <c r="N74" s="2" t="str" cm="1">
        <f t="array" ref="N74">IF(SUMPRODUCT((Upload_Indiv_Player=$A69)*(Upload_Indiv_Date=N$2)*(Upload_Indiv_Excl_Score))=0,"",SUMPRODUCT((Upload_Indiv_Player=$A69)*(Upload_Indiv_Date=N$2)*(Upload_Indiv_Excl_Score)))</f>
        <v/>
      </c>
      <c r="O74" s="2" t="str" cm="1">
        <f t="array" ref="O74">IF(SUMPRODUCT((Upload_Indiv_Player=$A69)*(Upload_Indiv_Date=O$2)*(Upload_Indiv_Excl_Score))=0,"",SUMPRODUCT((Upload_Indiv_Player=$A69)*(Upload_Indiv_Date=O$2)*(Upload_Indiv_Excl_Score)))</f>
        <v/>
      </c>
      <c r="P74" s="2" t="str" cm="1">
        <f t="array" ref="P74">IF(SUMPRODUCT((Upload_Indiv_Player=$A69)*(Upload_Indiv_Date=P$2)*(Upload_Indiv_Excl_Score))=0,"",SUMPRODUCT((Upload_Indiv_Player=$A69)*(Upload_Indiv_Date=P$2)*(Upload_Indiv_Excl_Score)))</f>
        <v/>
      </c>
      <c r="Q74" s="2" t="str" cm="1">
        <f t="array" ref="Q74">IF(SUMPRODUCT((Upload_Indiv_Player=$A69)*(Upload_Indiv_Date=Q$2)*(Upload_Indiv_Excl_Score))=0,"",SUMPRODUCT((Upload_Indiv_Player=$A69)*(Upload_Indiv_Date=Q$2)*(Upload_Indiv_Excl_Score)))</f>
        <v/>
      </c>
      <c r="R74" s="2" t="str" cm="1">
        <f t="array" ref="R74">IF(SUMPRODUCT((Upload_Indiv_Player=$A69)*(Upload_Indiv_Date=R$2)*(Upload_Indiv_Excl_Score))=0,"",SUMPRODUCT((Upload_Indiv_Player=$A69)*(Upload_Indiv_Date=R$2)*(Upload_Indiv_Excl_Score)))</f>
        <v/>
      </c>
      <c r="S74" s="2" t="str" cm="1">
        <f t="array" ref="S74">IF(SUMPRODUCT((Upload_Indiv_Player=$A69)*(Upload_Indiv_Date=S$2)*(Upload_Indiv_Excl_Score))=0,"",SUMPRODUCT((Upload_Indiv_Player=$A69)*(Upload_Indiv_Date=S$2)*(Upload_Indiv_Excl_Score)))</f>
        <v/>
      </c>
      <c r="T74" s="2" t="str" cm="1">
        <f t="array" ref="T74">IF(SUMPRODUCT((Upload_Indiv_Player=$A69)*(Upload_Indiv_Date=T$2)*(Upload_Indiv_Excl_Score))=0,"",SUMPRODUCT((Upload_Indiv_Player=$A69)*(Upload_Indiv_Date=T$2)*(Upload_Indiv_Excl_Score)))</f>
        <v/>
      </c>
      <c r="U74" s="2" t="str" cm="1">
        <f t="array" ref="U74">IF(SUMPRODUCT((Upload_Indiv_Player=$A69)*(Upload_Indiv_Date=U$2)*(Upload_Indiv_Excl_Score))=0,"",SUMPRODUCT((Upload_Indiv_Player=$A69)*(Upload_Indiv_Date=U$2)*(Upload_Indiv_Excl_Score)))</f>
        <v/>
      </c>
      <c r="V74" s="276"/>
      <c r="W74" s="276"/>
      <c r="X74" s="276"/>
      <c r="Y74" s="277"/>
      <c r="Z74" s="277"/>
      <c r="AA74" s="277"/>
    </row>
    <row r="75" spans="1:27" x14ac:dyDescent="0.25">
      <c r="A75" s="14"/>
      <c r="B75" s="2" t="s">
        <v>177</v>
      </c>
      <c r="C75" s="2" t="str" cm="1">
        <f t="array" ref="C75">IFERROR(INDEX(Upload_Indiv_Team,MATCH(1,($A69=Upload_Indiv_Player)*(C$2=Upload_Indiv_Date),0)),"")</f>
        <v/>
      </c>
      <c r="D75" s="2" t="str" cm="1">
        <f t="array" ref="D75">IFERROR(INDEX(Upload_Indiv_Team,MATCH(1,($A69=Upload_Indiv_Player)*(D$2=Upload_Indiv_Date),0)),"")</f>
        <v/>
      </c>
      <c r="E75" s="2" t="str" cm="1">
        <f t="array" ref="E75">IFERROR(INDEX(Upload_Indiv_Team,MATCH(1,($A69=Upload_Indiv_Player)*(E$2=Upload_Indiv_Date),0)),"")</f>
        <v/>
      </c>
      <c r="F75" s="2" t="str" cm="1">
        <f t="array" ref="F75">IFERROR(INDEX(Upload_Indiv_Team,MATCH(1,($A69=Upload_Indiv_Player)*(F$2=Upload_Indiv_Date),0)),"")</f>
        <v/>
      </c>
      <c r="G75" s="2" t="str" cm="1">
        <f t="array" ref="G75">IFERROR(INDEX(Upload_Indiv_Team,MATCH(1,($A69=Upload_Indiv_Player)*(G$2=Upload_Indiv_Date),0)),"")</f>
        <v/>
      </c>
      <c r="H75" s="2" t="str" cm="1">
        <f t="array" ref="H75">IFERROR(INDEX(Upload_Indiv_Team,MATCH(1,($A69=Upload_Indiv_Player)*(H$2=Upload_Indiv_Date),0)),"")</f>
        <v/>
      </c>
      <c r="I75" s="2" t="str" cm="1">
        <f t="array" ref="I75">IFERROR(INDEX(Upload_Indiv_Team,MATCH(1,($A69=Upload_Indiv_Player)*(I$2=Upload_Indiv_Date),0)),"")</f>
        <v/>
      </c>
      <c r="J75" s="2" t="str" cm="1">
        <f t="array" ref="J75">IFERROR(INDEX(Upload_Indiv_Team,MATCH(1,($A69=Upload_Indiv_Player)*(J$2=Upload_Indiv_Date),0)),"")</f>
        <v/>
      </c>
      <c r="K75" s="2" t="str" cm="1">
        <f t="array" ref="K75">IFERROR(INDEX(Upload_Indiv_Team,MATCH(1,($A69=Upload_Indiv_Player)*(K$2=Upload_Indiv_Date),0)),"")</f>
        <v/>
      </c>
      <c r="L75" s="2" t="str" cm="1">
        <f t="array" ref="L75">IFERROR(INDEX(Upload_Indiv_Team,MATCH(1,($A69=Upload_Indiv_Player)*(L$2=Upload_Indiv_Date),0)),"")</f>
        <v/>
      </c>
      <c r="M75" s="2" t="str" cm="1">
        <f t="array" ref="M75">IFERROR(INDEX(Upload_Indiv_Team,MATCH(1,($A69=Upload_Indiv_Player)*(M$2=Upload_Indiv_Date),0)),"")</f>
        <v/>
      </c>
      <c r="N75" s="2" t="str" cm="1">
        <f t="array" ref="N75">IFERROR(INDEX(Upload_Indiv_Team,MATCH(1,($A69=Upload_Indiv_Player)*(N$2=Upload_Indiv_Date),0)),"")</f>
        <v/>
      </c>
      <c r="O75" s="2" t="str" cm="1">
        <f t="array" ref="O75">IFERROR(INDEX(Upload_Indiv_Team,MATCH(1,($A69=Upload_Indiv_Player)*(O$2=Upload_Indiv_Date),0)),"")</f>
        <v/>
      </c>
      <c r="P75" s="2" t="str" cm="1">
        <f t="array" ref="P75">IFERROR(INDEX(Upload_Indiv_Team,MATCH(1,($A69=Upload_Indiv_Player)*(P$2=Upload_Indiv_Date),0)),"")</f>
        <v/>
      </c>
      <c r="Q75" s="2" t="str" cm="1">
        <f t="array" ref="Q75">IFERROR(INDEX(Upload_Indiv_Team,MATCH(1,($A69=Upload_Indiv_Player)*(Q$2=Upload_Indiv_Date),0)),"")</f>
        <v/>
      </c>
      <c r="R75" s="2" t="str" cm="1">
        <f t="array" ref="R75">IFERROR(INDEX(Upload_Indiv_Team,MATCH(1,($A69=Upload_Indiv_Player)*(R$2=Upload_Indiv_Date),0)),"")</f>
        <v/>
      </c>
      <c r="S75" s="2" t="str" cm="1">
        <f t="array" ref="S75">IFERROR(INDEX(Upload_Indiv_Team,MATCH(1,($A69=Upload_Indiv_Player)*(S$2=Upload_Indiv_Date),0)),"")</f>
        <v/>
      </c>
      <c r="T75" s="2" t="str" cm="1">
        <f t="array" ref="T75">IFERROR(INDEX(Upload_Indiv_Team,MATCH(1,($A69=Upload_Indiv_Player)*(T$2=Upload_Indiv_Date),0)),"")</f>
        <v/>
      </c>
      <c r="U75" s="2" t="str" cm="1">
        <f t="array" ref="U75">IFERROR(INDEX(Upload_Indiv_Team,MATCH(1,($A69=Upload_Indiv_Player)*(U$2=Upload_Indiv_Date),0)),"")</f>
        <v/>
      </c>
      <c r="V75" s="276"/>
      <c r="W75" s="276"/>
      <c r="X75" s="276"/>
      <c r="Y75" s="277"/>
      <c r="Z75" s="277"/>
      <c r="AA75" s="277"/>
    </row>
    <row r="76" spans="1:27" ht="13.8" thickBot="1" x14ac:dyDescent="0.3">
      <c r="A76" s="15" t="s">
        <v>160</v>
      </c>
      <c r="B76" s="8" t="s">
        <v>178</v>
      </c>
      <c r="C76" s="58" t="str">
        <f t="shared" ref="C76:U76" si="9">IF(C69="", "", IF(C71&gt;=11, "w", IF(C71&lt;=9, "l", "t")))</f>
        <v/>
      </c>
      <c r="D76" s="58" t="str">
        <f t="shared" si="9"/>
        <v/>
      </c>
      <c r="E76" s="58" t="str">
        <f t="shared" si="9"/>
        <v/>
      </c>
      <c r="F76" s="58" t="str">
        <f t="shared" si="9"/>
        <v/>
      </c>
      <c r="G76" s="58" t="str">
        <f t="shared" si="9"/>
        <v/>
      </c>
      <c r="H76" s="58" t="str">
        <f t="shared" si="9"/>
        <v/>
      </c>
      <c r="I76" s="58" t="str">
        <f t="shared" si="9"/>
        <v/>
      </c>
      <c r="J76" s="58" t="str">
        <f t="shared" si="9"/>
        <v/>
      </c>
      <c r="K76" s="58" t="str">
        <f t="shared" si="9"/>
        <v/>
      </c>
      <c r="L76" s="58" t="str">
        <f t="shared" si="9"/>
        <v/>
      </c>
      <c r="M76" s="58" t="str">
        <f t="shared" si="9"/>
        <v/>
      </c>
      <c r="N76" s="58" t="str">
        <f t="shared" si="9"/>
        <v/>
      </c>
      <c r="O76" s="58" t="str">
        <f t="shared" si="9"/>
        <v/>
      </c>
      <c r="P76" s="58" t="str">
        <f t="shared" si="9"/>
        <v/>
      </c>
      <c r="Q76" s="58" t="str">
        <f t="shared" si="9"/>
        <v/>
      </c>
      <c r="R76" s="58" t="str">
        <f t="shared" si="9"/>
        <v/>
      </c>
      <c r="S76" s="58" t="str">
        <f t="shared" si="9"/>
        <v/>
      </c>
      <c r="T76" s="58" t="str">
        <f t="shared" si="9"/>
        <v/>
      </c>
      <c r="U76" s="58" t="str">
        <f t="shared" si="9"/>
        <v/>
      </c>
      <c r="V76" s="276"/>
      <c r="W76" s="276"/>
      <c r="X76" s="276"/>
      <c r="Y76" s="277"/>
      <c r="Z76" s="277"/>
      <c r="AA76" s="277"/>
    </row>
    <row r="77" spans="1:27" x14ac:dyDescent="0.25">
      <c r="A77" s="11" t="s">
        <v>207</v>
      </c>
      <c r="B77" s="17" t="s">
        <v>170</v>
      </c>
      <c r="C77" s="3" t="str" cm="1">
        <f t="array" ref="C77">IF(SUMPRODUCT((Upload_Indiv_Player=$A77)*(Upload_Indiv_Date=C$2)*(Upload_Indiv_Gross))=0,"",SUMPRODUCT((Upload_Indiv_Player=$A77)*(Upload_Indiv_Date=C$2)*(Upload_Indiv_Gross)))</f>
        <v/>
      </c>
      <c r="D77" s="3" t="str" cm="1">
        <f t="array" ref="D77">IF(SUMPRODUCT((Upload_Indiv_Player=$A77)*(Upload_Indiv_Date=D$2)*(Upload_Indiv_Gross))=0,"",SUMPRODUCT((Upload_Indiv_Player=$A77)*(Upload_Indiv_Date=D$2)*(Upload_Indiv_Gross)))</f>
        <v/>
      </c>
      <c r="E77" s="3" t="str" cm="1">
        <f t="array" ref="E77">IF(SUMPRODUCT((Upload_Indiv_Player=$A77)*(Upload_Indiv_Date=E$2)*(Upload_Indiv_Gross))=0,"",SUMPRODUCT((Upload_Indiv_Player=$A77)*(Upload_Indiv_Date=E$2)*(Upload_Indiv_Gross)))</f>
        <v/>
      </c>
      <c r="F77" s="3" t="str" cm="1">
        <f t="array" ref="F77">IF(SUMPRODUCT((Upload_Indiv_Player=$A77)*(Upload_Indiv_Date=F$2)*(Upload_Indiv_Gross))=0,"",SUMPRODUCT((Upload_Indiv_Player=$A77)*(Upload_Indiv_Date=F$2)*(Upload_Indiv_Gross)))</f>
        <v/>
      </c>
      <c r="G77" s="3" t="str" cm="1">
        <f t="array" ref="G77">IF(SUMPRODUCT((Upload_Indiv_Player=$A77)*(Upload_Indiv_Date=G$2)*(Upload_Indiv_Gross))=0,"",SUMPRODUCT((Upload_Indiv_Player=$A77)*(Upload_Indiv_Date=G$2)*(Upload_Indiv_Gross)))</f>
        <v/>
      </c>
      <c r="H77" s="3" cm="1">
        <f t="array" ref="H77">IF(SUMPRODUCT((Upload_Indiv_Player=$A77)*(Upload_Indiv_Date=H$2)*(Upload_Indiv_Gross))=0,"",SUMPRODUCT((Upload_Indiv_Player=$A77)*(Upload_Indiv_Date=H$2)*(Upload_Indiv_Gross)))</f>
        <v>50</v>
      </c>
      <c r="I77" s="3" t="str" cm="1">
        <f t="array" ref="I77">IF(SUMPRODUCT((Upload_Indiv_Player=$A77)*(Upload_Indiv_Date=I$2)*(Upload_Indiv_Gross))=0,"",SUMPRODUCT((Upload_Indiv_Player=$A77)*(Upload_Indiv_Date=I$2)*(Upload_Indiv_Gross)))</f>
        <v/>
      </c>
      <c r="J77" s="3" t="str" cm="1">
        <f t="array" ref="J77">IF(SUMPRODUCT((Upload_Indiv_Player=$A77)*(Upload_Indiv_Date=J$2)*(Upload_Indiv_Gross))=0,"",SUMPRODUCT((Upload_Indiv_Player=$A77)*(Upload_Indiv_Date=J$2)*(Upload_Indiv_Gross)))</f>
        <v/>
      </c>
      <c r="K77" s="3" t="str" cm="1">
        <f t="array" ref="K77">IF(SUMPRODUCT((Upload_Indiv_Player=$A77)*(Upload_Indiv_Date=K$2)*(Upload_Indiv_Gross))=0,"",SUMPRODUCT((Upload_Indiv_Player=$A77)*(Upload_Indiv_Date=K$2)*(Upload_Indiv_Gross)))</f>
        <v/>
      </c>
      <c r="L77" s="3" t="str" cm="1">
        <f t="array" ref="L77">IF(SUMPRODUCT((Upload_Indiv_Player=$A77)*(Upload_Indiv_Date=L$2)*(Upload_Indiv_Gross))=0,"",SUMPRODUCT((Upload_Indiv_Player=$A77)*(Upload_Indiv_Date=L$2)*(Upload_Indiv_Gross)))</f>
        <v/>
      </c>
      <c r="M77" s="3" t="str" cm="1">
        <f t="array" ref="M77">IF(SUMPRODUCT((Upload_Indiv_Player=$A77)*(Upload_Indiv_Date=M$2)*(Upload_Indiv_Gross))=0,"",SUMPRODUCT((Upload_Indiv_Player=$A77)*(Upload_Indiv_Date=M$2)*(Upload_Indiv_Gross)))</f>
        <v/>
      </c>
      <c r="N77" s="3" t="str" cm="1">
        <f t="array" ref="N77">IF(SUMPRODUCT((Upload_Indiv_Player=$A77)*(Upload_Indiv_Date=N$2)*(Upload_Indiv_Gross))=0,"",SUMPRODUCT((Upload_Indiv_Player=$A77)*(Upload_Indiv_Date=N$2)*(Upload_Indiv_Gross)))</f>
        <v/>
      </c>
      <c r="O77" s="3" t="str" cm="1">
        <f t="array" ref="O77">IF(SUMPRODUCT((Upload_Indiv_Player=$A77)*(Upload_Indiv_Date=O$2)*(Upload_Indiv_Gross))=0,"",SUMPRODUCT((Upload_Indiv_Player=$A77)*(Upload_Indiv_Date=O$2)*(Upload_Indiv_Gross)))</f>
        <v/>
      </c>
      <c r="P77" s="3" t="str" cm="1">
        <f t="array" ref="P77">IF(SUMPRODUCT((Upload_Indiv_Player=$A77)*(Upload_Indiv_Date=P$2)*(Upload_Indiv_Gross))=0,"",SUMPRODUCT((Upload_Indiv_Player=$A77)*(Upload_Indiv_Date=P$2)*(Upload_Indiv_Gross)))</f>
        <v/>
      </c>
      <c r="Q77" s="2" t="str" cm="1">
        <f t="array" ref="Q77">IF(SUMPRODUCT((Upload_Indiv_Player=$A77)*(Upload_Indiv_Date=Q$2)*(Upload_Indiv_Gross))=0,"",SUMPRODUCT((Upload_Indiv_Player=$A77)*(Upload_Indiv_Date=Q$2)*(Upload_Indiv_Gross)))</f>
        <v/>
      </c>
      <c r="R77" s="2" t="str" cm="1">
        <f t="array" ref="R77">IF(SUMPRODUCT((Upload_Indiv_Player=$A77)*(Upload_Indiv_Date=R$2)*(Upload_Indiv_Gross))=0,"",SUMPRODUCT((Upload_Indiv_Player=$A77)*(Upload_Indiv_Date=R$2)*(Upload_Indiv_Gross)))</f>
        <v/>
      </c>
      <c r="S77" s="2" t="str" cm="1">
        <f t="array" ref="S77">IF(SUMPRODUCT((Upload_Indiv_Player=$A77)*(Upload_Indiv_Date=S$2)*(Upload_Indiv_Gross))=0,"",SUMPRODUCT((Upload_Indiv_Player=$A77)*(Upload_Indiv_Date=S$2)*(Upload_Indiv_Gross)))</f>
        <v/>
      </c>
      <c r="T77" s="2" t="str" cm="1">
        <f t="array" ref="T77">IF(SUMPRODUCT((Upload_Indiv_Player=$A77)*(Upload_Indiv_Date=T$2)*(Upload_Indiv_Gross))=0,"",SUMPRODUCT((Upload_Indiv_Player=$A77)*(Upload_Indiv_Date=T$2)*(Upload_Indiv_Gross)))</f>
        <v/>
      </c>
      <c r="U77" s="2" t="str" cm="1">
        <f t="array" ref="U77">IF(SUMPRODUCT((Upload_Indiv_Player=$A77)*(Upload_Indiv_Date=U$2)*(Upload_Indiv_Gross))=0,"",SUMPRODUCT((Upload_Indiv_Player=$A77)*(Upload_Indiv_Date=U$2)*(Upload_Indiv_Gross)))</f>
        <v/>
      </c>
      <c r="V77" s="273">
        <v>2</v>
      </c>
      <c r="W77" s="273">
        <v>1</v>
      </c>
      <c r="X77" s="273">
        <v>0</v>
      </c>
      <c r="Y77" s="277">
        <v>1</v>
      </c>
      <c r="Z77" s="277">
        <v>0</v>
      </c>
      <c r="AA77" s="277">
        <v>1</v>
      </c>
    </row>
    <row r="78" spans="1:27" x14ac:dyDescent="0.25">
      <c r="A78" s="216">
        <v>3309362692</v>
      </c>
      <c r="B78" s="8" t="s">
        <v>171</v>
      </c>
      <c r="C78" s="2" t="str" cm="1">
        <f t="array" ref="C78">IF(SUMPRODUCT((Upload_Indiv_Player=$A77)*(Upload_Indiv_Date=C$2)*(Upload_Indiv_Net))=0,"",SUMPRODUCT((Upload_Indiv_Player=$A77)*(Upload_Indiv_Date=C$2)*(Upload_Indiv_Net)))</f>
        <v/>
      </c>
      <c r="D78" s="2" t="str" cm="1">
        <f t="array" ref="D78">IF(SUMPRODUCT((Upload_Indiv_Player=$A77)*(Upload_Indiv_Date=D$2)*(Upload_Indiv_Net))=0,"",SUMPRODUCT((Upload_Indiv_Player=$A77)*(Upload_Indiv_Date=D$2)*(Upload_Indiv_Net)))</f>
        <v/>
      </c>
      <c r="E78" s="2" t="str" cm="1">
        <f t="array" ref="E78">IF(SUMPRODUCT((Upload_Indiv_Player=$A77)*(Upload_Indiv_Date=E$2)*(Upload_Indiv_Net))=0,"",SUMPRODUCT((Upload_Indiv_Player=$A77)*(Upload_Indiv_Date=E$2)*(Upload_Indiv_Net)))</f>
        <v/>
      </c>
      <c r="F78" s="2" t="str" cm="1">
        <f t="array" ref="F78">IF(SUMPRODUCT((Upload_Indiv_Player=$A77)*(Upload_Indiv_Date=F$2)*(Upload_Indiv_Net))=0,"",SUMPRODUCT((Upload_Indiv_Player=$A77)*(Upload_Indiv_Date=F$2)*(Upload_Indiv_Net)))</f>
        <v/>
      </c>
      <c r="G78" s="2" t="str" cm="1">
        <f t="array" ref="G78">IF(SUMPRODUCT((Upload_Indiv_Player=$A77)*(Upload_Indiv_Date=G$2)*(Upload_Indiv_Net))=0,"",SUMPRODUCT((Upload_Indiv_Player=$A77)*(Upload_Indiv_Date=G$2)*(Upload_Indiv_Net)))</f>
        <v/>
      </c>
      <c r="H78" s="2" cm="1">
        <f t="array" ref="H78">IF(SUMPRODUCT((Upload_Indiv_Player=$A77)*(Upload_Indiv_Date=H$2)*(Upload_Indiv_Net))=0,"",SUMPRODUCT((Upload_Indiv_Player=$A77)*(Upload_Indiv_Date=H$2)*(Upload_Indiv_Net)))</f>
        <v>39</v>
      </c>
      <c r="I78" s="2" t="str" cm="1">
        <f t="array" ref="I78">IF(SUMPRODUCT((Upload_Indiv_Player=$A77)*(Upload_Indiv_Date=I$2)*(Upload_Indiv_Net))=0,"",SUMPRODUCT((Upload_Indiv_Player=$A77)*(Upload_Indiv_Date=I$2)*(Upload_Indiv_Net)))</f>
        <v/>
      </c>
      <c r="J78" s="2" t="str" cm="1">
        <f t="array" ref="J78">IF(SUMPRODUCT((Upload_Indiv_Player=$A77)*(Upload_Indiv_Date=J$2)*(Upload_Indiv_Net))=0,"",SUMPRODUCT((Upload_Indiv_Player=$A77)*(Upload_Indiv_Date=J$2)*(Upload_Indiv_Net)))</f>
        <v/>
      </c>
      <c r="K78" s="2" t="str" cm="1">
        <f t="array" ref="K78">IF(SUMPRODUCT((Upload_Indiv_Player=$A77)*(Upload_Indiv_Date=K$2)*(Upload_Indiv_Net))=0,"",SUMPRODUCT((Upload_Indiv_Player=$A77)*(Upload_Indiv_Date=K$2)*(Upload_Indiv_Net)))</f>
        <v/>
      </c>
      <c r="L78" s="2" t="str" cm="1">
        <f t="array" ref="L78">IF(SUMPRODUCT((Upload_Indiv_Player=$A77)*(Upload_Indiv_Date=L$2)*(Upload_Indiv_Net))=0,"",SUMPRODUCT((Upload_Indiv_Player=$A77)*(Upload_Indiv_Date=L$2)*(Upload_Indiv_Net)))</f>
        <v/>
      </c>
      <c r="M78" s="2" t="str" cm="1">
        <f t="array" ref="M78">IF(SUMPRODUCT((Upload_Indiv_Player=$A77)*(Upload_Indiv_Date=M$2)*(Upload_Indiv_Net))=0,"",SUMPRODUCT((Upload_Indiv_Player=$A77)*(Upload_Indiv_Date=M$2)*(Upload_Indiv_Net)))</f>
        <v/>
      </c>
      <c r="N78" s="2" t="str" cm="1">
        <f t="array" ref="N78">IF(SUMPRODUCT((Upload_Indiv_Player=$A77)*(Upload_Indiv_Date=N$2)*(Upload_Indiv_Net))=0,"",SUMPRODUCT((Upload_Indiv_Player=$A77)*(Upload_Indiv_Date=N$2)*(Upload_Indiv_Net)))</f>
        <v/>
      </c>
      <c r="O78" s="2" t="str" cm="1">
        <f t="array" ref="O78">IF(SUMPRODUCT((Upload_Indiv_Player=$A77)*(Upload_Indiv_Date=O$2)*(Upload_Indiv_Net))=0,"",SUMPRODUCT((Upload_Indiv_Player=$A77)*(Upload_Indiv_Date=O$2)*(Upload_Indiv_Net)))</f>
        <v/>
      </c>
      <c r="P78" s="2" t="str" cm="1">
        <f t="array" ref="P78">IF(SUMPRODUCT((Upload_Indiv_Player=$A77)*(Upload_Indiv_Date=P$2)*(Upload_Indiv_Net))=0,"",SUMPRODUCT((Upload_Indiv_Player=$A77)*(Upload_Indiv_Date=P$2)*(Upload_Indiv_Net)))</f>
        <v/>
      </c>
      <c r="Q78" s="2" t="str" cm="1">
        <f t="array" ref="Q78">IF(SUMPRODUCT((Upload_Indiv_Player=$A77)*(Upload_Indiv_Date=Q$2)*(Upload_Indiv_Net))=0,"",SUMPRODUCT((Upload_Indiv_Player=$A77)*(Upload_Indiv_Date=Q$2)*(Upload_Indiv_Net)))</f>
        <v/>
      </c>
      <c r="R78" s="2" t="str" cm="1">
        <f t="array" ref="R78">IF(SUMPRODUCT((Upload_Indiv_Player=$A77)*(Upload_Indiv_Date=R$2)*(Upload_Indiv_Net))=0,"",SUMPRODUCT((Upload_Indiv_Player=$A77)*(Upload_Indiv_Date=R$2)*(Upload_Indiv_Net)))</f>
        <v/>
      </c>
      <c r="S78" s="2" t="str" cm="1">
        <f t="array" ref="S78">IF(SUMPRODUCT((Upload_Indiv_Player=$A77)*(Upload_Indiv_Date=S$2)*(Upload_Indiv_Net))=0,"",SUMPRODUCT((Upload_Indiv_Player=$A77)*(Upload_Indiv_Date=S$2)*(Upload_Indiv_Net)))</f>
        <v/>
      </c>
      <c r="T78" s="2" t="str" cm="1">
        <f t="array" ref="T78">IF(SUMPRODUCT((Upload_Indiv_Player=$A77)*(Upload_Indiv_Date=T$2)*(Upload_Indiv_Net))=0,"",SUMPRODUCT((Upload_Indiv_Player=$A77)*(Upload_Indiv_Date=T$2)*(Upload_Indiv_Net)))</f>
        <v/>
      </c>
      <c r="U78" s="2" t="str" cm="1">
        <f t="array" ref="U78">IF(SUMPRODUCT((Upload_Indiv_Player=$A77)*(Upload_Indiv_Date=U$2)*(Upload_Indiv_Net))=0,"",SUMPRODUCT((Upload_Indiv_Player=$A77)*(Upload_Indiv_Date=U$2)*(Upload_Indiv_Net)))</f>
        <v/>
      </c>
      <c r="V78" s="279">
        <v>48</v>
      </c>
      <c r="W78" s="276"/>
      <c r="X78" s="276"/>
      <c r="Y78" s="277"/>
      <c r="Z78" s="277"/>
      <c r="AA78" s="277"/>
    </row>
    <row r="79" spans="1:27" x14ac:dyDescent="0.25">
      <c r="A79" s="65" t="s">
        <v>208</v>
      </c>
      <c r="B79" s="8" t="s">
        <v>173</v>
      </c>
      <c r="C79" s="2" t="str" cm="1">
        <f t="array" ref="C79">IF(SUMPRODUCT((Upload_Indiv_Player=$A77)*(Upload_Indiv_Date=C$2)*(Upload_Indiv_PointsTot))=0,"",SUMPRODUCT((Upload_Indiv_Player=$A77)*(Upload_Indiv_Date=C$2)*(Upload_Indiv_PointsTot)))</f>
        <v/>
      </c>
      <c r="D79" s="2" t="str" cm="1">
        <f t="array" ref="D79">IF(SUMPRODUCT((Upload_Indiv_Player=$A77)*(Upload_Indiv_Date=D$2)*(Upload_Indiv_PointsTot))=0,"",SUMPRODUCT((Upload_Indiv_Player=$A77)*(Upload_Indiv_Date=D$2)*(Upload_Indiv_PointsTot)))</f>
        <v/>
      </c>
      <c r="E79" s="2" t="str" cm="1">
        <f t="array" ref="E79">IF(SUMPRODUCT((Upload_Indiv_Player=$A77)*(Upload_Indiv_Date=E$2)*(Upload_Indiv_PointsTot))=0,"",SUMPRODUCT((Upload_Indiv_Player=$A77)*(Upload_Indiv_Date=E$2)*(Upload_Indiv_PointsTot)))</f>
        <v/>
      </c>
      <c r="F79" s="2" t="str" cm="1">
        <f t="array" ref="F79">IF(SUMPRODUCT((Upload_Indiv_Player=$A77)*(Upload_Indiv_Date=F$2)*(Upload_Indiv_PointsTot))=0,"",SUMPRODUCT((Upload_Indiv_Player=$A77)*(Upload_Indiv_Date=F$2)*(Upload_Indiv_PointsTot)))</f>
        <v/>
      </c>
      <c r="G79" s="2" t="str" cm="1">
        <f t="array" ref="G79">IF(SUMPRODUCT((Upload_Indiv_Player=$A77)*(Upload_Indiv_Date=G$2)*(Upload_Indiv_PointsTot))=0,"",SUMPRODUCT((Upload_Indiv_Player=$A77)*(Upload_Indiv_Date=G$2)*(Upload_Indiv_PointsTot)))</f>
        <v/>
      </c>
      <c r="H79" s="2" cm="1">
        <f t="array" ref="H79">IF(SUMPRODUCT((Upload_Indiv_Player=$A77)*(Upload_Indiv_Date=H$2)*(Upload_Indiv_PointsTot))=0,"",SUMPRODUCT((Upload_Indiv_Player=$A77)*(Upload_Indiv_Date=H$2)*(Upload_Indiv_PointsTot)))</f>
        <v>8</v>
      </c>
      <c r="I79" s="2" t="str" cm="1">
        <f t="array" ref="I79">IF(SUMPRODUCT((Upload_Indiv_Player=$A77)*(Upload_Indiv_Date=I$2)*(Upload_Indiv_PointsTot))=0,"",SUMPRODUCT((Upload_Indiv_Player=$A77)*(Upload_Indiv_Date=I$2)*(Upload_Indiv_PointsTot)))</f>
        <v/>
      </c>
      <c r="J79" s="2" t="str" cm="1">
        <f t="array" ref="J79">IF(SUMPRODUCT((Upload_Indiv_Player=$A77)*(Upload_Indiv_Date=J$2)*(Upload_Indiv_PointsTot))=0,"",SUMPRODUCT((Upload_Indiv_Player=$A77)*(Upload_Indiv_Date=J$2)*(Upload_Indiv_PointsTot)))</f>
        <v/>
      </c>
      <c r="K79" s="2" t="str" cm="1">
        <f t="array" ref="K79">IF(SUMPRODUCT((Upload_Indiv_Player=$A77)*(Upload_Indiv_Date=K$2)*(Upload_Indiv_PointsTot))=0,"",SUMPRODUCT((Upload_Indiv_Player=$A77)*(Upload_Indiv_Date=K$2)*(Upload_Indiv_PointsTot)))</f>
        <v/>
      </c>
      <c r="L79" s="2" t="str" cm="1">
        <f t="array" ref="L79">IF(SUMPRODUCT((Upload_Indiv_Player=$A77)*(Upload_Indiv_Date=L$2)*(Upload_Indiv_PointsTot))=0,"",SUMPRODUCT((Upload_Indiv_Player=$A77)*(Upload_Indiv_Date=L$2)*(Upload_Indiv_PointsTot)))</f>
        <v/>
      </c>
      <c r="M79" s="2" t="str" cm="1">
        <f t="array" ref="M79">IF(SUMPRODUCT((Upload_Indiv_Player=$A77)*(Upload_Indiv_Date=M$2)*(Upload_Indiv_PointsTot))=0,"",SUMPRODUCT((Upload_Indiv_Player=$A77)*(Upload_Indiv_Date=M$2)*(Upload_Indiv_PointsTot)))</f>
        <v/>
      </c>
      <c r="N79" s="2" t="str" cm="1">
        <f t="array" ref="N79">IF(SUMPRODUCT((Upload_Indiv_Player=$A77)*(Upload_Indiv_Date=N$2)*(Upload_Indiv_PointsTot))=0,"",SUMPRODUCT((Upload_Indiv_Player=$A77)*(Upload_Indiv_Date=N$2)*(Upload_Indiv_PointsTot)))</f>
        <v/>
      </c>
      <c r="O79" s="2" t="str" cm="1">
        <f t="array" ref="O79">IF(SUMPRODUCT((Upload_Indiv_Player=$A77)*(Upload_Indiv_Date=O$2)*(Upload_Indiv_PointsTot))=0,"",SUMPRODUCT((Upload_Indiv_Player=$A77)*(Upload_Indiv_Date=O$2)*(Upload_Indiv_PointsTot)))</f>
        <v/>
      </c>
      <c r="P79" s="2" t="str" cm="1">
        <f t="array" ref="P79">IF(SUMPRODUCT((Upload_Indiv_Player=$A77)*(Upload_Indiv_Date=P$2)*(Upload_Indiv_PointsTot))=0,"",SUMPRODUCT((Upload_Indiv_Player=$A77)*(Upload_Indiv_Date=P$2)*(Upload_Indiv_PointsTot)))</f>
        <v/>
      </c>
      <c r="Q79" s="2" t="str" cm="1">
        <f t="array" ref="Q79">IF(SUMPRODUCT((Upload_Indiv_Player=$A77)*(Upload_Indiv_Date=Q$2)*(Upload_Indiv_PointsTot))=0,"",SUMPRODUCT((Upload_Indiv_Player=$A77)*(Upload_Indiv_Date=Q$2)*(Upload_Indiv_PointsTot)))</f>
        <v/>
      </c>
      <c r="R79" s="2" t="str" cm="1">
        <f t="array" ref="R79">IF(SUMPRODUCT((Upload_Indiv_Player=$A77)*(Upload_Indiv_Date=R$2)*(Upload_Indiv_PointsTot))=0,"",SUMPRODUCT((Upload_Indiv_Player=$A77)*(Upload_Indiv_Date=R$2)*(Upload_Indiv_PointsTot)))</f>
        <v/>
      </c>
      <c r="S79" s="2" t="str" cm="1">
        <f t="array" ref="S79">IF(SUMPRODUCT((Upload_Indiv_Player=$A77)*(Upload_Indiv_Date=S$2)*(Upload_Indiv_PointsTot))=0,"",SUMPRODUCT((Upload_Indiv_Player=$A77)*(Upload_Indiv_Date=S$2)*(Upload_Indiv_PointsTot)))</f>
        <v/>
      </c>
      <c r="T79" s="2" t="str" cm="1">
        <f t="array" ref="T79">IF(SUMPRODUCT((Upload_Indiv_Player=$A77)*(Upload_Indiv_Date=T$2)*(Upload_Indiv_PointsTot))=0,"",SUMPRODUCT((Upload_Indiv_Player=$A77)*(Upload_Indiv_Date=T$2)*(Upload_Indiv_PointsTot)))</f>
        <v/>
      </c>
      <c r="U79" s="2" t="str" cm="1">
        <f t="array" ref="U79">IF(SUMPRODUCT((Upload_Indiv_Player=$A77)*(Upload_Indiv_Date=U$2)*(Upload_Indiv_PointsTot))=0,"",SUMPRODUCT((Upload_Indiv_Player=$A77)*(Upload_Indiv_Date=U$2)*(Upload_Indiv_PointsTot)))</f>
        <v/>
      </c>
      <c r="V79" s="276"/>
      <c r="W79" s="276"/>
      <c r="X79" s="276"/>
      <c r="Y79" s="277"/>
      <c r="Z79" s="277"/>
      <c r="AA79" s="277"/>
    </row>
    <row r="80" spans="1:27" x14ac:dyDescent="0.25">
      <c r="A80" s="14" t="s">
        <v>160</v>
      </c>
      <c r="B80" s="8" t="s">
        <v>174</v>
      </c>
      <c r="C80" s="2" t="str" cm="1">
        <f t="array" ref="C80">IF(SUMPRODUCT((Upload_Indiv_Player=$A77)*(Upload_Indiv_Date=C$2)*(Upload_Indiv_Tot_Birds))=0,"",SUMPRODUCT((Upload_Indiv_Player=$A77)*(Upload_Indiv_Date=C$2)*(Upload_Indiv_Tot_Birds)))</f>
        <v/>
      </c>
      <c r="D80" s="2" t="str" cm="1">
        <f t="array" ref="D80">IF(SUMPRODUCT((Upload_Indiv_Player=$A77)*(Upload_Indiv_Date=D$2)*(Upload_Indiv_Tot_Birds))=0,"",SUMPRODUCT((Upload_Indiv_Player=$A77)*(Upload_Indiv_Date=D$2)*(Upload_Indiv_Tot_Birds)))</f>
        <v/>
      </c>
      <c r="E80" s="2" t="str" cm="1">
        <f t="array" ref="E80">IF(SUMPRODUCT((Upload_Indiv_Player=$A77)*(Upload_Indiv_Date=E$2)*(Upload_Indiv_Tot_Birds))=0,"",SUMPRODUCT((Upload_Indiv_Player=$A77)*(Upload_Indiv_Date=E$2)*(Upload_Indiv_Tot_Birds)))</f>
        <v/>
      </c>
      <c r="F80" s="2" t="str" cm="1">
        <f t="array" ref="F80">IF(SUMPRODUCT((Upload_Indiv_Player=$A77)*(Upload_Indiv_Date=F$2)*(Upload_Indiv_Tot_Birds))=0,"",SUMPRODUCT((Upload_Indiv_Player=$A77)*(Upload_Indiv_Date=F$2)*(Upload_Indiv_Tot_Birds)))</f>
        <v/>
      </c>
      <c r="G80" s="2" t="str" cm="1">
        <f t="array" ref="G80">IF(SUMPRODUCT((Upload_Indiv_Player=$A77)*(Upload_Indiv_Date=G$2)*(Upload_Indiv_Tot_Birds))=0,"",SUMPRODUCT((Upload_Indiv_Player=$A77)*(Upload_Indiv_Date=G$2)*(Upload_Indiv_Tot_Birds)))</f>
        <v/>
      </c>
      <c r="H80" s="2" t="str" cm="1">
        <f t="array" ref="H80">IF(SUMPRODUCT((Upload_Indiv_Player=$A77)*(Upload_Indiv_Date=H$2)*(Upload_Indiv_Tot_Birds))=0,"",SUMPRODUCT((Upload_Indiv_Player=$A77)*(Upload_Indiv_Date=H$2)*(Upload_Indiv_Tot_Birds)))</f>
        <v/>
      </c>
      <c r="I80" s="2" t="str" cm="1">
        <f t="array" ref="I80">IF(SUMPRODUCT((Upload_Indiv_Player=$A77)*(Upload_Indiv_Date=I$2)*(Upload_Indiv_Tot_Birds))=0,"",SUMPRODUCT((Upload_Indiv_Player=$A77)*(Upload_Indiv_Date=I$2)*(Upload_Indiv_Tot_Birds)))</f>
        <v/>
      </c>
      <c r="J80" s="2" t="str" cm="1">
        <f t="array" ref="J80">IF(SUMPRODUCT((Upload_Indiv_Player=$A77)*(Upload_Indiv_Date=J$2)*(Upload_Indiv_Tot_Birds))=0,"",SUMPRODUCT((Upload_Indiv_Player=$A77)*(Upload_Indiv_Date=J$2)*(Upload_Indiv_Tot_Birds)))</f>
        <v/>
      </c>
      <c r="K80" s="2" t="str" cm="1">
        <f t="array" ref="K80">IF(SUMPRODUCT((Upload_Indiv_Player=$A77)*(Upload_Indiv_Date=K$2)*(Upload_Indiv_Tot_Birds))=0,"",SUMPRODUCT((Upload_Indiv_Player=$A77)*(Upload_Indiv_Date=K$2)*(Upload_Indiv_Tot_Birds)))</f>
        <v/>
      </c>
      <c r="L80" s="2" t="str" cm="1">
        <f t="array" ref="L80">IF(SUMPRODUCT((Upload_Indiv_Player=$A77)*(Upload_Indiv_Date=L$2)*(Upload_Indiv_Tot_Birds))=0,"",SUMPRODUCT((Upload_Indiv_Player=$A77)*(Upload_Indiv_Date=L$2)*(Upload_Indiv_Tot_Birds)))</f>
        <v/>
      </c>
      <c r="M80" s="2" t="str" cm="1">
        <f t="array" ref="M80">IF(SUMPRODUCT((Upload_Indiv_Player=$A77)*(Upload_Indiv_Date=M$2)*(Upload_Indiv_Tot_Birds))=0,"",SUMPRODUCT((Upload_Indiv_Player=$A77)*(Upload_Indiv_Date=M$2)*(Upload_Indiv_Tot_Birds)))</f>
        <v/>
      </c>
      <c r="N80" s="2" t="str" cm="1">
        <f t="array" ref="N80">IF(SUMPRODUCT((Upload_Indiv_Player=$A77)*(Upload_Indiv_Date=N$2)*(Upload_Indiv_Tot_Birds))=0,"",SUMPRODUCT((Upload_Indiv_Player=$A77)*(Upload_Indiv_Date=N$2)*(Upload_Indiv_Tot_Birds)))</f>
        <v/>
      </c>
      <c r="O80" s="2" t="str" cm="1">
        <f t="array" ref="O80">IF(SUMPRODUCT((Upload_Indiv_Player=$A77)*(Upload_Indiv_Date=O$2)*(Upload_Indiv_Tot_Birds))=0,"",SUMPRODUCT((Upload_Indiv_Player=$A77)*(Upload_Indiv_Date=O$2)*(Upload_Indiv_Tot_Birds)))</f>
        <v/>
      </c>
      <c r="P80" s="2" t="str" cm="1">
        <f t="array" ref="P80">IF(SUMPRODUCT((Upload_Indiv_Player=$A77)*(Upload_Indiv_Date=P$2)*(Upload_Indiv_Tot_Birds))=0,"",SUMPRODUCT((Upload_Indiv_Player=$A77)*(Upload_Indiv_Date=P$2)*(Upload_Indiv_Tot_Birds)))</f>
        <v/>
      </c>
      <c r="Q80" s="2" t="str" cm="1">
        <f t="array" ref="Q80">IF(SUMPRODUCT((Upload_Indiv_Player=$A77)*(Upload_Indiv_Date=Q$2)*(Upload_Indiv_Tot_Birds))=0,"",SUMPRODUCT((Upload_Indiv_Player=$A77)*(Upload_Indiv_Date=Q$2)*(Upload_Indiv_Tot_Birds)))</f>
        <v/>
      </c>
      <c r="R80" s="2" t="str" cm="1">
        <f t="array" ref="R80">IF(SUMPRODUCT((Upload_Indiv_Player=$A77)*(Upload_Indiv_Date=R$2)*(Upload_Indiv_Tot_Birds))=0,"",SUMPRODUCT((Upload_Indiv_Player=$A77)*(Upload_Indiv_Date=R$2)*(Upload_Indiv_Tot_Birds)))</f>
        <v/>
      </c>
      <c r="S80" s="2" t="str" cm="1">
        <f t="array" ref="S80">IF(SUMPRODUCT((Upload_Indiv_Player=$A77)*(Upload_Indiv_Date=S$2)*(Upload_Indiv_Tot_Birds))=0,"",SUMPRODUCT((Upload_Indiv_Player=$A77)*(Upload_Indiv_Date=S$2)*(Upload_Indiv_Tot_Birds)))</f>
        <v/>
      </c>
      <c r="T80" s="2" t="str" cm="1">
        <f t="array" ref="T80">IF(SUMPRODUCT((Upload_Indiv_Player=$A77)*(Upload_Indiv_Date=T$2)*(Upload_Indiv_Tot_Birds))=0,"",SUMPRODUCT((Upload_Indiv_Player=$A77)*(Upload_Indiv_Date=T$2)*(Upload_Indiv_Tot_Birds)))</f>
        <v/>
      </c>
      <c r="U80" s="2" t="str" cm="1">
        <f t="array" ref="U80">IF(SUMPRODUCT((Upload_Indiv_Player=$A77)*(Upload_Indiv_Date=U$2)*(Upload_Indiv_Tot_Birds))=0,"",SUMPRODUCT((Upload_Indiv_Player=$A77)*(Upload_Indiv_Date=U$2)*(Upload_Indiv_Tot_Birds)))</f>
        <v/>
      </c>
      <c r="V80" s="276"/>
      <c r="W80" s="276"/>
      <c r="X80" s="276"/>
      <c r="Y80" s="277"/>
      <c r="Z80" s="277"/>
      <c r="AA80" s="277"/>
    </row>
    <row r="81" spans="1:27" x14ac:dyDescent="0.25">
      <c r="A81" s="14"/>
      <c r="B81" s="8" t="s">
        <v>175</v>
      </c>
      <c r="C81" s="2" t="str" cm="1">
        <f t="array" ref="C81">IF(SUMPRODUCT((Upload_Indiv_Player=$A77)*(Upload_Indiv_Date=C$2)*(Upload_Indiv_Tot_Eagles))=0,"",SUMPRODUCT((Upload_Indiv_Player=$A77)*(Upload_Indiv_Date=C$2)*(Upload_Indiv_Tot_Eagles)))</f>
        <v/>
      </c>
      <c r="D81" s="2" t="str" cm="1">
        <f t="array" ref="D81">IF(SUMPRODUCT((Upload_Indiv_Player=$A77)*(Upload_Indiv_Date=D$2)*(Upload_Indiv_Tot_Eagles))=0,"",SUMPRODUCT((Upload_Indiv_Player=$A77)*(Upload_Indiv_Date=D$2)*(Upload_Indiv_Tot_Eagles)))</f>
        <v/>
      </c>
      <c r="E81" s="2" t="str" cm="1">
        <f t="array" ref="E81">IF(SUMPRODUCT((Upload_Indiv_Player=$A77)*(Upload_Indiv_Date=E$2)*(Upload_Indiv_Tot_Eagles))=0,"",SUMPRODUCT((Upload_Indiv_Player=$A77)*(Upload_Indiv_Date=E$2)*(Upload_Indiv_Tot_Eagles)))</f>
        <v/>
      </c>
      <c r="F81" s="2" t="str" cm="1">
        <f t="array" ref="F81">IF(SUMPRODUCT((Upload_Indiv_Player=$A77)*(Upload_Indiv_Date=F$2)*(Upload_Indiv_Tot_Eagles))=0,"",SUMPRODUCT((Upload_Indiv_Player=$A77)*(Upload_Indiv_Date=F$2)*(Upload_Indiv_Tot_Eagles)))</f>
        <v/>
      </c>
      <c r="G81" s="2" t="str" cm="1">
        <f t="array" ref="G81">IF(SUMPRODUCT((Upload_Indiv_Player=$A77)*(Upload_Indiv_Date=G$2)*(Upload_Indiv_Tot_Eagles))=0,"",SUMPRODUCT((Upload_Indiv_Player=$A77)*(Upload_Indiv_Date=G$2)*(Upload_Indiv_Tot_Eagles)))</f>
        <v/>
      </c>
      <c r="H81" s="2" t="str" cm="1">
        <f t="array" ref="H81">IF(SUMPRODUCT((Upload_Indiv_Player=$A77)*(Upload_Indiv_Date=H$2)*(Upload_Indiv_Tot_Eagles))=0,"",SUMPRODUCT((Upload_Indiv_Player=$A77)*(Upload_Indiv_Date=H$2)*(Upload_Indiv_Tot_Eagles)))</f>
        <v/>
      </c>
      <c r="I81" s="2" t="str" cm="1">
        <f t="array" ref="I81">IF(SUMPRODUCT((Upload_Indiv_Player=$A77)*(Upload_Indiv_Date=I$2)*(Upload_Indiv_Tot_Eagles))=0,"",SUMPRODUCT((Upload_Indiv_Player=$A77)*(Upload_Indiv_Date=I$2)*(Upload_Indiv_Tot_Eagles)))</f>
        <v/>
      </c>
      <c r="J81" s="2" t="str" cm="1">
        <f t="array" ref="J81">IF(SUMPRODUCT((Upload_Indiv_Player=$A77)*(Upload_Indiv_Date=J$2)*(Upload_Indiv_Tot_Eagles))=0,"",SUMPRODUCT((Upload_Indiv_Player=$A77)*(Upload_Indiv_Date=J$2)*(Upload_Indiv_Tot_Eagles)))</f>
        <v/>
      </c>
      <c r="K81" s="2" t="str" cm="1">
        <f t="array" ref="K81">IF(SUMPRODUCT((Upload_Indiv_Player=$A77)*(Upload_Indiv_Date=K$2)*(Upload_Indiv_Tot_Eagles))=0,"",SUMPRODUCT((Upload_Indiv_Player=$A77)*(Upload_Indiv_Date=K$2)*(Upload_Indiv_Tot_Eagles)))</f>
        <v/>
      </c>
      <c r="L81" s="2" t="str" cm="1">
        <f t="array" ref="L81">IF(SUMPRODUCT((Upload_Indiv_Player=$A77)*(Upload_Indiv_Date=L$2)*(Upload_Indiv_Tot_Eagles))=0,"",SUMPRODUCT((Upload_Indiv_Player=$A77)*(Upload_Indiv_Date=L$2)*(Upload_Indiv_Tot_Eagles)))</f>
        <v/>
      </c>
      <c r="M81" s="2" t="str" cm="1">
        <f t="array" ref="M81">IF(SUMPRODUCT((Upload_Indiv_Player=$A77)*(Upload_Indiv_Date=M$2)*(Upload_Indiv_Tot_Eagles))=0,"",SUMPRODUCT((Upload_Indiv_Player=$A77)*(Upload_Indiv_Date=M$2)*(Upload_Indiv_Tot_Eagles)))</f>
        <v/>
      </c>
      <c r="N81" s="2" t="str" cm="1">
        <f t="array" ref="N81">IF(SUMPRODUCT((Upload_Indiv_Player=$A77)*(Upload_Indiv_Date=N$2)*(Upload_Indiv_Tot_Eagles))=0,"",SUMPRODUCT((Upload_Indiv_Player=$A77)*(Upload_Indiv_Date=N$2)*(Upload_Indiv_Tot_Eagles)))</f>
        <v/>
      </c>
      <c r="O81" s="2" t="str" cm="1">
        <f t="array" ref="O81">IF(SUMPRODUCT((Upload_Indiv_Player=$A77)*(Upload_Indiv_Date=O$2)*(Upload_Indiv_Tot_Eagles))=0,"",SUMPRODUCT((Upload_Indiv_Player=$A77)*(Upload_Indiv_Date=O$2)*(Upload_Indiv_Tot_Eagles)))</f>
        <v/>
      </c>
      <c r="P81" s="2" t="str" cm="1">
        <f t="array" ref="P81">IF(SUMPRODUCT((Upload_Indiv_Player=$A77)*(Upload_Indiv_Date=P$2)*(Upload_Indiv_Tot_Eagles))=0,"",SUMPRODUCT((Upload_Indiv_Player=$A77)*(Upload_Indiv_Date=P$2)*(Upload_Indiv_Tot_Eagles)))</f>
        <v/>
      </c>
      <c r="Q81" s="2" t="str" cm="1">
        <f t="array" ref="Q81">IF(SUMPRODUCT((Upload_Indiv_Player=$A77)*(Upload_Indiv_Date=Q$2)*(Upload_Indiv_Tot_Eagles))=0,"",SUMPRODUCT((Upload_Indiv_Player=$A77)*(Upload_Indiv_Date=Q$2)*(Upload_Indiv_Tot_Eagles)))</f>
        <v/>
      </c>
      <c r="R81" s="2" t="str" cm="1">
        <f t="array" ref="R81">IF(SUMPRODUCT((Upload_Indiv_Player=$A77)*(Upload_Indiv_Date=R$2)*(Upload_Indiv_Tot_Eagles))=0,"",SUMPRODUCT((Upload_Indiv_Player=$A77)*(Upload_Indiv_Date=R$2)*(Upload_Indiv_Tot_Eagles)))</f>
        <v/>
      </c>
      <c r="S81" s="2" t="str" cm="1">
        <f t="array" ref="S81">IF(SUMPRODUCT((Upload_Indiv_Player=$A77)*(Upload_Indiv_Date=S$2)*(Upload_Indiv_Tot_Eagles))=0,"",SUMPRODUCT((Upload_Indiv_Player=$A77)*(Upload_Indiv_Date=S$2)*(Upload_Indiv_Tot_Eagles)))</f>
        <v/>
      </c>
      <c r="T81" s="2" t="str" cm="1">
        <f t="array" ref="T81">IF(SUMPRODUCT((Upload_Indiv_Player=$A77)*(Upload_Indiv_Date=T$2)*(Upload_Indiv_Tot_Eagles))=0,"",SUMPRODUCT((Upload_Indiv_Player=$A77)*(Upload_Indiv_Date=T$2)*(Upload_Indiv_Tot_Eagles)))</f>
        <v/>
      </c>
      <c r="U81" s="2" t="str" cm="1">
        <f t="array" ref="U81">IF(SUMPRODUCT((Upload_Indiv_Player=$A77)*(Upload_Indiv_Date=U$2)*(Upload_Indiv_Tot_Eagles))=0,"",SUMPRODUCT((Upload_Indiv_Player=$A77)*(Upload_Indiv_Date=U$2)*(Upload_Indiv_Tot_Eagles)))</f>
        <v/>
      </c>
      <c r="V81" s="276"/>
      <c r="W81" s="276"/>
      <c r="X81" s="276"/>
      <c r="Y81" s="277"/>
      <c r="Z81" s="278"/>
      <c r="AA81" s="277"/>
    </row>
    <row r="82" spans="1:27" x14ac:dyDescent="0.25">
      <c r="A82" s="14"/>
      <c r="B82" s="2" t="s">
        <v>176</v>
      </c>
      <c r="C82" s="2" t="str" cm="1">
        <f t="array" ref="C82">IF(SUMPRODUCT((Upload_Indiv_Player=$A77)*(Upload_Indiv_Date=C$2)*(Upload_Indiv_Excl_Score))=0,"",SUMPRODUCT((Upload_Indiv_Player=$A77)*(Upload_Indiv_Date=C$2)*(Upload_Indiv_Excl_Score)))</f>
        <v/>
      </c>
      <c r="D82" s="2" t="str" cm="1">
        <f t="array" ref="D82">IF(SUMPRODUCT((Upload_Indiv_Player=$A77)*(Upload_Indiv_Date=D$2)*(Upload_Indiv_Excl_Score))=0,"",SUMPRODUCT((Upload_Indiv_Player=$A77)*(Upload_Indiv_Date=D$2)*(Upload_Indiv_Excl_Score)))</f>
        <v/>
      </c>
      <c r="E82" s="2" t="str" cm="1">
        <f t="array" ref="E82">IF(SUMPRODUCT((Upload_Indiv_Player=$A77)*(Upload_Indiv_Date=E$2)*(Upload_Indiv_Excl_Score))=0,"",SUMPRODUCT((Upload_Indiv_Player=$A77)*(Upload_Indiv_Date=E$2)*(Upload_Indiv_Excl_Score)))</f>
        <v/>
      </c>
      <c r="F82" s="2" t="str" cm="1">
        <f t="array" ref="F82">IF(SUMPRODUCT((Upload_Indiv_Player=$A77)*(Upload_Indiv_Date=F$2)*(Upload_Indiv_Excl_Score))=0,"",SUMPRODUCT((Upload_Indiv_Player=$A77)*(Upload_Indiv_Date=F$2)*(Upload_Indiv_Excl_Score)))</f>
        <v/>
      </c>
      <c r="G82" s="2" t="str" cm="1">
        <f t="array" ref="G82">IF(SUMPRODUCT((Upload_Indiv_Player=$A77)*(Upload_Indiv_Date=G$2)*(Upload_Indiv_Excl_Score))=0,"",SUMPRODUCT((Upload_Indiv_Player=$A77)*(Upload_Indiv_Date=G$2)*(Upload_Indiv_Excl_Score)))</f>
        <v/>
      </c>
      <c r="H82" s="2" t="str" cm="1">
        <f t="array" ref="H82">IF(SUMPRODUCT((Upload_Indiv_Player=$A77)*(Upload_Indiv_Date=H$2)*(Upload_Indiv_Excl_Score))=0,"",SUMPRODUCT((Upload_Indiv_Player=$A77)*(Upload_Indiv_Date=H$2)*(Upload_Indiv_Excl_Score)))</f>
        <v/>
      </c>
      <c r="I82" s="2" t="str" cm="1">
        <f t="array" ref="I82">IF(SUMPRODUCT((Upload_Indiv_Player=$A77)*(Upload_Indiv_Date=I$2)*(Upload_Indiv_Excl_Score))=0,"",SUMPRODUCT((Upload_Indiv_Player=$A77)*(Upload_Indiv_Date=I$2)*(Upload_Indiv_Excl_Score)))</f>
        <v/>
      </c>
      <c r="J82" s="2" t="str" cm="1">
        <f t="array" ref="J82">IF(SUMPRODUCT((Upload_Indiv_Player=$A77)*(Upload_Indiv_Date=J$2)*(Upload_Indiv_Excl_Score))=0,"",SUMPRODUCT((Upload_Indiv_Player=$A77)*(Upload_Indiv_Date=J$2)*(Upload_Indiv_Excl_Score)))</f>
        <v/>
      </c>
      <c r="K82" s="2" t="str" cm="1">
        <f t="array" ref="K82">IF(SUMPRODUCT((Upload_Indiv_Player=$A77)*(Upload_Indiv_Date=K$2)*(Upload_Indiv_Excl_Score))=0,"",SUMPRODUCT((Upload_Indiv_Player=$A77)*(Upload_Indiv_Date=K$2)*(Upload_Indiv_Excl_Score)))</f>
        <v/>
      </c>
      <c r="L82" s="2" t="str" cm="1">
        <f t="array" ref="L82">IF(SUMPRODUCT((Upload_Indiv_Player=$A77)*(Upload_Indiv_Date=L$2)*(Upload_Indiv_Excl_Score))=0,"",SUMPRODUCT((Upload_Indiv_Player=$A77)*(Upload_Indiv_Date=L$2)*(Upload_Indiv_Excl_Score)))</f>
        <v/>
      </c>
      <c r="M82" s="2" t="str" cm="1">
        <f t="array" ref="M82">IF(SUMPRODUCT((Upload_Indiv_Player=$A77)*(Upload_Indiv_Date=M$2)*(Upload_Indiv_Excl_Score))=0,"",SUMPRODUCT((Upload_Indiv_Player=$A77)*(Upload_Indiv_Date=M$2)*(Upload_Indiv_Excl_Score)))</f>
        <v/>
      </c>
      <c r="N82" s="2" t="str" cm="1">
        <f t="array" ref="N82">IF(SUMPRODUCT((Upload_Indiv_Player=$A77)*(Upload_Indiv_Date=N$2)*(Upload_Indiv_Excl_Score))=0,"",SUMPRODUCT((Upload_Indiv_Player=$A77)*(Upload_Indiv_Date=N$2)*(Upload_Indiv_Excl_Score)))</f>
        <v/>
      </c>
      <c r="O82" s="2" t="str" cm="1">
        <f t="array" ref="O82">IF(SUMPRODUCT((Upload_Indiv_Player=$A77)*(Upload_Indiv_Date=O$2)*(Upload_Indiv_Excl_Score))=0,"",SUMPRODUCT((Upload_Indiv_Player=$A77)*(Upload_Indiv_Date=O$2)*(Upload_Indiv_Excl_Score)))</f>
        <v/>
      </c>
      <c r="P82" s="2" t="str" cm="1">
        <f t="array" ref="P82">IF(SUMPRODUCT((Upload_Indiv_Player=$A77)*(Upload_Indiv_Date=P$2)*(Upload_Indiv_Excl_Score))=0,"",SUMPRODUCT((Upload_Indiv_Player=$A77)*(Upload_Indiv_Date=P$2)*(Upload_Indiv_Excl_Score)))</f>
        <v/>
      </c>
      <c r="Q82" s="2" t="str" cm="1">
        <f t="array" ref="Q82">IF(SUMPRODUCT((Upload_Indiv_Player=$A77)*(Upload_Indiv_Date=Q$2)*(Upload_Indiv_Excl_Score))=0,"",SUMPRODUCT((Upload_Indiv_Player=$A77)*(Upload_Indiv_Date=Q$2)*(Upload_Indiv_Excl_Score)))</f>
        <v/>
      </c>
      <c r="R82" s="2" t="str" cm="1">
        <f t="array" ref="R82">IF(SUMPRODUCT((Upload_Indiv_Player=$A77)*(Upload_Indiv_Date=R$2)*(Upload_Indiv_Excl_Score))=0,"",SUMPRODUCT((Upload_Indiv_Player=$A77)*(Upload_Indiv_Date=R$2)*(Upload_Indiv_Excl_Score)))</f>
        <v/>
      </c>
      <c r="S82" s="2" t="str" cm="1">
        <f t="array" ref="S82">IF(SUMPRODUCT((Upload_Indiv_Player=$A77)*(Upload_Indiv_Date=S$2)*(Upload_Indiv_Excl_Score))=0,"",SUMPRODUCT((Upload_Indiv_Player=$A77)*(Upload_Indiv_Date=S$2)*(Upload_Indiv_Excl_Score)))</f>
        <v/>
      </c>
      <c r="T82" s="2" t="str" cm="1">
        <f t="array" ref="T82">IF(SUMPRODUCT((Upload_Indiv_Player=$A77)*(Upload_Indiv_Date=T$2)*(Upload_Indiv_Excl_Score))=0,"",SUMPRODUCT((Upload_Indiv_Player=$A77)*(Upload_Indiv_Date=T$2)*(Upload_Indiv_Excl_Score)))</f>
        <v/>
      </c>
      <c r="U82" s="2" t="str" cm="1">
        <f t="array" ref="U82">IF(SUMPRODUCT((Upload_Indiv_Player=$A77)*(Upload_Indiv_Date=U$2)*(Upload_Indiv_Excl_Score))=0,"",SUMPRODUCT((Upload_Indiv_Player=$A77)*(Upload_Indiv_Date=U$2)*(Upload_Indiv_Excl_Score)))</f>
        <v/>
      </c>
      <c r="V82" s="276"/>
      <c r="W82" s="276"/>
      <c r="X82" s="276"/>
      <c r="Y82" s="277"/>
      <c r="Z82" s="277"/>
      <c r="AA82" s="277"/>
    </row>
    <row r="83" spans="1:27" x14ac:dyDescent="0.25">
      <c r="A83" s="14"/>
      <c r="B83" s="2" t="s">
        <v>177</v>
      </c>
      <c r="C83" s="2" t="str" cm="1">
        <f t="array" ref="C83">IFERROR(INDEX(Upload_Indiv_Team,MATCH(1,($A77=Upload_Indiv_Player)*(C$2=Upload_Indiv_Date),0)),"")</f>
        <v/>
      </c>
      <c r="D83" s="2" t="str" cm="1">
        <f t="array" ref="D83">IFERROR(INDEX(Upload_Indiv_Team,MATCH(1,($A77=Upload_Indiv_Player)*(D$2=Upload_Indiv_Date),0)),"")</f>
        <v/>
      </c>
      <c r="E83" s="2" t="str" cm="1">
        <f t="array" ref="E83">IFERROR(INDEX(Upload_Indiv_Team,MATCH(1,($A77=Upload_Indiv_Player)*(E$2=Upload_Indiv_Date),0)),"")</f>
        <v/>
      </c>
      <c r="F83" s="2" t="str" cm="1">
        <f t="array" ref="F83">IFERROR(INDEX(Upload_Indiv_Team,MATCH(1,($A77=Upload_Indiv_Player)*(F$2=Upload_Indiv_Date),0)),"")</f>
        <v/>
      </c>
      <c r="G83" s="2" t="str" cm="1">
        <f t="array" ref="G83">IFERROR(INDEX(Upload_Indiv_Team,MATCH(1,($A77=Upload_Indiv_Player)*(G$2=Upload_Indiv_Date),0)),"")</f>
        <v/>
      </c>
      <c r="H83" s="2" t="str" cm="1">
        <f t="array" ref="H83">IFERROR(INDEX(Upload_Indiv_Team,MATCH(1,($A77=Upload_Indiv_Player)*(H$2=Upload_Indiv_Date),0)),"")</f>
        <v>Who's Your Caddy?</v>
      </c>
      <c r="I83" s="2" t="str" cm="1">
        <f t="array" ref="I83">IFERROR(INDEX(Upload_Indiv_Team,MATCH(1,($A77=Upload_Indiv_Player)*(I$2=Upload_Indiv_Date),0)),"")</f>
        <v/>
      </c>
      <c r="J83" s="2" t="str" cm="1">
        <f t="array" ref="J83">IFERROR(INDEX(Upload_Indiv_Team,MATCH(1,($A77=Upload_Indiv_Player)*(J$2=Upload_Indiv_Date),0)),"")</f>
        <v/>
      </c>
      <c r="K83" s="2" t="str" cm="1">
        <f t="array" ref="K83">IFERROR(INDEX(Upload_Indiv_Team,MATCH(1,($A77=Upload_Indiv_Player)*(K$2=Upload_Indiv_Date),0)),"")</f>
        <v/>
      </c>
      <c r="L83" s="2" t="str" cm="1">
        <f t="array" ref="L83">IFERROR(INDEX(Upload_Indiv_Team,MATCH(1,($A77=Upload_Indiv_Player)*(L$2=Upload_Indiv_Date),0)),"")</f>
        <v/>
      </c>
      <c r="M83" s="2" t="str" cm="1">
        <f t="array" ref="M83">IFERROR(INDEX(Upload_Indiv_Team,MATCH(1,($A77=Upload_Indiv_Player)*(M$2=Upload_Indiv_Date),0)),"")</f>
        <v/>
      </c>
      <c r="N83" s="2" t="str" cm="1">
        <f t="array" ref="N83">IFERROR(INDEX(Upload_Indiv_Team,MATCH(1,($A77=Upload_Indiv_Player)*(N$2=Upload_Indiv_Date),0)),"")</f>
        <v/>
      </c>
      <c r="O83" s="2" t="str" cm="1">
        <f t="array" ref="O83">IFERROR(INDEX(Upload_Indiv_Team,MATCH(1,($A77=Upload_Indiv_Player)*(O$2=Upload_Indiv_Date),0)),"")</f>
        <v/>
      </c>
      <c r="P83" s="2" t="str" cm="1">
        <f t="array" ref="P83">IFERROR(INDEX(Upload_Indiv_Team,MATCH(1,($A77=Upload_Indiv_Player)*(P$2=Upload_Indiv_Date),0)),"")</f>
        <v/>
      </c>
      <c r="Q83" s="2" t="str" cm="1">
        <f t="array" ref="Q83">IFERROR(INDEX(Upload_Indiv_Team,MATCH(1,($A77=Upload_Indiv_Player)*(Q$2=Upload_Indiv_Date),0)),"")</f>
        <v/>
      </c>
      <c r="R83" s="2" t="str" cm="1">
        <f t="array" ref="R83">IFERROR(INDEX(Upload_Indiv_Team,MATCH(1,($A77=Upload_Indiv_Player)*(R$2=Upload_Indiv_Date),0)),"")</f>
        <v/>
      </c>
      <c r="S83" s="2" t="str" cm="1">
        <f t="array" ref="S83">IFERROR(INDEX(Upload_Indiv_Team,MATCH(1,($A77=Upload_Indiv_Player)*(S$2=Upload_Indiv_Date),0)),"")</f>
        <v/>
      </c>
      <c r="T83" s="2" t="str" cm="1">
        <f t="array" ref="T83">IFERROR(INDEX(Upload_Indiv_Team,MATCH(1,($A77=Upload_Indiv_Player)*(T$2=Upload_Indiv_Date),0)),"")</f>
        <v/>
      </c>
      <c r="U83" s="2" t="str" cm="1">
        <f t="array" ref="U83">IFERROR(INDEX(Upload_Indiv_Team,MATCH(1,($A77=Upload_Indiv_Player)*(U$2=Upload_Indiv_Date),0)),"")</f>
        <v/>
      </c>
      <c r="V83" s="276"/>
      <c r="W83" s="276"/>
      <c r="X83" s="276"/>
      <c r="Y83" s="277"/>
      <c r="Z83" s="277"/>
      <c r="AA83" s="277"/>
    </row>
    <row r="84" spans="1:27" ht="13.8" thickBot="1" x14ac:dyDescent="0.3">
      <c r="A84" s="15" t="s">
        <v>160</v>
      </c>
      <c r="B84" s="8" t="s">
        <v>178</v>
      </c>
      <c r="C84" s="58" t="str">
        <f t="shared" ref="C84:U84" si="10">IF(C77="", "", IF(C79&gt;=11, "w", IF(C79&lt;=9, "l", "t")))</f>
        <v/>
      </c>
      <c r="D84" s="58" t="str">
        <f t="shared" si="10"/>
        <v/>
      </c>
      <c r="E84" s="58" t="str">
        <f t="shared" si="10"/>
        <v/>
      </c>
      <c r="F84" s="58" t="str">
        <f t="shared" si="10"/>
        <v/>
      </c>
      <c r="G84" s="58" t="str">
        <f t="shared" si="10"/>
        <v/>
      </c>
      <c r="H84" s="58" t="str">
        <f t="shared" si="10"/>
        <v>l</v>
      </c>
      <c r="I84" s="58" t="str">
        <f t="shared" si="10"/>
        <v/>
      </c>
      <c r="J84" s="58" t="str">
        <f t="shared" si="10"/>
        <v/>
      </c>
      <c r="K84" s="58" t="str">
        <f t="shared" si="10"/>
        <v/>
      </c>
      <c r="L84" s="58" t="str">
        <f t="shared" si="10"/>
        <v/>
      </c>
      <c r="M84" s="58" t="str">
        <f t="shared" si="10"/>
        <v/>
      </c>
      <c r="N84" s="58" t="str">
        <f t="shared" si="10"/>
        <v/>
      </c>
      <c r="O84" s="58" t="str">
        <f t="shared" si="10"/>
        <v/>
      </c>
      <c r="P84" s="58" t="str">
        <f t="shared" si="10"/>
        <v/>
      </c>
      <c r="Q84" s="58" t="str">
        <f t="shared" si="10"/>
        <v/>
      </c>
      <c r="R84" s="58" t="str">
        <f t="shared" si="10"/>
        <v/>
      </c>
      <c r="S84" s="58" t="str">
        <f t="shared" si="10"/>
        <v/>
      </c>
      <c r="T84" s="58" t="str">
        <f t="shared" si="10"/>
        <v/>
      </c>
      <c r="U84" s="58" t="str">
        <f t="shared" si="10"/>
        <v/>
      </c>
      <c r="V84" s="276"/>
      <c r="W84" s="276"/>
      <c r="X84" s="276"/>
      <c r="Y84" s="277"/>
      <c r="Z84" s="277"/>
      <c r="AA84" s="277"/>
    </row>
    <row r="85" spans="1:27" x14ac:dyDescent="0.25">
      <c r="A85" s="11" t="s">
        <v>209</v>
      </c>
      <c r="B85" s="3" t="s">
        <v>170</v>
      </c>
      <c r="C85" s="3" t="str" cm="1">
        <f t="array" ref="C85">IF(SUMPRODUCT((Upload_Indiv_Player=$A85)*(Upload_Indiv_Date=C$2)*(Upload_Indiv_Gross))=0,"",SUMPRODUCT((Upload_Indiv_Player=$A85)*(Upload_Indiv_Date=C$2)*(Upload_Indiv_Gross)))</f>
        <v/>
      </c>
      <c r="D85" s="3" t="str" cm="1">
        <f t="array" ref="D85">IF(SUMPRODUCT((Upload_Indiv_Player=$A85)*(Upload_Indiv_Date=D$2)*(Upload_Indiv_Gross))=0,"",SUMPRODUCT((Upload_Indiv_Player=$A85)*(Upload_Indiv_Date=D$2)*(Upload_Indiv_Gross)))</f>
        <v/>
      </c>
      <c r="E85" s="3" t="str" cm="1">
        <f t="array" ref="E85">IF(SUMPRODUCT((Upload_Indiv_Player=$A85)*(Upload_Indiv_Date=E$2)*(Upload_Indiv_Gross))=0,"",SUMPRODUCT((Upload_Indiv_Player=$A85)*(Upload_Indiv_Date=E$2)*(Upload_Indiv_Gross)))</f>
        <v/>
      </c>
      <c r="F85" s="3" t="str" cm="1">
        <f t="array" ref="F85">IF(SUMPRODUCT((Upload_Indiv_Player=$A85)*(Upload_Indiv_Date=F$2)*(Upload_Indiv_Gross))=0,"",SUMPRODUCT((Upload_Indiv_Player=$A85)*(Upload_Indiv_Date=F$2)*(Upload_Indiv_Gross)))</f>
        <v/>
      </c>
      <c r="G85" s="3" t="str" cm="1">
        <f t="array" ref="G85">IF(SUMPRODUCT((Upload_Indiv_Player=$A85)*(Upload_Indiv_Date=G$2)*(Upload_Indiv_Gross))=0,"",SUMPRODUCT((Upload_Indiv_Player=$A85)*(Upload_Indiv_Date=G$2)*(Upload_Indiv_Gross)))</f>
        <v/>
      </c>
      <c r="H85" s="3" t="str" cm="1">
        <f t="array" ref="H85">IF(SUMPRODUCT((Upload_Indiv_Player=$A85)*(Upload_Indiv_Date=H$2)*(Upload_Indiv_Gross))=0,"",SUMPRODUCT((Upload_Indiv_Player=$A85)*(Upload_Indiv_Date=H$2)*(Upload_Indiv_Gross)))</f>
        <v/>
      </c>
      <c r="I85" s="3" t="str" cm="1">
        <f t="array" ref="I85">IF(SUMPRODUCT((Upload_Indiv_Player=$A85)*(Upload_Indiv_Date=I$2)*(Upload_Indiv_Gross))=0,"",SUMPRODUCT((Upload_Indiv_Player=$A85)*(Upload_Indiv_Date=I$2)*(Upload_Indiv_Gross)))</f>
        <v/>
      </c>
      <c r="J85" s="3" t="str" cm="1">
        <f t="array" ref="J85">IF(SUMPRODUCT((Upload_Indiv_Player=$A85)*(Upload_Indiv_Date=J$2)*(Upload_Indiv_Gross))=0,"",SUMPRODUCT((Upload_Indiv_Player=$A85)*(Upload_Indiv_Date=J$2)*(Upload_Indiv_Gross)))</f>
        <v/>
      </c>
      <c r="K85" s="3" t="str" cm="1">
        <f t="array" ref="K85">IF(SUMPRODUCT((Upload_Indiv_Player=$A85)*(Upload_Indiv_Date=K$2)*(Upload_Indiv_Gross))=0,"",SUMPRODUCT((Upload_Indiv_Player=$A85)*(Upload_Indiv_Date=K$2)*(Upload_Indiv_Gross)))</f>
        <v/>
      </c>
      <c r="L85" s="3" t="str" cm="1">
        <f t="array" ref="L85">IF(SUMPRODUCT((Upload_Indiv_Player=$A85)*(Upload_Indiv_Date=L$2)*(Upload_Indiv_Gross))=0,"",SUMPRODUCT((Upload_Indiv_Player=$A85)*(Upload_Indiv_Date=L$2)*(Upload_Indiv_Gross)))</f>
        <v/>
      </c>
      <c r="M85" s="3" t="str" cm="1">
        <f t="array" ref="M85">IF(SUMPRODUCT((Upload_Indiv_Player=$A85)*(Upload_Indiv_Date=M$2)*(Upload_Indiv_Gross))=0,"",SUMPRODUCT((Upload_Indiv_Player=$A85)*(Upload_Indiv_Date=M$2)*(Upload_Indiv_Gross)))</f>
        <v/>
      </c>
      <c r="N85" s="3" t="str" cm="1">
        <f t="array" ref="N85">IF(SUMPRODUCT((Upload_Indiv_Player=$A85)*(Upload_Indiv_Date=N$2)*(Upload_Indiv_Gross))=0,"",SUMPRODUCT((Upload_Indiv_Player=$A85)*(Upload_Indiv_Date=N$2)*(Upload_Indiv_Gross)))</f>
        <v/>
      </c>
      <c r="O85" s="3" t="str" cm="1">
        <f t="array" ref="O85">IF(SUMPRODUCT((Upload_Indiv_Player=$A85)*(Upload_Indiv_Date=O$2)*(Upload_Indiv_Gross))=0,"",SUMPRODUCT((Upload_Indiv_Player=$A85)*(Upload_Indiv_Date=O$2)*(Upload_Indiv_Gross)))</f>
        <v/>
      </c>
      <c r="P85" s="3" t="str" cm="1">
        <f t="array" ref="P85">IF(SUMPRODUCT((Upload_Indiv_Player=$A85)*(Upload_Indiv_Date=P$2)*(Upload_Indiv_Gross))=0,"",SUMPRODUCT((Upload_Indiv_Player=$A85)*(Upload_Indiv_Date=P$2)*(Upload_Indiv_Gross)))</f>
        <v/>
      </c>
      <c r="Q85" s="2" t="str" cm="1">
        <f t="array" ref="Q85">IF(SUMPRODUCT((Upload_Indiv_Player=$A85)*(Upload_Indiv_Date=Q$2)*(Upload_Indiv_Gross))=0,"",SUMPRODUCT((Upload_Indiv_Player=$A85)*(Upload_Indiv_Date=Q$2)*(Upload_Indiv_Gross)))</f>
        <v/>
      </c>
      <c r="R85" s="2" t="str" cm="1">
        <f t="array" ref="R85">IF(SUMPRODUCT((Upload_Indiv_Player=$A85)*(Upload_Indiv_Date=R$2)*(Upload_Indiv_Gross))=0,"",SUMPRODUCT((Upload_Indiv_Player=$A85)*(Upload_Indiv_Date=R$2)*(Upload_Indiv_Gross)))</f>
        <v/>
      </c>
      <c r="S85" s="2" t="str" cm="1">
        <f t="array" ref="S85">IF(SUMPRODUCT((Upload_Indiv_Player=$A85)*(Upload_Indiv_Date=S$2)*(Upload_Indiv_Gross))=0,"",SUMPRODUCT((Upload_Indiv_Player=$A85)*(Upload_Indiv_Date=S$2)*(Upload_Indiv_Gross)))</f>
        <v/>
      </c>
      <c r="T85" s="2" t="str" cm="1">
        <f t="array" ref="T85">IF(SUMPRODUCT((Upload_Indiv_Player=$A85)*(Upload_Indiv_Date=T$2)*(Upload_Indiv_Gross))=0,"",SUMPRODUCT((Upload_Indiv_Player=$A85)*(Upload_Indiv_Date=T$2)*(Upload_Indiv_Gross)))</f>
        <v/>
      </c>
      <c r="U85" s="2" t="str" cm="1">
        <f t="array" ref="U85">IF(SUMPRODUCT((Upload_Indiv_Player=$A85)*(Upload_Indiv_Date=U$2)*(Upload_Indiv_Gross))=0,"",SUMPRODUCT((Upload_Indiv_Player=$A85)*(Upload_Indiv_Date=U$2)*(Upload_Indiv_Gross)))</f>
        <v/>
      </c>
      <c r="V85" s="273">
        <v>0</v>
      </c>
      <c r="W85" s="273">
        <v>1</v>
      </c>
      <c r="X85" s="273">
        <v>0</v>
      </c>
      <c r="Y85" s="277">
        <v>0</v>
      </c>
      <c r="Z85" s="277">
        <v>0</v>
      </c>
      <c r="AA85" s="277">
        <v>0</v>
      </c>
    </row>
    <row r="86" spans="1:27" x14ac:dyDescent="0.25">
      <c r="A86" s="216"/>
      <c r="B86" s="2" t="s">
        <v>171</v>
      </c>
      <c r="C86" s="2" t="str" cm="1">
        <f t="array" ref="C86">IF(SUMPRODUCT((Upload_Indiv_Player=$A85)*(Upload_Indiv_Date=C$2)*(Upload_Indiv_Net))=0,"",SUMPRODUCT((Upload_Indiv_Player=$A85)*(Upload_Indiv_Date=C$2)*(Upload_Indiv_Net)))</f>
        <v/>
      </c>
      <c r="D86" s="2" t="str" cm="1">
        <f t="array" ref="D86">IF(SUMPRODUCT((Upload_Indiv_Player=$A85)*(Upload_Indiv_Date=D$2)*(Upload_Indiv_Net))=0,"",SUMPRODUCT((Upload_Indiv_Player=$A85)*(Upload_Indiv_Date=D$2)*(Upload_Indiv_Net)))</f>
        <v/>
      </c>
      <c r="E86" s="2" t="str" cm="1">
        <f t="array" ref="E86">IF(SUMPRODUCT((Upload_Indiv_Player=$A85)*(Upload_Indiv_Date=E$2)*(Upload_Indiv_Net))=0,"",SUMPRODUCT((Upload_Indiv_Player=$A85)*(Upload_Indiv_Date=E$2)*(Upload_Indiv_Net)))</f>
        <v/>
      </c>
      <c r="F86" s="2" t="str" cm="1">
        <f t="array" ref="F86">IF(SUMPRODUCT((Upload_Indiv_Player=$A85)*(Upload_Indiv_Date=F$2)*(Upload_Indiv_Net))=0,"",SUMPRODUCT((Upload_Indiv_Player=$A85)*(Upload_Indiv_Date=F$2)*(Upload_Indiv_Net)))</f>
        <v/>
      </c>
      <c r="G86" s="2" t="str" cm="1">
        <f t="array" ref="G86">IF(SUMPRODUCT((Upload_Indiv_Player=$A85)*(Upload_Indiv_Date=G$2)*(Upload_Indiv_Net))=0,"",SUMPRODUCT((Upload_Indiv_Player=$A85)*(Upload_Indiv_Date=G$2)*(Upload_Indiv_Net)))</f>
        <v/>
      </c>
      <c r="H86" s="2" t="str" cm="1">
        <f t="array" ref="H86">IF(SUMPRODUCT((Upload_Indiv_Player=$A85)*(Upload_Indiv_Date=H$2)*(Upload_Indiv_Net))=0,"",SUMPRODUCT((Upload_Indiv_Player=$A85)*(Upload_Indiv_Date=H$2)*(Upload_Indiv_Net)))</f>
        <v/>
      </c>
      <c r="I86" s="2" t="str" cm="1">
        <f t="array" ref="I86">IF(SUMPRODUCT((Upload_Indiv_Player=$A85)*(Upload_Indiv_Date=I$2)*(Upload_Indiv_Net))=0,"",SUMPRODUCT((Upload_Indiv_Player=$A85)*(Upload_Indiv_Date=I$2)*(Upload_Indiv_Net)))</f>
        <v/>
      </c>
      <c r="J86" s="2" t="str" cm="1">
        <f t="array" ref="J86">IF(SUMPRODUCT((Upload_Indiv_Player=$A85)*(Upload_Indiv_Date=J$2)*(Upload_Indiv_Net))=0,"",SUMPRODUCT((Upload_Indiv_Player=$A85)*(Upload_Indiv_Date=J$2)*(Upload_Indiv_Net)))</f>
        <v/>
      </c>
      <c r="K86" s="2" t="str" cm="1">
        <f t="array" ref="K86">IF(SUMPRODUCT((Upload_Indiv_Player=$A85)*(Upload_Indiv_Date=K$2)*(Upload_Indiv_Net))=0,"",SUMPRODUCT((Upload_Indiv_Player=$A85)*(Upload_Indiv_Date=K$2)*(Upload_Indiv_Net)))</f>
        <v/>
      </c>
      <c r="L86" s="2" t="str" cm="1">
        <f t="array" ref="L86">IF(SUMPRODUCT((Upload_Indiv_Player=$A85)*(Upload_Indiv_Date=L$2)*(Upload_Indiv_Net))=0,"",SUMPRODUCT((Upload_Indiv_Player=$A85)*(Upload_Indiv_Date=L$2)*(Upload_Indiv_Net)))</f>
        <v/>
      </c>
      <c r="M86" s="2" t="str" cm="1">
        <f t="array" ref="M86">IF(SUMPRODUCT((Upload_Indiv_Player=$A85)*(Upload_Indiv_Date=M$2)*(Upload_Indiv_Net))=0,"",SUMPRODUCT((Upload_Indiv_Player=$A85)*(Upload_Indiv_Date=M$2)*(Upload_Indiv_Net)))</f>
        <v/>
      </c>
      <c r="N86" s="2" t="str" cm="1">
        <f t="array" ref="N86">IF(SUMPRODUCT((Upload_Indiv_Player=$A85)*(Upload_Indiv_Date=N$2)*(Upload_Indiv_Net))=0,"",SUMPRODUCT((Upload_Indiv_Player=$A85)*(Upload_Indiv_Date=N$2)*(Upload_Indiv_Net)))</f>
        <v/>
      </c>
      <c r="O86" s="2" t="str" cm="1">
        <f t="array" ref="O86">IF(SUMPRODUCT((Upload_Indiv_Player=$A85)*(Upload_Indiv_Date=O$2)*(Upload_Indiv_Net))=0,"",SUMPRODUCT((Upload_Indiv_Player=$A85)*(Upload_Indiv_Date=O$2)*(Upload_Indiv_Net)))</f>
        <v/>
      </c>
      <c r="P86" s="2" t="str" cm="1">
        <f t="array" ref="P86">IF(SUMPRODUCT((Upload_Indiv_Player=$A85)*(Upload_Indiv_Date=P$2)*(Upload_Indiv_Net))=0,"",SUMPRODUCT((Upload_Indiv_Player=$A85)*(Upload_Indiv_Date=P$2)*(Upload_Indiv_Net)))</f>
        <v/>
      </c>
      <c r="Q86" s="2" t="str" cm="1">
        <f t="array" ref="Q86">IF(SUMPRODUCT((Upload_Indiv_Player=$A85)*(Upload_Indiv_Date=Q$2)*(Upload_Indiv_Net))=0,"",SUMPRODUCT((Upload_Indiv_Player=$A85)*(Upload_Indiv_Date=Q$2)*(Upload_Indiv_Net)))</f>
        <v/>
      </c>
      <c r="R86" s="2" t="str" cm="1">
        <f t="array" ref="R86">IF(SUMPRODUCT((Upload_Indiv_Player=$A85)*(Upload_Indiv_Date=R$2)*(Upload_Indiv_Net))=0,"",SUMPRODUCT((Upload_Indiv_Player=$A85)*(Upload_Indiv_Date=R$2)*(Upload_Indiv_Net)))</f>
        <v/>
      </c>
      <c r="S86" s="2" t="str" cm="1">
        <f t="array" ref="S86">IF(SUMPRODUCT((Upload_Indiv_Player=$A85)*(Upload_Indiv_Date=S$2)*(Upload_Indiv_Net))=0,"",SUMPRODUCT((Upload_Indiv_Player=$A85)*(Upload_Indiv_Date=S$2)*(Upload_Indiv_Net)))</f>
        <v/>
      </c>
      <c r="T86" s="2" t="str" cm="1">
        <f t="array" ref="T86">IF(SUMPRODUCT((Upload_Indiv_Player=$A85)*(Upload_Indiv_Date=T$2)*(Upload_Indiv_Net))=0,"",SUMPRODUCT((Upload_Indiv_Player=$A85)*(Upload_Indiv_Date=T$2)*(Upload_Indiv_Net)))</f>
        <v/>
      </c>
      <c r="U86" s="2" t="str" cm="1">
        <f t="array" ref="U86">IF(SUMPRODUCT((Upload_Indiv_Player=$A85)*(Upload_Indiv_Date=U$2)*(Upload_Indiv_Net))=0,"",SUMPRODUCT((Upload_Indiv_Player=$A85)*(Upload_Indiv_Date=U$2)*(Upload_Indiv_Net)))</f>
        <v/>
      </c>
      <c r="V86" s="276"/>
      <c r="W86" s="276"/>
      <c r="X86" s="276"/>
      <c r="Y86" s="277"/>
      <c r="Z86" s="277"/>
      <c r="AA86" s="277"/>
    </row>
    <row r="87" spans="1:27" x14ac:dyDescent="0.25">
      <c r="A87" s="65"/>
      <c r="B87" s="2" t="s">
        <v>173</v>
      </c>
      <c r="C87" s="2" t="str" cm="1">
        <f t="array" ref="C87">IF(SUMPRODUCT((Upload_Indiv_Player=$A85)*(Upload_Indiv_Date=C$2)*(Upload_Indiv_PointsTot))=0,"",SUMPRODUCT((Upload_Indiv_Player=$A85)*(Upload_Indiv_Date=C$2)*(Upload_Indiv_PointsTot)))</f>
        <v/>
      </c>
      <c r="D87" s="2" t="str" cm="1">
        <f t="array" ref="D87">IF(SUMPRODUCT((Upload_Indiv_Player=$A85)*(Upload_Indiv_Date=D$2)*(Upload_Indiv_PointsTot))=0,"",SUMPRODUCT((Upload_Indiv_Player=$A85)*(Upload_Indiv_Date=D$2)*(Upload_Indiv_PointsTot)))</f>
        <v/>
      </c>
      <c r="E87" s="2" t="str" cm="1">
        <f t="array" ref="E87">IF(SUMPRODUCT((Upload_Indiv_Player=$A85)*(Upload_Indiv_Date=E$2)*(Upload_Indiv_PointsTot))=0,"",SUMPRODUCT((Upload_Indiv_Player=$A85)*(Upload_Indiv_Date=E$2)*(Upload_Indiv_PointsTot)))</f>
        <v/>
      </c>
      <c r="F87" s="2" t="str" cm="1">
        <f t="array" ref="F87">IF(SUMPRODUCT((Upload_Indiv_Player=$A85)*(Upload_Indiv_Date=F$2)*(Upload_Indiv_PointsTot))=0,"",SUMPRODUCT((Upload_Indiv_Player=$A85)*(Upload_Indiv_Date=F$2)*(Upload_Indiv_PointsTot)))</f>
        <v/>
      </c>
      <c r="G87" s="2" t="str" cm="1">
        <f t="array" ref="G87">IF(SUMPRODUCT((Upload_Indiv_Player=$A85)*(Upload_Indiv_Date=G$2)*(Upload_Indiv_PointsTot))=0,"",SUMPRODUCT((Upload_Indiv_Player=$A85)*(Upload_Indiv_Date=G$2)*(Upload_Indiv_PointsTot)))</f>
        <v/>
      </c>
      <c r="H87" s="2" t="str" cm="1">
        <f t="array" ref="H87">IF(SUMPRODUCT((Upload_Indiv_Player=$A85)*(Upload_Indiv_Date=H$2)*(Upload_Indiv_PointsTot))=0,"",SUMPRODUCT((Upload_Indiv_Player=$A85)*(Upload_Indiv_Date=H$2)*(Upload_Indiv_PointsTot)))</f>
        <v/>
      </c>
      <c r="I87" s="2" t="str" cm="1">
        <f t="array" ref="I87">IF(SUMPRODUCT((Upload_Indiv_Player=$A85)*(Upload_Indiv_Date=I$2)*(Upload_Indiv_PointsTot))=0,"",SUMPRODUCT((Upload_Indiv_Player=$A85)*(Upload_Indiv_Date=I$2)*(Upload_Indiv_PointsTot)))</f>
        <v/>
      </c>
      <c r="J87" s="2" t="str" cm="1">
        <f t="array" ref="J87">IF(SUMPRODUCT((Upload_Indiv_Player=$A85)*(Upload_Indiv_Date=J$2)*(Upload_Indiv_PointsTot))=0,"",SUMPRODUCT((Upload_Indiv_Player=$A85)*(Upload_Indiv_Date=J$2)*(Upload_Indiv_PointsTot)))</f>
        <v/>
      </c>
      <c r="K87" s="2" t="str" cm="1">
        <f t="array" ref="K87">IF(SUMPRODUCT((Upload_Indiv_Player=$A85)*(Upload_Indiv_Date=K$2)*(Upload_Indiv_PointsTot))=0,"",SUMPRODUCT((Upload_Indiv_Player=$A85)*(Upload_Indiv_Date=K$2)*(Upload_Indiv_PointsTot)))</f>
        <v/>
      </c>
      <c r="L87" s="2" t="str" cm="1">
        <f t="array" ref="L87">IF(SUMPRODUCT((Upload_Indiv_Player=$A85)*(Upload_Indiv_Date=L$2)*(Upload_Indiv_PointsTot))=0,"",SUMPRODUCT((Upload_Indiv_Player=$A85)*(Upload_Indiv_Date=L$2)*(Upload_Indiv_PointsTot)))</f>
        <v/>
      </c>
      <c r="M87" s="2" t="str" cm="1">
        <f t="array" ref="M87">IF(SUMPRODUCT((Upload_Indiv_Player=$A85)*(Upload_Indiv_Date=M$2)*(Upload_Indiv_PointsTot))=0,"",SUMPRODUCT((Upload_Indiv_Player=$A85)*(Upload_Indiv_Date=M$2)*(Upload_Indiv_PointsTot)))</f>
        <v/>
      </c>
      <c r="N87" s="2" t="str" cm="1">
        <f t="array" ref="N87">IF(SUMPRODUCT((Upload_Indiv_Player=$A85)*(Upload_Indiv_Date=N$2)*(Upload_Indiv_PointsTot))=0,"",SUMPRODUCT((Upload_Indiv_Player=$A85)*(Upload_Indiv_Date=N$2)*(Upload_Indiv_PointsTot)))</f>
        <v/>
      </c>
      <c r="O87" s="2" t="str" cm="1">
        <f t="array" ref="O87">IF(SUMPRODUCT((Upload_Indiv_Player=$A85)*(Upload_Indiv_Date=O$2)*(Upload_Indiv_PointsTot))=0,"",SUMPRODUCT((Upload_Indiv_Player=$A85)*(Upload_Indiv_Date=O$2)*(Upload_Indiv_PointsTot)))</f>
        <v/>
      </c>
      <c r="P87" s="2" t="str" cm="1">
        <f t="array" ref="P87">IF(SUMPRODUCT((Upload_Indiv_Player=$A85)*(Upload_Indiv_Date=P$2)*(Upload_Indiv_PointsTot))=0,"",SUMPRODUCT((Upload_Indiv_Player=$A85)*(Upload_Indiv_Date=P$2)*(Upload_Indiv_PointsTot)))</f>
        <v/>
      </c>
      <c r="Q87" s="2" t="str" cm="1">
        <f t="array" ref="Q87">IF(SUMPRODUCT((Upload_Indiv_Player=$A85)*(Upload_Indiv_Date=Q$2)*(Upload_Indiv_PointsTot))=0,"",SUMPRODUCT((Upload_Indiv_Player=$A85)*(Upload_Indiv_Date=Q$2)*(Upload_Indiv_PointsTot)))</f>
        <v/>
      </c>
      <c r="R87" s="2" t="str" cm="1">
        <f t="array" ref="R87">IF(SUMPRODUCT((Upload_Indiv_Player=$A85)*(Upload_Indiv_Date=R$2)*(Upload_Indiv_PointsTot))=0,"",SUMPRODUCT((Upload_Indiv_Player=$A85)*(Upload_Indiv_Date=R$2)*(Upload_Indiv_PointsTot)))</f>
        <v/>
      </c>
      <c r="S87" s="2" t="str" cm="1">
        <f t="array" ref="S87">IF(SUMPRODUCT((Upload_Indiv_Player=$A85)*(Upload_Indiv_Date=S$2)*(Upload_Indiv_PointsTot))=0,"",SUMPRODUCT((Upload_Indiv_Player=$A85)*(Upload_Indiv_Date=S$2)*(Upload_Indiv_PointsTot)))</f>
        <v/>
      </c>
      <c r="T87" s="2" t="str" cm="1">
        <f t="array" ref="T87">IF(SUMPRODUCT((Upload_Indiv_Player=$A85)*(Upload_Indiv_Date=T$2)*(Upload_Indiv_PointsTot))=0,"",SUMPRODUCT((Upload_Indiv_Player=$A85)*(Upload_Indiv_Date=T$2)*(Upload_Indiv_PointsTot)))</f>
        <v/>
      </c>
      <c r="U87" s="2" t="str" cm="1">
        <f t="array" ref="U87">IF(SUMPRODUCT((Upload_Indiv_Player=$A85)*(Upload_Indiv_Date=U$2)*(Upload_Indiv_PointsTot))=0,"",SUMPRODUCT((Upload_Indiv_Player=$A85)*(Upload_Indiv_Date=U$2)*(Upload_Indiv_PointsTot)))</f>
        <v/>
      </c>
      <c r="V87" s="276"/>
      <c r="W87" s="276"/>
      <c r="X87" s="276"/>
      <c r="Y87" s="277"/>
      <c r="Z87" s="277"/>
      <c r="AA87" s="277"/>
    </row>
    <row r="88" spans="1:27" x14ac:dyDescent="0.25">
      <c r="A88" s="14"/>
      <c r="B88" s="2" t="s">
        <v>174</v>
      </c>
      <c r="C88" s="2" t="str" cm="1">
        <f t="array" ref="C88">IF(SUMPRODUCT((Upload_Indiv_Player=$A85)*(Upload_Indiv_Date=C$2)*(Upload_Indiv_Tot_Birds))=0,"",SUMPRODUCT((Upload_Indiv_Player=$A85)*(Upload_Indiv_Date=C$2)*(Upload_Indiv_Tot_Birds)))</f>
        <v/>
      </c>
      <c r="D88" s="2" t="str" cm="1">
        <f t="array" ref="D88">IF(SUMPRODUCT((Upload_Indiv_Player=$A85)*(Upload_Indiv_Date=D$2)*(Upload_Indiv_Tot_Birds))=0,"",SUMPRODUCT((Upload_Indiv_Player=$A85)*(Upload_Indiv_Date=D$2)*(Upload_Indiv_Tot_Birds)))</f>
        <v/>
      </c>
      <c r="E88" s="2" t="str" cm="1">
        <f t="array" ref="E88">IF(SUMPRODUCT((Upload_Indiv_Player=$A85)*(Upload_Indiv_Date=E$2)*(Upload_Indiv_Tot_Birds))=0,"",SUMPRODUCT((Upload_Indiv_Player=$A85)*(Upload_Indiv_Date=E$2)*(Upload_Indiv_Tot_Birds)))</f>
        <v/>
      </c>
      <c r="F88" s="2" t="str" cm="1">
        <f t="array" ref="F88">IF(SUMPRODUCT((Upload_Indiv_Player=$A85)*(Upload_Indiv_Date=F$2)*(Upload_Indiv_Tot_Birds))=0,"",SUMPRODUCT((Upload_Indiv_Player=$A85)*(Upload_Indiv_Date=F$2)*(Upload_Indiv_Tot_Birds)))</f>
        <v/>
      </c>
      <c r="G88" s="2" t="str" cm="1">
        <f t="array" ref="G88">IF(SUMPRODUCT((Upload_Indiv_Player=$A85)*(Upload_Indiv_Date=G$2)*(Upload_Indiv_Tot_Birds))=0,"",SUMPRODUCT((Upload_Indiv_Player=$A85)*(Upload_Indiv_Date=G$2)*(Upload_Indiv_Tot_Birds)))</f>
        <v/>
      </c>
      <c r="H88" s="2" t="str" cm="1">
        <f t="array" ref="H88">IF(SUMPRODUCT((Upload_Indiv_Player=$A85)*(Upload_Indiv_Date=H$2)*(Upload_Indiv_Tot_Birds))=0,"",SUMPRODUCT((Upload_Indiv_Player=$A85)*(Upload_Indiv_Date=H$2)*(Upload_Indiv_Tot_Birds)))</f>
        <v/>
      </c>
      <c r="I88" s="2" t="str" cm="1">
        <f t="array" ref="I88">IF(SUMPRODUCT((Upload_Indiv_Player=$A85)*(Upload_Indiv_Date=I$2)*(Upload_Indiv_Tot_Birds))=0,"",SUMPRODUCT((Upload_Indiv_Player=$A85)*(Upload_Indiv_Date=I$2)*(Upload_Indiv_Tot_Birds)))</f>
        <v/>
      </c>
      <c r="J88" s="2" t="str" cm="1">
        <f t="array" ref="J88">IF(SUMPRODUCT((Upload_Indiv_Player=$A85)*(Upload_Indiv_Date=J$2)*(Upload_Indiv_Tot_Birds))=0,"",SUMPRODUCT((Upload_Indiv_Player=$A85)*(Upload_Indiv_Date=J$2)*(Upload_Indiv_Tot_Birds)))</f>
        <v/>
      </c>
      <c r="K88" s="2" t="str" cm="1">
        <f t="array" ref="K88">IF(SUMPRODUCT((Upload_Indiv_Player=$A85)*(Upload_Indiv_Date=K$2)*(Upload_Indiv_Tot_Birds))=0,"",SUMPRODUCT((Upload_Indiv_Player=$A85)*(Upload_Indiv_Date=K$2)*(Upload_Indiv_Tot_Birds)))</f>
        <v/>
      </c>
      <c r="L88" s="2" t="str" cm="1">
        <f t="array" ref="L88">IF(SUMPRODUCT((Upload_Indiv_Player=$A85)*(Upload_Indiv_Date=L$2)*(Upload_Indiv_Tot_Birds))=0,"",SUMPRODUCT((Upload_Indiv_Player=$A85)*(Upload_Indiv_Date=L$2)*(Upload_Indiv_Tot_Birds)))</f>
        <v/>
      </c>
      <c r="M88" s="2" t="str" cm="1">
        <f t="array" ref="M88">IF(SUMPRODUCT((Upload_Indiv_Player=$A85)*(Upload_Indiv_Date=M$2)*(Upload_Indiv_Tot_Birds))=0,"",SUMPRODUCT((Upload_Indiv_Player=$A85)*(Upload_Indiv_Date=M$2)*(Upload_Indiv_Tot_Birds)))</f>
        <v/>
      </c>
      <c r="N88" s="2" t="str" cm="1">
        <f t="array" ref="N88">IF(SUMPRODUCT((Upload_Indiv_Player=$A85)*(Upload_Indiv_Date=N$2)*(Upload_Indiv_Tot_Birds))=0,"",SUMPRODUCT((Upload_Indiv_Player=$A85)*(Upload_Indiv_Date=N$2)*(Upload_Indiv_Tot_Birds)))</f>
        <v/>
      </c>
      <c r="O88" s="2" t="str" cm="1">
        <f t="array" ref="O88">IF(SUMPRODUCT((Upload_Indiv_Player=$A85)*(Upload_Indiv_Date=O$2)*(Upload_Indiv_Tot_Birds))=0,"",SUMPRODUCT((Upload_Indiv_Player=$A85)*(Upload_Indiv_Date=O$2)*(Upload_Indiv_Tot_Birds)))</f>
        <v/>
      </c>
      <c r="P88" s="2" t="str" cm="1">
        <f t="array" ref="P88">IF(SUMPRODUCT((Upload_Indiv_Player=$A85)*(Upload_Indiv_Date=P$2)*(Upload_Indiv_Tot_Birds))=0,"",SUMPRODUCT((Upload_Indiv_Player=$A85)*(Upload_Indiv_Date=P$2)*(Upload_Indiv_Tot_Birds)))</f>
        <v/>
      </c>
      <c r="Q88" s="2" t="str" cm="1">
        <f t="array" ref="Q88">IF(SUMPRODUCT((Upload_Indiv_Player=$A85)*(Upload_Indiv_Date=Q$2)*(Upload_Indiv_Tot_Birds))=0,"",SUMPRODUCT((Upload_Indiv_Player=$A85)*(Upload_Indiv_Date=Q$2)*(Upload_Indiv_Tot_Birds)))</f>
        <v/>
      </c>
      <c r="R88" s="2" t="str" cm="1">
        <f t="array" ref="R88">IF(SUMPRODUCT((Upload_Indiv_Player=$A85)*(Upload_Indiv_Date=R$2)*(Upload_Indiv_Tot_Birds))=0,"",SUMPRODUCT((Upload_Indiv_Player=$A85)*(Upload_Indiv_Date=R$2)*(Upload_Indiv_Tot_Birds)))</f>
        <v/>
      </c>
      <c r="S88" s="2" t="str" cm="1">
        <f t="array" ref="S88">IF(SUMPRODUCT((Upload_Indiv_Player=$A85)*(Upload_Indiv_Date=S$2)*(Upload_Indiv_Tot_Birds))=0,"",SUMPRODUCT((Upload_Indiv_Player=$A85)*(Upload_Indiv_Date=S$2)*(Upload_Indiv_Tot_Birds)))</f>
        <v/>
      </c>
      <c r="T88" s="2" t="str" cm="1">
        <f t="array" ref="T88">IF(SUMPRODUCT((Upload_Indiv_Player=$A85)*(Upload_Indiv_Date=T$2)*(Upload_Indiv_Tot_Birds))=0,"",SUMPRODUCT((Upload_Indiv_Player=$A85)*(Upload_Indiv_Date=T$2)*(Upload_Indiv_Tot_Birds)))</f>
        <v/>
      </c>
      <c r="U88" s="2" t="str" cm="1">
        <f t="array" ref="U88">IF(SUMPRODUCT((Upload_Indiv_Player=$A85)*(Upload_Indiv_Date=U$2)*(Upload_Indiv_Tot_Birds))=0,"",SUMPRODUCT((Upload_Indiv_Player=$A85)*(Upload_Indiv_Date=U$2)*(Upload_Indiv_Tot_Birds)))</f>
        <v/>
      </c>
      <c r="V88" s="276"/>
      <c r="W88" s="276"/>
      <c r="X88" s="276"/>
      <c r="Y88" s="277"/>
      <c r="Z88" s="277"/>
      <c r="AA88" s="277"/>
    </row>
    <row r="89" spans="1:27" x14ac:dyDescent="0.25">
      <c r="A89" s="14"/>
      <c r="B89" s="8" t="s">
        <v>175</v>
      </c>
      <c r="C89" s="2" t="str" cm="1">
        <f t="array" ref="C89">IF(SUMPRODUCT((Upload_Indiv_Player=$A85)*(Upload_Indiv_Date=C$2)*(Upload_Indiv_Tot_Eagles))=0,"",SUMPRODUCT((Upload_Indiv_Player=$A85)*(Upload_Indiv_Date=C$2)*(Upload_Indiv_Tot_Eagles)))</f>
        <v/>
      </c>
      <c r="D89" s="2" t="str" cm="1">
        <f t="array" ref="D89">IF(SUMPRODUCT((Upload_Indiv_Player=$A85)*(Upload_Indiv_Date=D$2)*(Upload_Indiv_Tot_Eagles))=0,"",SUMPRODUCT((Upload_Indiv_Player=$A85)*(Upload_Indiv_Date=D$2)*(Upload_Indiv_Tot_Eagles)))</f>
        <v/>
      </c>
      <c r="E89" s="2" t="str" cm="1">
        <f t="array" ref="E89">IF(SUMPRODUCT((Upload_Indiv_Player=$A85)*(Upload_Indiv_Date=E$2)*(Upload_Indiv_Tot_Eagles))=0,"",SUMPRODUCT((Upload_Indiv_Player=$A85)*(Upload_Indiv_Date=E$2)*(Upload_Indiv_Tot_Eagles)))</f>
        <v/>
      </c>
      <c r="F89" s="2" t="str" cm="1">
        <f t="array" ref="F89">IF(SUMPRODUCT((Upload_Indiv_Player=$A85)*(Upload_Indiv_Date=F$2)*(Upload_Indiv_Tot_Eagles))=0,"",SUMPRODUCT((Upload_Indiv_Player=$A85)*(Upload_Indiv_Date=F$2)*(Upload_Indiv_Tot_Eagles)))</f>
        <v/>
      </c>
      <c r="G89" s="2" t="str" cm="1">
        <f t="array" ref="G89">IF(SUMPRODUCT((Upload_Indiv_Player=$A85)*(Upload_Indiv_Date=G$2)*(Upload_Indiv_Tot_Eagles))=0,"",SUMPRODUCT((Upload_Indiv_Player=$A85)*(Upload_Indiv_Date=G$2)*(Upload_Indiv_Tot_Eagles)))</f>
        <v/>
      </c>
      <c r="H89" s="2" t="str" cm="1">
        <f t="array" ref="H89">IF(SUMPRODUCT((Upload_Indiv_Player=$A85)*(Upload_Indiv_Date=H$2)*(Upload_Indiv_Tot_Eagles))=0,"",SUMPRODUCT((Upload_Indiv_Player=$A85)*(Upload_Indiv_Date=H$2)*(Upload_Indiv_Tot_Eagles)))</f>
        <v/>
      </c>
      <c r="I89" s="2" t="str" cm="1">
        <f t="array" ref="I89">IF(SUMPRODUCT((Upload_Indiv_Player=$A85)*(Upload_Indiv_Date=I$2)*(Upload_Indiv_Tot_Eagles))=0,"",SUMPRODUCT((Upload_Indiv_Player=$A85)*(Upload_Indiv_Date=I$2)*(Upload_Indiv_Tot_Eagles)))</f>
        <v/>
      </c>
      <c r="J89" s="2" t="str" cm="1">
        <f t="array" ref="J89">IF(SUMPRODUCT((Upload_Indiv_Player=$A85)*(Upload_Indiv_Date=J$2)*(Upload_Indiv_Tot_Eagles))=0,"",SUMPRODUCT((Upload_Indiv_Player=$A85)*(Upload_Indiv_Date=J$2)*(Upload_Indiv_Tot_Eagles)))</f>
        <v/>
      </c>
      <c r="K89" s="2" t="str" cm="1">
        <f t="array" ref="K89">IF(SUMPRODUCT((Upload_Indiv_Player=$A85)*(Upload_Indiv_Date=K$2)*(Upload_Indiv_Tot_Eagles))=0,"",SUMPRODUCT((Upload_Indiv_Player=$A85)*(Upload_Indiv_Date=K$2)*(Upload_Indiv_Tot_Eagles)))</f>
        <v/>
      </c>
      <c r="L89" s="2" t="str" cm="1">
        <f t="array" ref="L89">IF(SUMPRODUCT((Upload_Indiv_Player=$A85)*(Upload_Indiv_Date=L$2)*(Upload_Indiv_Tot_Eagles))=0,"",SUMPRODUCT((Upload_Indiv_Player=$A85)*(Upload_Indiv_Date=L$2)*(Upload_Indiv_Tot_Eagles)))</f>
        <v/>
      </c>
      <c r="M89" s="2" t="str" cm="1">
        <f t="array" ref="M89">IF(SUMPRODUCT((Upload_Indiv_Player=$A85)*(Upload_Indiv_Date=M$2)*(Upload_Indiv_Tot_Eagles))=0,"",SUMPRODUCT((Upload_Indiv_Player=$A85)*(Upload_Indiv_Date=M$2)*(Upload_Indiv_Tot_Eagles)))</f>
        <v/>
      </c>
      <c r="N89" s="2" t="str" cm="1">
        <f t="array" ref="N89">IF(SUMPRODUCT((Upload_Indiv_Player=$A85)*(Upload_Indiv_Date=N$2)*(Upload_Indiv_Tot_Eagles))=0,"",SUMPRODUCT((Upload_Indiv_Player=$A85)*(Upload_Indiv_Date=N$2)*(Upload_Indiv_Tot_Eagles)))</f>
        <v/>
      </c>
      <c r="O89" s="2" t="str" cm="1">
        <f t="array" ref="O89">IF(SUMPRODUCT((Upload_Indiv_Player=$A85)*(Upload_Indiv_Date=O$2)*(Upload_Indiv_Tot_Eagles))=0,"",SUMPRODUCT((Upload_Indiv_Player=$A85)*(Upload_Indiv_Date=O$2)*(Upload_Indiv_Tot_Eagles)))</f>
        <v/>
      </c>
      <c r="P89" s="2" t="str" cm="1">
        <f t="array" ref="P89">IF(SUMPRODUCT((Upload_Indiv_Player=$A85)*(Upload_Indiv_Date=P$2)*(Upload_Indiv_Tot_Eagles))=0,"",SUMPRODUCT((Upload_Indiv_Player=$A85)*(Upload_Indiv_Date=P$2)*(Upload_Indiv_Tot_Eagles)))</f>
        <v/>
      </c>
      <c r="Q89" s="2" t="str" cm="1">
        <f t="array" ref="Q89">IF(SUMPRODUCT((Upload_Indiv_Player=$A85)*(Upload_Indiv_Date=Q$2)*(Upload_Indiv_Tot_Eagles))=0,"",SUMPRODUCT((Upload_Indiv_Player=$A85)*(Upload_Indiv_Date=Q$2)*(Upload_Indiv_Tot_Eagles)))</f>
        <v/>
      </c>
      <c r="R89" s="2" t="str" cm="1">
        <f t="array" ref="R89">IF(SUMPRODUCT((Upload_Indiv_Player=$A85)*(Upload_Indiv_Date=R$2)*(Upload_Indiv_Tot_Eagles))=0,"",SUMPRODUCT((Upload_Indiv_Player=$A85)*(Upload_Indiv_Date=R$2)*(Upload_Indiv_Tot_Eagles)))</f>
        <v/>
      </c>
      <c r="S89" s="2" t="str" cm="1">
        <f t="array" ref="S89">IF(SUMPRODUCT((Upload_Indiv_Player=$A85)*(Upload_Indiv_Date=S$2)*(Upload_Indiv_Tot_Eagles))=0,"",SUMPRODUCT((Upload_Indiv_Player=$A85)*(Upload_Indiv_Date=S$2)*(Upload_Indiv_Tot_Eagles)))</f>
        <v/>
      </c>
      <c r="T89" s="2" t="str" cm="1">
        <f t="array" ref="T89">IF(SUMPRODUCT((Upload_Indiv_Player=$A85)*(Upload_Indiv_Date=T$2)*(Upload_Indiv_Tot_Eagles))=0,"",SUMPRODUCT((Upload_Indiv_Player=$A85)*(Upload_Indiv_Date=T$2)*(Upload_Indiv_Tot_Eagles)))</f>
        <v/>
      </c>
      <c r="U89" s="2" t="str" cm="1">
        <f t="array" ref="U89">IF(SUMPRODUCT((Upload_Indiv_Player=$A85)*(Upload_Indiv_Date=U$2)*(Upload_Indiv_Tot_Eagles))=0,"",SUMPRODUCT((Upload_Indiv_Player=$A85)*(Upload_Indiv_Date=U$2)*(Upload_Indiv_Tot_Eagles)))</f>
        <v/>
      </c>
      <c r="V89" s="276"/>
      <c r="W89" s="276"/>
      <c r="X89" s="276"/>
      <c r="Y89" s="277"/>
      <c r="Z89" s="277"/>
      <c r="AA89" s="277"/>
    </row>
    <row r="90" spans="1:27" x14ac:dyDescent="0.25">
      <c r="A90" s="14"/>
      <c r="B90" s="2" t="s">
        <v>176</v>
      </c>
      <c r="C90" s="2" t="str" cm="1">
        <f t="array" ref="C90">IF(SUMPRODUCT((Upload_Indiv_Player=$A85)*(Upload_Indiv_Date=C$2)*(Upload_Indiv_Excl_Score))=0,"",SUMPRODUCT((Upload_Indiv_Player=$A85)*(Upload_Indiv_Date=C$2)*(Upload_Indiv_Excl_Score)))</f>
        <v/>
      </c>
      <c r="D90" s="2" t="str" cm="1">
        <f t="array" ref="D90">IF(SUMPRODUCT((Upload_Indiv_Player=$A85)*(Upload_Indiv_Date=D$2)*(Upload_Indiv_Excl_Score))=0,"",SUMPRODUCT((Upload_Indiv_Player=$A85)*(Upload_Indiv_Date=D$2)*(Upload_Indiv_Excl_Score)))</f>
        <v/>
      </c>
      <c r="E90" s="2" t="str" cm="1">
        <f t="array" ref="E90">IF(SUMPRODUCT((Upload_Indiv_Player=$A85)*(Upload_Indiv_Date=E$2)*(Upload_Indiv_Excl_Score))=0,"",SUMPRODUCT((Upload_Indiv_Player=$A85)*(Upload_Indiv_Date=E$2)*(Upload_Indiv_Excl_Score)))</f>
        <v/>
      </c>
      <c r="F90" s="2" t="str" cm="1">
        <f t="array" ref="F90">IF(SUMPRODUCT((Upload_Indiv_Player=$A85)*(Upload_Indiv_Date=F$2)*(Upload_Indiv_Excl_Score))=0,"",SUMPRODUCT((Upload_Indiv_Player=$A85)*(Upload_Indiv_Date=F$2)*(Upload_Indiv_Excl_Score)))</f>
        <v/>
      </c>
      <c r="G90" s="2" t="str" cm="1">
        <f t="array" ref="G90">IF(SUMPRODUCT((Upload_Indiv_Player=$A85)*(Upload_Indiv_Date=G$2)*(Upload_Indiv_Excl_Score))=0,"",SUMPRODUCT((Upload_Indiv_Player=$A85)*(Upload_Indiv_Date=G$2)*(Upload_Indiv_Excl_Score)))</f>
        <v/>
      </c>
      <c r="H90" s="2" t="str" cm="1">
        <f t="array" ref="H90">IF(SUMPRODUCT((Upload_Indiv_Player=$A85)*(Upload_Indiv_Date=H$2)*(Upload_Indiv_Excl_Score))=0,"",SUMPRODUCT((Upload_Indiv_Player=$A85)*(Upload_Indiv_Date=H$2)*(Upload_Indiv_Excl_Score)))</f>
        <v/>
      </c>
      <c r="I90" s="2" t="str" cm="1">
        <f t="array" ref="I90">IF(SUMPRODUCT((Upload_Indiv_Player=$A85)*(Upload_Indiv_Date=I$2)*(Upload_Indiv_Excl_Score))=0,"",SUMPRODUCT((Upload_Indiv_Player=$A85)*(Upload_Indiv_Date=I$2)*(Upload_Indiv_Excl_Score)))</f>
        <v/>
      </c>
      <c r="J90" s="2" t="str" cm="1">
        <f t="array" ref="J90">IF(SUMPRODUCT((Upload_Indiv_Player=$A85)*(Upload_Indiv_Date=J$2)*(Upload_Indiv_Excl_Score))=0,"",SUMPRODUCT((Upload_Indiv_Player=$A85)*(Upload_Indiv_Date=J$2)*(Upload_Indiv_Excl_Score)))</f>
        <v/>
      </c>
      <c r="K90" s="2" t="str" cm="1">
        <f t="array" ref="K90">IF(SUMPRODUCT((Upload_Indiv_Player=$A85)*(Upload_Indiv_Date=K$2)*(Upload_Indiv_Excl_Score))=0,"",SUMPRODUCT((Upload_Indiv_Player=$A85)*(Upload_Indiv_Date=K$2)*(Upload_Indiv_Excl_Score)))</f>
        <v/>
      </c>
      <c r="L90" s="2" t="str" cm="1">
        <f t="array" ref="L90">IF(SUMPRODUCT((Upload_Indiv_Player=$A85)*(Upload_Indiv_Date=L$2)*(Upload_Indiv_Excl_Score))=0,"",SUMPRODUCT((Upload_Indiv_Player=$A85)*(Upload_Indiv_Date=L$2)*(Upload_Indiv_Excl_Score)))</f>
        <v/>
      </c>
      <c r="M90" s="2" t="str" cm="1">
        <f t="array" ref="M90">IF(SUMPRODUCT((Upload_Indiv_Player=$A85)*(Upload_Indiv_Date=M$2)*(Upload_Indiv_Excl_Score))=0,"",SUMPRODUCT((Upload_Indiv_Player=$A85)*(Upload_Indiv_Date=M$2)*(Upload_Indiv_Excl_Score)))</f>
        <v/>
      </c>
      <c r="N90" s="2" t="str" cm="1">
        <f t="array" ref="N90">IF(SUMPRODUCT((Upload_Indiv_Player=$A85)*(Upload_Indiv_Date=N$2)*(Upload_Indiv_Excl_Score))=0,"",SUMPRODUCT((Upload_Indiv_Player=$A85)*(Upload_Indiv_Date=N$2)*(Upload_Indiv_Excl_Score)))</f>
        <v/>
      </c>
      <c r="O90" s="2" t="str" cm="1">
        <f t="array" ref="O90">IF(SUMPRODUCT((Upload_Indiv_Player=$A85)*(Upload_Indiv_Date=O$2)*(Upload_Indiv_Excl_Score))=0,"",SUMPRODUCT((Upload_Indiv_Player=$A85)*(Upload_Indiv_Date=O$2)*(Upload_Indiv_Excl_Score)))</f>
        <v/>
      </c>
      <c r="P90" s="2" t="str" cm="1">
        <f t="array" ref="P90">IF(SUMPRODUCT((Upload_Indiv_Player=$A85)*(Upload_Indiv_Date=P$2)*(Upload_Indiv_Excl_Score))=0,"",SUMPRODUCT((Upload_Indiv_Player=$A85)*(Upload_Indiv_Date=P$2)*(Upload_Indiv_Excl_Score)))</f>
        <v/>
      </c>
      <c r="Q90" s="2" t="str" cm="1">
        <f t="array" ref="Q90">IF(SUMPRODUCT((Upload_Indiv_Player=$A85)*(Upload_Indiv_Date=Q$2)*(Upload_Indiv_Excl_Score))=0,"",SUMPRODUCT((Upload_Indiv_Player=$A85)*(Upload_Indiv_Date=Q$2)*(Upload_Indiv_Excl_Score)))</f>
        <v/>
      </c>
      <c r="R90" s="2" t="str" cm="1">
        <f t="array" ref="R90">IF(SUMPRODUCT((Upload_Indiv_Player=$A85)*(Upload_Indiv_Date=R$2)*(Upload_Indiv_Excl_Score))=0,"",SUMPRODUCT((Upload_Indiv_Player=$A85)*(Upload_Indiv_Date=R$2)*(Upload_Indiv_Excl_Score)))</f>
        <v/>
      </c>
      <c r="S90" s="2" t="str" cm="1">
        <f t="array" ref="S90">IF(SUMPRODUCT((Upload_Indiv_Player=$A85)*(Upload_Indiv_Date=S$2)*(Upload_Indiv_Excl_Score))=0,"",SUMPRODUCT((Upload_Indiv_Player=$A85)*(Upload_Indiv_Date=S$2)*(Upload_Indiv_Excl_Score)))</f>
        <v/>
      </c>
      <c r="T90" s="2" t="str" cm="1">
        <f t="array" ref="T90">IF(SUMPRODUCT((Upload_Indiv_Player=$A85)*(Upload_Indiv_Date=T$2)*(Upload_Indiv_Excl_Score))=0,"",SUMPRODUCT((Upload_Indiv_Player=$A85)*(Upload_Indiv_Date=T$2)*(Upload_Indiv_Excl_Score)))</f>
        <v/>
      </c>
      <c r="U90" s="2" t="str" cm="1">
        <f t="array" ref="U90">IF(SUMPRODUCT((Upload_Indiv_Player=$A85)*(Upload_Indiv_Date=U$2)*(Upload_Indiv_Excl_Score))=0,"",SUMPRODUCT((Upload_Indiv_Player=$A85)*(Upload_Indiv_Date=U$2)*(Upload_Indiv_Excl_Score)))</f>
        <v/>
      </c>
      <c r="V90" s="276"/>
      <c r="W90" s="276"/>
      <c r="X90" s="276"/>
      <c r="Y90" s="277"/>
      <c r="Z90" s="277"/>
      <c r="AA90" s="277"/>
    </row>
    <row r="91" spans="1:27" x14ac:dyDescent="0.25">
      <c r="A91" s="14"/>
      <c r="B91" s="2" t="s">
        <v>177</v>
      </c>
      <c r="C91" s="2" t="str" cm="1">
        <f t="array" ref="C91">IFERROR(INDEX(Upload_Indiv_Team,MATCH(1,($A85=Upload_Indiv_Player)*(C$2=Upload_Indiv_Date),0)),"")</f>
        <v/>
      </c>
      <c r="D91" s="2" t="str" cm="1">
        <f t="array" ref="D91">IFERROR(INDEX(Upload_Indiv_Team,MATCH(1,($A85=Upload_Indiv_Player)*(D$2=Upload_Indiv_Date),0)),"")</f>
        <v/>
      </c>
      <c r="E91" s="2" t="str" cm="1">
        <f t="array" ref="E91">IFERROR(INDEX(Upload_Indiv_Team,MATCH(1,($A85=Upload_Indiv_Player)*(E$2=Upload_Indiv_Date),0)),"")</f>
        <v/>
      </c>
      <c r="F91" s="2" t="str" cm="1">
        <f t="array" ref="F91">IFERROR(INDEX(Upload_Indiv_Team,MATCH(1,($A85=Upload_Indiv_Player)*(F$2=Upload_Indiv_Date),0)),"")</f>
        <v/>
      </c>
      <c r="G91" s="2" t="str" cm="1">
        <f t="array" ref="G91">IFERROR(INDEX(Upload_Indiv_Team,MATCH(1,($A85=Upload_Indiv_Player)*(G$2=Upload_Indiv_Date),0)),"")</f>
        <v/>
      </c>
      <c r="H91" s="2" t="str" cm="1">
        <f t="array" ref="H91">IFERROR(INDEX(Upload_Indiv_Team,MATCH(1,($A85=Upload_Indiv_Player)*(H$2=Upload_Indiv_Date),0)),"")</f>
        <v/>
      </c>
      <c r="I91" s="2" t="str" cm="1">
        <f t="array" ref="I91">IFERROR(INDEX(Upload_Indiv_Team,MATCH(1,($A85=Upload_Indiv_Player)*(I$2=Upload_Indiv_Date),0)),"")</f>
        <v/>
      </c>
      <c r="J91" s="2" t="str" cm="1">
        <f t="array" ref="J91">IFERROR(INDEX(Upload_Indiv_Team,MATCH(1,($A85=Upload_Indiv_Player)*(J$2=Upload_Indiv_Date),0)),"")</f>
        <v/>
      </c>
      <c r="K91" s="2" t="str" cm="1">
        <f t="array" ref="K91">IFERROR(INDEX(Upload_Indiv_Team,MATCH(1,($A85=Upload_Indiv_Player)*(K$2=Upload_Indiv_Date),0)),"")</f>
        <v/>
      </c>
      <c r="L91" s="2" t="str" cm="1">
        <f t="array" ref="L91">IFERROR(INDEX(Upload_Indiv_Team,MATCH(1,($A85=Upload_Indiv_Player)*(L$2=Upload_Indiv_Date),0)),"")</f>
        <v/>
      </c>
      <c r="M91" s="2" t="str" cm="1">
        <f t="array" ref="M91">IFERROR(INDEX(Upload_Indiv_Team,MATCH(1,($A85=Upload_Indiv_Player)*(M$2=Upload_Indiv_Date),0)),"")</f>
        <v/>
      </c>
      <c r="N91" s="2" t="str" cm="1">
        <f t="array" ref="N91">IFERROR(INDEX(Upload_Indiv_Team,MATCH(1,($A85=Upload_Indiv_Player)*(N$2=Upload_Indiv_Date),0)),"")</f>
        <v/>
      </c>
      <c r="O91" s="2" t="str" cm="1">
        <f t="array" ref="O91">IFERROR(INDEX(Upload_Indiv_Team,MATCH(1,($A85=Upload_Indiv_Player)*(O$2=Upload_Indiv_Date),0)),"")</f>
        <v/>
      </c>
      <c r="P91" s="2" t="str" cm="1">
        <f t="array" ref="P91">IFERROR(INDEX(Upload_Indiv_Team,MATCH(1,($A85=Upload_Indiv_Player)*(P$2=Upload_Indiv_Date),0)),"")</f>
        <v/>
      </c>
      <c r="Q91" s="2" t="str" cm="1">
        <f t="array" ref="Q91">IFERROR(INDEX(Upload_Indiv_Team,MATCH(1,($A85=Upload_Indiv_Player)*(Q$2=Upload_Indiv_Date),0)),"")</f>
        <v/>
      </c>
      <c r="R91" s="2" t="str" cm="1">
        <f t="array" ref="R91">IFERROR(INDEX(Upload_Indiv_Team,MATCH(1,($A85=Upload_Indiv_Player)*(R$2=Upload_Indiv_Date),0)),"")</f>
        <v/>
      </c>
      <c r="S91" s="2" t="str" cm="1">
        <f t="array" ref="S91">IFERROR(INDEX(Upload_Indiv_Team,MATCH(1,($A85=Upload_Indiv_Player)*(S$2=Upload_Indiv_Date),0)),"")</f>
        <v/>
      </c>
      <c r="T91" s="2" t="str" cm="1">
        <f t="array" ref="T91">IFERROR(INDEX(Upload_Indiv_Team,MATCH(1,($A85=Upload_Indiv_Player)*(T$2=Upload_Indiv_Date),0)),"")</f>
        <v/>
      </c>
      <c r="U91" s="2" t="str" cm="1">
        <f t="array" ref="U91">IFERROR(INDEX(Upload_Indiv_Team,MATCH(1,($A85=Upload_Indiv_Player)*(U$2=Upload_Indiv_Date),0)),"")</f>
        <v/>
      </c>
      <c r="V91" s="276"/>
      <c r="W91" s="276"/>
      <c r="X91" s="276"/>
      <c r="Y91" s="277"/>
      <c r="Z91" s="277"/>
      <c r="AA91" s="277"/>
    </row>
    <row r="92" spans="1:27" ht="13.8" thickBot="1" x14ac:dyDescent="0.3">
      <c r="A92" s="329"/>
      <c r="B92" s="8" t="s">
        <v>178</v>
      </c>
      <c r="C92" s="58" t="str">
        <f t="shared" ref="C92:U92" si="11">IF(C85="", "", IF(C87&gt;=11, "w", IF(C87&lt;=9, "l", "t")))</f>
        <v/>
      </c>
      <c r="D92" s="58" t="str">
        <f t="shared" si="11"/>
        <v/>
      </c>
      <c r="E92" s="58" t="str">
        <f t="shared" si="11"/>
        <v/>
      </c>
      <c r="F92" s="58" t="str">
        <f t="shared" si="11"/>
        <v/>
      </c>
      <c r="G92" s="58" t="str">
        <f t="shared" si="11"/>
        <v/>
      </c>
      <c r="H92" s="58" t="str">
        <f t="shared" si="11"/>
        <v/>
      </c>
      <c r="I92" s="58" t="str">
        <f t="shared" si="11"/>
        <v/>
      </c>
      <c r="J92" s="58" t="str">
        <f t="shared" si="11"/>
        <v/>
      </c>
      <c r="K92" s="58" t="str">
        <f t="shared" si="11"/>
        <v/>
      </c>
      <c r="L92" s="58" t="str">
        <f t="shared" si="11"/>
        <v/>
      </c>
      <c r="M92" s="58" t="str">
        <f t="shared" si="11"/>
        <v/>
      </c>
      <c r="N92" s="58" t="str">
        <f t="shared" si="11"/>
        <v/>
      </c>
      <c r="O92" s="58" t="str">
        <f t="shared" si="11"/>
        <v/>
      </c>
      <c r="P92" s="58" t="str">
        <f t="shared" si="11"/>
        <v/>
      </c>
      <c r="Q92" s="58" t="str">
        <f t="shared" si="11"/>
        <v/>
      </c>
      <c r="R92" s="58" t="str">
        <f t="shared" si="11"/>
        <v/>
      </c>
      <c r="S92" s="58" t="str">
        <f t="shared" si="11"/>
        <v/>
      </c>
      <c r="T92" s="58" t="str">
        <f t="shared" si="11"/>
        <v/>
      </c>
      <c r="U92" s="58" t="str">
        <f t="shared" si="11"/>
        <v/>
      </c>
      <c r="V92" s="276"/>
      <c r="W92" s="276"/>
      <c r="X92" s="276"/>
      <c r="Y92" s="277"/>
      <c r="Z92" s="277"/>
      <c r="AA92" s="277"/>
    </row>
    <row r="93" spans="1:27" x14ac:dyDescent="0.25">
      <c r="A93" s="11" t="s">
        <v>210</v>
      </c>
      <c r="B93" s="3" t="s">
        <v>170</v>
      </c>
      <c r="C93" s="3" t="str" cm="1">
        <f t="array" ref="C93">IF(SUMPRODUCT((Upload_Indiv_Player=$A93)*(Upload_Indiv_Date=C$2)*(Upload_Indiv_Gross))=0,"",SUMPRODUCT((Upload_Indiv_Player=$A93)*(Upload_Indiv_Date=C$2)*(Upload_Indiv_Gross)))</f>
        <v/>
      </c>
      <c r="D93" s="3" t="str" cm="1">
        <f t="array" ref="D93">IF(SUMPRODUCT((Upload_Indiv_Player=$A93)*(Upload_Indiv_Date=D$2)*(Upload_Indiv_Gross))=0,"",SUMPRODUCT((Upload_Indiv_Player=$A93)*(Upload_Indiv_Date=D$2)*(Upload_Indiv_Gross)))</f>
        <v/>
      </c>
      <c r="E93" s="3" t="str" cm="1">
        <f t="array" ref="E93">IF(SUMPRODUCT((Upload_Indiv_Player=$A93)*(Upload_Indiv_Date=E$2)*(Upload_Indiv_Gross))=0,"",SUMPRODUCT((Upload_Indiv_Player=$A93)*(Upload_Indiv_Date=E$2)*(Upload_Indiv_Gross)))</f>
        <v/>
      </c>
      <c r="F93" s="3" t="str" cm="1">
        <f t="array" ref="F93">IF(SUMPRODUCT((Upload_Indiv_Player=$A93)*(Upload_Indiv_Date=F$2)*(Upload_Indiv_Gross))=0,"",SUMPRODUCT((Upload_Indiv_Player=$A93)*(Upload_Indiv_Date=F$2)*(Upload_Indiv_Gross)))</f>
        <v/>
      </c>
      <c r="G93" s="3" t="str" cm="1">
        <f t="array" ref="G93">IF(SUMPRODUCT((Upload_Indiv_Player=$A93)*(Upload_Indiv_Date=G$2)*(Upload_Indiv_Gross))=0,"",SUMPRODUCT((Upload_Indiv_Player=$A93)*(Upload_Indiv_Date=G$2)*(Upload_Indiv_Gross)))</f>
        <v/>
      </c>
      <c r="H93" s="3" t="str" cm="1">
        <f t="array" ref="H93">IF(SUMPRODUCT((Upload_Indiv_Player=$A93)*(Upload_Indiv_Date=H$2)*(Upload_Indiv_Gross))=0,"",SUMPRODUCT((Upload_Indiv_Player=$A93)*(Upload_Indiv_Date=H$2)*(Upload_Indiv_Gross)))</f>
        <v/>
      </c>
      <c r="I93" s="3" t="str" cm="1">
        <f t="array" ref="I93">IF(SUMPRODUCT((Upload_Indiv_Player=$A93)*(Upload_Indiv_Date=I$2)*(Upload_Indiv_Gross))=0,"",SUMPRODUCT((Upload_Indiv_Player=$A93)*(Upload_Indiv_Date=I$2)*(Upload_Indiv_Gross)))</f>
        <v/>
      </c>
      <c r="J93" s="3" t="str" cm="1">
        <f t="array" ref="J93">IF(SUMPRODUCT((Upload_Indiv_Player=$A93)*(Upload_Indiv_Date=J$2)*(Upload_Indiv_Gross))=0,"",SUMPRODUCT((Upload_Indiv_Player=$A93)*(Upload_Indiv_Date=J$2)*(Upload_Indiv_Gross)))</f>
        <v/>
      </c>
      <c r="K93" s="3" t="str" cm="1">
        <f t="array" ref="K93">IF(SUMPRODUCT((Upload_Indiv_Player=$A93)*(Upload_Indiv_Date=K$2)*(Upload_Indiv_Gross))=0,"",SUMPRODUCT((Upload_Indiv_Player=$A93)*(Upload_Indiv_Date=K$2)*(Upload_Indiv_Gross)))</f>
        <v/>
      </c>
      <c r="L93" s="3" t="str" cm="1">
        <f t="array" ref="L93">IF(SUMPRODUCT((Upload_Indiv_Player=$A93)*(Upload_Indiv_Date=L$2)*(Upload_Indiv_Gross))=0,"",SUMPRODUCT((Upload_Indiv_Player=$A93)*(Upload_Indiv_Date=L$2)*(Upload_Indiv_Gross)))</f>
        <v/>
      </c>
      <c r="M93" s="3" t="str" cm="1">
        <f t="array" ref="M93">IF(SUMPRODUCT((Upload_Indiv_Player=$A93)*(Upload_Indiv_Date=M$2)*(Upload_Indiv_Gross))=0,"",SUMPRODUCT((Upload_Indiv_Player=$A93)*(Upload_Indiv_Date=M$2)*(Upload_Indiv_Gross)))</f>
        <v/>
      </c>
      <c r="N93" s="3" t="str" cm="1">
        <f t="array" ref="N93">IF(SUMPRODUCT((Upload_Indiv_Player=$A93)*(Upload_Indiv_Date=N$2)*(Upload_Indiv_Gross))=0,"",SUMPRODUCT((Upload_Indiv_Player=$A93)*(Upload_Indiv_Date=N$2)*(Upload_Indiv_Gross)))</f>
        <v/>
      </c>
      <c r="O93" s="3" t="str" cm="1">
        <f t="array" ref="O93">IF(SUMPRODUCT((Upload_Indiv_Player=$A93)*(Upload_Indiv_Date=O$2)*(Upload_Indiv_Gross))=0,"",SUMPRODUCT((Upload_Indiv_Player=$A93)*(Upload_Indiv_Date=O$2)*(Upload_Indiv_Gross)))</f>
        <v/>
      </c>
      <c r="P93" s="3" t="str" cm="1">
        <f t="array" ref="P93">IF(SUMPRODUCT((Upload_Indiv_Player=$A93)*(Upload_Indiv_Date=P$2)*(Upload_Indiv_Gross))=0,"",SUMPRODUCT((Upload_Indiv_Player=$A93)*(Upload_Indiv_Date=P$2)*(Upload_Indiv_Gross)))</f>
        <v/>
      </c>
      <c r="Q93" s="2" t="str" cm="1">
        <f t="array" ref="Q93">IF(SUMPRODUCT((Upload_Indiv_Player=$A93)*(Upload_Indiv_Date=Q$2)*(Upload_Indiv_Gross))=0,"",SUMPRODUCT((Upload_Indiv_Player=$A93)*(Upload_Indiv_Date=Q$2)*(Upload_Indiv_Gross)))</f>
        <v/>
      </c>
      <c r="R93" s="2" t="str" cm="1">
        <f t="array" ref="R93">IF(SUMPRODUCT((Upload_Indiv_Player=$A93)*(Upload_Indiv_Date=R$2)*(Upload_Indiv_Gross))=0,"",SUMPRODUCT((Upload_Indiv_Player=$A93)*(Upload_Indiv_Date=R$2)*(Upload_Indiv_Gross)))</f>
        <v/>
      </c>
      <c r="S93" s="2" t="str" cm="1">
        <f t="array" ref="S93">IF(SUMPRODUCT((Upload_Indiv_Player=$A93)*(Upload_Indiv_Date=S$2)*(Upload_Indiv_Gross))=0,"",SUMPRODUCT((Upload_Indiv_Player=$A93)*(Upload_Indiv_Date=S$2)*(Upload_Indiv_Gross)))</f>
        <v/>
      </c>
      <c r="T93" s="2" t="str" cm="1">
        <f t="array" ref="T93">IF(SUMPRODUCT((Upload_Indiv_Player=$A93)*(Upload_Indiv_Date=T$2)*(Upload_Indiv_Gross))=0,"",SUMPRODUCT((Upload_Indiv_Player=$A93)*(Upload_Indiv_Date=T$2)*(Upload_Indiv_Gross)))</f>
        <v/>
      </c>
      <c r="U93" s="2" t="str" cm="1">
        <f t="array" ref="U93">IF(SUMPRODUCT((Upload_Indiv_Player=$A93)*(Upload_Indiv_Date=U$2)*(Upload_Indiv_Gross))=0,"",SUMPRODUCT((Upload_Indiv_Player=$A93)*(Upload_Indiv_Date=U$2)*(Upload_Indiv_Gross)))</f>
        <v/>
      </c>
      <c r="V93" s="273">
        <v>0</v>
      </c>
      <c r="W93" s="273">
        <v>0</v>
      </c>
      <c r="X93" s="273">
        <v>7</v>
      </c>
      <c r="Y93" s="277">
        <v>13</v>
      </c>
      <c r="Z93" s="277">
        <v>12</v>
      </c>
      <c r="AA93" s="277">
        <v>11</v>
      </c>
    </row>
    <row r="94" spans="1:27" x14ac:dyDescent="0.25">
      <c r="A94" s="216">
        <v>3304183613</v>
      </c>
      <c r="B94" s="2" t="s">
        <v>171</v>
      </c>
      <c r="C94" s="2" t="str" cm="1">
        <f t="array" ref="C94">IF(SUMPRODUCT((Upload_Indiv_Player=$A93)*(Upload_Indiv_Date=C$2)*(Upload_Indiv_Net))=0,"",SUMPRODUCT((Upload_Indiv_Player=$A93)*(Upload_Indiv_Date=C$2)*(Upload_Indiv_Net)))</f>
        <v/>
      </c>
      <c r="D94" s="2" t="str" cm="1">
        <f t="array" ref="D94">IF(SUMPRODUCT((Upload_Indiv_Player=$A93)*(Upload_Indiv_Date=D$2)*(Upload_Indiv_Net))=0,"",SUMPRODUCT((Upload_Indiv_Player=$A93)*(Upload_Indiv_Date=D$2)*(Upload_Indiv_Net)))</f>
        <v/>
      </c>
      <c r="E94" s="2" t="str" cm="1">
        <f t="array" ref="E94">IF(SUMPRODUCT((Upload_Indiv_Player=$A93)*(Upload_Indiv_Date=E$2)*(Upload_Indiv_Net))=0,"",SUMPRODUCT((Upload_Indiv_Player=$A93)*(Upload_Indiv_Date=E$2)*(Upload_Indiv_Net)))</f>
        <v/>
      </c>
      <c r="F94" s="2" t="str" cm="1">
        <f t="array" ref="F94">IF(SUMPRODUCT((Upload_Indiv_Player=$A93)*(Upload_Indiv_Date=F$2)*(Upload_Indiv_Net))=0,"",SUMPRODUCT((Upload_Indiv_Player=$A93)*(Upload_Indiv_Date=F$2)*(Upload_Indiv_Net)))</f>
        <v/>
      </c>
      <c r="G94" s="2" t="str" cm="1">
        <f t="array" ref="G94">IF(SUMPRODUCT((Upload_Indiv_Player=$A93)*(Upload_Indiv_Date=G$2)*(Upload_Indiv_Net))=0,"",SUMPRODUCT((Upload_Indiv_Player=$A93)*(Upload_Indiv_Date=G$2)*(Upload_Indiv_Net)))</f>
        <v/>
      </c>
      <c r="H94" s="2" t="str" cm="1">
        <f t="array" ref="H94">IF(SUMPRODUCT((Upload_Indiv_Player=$A93)*(Upload_Indiv_Date=H$2)*(Upload_Indiv_Net))=0,"",SUMPRODUCT((Upload_Indiv_Player=$A93)*(Upload_Indiv_Date=H$2)*(Upload_Indiv_Net)))</f>
        <v/>
      </c>
      <c r="I94" s="2" t="str" cm="1">
        <f t="array" ref="I94">IF(SUMPRODUCT((Upload_Indiv_Player=$A93)*(Upload_Indiv_Date=I$2)*(Upload_Indiv_Net))=0,"",SUMPRODUCT((Upload_Indiv_Player=$A93)*(Upload_Indiv_Date=I$2)*(Upload_Indiv_Net)))</f>
        <v/>
      </c>
      <c r="J94" s="2" t="str" cm="1">
        <f t="array" ref="J94">IF(SUMPRODUCT((Upload_Indiv_Player=$A93)*(Upload_Indiv_Date=J$2)*(Upload_Indiv_Net))=0,"",SUMPRODUCT((Upload_Indiv_Player=$A93)*(Upload_Indiv_Date=J$2)*(Upload_Indiv_Net)))</f>
        <v/>
      </c>
      <c r="K94" s="2" t="str" cm="1">
        <f t="array" ref="K94">IF(SUMPRODUCT((Upload_Indiv_Player=$A93)*(Upload_Indiv_Date=K$2)*(Upload_Indiv_Net))=0,"",SUMPRODUCT((Upload_Indiv_Player=$A93)*(Upload_Indiv_Date=K$2)*(Upload_Indiv_Net)))</f>
        <v/>
      </c>
      <c r="L94" s="2" t="str" cm="1">
        <f t="array" ref="L94">IF(SUMPRODUCT((Upload_Indiv_Player=$A93)*(Upload_Indiv_Date=L$2)*(Upload_Indiv_Net))=0,"",SUMPRODUCT((Upload_Indiv_Player=$A93)*(Upload_Indiv_Date=L$2)*(Upload_Indiv_Net)))</f>
        <v/>
      </c>
      <c r="M94" s="2" t="str" cm="1">
        <f t="array" ref="M94">IF(SUMPRODUCT((Upload_Indiv_Player=$A93)*(Upload_Indiv_Date=M$2)*(Upload_Indiv_Net))=0,"",SUMPRODUCT((Upload_Indiv_Player=$A93)*(Upload_Indiv_Date=M$2)*(Upload_Indiv_Net)))</f>
        <v/>
      </c>
      <c r="N94" s="2" t="str" cm="1">
        <f t="array" ref="N94">IF(SUMPRODUCT((Upload_Indiv_Player=$A93)*(Upload_Indiv_Date=N$2)*(Upload_Indiv_Net))=0,"",SUMPRODUCT((Upload_Indiv_Player=$A93)*(Upload_Indiv_Date=N$2)*(Upload_Indiv_Net)))</f>
        <v/>
      </c>
      <c r="O94" s="2" t="str" cm="1">
        <f t="array" ref="O94">IF(SUMPRODUCT((Upload_Indiv_Player=$A93)*(Upload_Indiv_Date=O$2)*(Upload_Indiv_Net))=0,"",SUMPRODUCT((Upload_Indiv_Player=$A93)*(Upload_Indiv_Date=O$2)*(Upload_Indiv_Net)))</f>
        <v/>
      </c>
      <c r="P94" s="2" t="str" cm="1">
        <f t="array" ref="P94">IF(SUMPRODUCT((Upload_Indiv_Player=$A93)*(Upload_Indiv_Date=P$2)*(Upload_Indiv_Net))=0,"",SUMPRODUCT((Upload_Indiv_Player=$A93)*(Upload_Indiv_Date=P$2)*(Upload_Indiv_Net)))</f>
        <v/>
      </c>
      <c r="Q94" s="2" t="str" cm="1">
        <f t="array" ref="Q94">IF(SUMPRODUCT((Upload_Indiv_Player=$A93)*(Upload_Indiv_Date=Q$2)*(Upload_Indiv_Net))=0,"",SUMPRODUCT((Upload_Indiv_Player=$A93)*(Upload_Indiv_Date=Q$2)*(Upload_Indiv_Net)))</f>
        <v/>
      </c>
      <c r="R94" s="2" t="str" cm="1">
        <f t="array" ref="R94">IF(SUMPRODUCT((Upload_Indiv_Player=$A93)*(Upload_Indiv_Date=R$2)*(Upload_Indiv_Net))=0,"",SUMPRODUCT((Upload_Indiv_Player=$A93)*(Upload_Indiv_Date=R$2)*(Upload_Indiv_Net)))</f>
        <v/>
      </c>
      <c r="S94" s="2" t="str" cm="1">
        <f t="array" ref="S94">IF(SUMPRODUCT((Upload_Indiv_Player=$A93)*(Upload_Indiv_Date=S$2)*(Upload_Indiv_Net))=0,"",SUMPRODUCT((Upload_Indiv_Player=$A93)*(Upload_Indiv_Date=S$2)*(Upload_Indiv_Net)))</f>
        <v/>
      </c>
      <c r="T94" s="2" t="str" cm="1">
        <f t="array" ref="T94">IF(SUMPRODUCT((Upload_Indiv_Player=$A93)*(Upload_Indiv_Date=T$2)*(Upload_Indiv_Net))=0,"",SUMPRODUCT((Upload_Indiv_Player=$A93)*(Upload_Indiv_Date=T$2)*(Upload_Indiv_Net)))</f>
        <v/>
      </c>
      <c r="U94" s="2" t="str" cm="1">
        <f t="array" ref="U94">IF(SUMPRODUCT((Upload_Indiv_Player=$A93)*(Upload_Indiv_Date=U$2)*(Upload_Indiv_Net))=0,"",SUMPRODUCT((Upload_Indiv_Player=$A93)*(Upload_Indiv_Date=U$2)*(Upload_Indiv_Net)))</f>
        <v/>
      </c>
      <c r="V94" s="276"/>
      <c r="W94" s="276"/>
      <c r="X94" s="276"/>
      <c r="Y94" s="277"/>
      <c r="Z94" s="277"/>
      <c r="AA94" s="277"/>
    </row>
    <row r="95" spans="1:27" x14ac:dyDescent="0.25">
      <c r="A95" s="65" t="s">
        <v>211</v>
      </c>
      <c r="B95" s="2" t="s">
        <v>173</v>
      </c>
      <c r="C95" s="2" t="str" cm="1">
        <f t="array" ref="C95">IF(SUMPRODUCT((Upload_Indiv_Player=$A93)*(Upload_Indiv_Date=C$2)*(Upload_Indiv_PointsTot))=0,"",SUMPRODUCT((Upload_Indiv_Player=$A93)*(Upload_Indiv_Date=C$2)*(Upload_Indiv_PointsTot)))</f>
        <v/>
      </c>
      <c r="D95" s="2" t="str" cm="1">
        <f t="array" ref="D95">IF(SUMPRODUCT((Upload_Indiv_Player=$A93)*(Upload_Indiv_Date=D$2)*(Upload_Indiv_PointsTot))=0,"",SUMPRODUCT((Upload_Indiv_Player=$A93)*(Upload_Indiv_Date=D$2)*(Upload_Indiv_PointsTot)))</f>
        <v/>
      </c>
      <c r="E95" s="2" t="str" cm="1">
        <f t="array" ref="E95">IF(SUMPRODUCT((Upload_Indiv_Player=$A93)*(Upload_Indiv_Date=E$2)*(Upload_Indiv_PointsTot))=0,"",SUMPRODUCT((Upload_Indiv_Player=$A93)*(Upload_Indiv_Date=E$2)*(Upload_Indiv_PointsTot)))</f>
        <v/>
      </c>
      <c r="F95" s="2" t="str" cm="1">
        <f t="array" ref="F95">IF(SUMPRODUCT((Upload_Indiv_Player=$A93)*(Upload_Indiv_Date=F$2)*(Upload_Indiv_PointsTot))=0,"",SUMPRODUCT((Upload_Indiv_Player=$A93)*(Upload_Indiv_Date=F$2)*(Upload_Indiv_PointsTot)))</f>
        <v/>
      </c>
      <c r="G95" s="2" t="str" cm="1">
        <f t="array" ref="G95">IF(SUMPRODUCT((Upload_Indiv_Player=$A93)*(Upload_Indiv_Date=G$2)*(Upload_Indiv_PointsTot))=0,"",SUMPRODUCT((Upload_Indiv_Player=$A93)*(Upload_Indiv_Date=G$2)*(Upload_Indiv_PointsTot)))</f>
        <v/>
      </c>
      <c r="H95" s="2" t="str" cm="1">
        <f t="array" ref="H95">IF(SUMPRODUCT((Upload_Indiv_Player=$A93)*(Upload_Indiv_Date=H$2)*(Upload_Indiv_PointsTot))=0,"",SUMPRODUCT((Upload_Indiv_Player=$A93)*(Upload_Indiv_Date=H$2)*(Upload_Indiv_PointsTot)))</f>
        <v/>
      </c>
      <c r="I95" s="2" t="str" cm="1">
        <f t="array" ref="I95">IF(SUMPRODUCT((Upload_Indiv_Player=$A93)*(Upload_Indiv_Date=I$2)*(Upload_Indiv_PointsTot))=0,"",SUMPRODUCT((Upload_Indiv_Player=$A93)*(Upload_Indiv_Date=I$2)*(Upload_Indiv_PointsTot)))</f>
        <v/>
      </c>
      <c r="J95" s="2" t="str" cm="1">
        <f t="array" ref="J95">IF(SUMPRODUCT((Upload_Indiv_Player=$A93)*(Upload_Indiv_Date=J$2)*(Upload_Indiv_PointsTot))=0,"",SUMPRODUCT((Upload_Indiv_Player=$A93)*(Upload_Indiv_Date=J$2)*(Upload_Indiv_PointsTot)))</f>
        <v/>
      </c>
      <c r="K95" s="2" t="str" cm="1">
        <f t="array" ref="K95">IF(SUMPRODUCT((Upload_Indiv_Player=$A93)*(Upload_Indiv_Date=K$2)*(Upload_Indiv_PointsTot))=0,"",SUMPRODUCT((Upload_Indiv_Player=$A93)*(Upload_Indiv_Date=K$2)*(Upload_Indiv_PointsTot)))</f>
        <v/>
      </c>
      <c r="L95" s="2" t="str" cm="1">
        <f t="array" ref="L95">IF(SUMPRODUCT((Upload_Indiv_Player=$A93)*(Upload_Indiv_Date=L$2)*(Upload_Indiv_PointsTot))=0,"",SUMPRODUCT((Upload_Indiv_Player=$A93)*(Upload_Indiv_Date=L$2)*(Upload_Indiv_PointsTot)))</f>
        <v/>
      </c>
      <c r="M95" s="2" t="str" cm="1">
        <f t="array" ref="M95">IF(SUMPRODUCT((Upload_Indiv_Player=$A93)*(Upload_Indiv_Date=M$2)*(Upload_Indiv_PointsTot))=0,"",SUMPRODUCT((Upload_Indiv_Player=$A93)*(Upload_Indiv_Date=M$2)*(Upload_Indiv_PointsTot)))</f>
        <v/>
      </c>
      <c r="N95" s="2" t="str" cm="1">
        <f t="array" ref="N95">IF(SUMPRODUCT((Upload_Indiv_Player=$A93)*(Upload_Indiv_Date=N$2)*(Upload_Indiv_PointsTot))=0,"",SUMPRODUCT((Upload_Indiv_Player=$A93)*(Upload_Indiv_Date=N$2)*(Upload_Indiv_PointsTot)))</f>
        <v/>
      </c>
      <c r="O95" s="2" t="str" cm="1">
        <f t="array" ref="O95">IF(SUMPRODUCT((Upload_Indiv_Player=$A93)*(Upload_Indiv_Date=O$2)*(Upload_Indiv_PointsTot))=0,"",SUMPRODUCT((Upload_Indiv_Player=$A93)*(Upload_Indiv_Date=O$2)*(Upload_Indiv_PointsTot)))</f>
        <v/>
      </c>
      <c r="P95" s="2" t="str" cm="1">
        <f t="array" ref="P95">IF(SUMPRODUCT((Upload_Indiv_Player=$A93)*(Upload_Indiv_Date=P$2)*(Upload_Indiv_PointsTot))=0,"",SUMPRODUCT((Upload_Indiv_Player=$A93)*(Upload_Indiv_Date=P$2)*(Upload_Indiv_PointsTot)))</f>
        <v/>
      </c>
      <c r="Q95" s="2" t="str" cm="1">
        <f t="array" ref="Q95">IF(SUMPRODUCT((Upload_Indiv_Player=$A93)*(Upload_Indiv_Date=Q$2)*(Upload_Indiv_PointsTot))=0,"",SUMPRODUCT((Upload_Indiv_Player=$A93)*(Upload_Indiv_Date=Q$2)*(Upload_Indiv_PointsTot)))</f>
        <v/>
      </c>
      <c r="R95" s="2" t="str" cm="1">
        <f t="array" ref="R95">IF(SUMPRODUCT((Upload_Indiv_Player=$A93)*(Upload_Indiv_Date=R$2)*(Upload_Indiv_PointsTot))=0,"",SUMPRODUCT((Upload_Indiv_Player=$A93)*(Upload_Indiv_Date=R$2)*(Upload_Indiv_PointsTot)))</f>
        <v/>
      </c>
      <c r="S95" s="2" t="str" cm="1">
        <f t="array" ref="S95">IF(SUMPRODUCT((Upload_Indiv_Player=$A93)*(Upload_Indiv_Date=S$2)*(Upload_Indiv_PointsTot))=0,"",SUMPRODUCT((Upload_Indiv_Player=$A93)*(Upload_Indiv_Date=S$2)*(Upload_Indiv_PointsTot)))</f>
        <v/>
      </c>
      <c r="T95" s="2" t="str" cm="1">
        <f t="array" ref="T95">IF(SUMPRODUCT((Upload_Indiv_Player=$A93)*(Upload_Indiv_Date=T$2)*(Upload_Indiv_PointsTot))=0,"",SUMPRODUCT((Upload_Indiv_Player=$A93)*(Upload_Indiv_Date=T$2)*(Upload_Indiv_PointsTot)))</f>
        <v/>
      </c>
      <c r="U95" s="2" t="str" cm="1">
        <f t="array" ref="U95">IF(SUMPRODUCT((Upload_Indiv_Player=$A93)*(Upload_Indiv_Date=U$2)*(Upload_Indiv_PointsTot))=0,"",SUMPRODUCT((Upload_Indiv_Player=$A93)*(Upload_Indiv_Date=U$2)*(Upload_Indiv_PointsTot)))</f>
        <v/>
      </c>
      <c r="V95" s="276"/>
      <c r="W95" s="276"/>
      <c r="X95" s="276"/>
      <c r="Y95" s="277"/>
      <c r="Z95" s="277"/>
      <c r="AA95" s="277"/>
    </row>
    <row r="96" spans="1:27" x14ac:dyDescent="0.25">
      <c r="A96" s="14"/>
      <c r="B96" s="2" t="s">
        <v>174</v>
      </c>
      <c r="C96" s="2" t="str" cm="1">
        <f t="array" ref="C96">IF(SUMPRODUCT((Upload_Indiv_Player=$A93)*(Upload_Indiv_Date=C$2)*(Upload_Indiv_Tot_Birds))=0,"",SUMPRODUCT((Upload_Indiv_Player=$A93)*(Upload_Indiv_Date=C$2)*(Upload_Indiv_Tot_Birds)))</f>
        <v/>
      </c>
      <c r="D96" s="2" t="str" cm="1">
        <f t="array" ref="D96">IF(SUMPRODUCT((Upload_Indiv_Player=$A93)*(Upload_Indiv_Date=D$2)*(Upload_Indiv_Tot_Birds))=0,"",SUMPRODUCT((Upload_Indiv_Player=$A93)*(Upload_Indiv_Date=D$2)*(Upload_Indiv_Tot_Birds)))</f>
        <v/>
      </c>
      <c r="E96" s="2" t="str" cm="1">
        <f t="array" ref="E96">IF(SUMPRODUCT((Upload_Indiv_Player=$A93)*(Upload_Indiv_Date=E$2)*(Upload_Indiv_Tot_Birds))=0,"",SUMPRODUCT((Upload_Indiv_Player=$A93)*(Upload_Indiv_Date=E$2)*(Upload_Indiv_Tot_Birds)))</f>
        <v/>
      </c>
      <c r="F96" s="2" t="str" cm="1">
        <f t="array" ref="F96">IF(SUMPRODUCT((Upload_Indiv_Player=$A93)*(Upload_Indiv_Date=F$2)*(Upload_Indiv_Tot_Birds))=0,"",SUMPRODUCT((Upload_Indiv_Player=$A93)*(Upload_Indiv_Date=F$2)*(Upload_Indiv_Tot_Birds)))</f>
        <v/>
      </c>
      <c r="G96" s="2" t="str" cm="1">
        <f t="array" ref="G96">IF(SUMPRODUCT((Upload_Indiv_Player=$A93)*(Upload_Indiv_Date=G$2)*(Upload_Indiv_Tot_Birds))=0,"",SUMPRODUCT((Upload_Indiv_Player=$A93)*(Upload_Indiv_Date=G$2)*(Upload_Indiv_Tot_Birds)))</f>
        <v/>
      </c>
      <c r="H96" s="2" t="str" cm="1">
        <f t="array" ref="H96">IF(SUMPRODUCT((Upload_Indiv_Player=$A93)*(Upload_Indiv_Date=H$2)*(Upload_Indiv_Tot_Birds))=0,"",SUMPRODUCT((Upload_Indiv_Player=$A93)*(Upload_Indiv_Date=H$2)*(Upload_Indiv_Tot_Birds)))</f>
        <v/>
      </c>
      <c r="I96" s="2" t="str" cm="1">
        <f t="array" ref="I96">IF(SUMPRODUCT((Upload_Indiv_Player=$A93)*(Upload_Indiv_Date=I$2)*(Upload_Indiv_Tot_Birds))=0,"",SUMPRODUCT((Upload_Indiv_Player=$A93)*(Upload_Indiv_Date=I$2)*(Upload_Indiv_Tot_Birds)))</f>
        <v/>
      </c>
      <c r="J96" s="2" t="str" cm="1">
        <f t="array" ref="J96">IF(SUMPRODUCT((Upload_Indiv_Player=$A93)*(Upload_Indiv_Date=J$2)*(Upload_Indiv_Tot_Birds))=0,"",SUMPRODUCT((Upload_Indiv_Player=$A93)*(Upload_Indiv_Date=J$2)*(Upload_Indiv_Tot_Birds)))</f>
        <v/>
      </c>
      <c r="K96" s="2" t="str" cm="1">
        <f t="array" ref="K96">IF(SUMPRODUCT((Upload_Indiv_Player=$A93)*(Upload_Indiv_Date=K$2)*(Upload_Indiv_Tot_Birds))=0,"",SUMPRODUCT((Upload_Indiv_Player=$A93)*(Upload_Indiv_Date=K$2)*(Upload_Indiv_Tot_Birds)))</f>
        <v/>
      </c>
      <c r="L96" s="2" t="str" cm="1">
        <f t="array" ref="L96">IF(SUMPRODUCT((Upload_Indiv_Player=$A93)*(Upload_Indiv_Date=L$2)*(Upload_Indiv_Tot_Birds))=0,"",SUMPRODUCT((Upload_Indiv_Player=$A93)*(Upload_Indiv_Date=L$2)*(Upload_Indiv_Tot_Birds)))</f>
        <v/>
      </c>
      <c r="M96" s="2" t="str" cm="1">
        <f t="array" ref="M96">IF(SUMPRODUCT((Upload_Indiv_Player=$A93)*(Upload_Indiv_Date=M$2)*(Upload_Indiv_Tot_Birds))=0,"",SUMPRODUCT((Upload_Indiv_Player=$A93)*(Upload_Indiv_Date=M$2)*(Upload_Indiv_Tot_Birds)))</f>
        <v/>
      </c>
      <c r="N96" s="2" t="str" cm="1">
        <f t="array" ref="N96">IF(SUMPRODUCT((Upload_Indiv_Player=$A93)*(Upload_Indiv_Date=N$2)*(Upload_Indiv_Tot_Birds))=0,"",SUMPRODUCT((Upload_Indiv_Player=$A93)*(Upload_Indiv_Date=N$2)*(Upload_Indiv_Tot_Birds)))</f>
        <v/>
      </c>
      <c r="O96" s="2" t="str" cm="1">
        <f t="array" ref="O96">IF(SUMPRODUCT((Upload_Indiv_Player=$A93)*(Upload_Indiv_Date=O$2)*(Upload_Indiv_Tot_Birds))=0,"",SUMPRODUCT((Upload_Indiv_Player=$A93)*(Upload_Indiv_Date=O$2)*(Upload_Indiv_Tot_Birds)))</f>
        <v/>
      </c>
      <c r="P96" s="2" t="str" cm="1">
        <f t="array" ref="P96">IF(SUMPRODUCT((Upload_Indiv_Player=$A93)*(Upload_Indiv_Date=P$2)*(Upload_Indiv_Tot_Birds))=0,"",SUMPRODUCT((Upload_Indiv_Player=$A93)*(Upload_Indiv_Date=P$2)*(Upload_Indiv_Tot_Birds)))</f>
        <v/>
      </c>
      <c r="Q96" s="2" t="str" cm="1">
        <f t="array" ref="Q96">IF(SUMPRODUCT((Upload_Indiv_Player=$A93)*(Upload_Indiv_Date=Q$2)*(Upload_Indiv_Tot_Birds))=0,"",SUMPRODUCT((Upload_Indiv_Player=$A93)*(Upload_Indiv_Date=Q$2)*(Upload_Indiv_Tot_Birds)))</f>
        <v/>
      </c>
      <c r="R96" s="2" t="str" cm="1">
        <f t="array" ref="R96">IF(SUMPRODUCT((Upload_Indiv_Player=$A93)*(Upload_Indiv_Date=R$2)*(Upload_Indiv_Tot_Birds))=0,"",SUMPRODUCT((Upload_Indiv_Player=$A93)*(Upload_Indiv_Date=R$2)*(Upload_Indiv_Tot_Birds)))</f>
        <v/>
      </c>
      <c r="S96" s="2" t="str" cm="1">
        <f t="array" ref="S96">IF(SUMPRODUCT((Upload_Indiv_Player=$A93)*(Upload_Indiv_Date=S$2)*(Upload_Indiv_Tot_Birds))=0,"",SUMPRODUCT((Upload_Indiv_Player=$A93)*(Upload_Indiv_Date=S$2)*(Upload_Indiv_Tot_Birds)))</f>
        <v/>
      </c>
      <c r="T96" s="2" t="str" cm="1">
        <f t="array" ref="T96">IF(SUMPRODUCT((Upload_Indiv_Player=$A93)*(Upload_Indiv_Date=T$2)*(Upload_Indiv_Tot_Birds))=0,"",SUMPRODUCT((Upload_Indiv_Player=$A93)*(Upload_Indiv_Date=T$2)*(Upload_Indiv_Tot_Birds)))</f>
        <v/>
      </c>
      <c r="U96" s="2" t="str" cm="1">
        <f t="array" ref="U96">IF(SUMPRODUCT((Upload_Indiv_Player=$A93)*(Upload_Indiv_Date=U$2)*(Upload_Indiv_Tot_Birds))=0,"",SUMPRODUCT((Upload_Indiv_Player=$A93)*(Upload_Indiv_Date=U$2)*(Upload_Indiv_Tot_Birds)))</f>
        <v/>
      </c>
      <c r="V96" s="276"/>
      <c r="W96" s="276"/>
      <c r="X96" s="276"/>
      <c r="Y96" s="277"/>
      <c r="Z96" s="277"/>
      <c r="AA96" s="277"/>
    </row>
    <row r="97" spans="1:27" x14ac:dyDescent="0.25">
      <c r="A97" s="14"/>
      <c r="B97" s="8" t="s">
        <v>175</v>
      </c>
      <c r="C97" s="2" t="str" cm="1">
        <f t="array" ref="C97">IF(SUMPRODUCT((Upload_Indiv_Player=$A93)*(Upload_Indiv_Date=C$2)*(Upload_Indiv_Tot_Eagles))=0,"",SUMPRODUCT((Upload_Indiv_Player=$A93)*(Upload_Indiv_Date=C$2)*(Upload_Indiv_Tot_Eagles)))</f>
        <v/>
      </c>
      <c r="D97" s="2" t="str" cm="1">
        <f t="array" ref="D97">IF(SUMPRODUCT((Upload_Indiv_Player=$A93)*(Upload_Indiv_Date=D$2)*(Upload_Indiv_Tot_Eagles))=0,"",SUMPRODUCT((Upload_Indiv_Player=$A93)*(Upload_Indiv_Date=D$2)*(Upload_Indiv_Tot_Eagles)))</f>
        <v/>
      </c>
      <c r="E97" s="2" t="str" cm="1">
        <f t="array" ref="E97">IF(SUMPRODUCT((Upload_Indiv_Player=$A93)*(Upload_Indiv_Date=E$2)*(Upload_Indiv_Tot_Eagles))=0,"",SUMPRODUCT((Upload_Indiv_Player=$A93)*(Upload_Indiv_Date=E$2)*(Upload_Indiv_Tot_Eagles)))</f>
        <v/>
      </c>
      <c r="F97" s="2" t="str" cm="1">
        <f t="array" ref="F97">IF(SUMPRODUCT((Upload_Indiv_Player=$A93)*(Upload_Indiv_Date=F$2)*(Upload_Indiv_Tot_Eagles))=0,"",SUMPRODUCT((Upload_Indiv_Player=$A93)*(Upload_Indiv_Date=F$2)*(Upload_Indiv_Tot_Eagles)))</f>
        <v/>
      </c>
      <c r="G97" s="2" t="str" cm="1">
        <f t="array" ref="G97">IF(SUMPRODUCT((Upload_Indiv_Player=$A93)*(Upload_Indiv_Date=G$2)*(Upload_Indiv_Tot_Eagles))=0,"",SUMPRODUCT((Upload_Indiv_Player=$A93)*(Upload_Indiv_Date=G$2)*(Upload_Indiv_Tot_Eagles)))</f>
        <v/>
      </c>
      <c r="H97" s="2" t="str" cm="1">
        <f t="array" ref="H97">IF(SUMPRODUCT((Upload_Indiv_Player=$A93)*(Upload_Indiv_Date=H$2)*(Upload_Indiv_Tot_Eagles))=0,"",SUMPRODUCT((Upload_Indiv_Player=$A93)*(Upload_Indiv_Date=H$2)*(Upload_Indiv_Tot_Eagles)))</f>
        <v/>
      </c>
      <c r="I97" s="2" t="str" cm="1">
        <f t="array" ref="I97">IF(SUMPRODUCT((Upload_Indiv_Player=$A93)*(Upload_Indiv_Date=I$2)*(Upload_Indiv_Tot_Eagles))=0,"",SUMPRODUCT((Upload_Indiv_Player=$A93)*(Upload_Indiv_Date=I$2)*(Upload_Indiv_Tot_Eagles)))</f>
        <v/>
      </c>
      <c r="J97" s="2" t="str" cm="1">
        <f t="array" ref="J97">IF(SUMPRODUCT((Upload_Indiv_Player=$A93)*(Upload_Indiv_Date=J$2)*(Upload_Indiv_Tot_Eagles))=0,"",SUMPRODUCT((Upload_Indiv_Player=$A93)*(Upload_Indiv_Date=J$2)*(Upload_Indiv_Tot_Eagles)))</f>
        <v/>
      </c>
      <c r="K97" s="2" t="str" cm="1">
        <f t="array" ref="K97">IF(SUMPRODUCT((Upload_Indiv_Player=$A93)*(Upload_Indiv_Date=K$2)*(Upload_Indiv_Tot_Eagles))=0,"",SUMPRODUCT((Upload_Indiv_Player=$A93)*(Upload_Indiv_Date=K$2)*(Upload_Indiv_Tot_Eagles)))</f>
        <v/>
      </c>
      <c r="L97" s="2" t="str" cm="1">
        <f t="array" ref="L97">IF(SUMPRODUCT((Upload_Indiv_Player=$A93)*(Upload_Indiv_Date=L$2)*(Upload_Indiv_Tot_Eagles))=0,"",SUMPRODUCT((Upload_Indiv_Player=$A93)*(Upload_Indiv_Date=L$2)*(Upload_Indiv_Tot_Eagles)))</f>
        <v/>
      </c>
      <c r="M97" s="2" t="str" cm="1">
        <f t="array" ref="M97">IF(SUMPRODUCT((Upload_Indiv_Player=$A93)*(Upload_Indiv_Date=M$2)*(Upload_Indiv_Tot_Eagles))=0,"",SUMPRODUCT((Upload_Indiv_Player=$A93)*(Upload_Indiv_Date=M$2)*(Upload_Indiv_Tot_Eagles)))</f>
        <v/>
      </c>
      <c r="N97" s="2" t="str" cm="1">
        <f t="array" ref="N97">IF(SUMPRODUCT((Upload_Indiv_Player=$A93)*(Upload_Indiv_Date=N$2)*(Upload_Indiv_Tot_Eagles))=0,"",SUMPRODUCT((Upload_Indiv_Player=$A93)*(Upload_Indiv_Date=N$2)*(Upload_Indiv_Tot_Eagles)))</f>
        <v/>
      </c>
      <c r="O97" s="2" t="str" cm="1">
        <f t="array" ref="O97">IF(SUMPRODUCT((Upload_Indiv_Player=$A93)*(Upload_Indiv_Date=O$2)*(Upload_Indiv_Tot_Eagles))=0,"",SUMPRODUCT((Upload_Indiv_Player=$A93)*(Upload_Indiv_Date=O$2)*(Upload_Indiv_Tot_Eagles)))</f>
        <v/>
      </c>
      <c r="P97" s="2" t="str" cm="1">
        <f t="array" ref="P97">IF(SUMPRODUCT((Upload_Indiv_Player=$A93)*(Upload_Indiv_Date=P$2)*(Upload_Indiv_Tot_Eagles))=0,"",SUMPRODUCT((Upload_Indiv_Player=$A93)*(Upload_Indiv_Date=P$2)*(Upload_Indiv_Tot_Eagles)))</f>
        <v/>
      </c>
      <c r="Q97" s="2" t="str" cm="1">
        <f t="array" ref="Q97">IF(SUMPRODUCT((Upload_Indiv_Player=$A93)*(Upload_Indiv_Date=Q$2)*(Upload_Indiv_Tot_Eagles))=0,"",SUMPRODUCT((Upload_Indiv_Player=$A93)*(Upload_Indiv_Date=Q$2)*(Upload_Indiv_Tot_Eagles)))</f>
        <v/>
      </c>
      <c r="R97" s="2" t="str" cm="1">
        <f t="array" ref="R97">IF(SUMPRODUCT((Upload_Indiv_Player=$A93)*(Upload_Indiv_Date=R$2)*(Upload_Indiv_Tot_Eagles))=0,"",SUMPRODUCT((Upload_Indiv_Player=$A93)*(Upload_Indiv_Date=R$2)*(Upload_Indiv_Tot_Eagles)))</f>
        <v/>
      </c>
      <c r="S97" s="2" t="str" cm="1">
        <f t="array" ref="S97">IF(SUMPRODUCT((Upload_Indiv_Player=$A93)*(Upload_Indiv_Date=S$2)*(Upload_Indiv_Tot_Eagles))=0,"",SUMPRODUCT((Upload_Indiv_Player=$A93)*(Upload_Indiv_Date=S$2)*(Upload_Indiv_Tot_Eagles)))</f>
        <v/>
      </c>
      <c r="T97" s="2" t="str" cm="1">
        <f t="array" ref="T97">IF(SUMPRODUCT((Upload_Indiv_Player=$A93)*(Upload_Indiv_Date=T$2)*(Upload_Indiv_Tot_Eagles))=0,"",SUMPRODUCT((Upload_Indiv_Player=$A93)*(Upload_Indiv_Date=T$2)*(Upload_Indiv_Tot_Eagles)))</f>
        <v/>
      </c>
      <c r="U97" s="2" t="str" cm="1">
        <f t="array" ref="U97">IF(SUMPRODUCT((Upload_Indiv_Player=$A93)*(Upload_Indiv_Date=U$2)*(Upload_Indiv_Tot_Eagles))=0,"",SUMPRODUCT((Upload_Indiv_Player=$A93)*(Upload_Indiv_Date=U$2)*(Upload_Indiv_Tot_Eagles)))</f>
        <v/>
      </c>
      <c r="V97" s="276"/>
      <c r="W97" s="276"/>
      <c r="X97" s="276"/>
      <c r="Y97" s="277"/>
      <c r="Z97" s="277"/>
      <c r="AA97" s="277"/>
    </row>
    <row r="98" spans="1:27" x14ac:dyDescent="0.25">
      <c r="A98" s="14"/>
      <c r="B98" s="2" t="s">
        <v>176</v>
      </c>
      <c r="C98" s="2" t="str" cm="1">
        <f t="array" ref="C98">IF(SUMPRODUCT((Upload_Indiv_Player=$A93)*(Upload_Indiv_Date=C$2)*(Upload_Indiv_Excl_Score))=0,"",SUMPRODUCT((Upload_Indiv_Player=$A93)*(Upload_Indiv_Date=C$2)*(Upload_Indiv_Excl_Score)))</f>
        <v/>
      </c>
      <c r="D98" s="2" t="str" cm="1">
        <f t="array" ref="D98">IF(SUMPRODUCT((Upload_Indiv_Player=$A93)*(Upload_Indiv_Date=D$2)*(Upload_Indiv_Excl_Score))=0,"",SUMPRODUCT((Upload_Indiv_Player=$A93)*(Upload_Indiv_Date=D$2)*(Upload_Indiv_Excl_Score)))</f>
        <v/>
      </c>
      <c r="E98" s="2" t="str" cm="1">
        <f t="array" ref="E98">IF(SUMPRODUCT((Upload_Indiv_Player=$A93)*(Upload_Indiv_Date=E$2)*(Upload_Indiv_Excl_Score))=0,"",SUMPRODUCT((Upload_Indiv_Player=$A93)*(Upload_Indiv_Date=E$2)*(Upload_Indiv_Excl_Score)))</f>
        <v/>
      </c>
      <c r="F98" s="2" t="str" cm="1">
        <f t="array" ref="F98">IF(SUMPRODUCT((Upload_Indiv_Player=$A93)*(Upload_Indiv_Date=F$2)*(Upload_Indiv_Excl_Score))=0,"",SUMPRODUCT((Upload_Indiv_Player=$A93)*(Upload_Indiv_Date=F$2)*(Upload_Indiv_Excl_Score)))</f>
        <v/>
      </c>
      <c r="G98" s="2" t="str" cm="1">
        <f t="array" ref="G98">IF(SUMPRODUCT((Upload_Indiv_Player=$A93)*(Upload_Indiv_Date=G$2)*(Upload_Indiv_Excl_Score))=0,"",SUMPRODUCT((Upload_Indiv_Player=$A93)*(Upload_Indiv_Date=G$2)*(Upload_Indiv_Excl_Score)))</f>
        <v/>
      </c>
      <c r="H98" s="2" t="str" cm="1">
        <f t="array" ref="H98">IF(SUMPRODUCT((Upload_Indiv_Player=$A93)*(Upload_Indiv_Date=H$2)*(Upload_Indiv_Excl_Score))=0,"",SUMPRODUCT((Upload_Indiv_Player=$A93)*(Upload_Indiv_Date=H$2)*(Upload_Indiv_Excl_Score)))</f>
        <v/>
      </c>
      <c r="I98" s="2" t="str" cm="1">
        <f t="array" ref="I98">IF(SUMPRODUCT((Upload_Indiv_Player=$A93)*(Upload_Indiv_Date=I$2)*(Upload_Indiv_Excl_Score))=0,"",SUMPRODUCT((Upload_Indiv_Player=$A93)*(Upload_Indiv_Date=I$2)*(Upload_Indiv_Excl_Score)))</f>
        <v/>
      </c>
      <c r="J98" s="2" t="str" cm="1">
        <f t="array" ref="J98">IF(SUMPRODUCT((Upload_Indiv_Player=$A93)*(Upload_Indiv_Date=J$2)*(Upload_Indiv_Excl_Score))=0,"",SUMPRODUCT((Upload_Indiv_Player=$A93)*(Upload_Indiv_Date=J$2)*(Upload_Indiv_Excl_Score)))</f>
        <v/>
      </c>
      <c r="K98" s="2" t="str" cm="1">
        <f t="array" ref="K98">IF(SUMPRODUCT((Upload_Indiv_Player=$A93)*(Upload_Indiv_Date=K$2)*(Upload_Indiv_Excl_Score))=0,"",SUMPRODUCT((Upload_Indiv_Player=$A93)*(Upload_Indiv_Date=K$2)*(Upload_Indiv_Excl_Score)))</f>
        <v/>
      </c>
      <c r="L98" s="2" t="str" cm="1">
        <f t="array" ref="L98">IF(SUMPRODUCT((Upload_Indiv_Player=$A93)*(Upload_Indiv_Date=L$2)*(Upload_Indiv_Excl_Score))=0,"",SUMPRODUCT((Upload_Indiv_Player=$A93)*(Upload_Indiv_Date=L$2)*(Upload_Indiv_Excl_Score)))</f>
        <v/>
      </c>
      <c r="M98" s="2" t="str" cm="1">
        <f t="array" ref="M98">IF(SUMPRODUCT((Upload_Indiv_Player=$A93)*(Upload_Indiv_Date=M$2)*(Upload_Indiv_Excl_Score))=0,"",SUMPRODUCT((Upload_Indiv_Player=$A93)*(Upload_Indiv_Date=M$2)*(Upload_Indiv_Excl_Score)))</f>
        <v/>
      </c>
      <c r="N98" s="2" t="str" cm="1">
        <f t="array" ref="N98">IF(SUMPRODUCT((Upload_Indiv_Player=$A93)*(Upload_Indiv_Date=N$2)*(Upload_Indiv_Excl_Score))=0,"",SUMPRODUCT((Upload_Indiv_Player=$A93)*(Upload_Indiv_Date=N$2)*(Upload_Indiv_Excl_Score)))</f>
        <v/>
      </c>
      <c r="O98" s="2" t="str" cm="1">
        <f t="array" ref="O98">IF(SUMPRODUCT((Upload_Indiv_Player=$A93)*(Upload_Indiv_Date=O$2)*(Upload_Indiv_Excl_Score))=0,"",SUMPRODUCT((Upload_Indiv_Player=$A93)*(Upload_Indiv_Date=O$2)*(Upload_Indiv_Excl_Score)))</f>
        <v/>
      </c>
      <c r="P98" s="2" t="str" cm="1">
        <f t="array" ref="P98">IF(SUMPRODUCT((Upload_Indiv_Player=$A93)*(Upload_Indiv_Date=P$2)*(Upload_Indiv_Excl_Score))=0,"",SUMPRODUCT((Upload_Indiv_Player=$A93)*(Upload_Indiv_Date=P$2)*(Upload_Indiv_Excl_Score)))</f>
        <v/>
      </c>
      <c r="Q98" s="2" t="str" cm="1">
        <f t="array" ref="Q98">IF(SUMPRODUCT((Upload_Indiv_Player=$A93)*(Upload_Indiv_Date=Q$2)*(Upload_Indiv_Excl_Score))=0,"",SUMPRODUCT((Upload_Indiv_Player=$A93)*(Upload_Indiv_Date=Q$2)*(Upload_Indiv_Excl_Score)))</f>
        <v/>
      </c>
      <c r="R98" s="2" t="str" cm="1">
        <f t="array" ref="R98">IF(SUMPRODUCT((Upload_Indiv_Player=$A93)*(Upload_Indiv_Date=R$2)*(Upload_Indiv_Excl_Score))=0,"",SUMPRODUCT((Upload_Indiv_Player=$A93)*(Upload_Indiv_Date=R$2)*(Upload_Indiv_Excl_Score)))</f>
        <v/>
      </c>
      <c r="S98" s="2" t="str" cm="1">
        <f t="array" ref="S98">IF(SUMPRODUCT((Upload_Indiv_Player=$A93)*(Upload_Indiv_Date=S$2)*(Upload_Indiv_Excl_Score))=0,"",SUMPRODUCT((Upload_Indiv_Player=$A93)*(Upload_Indiv_Date=S$2)*(Upload_Indiv_Excl_Score)))</f>
        <v/>
      </c>
      <c r="T98" s="2" t="str" cm="1">
        <f t="array" ref="T98">IF(SUMPRODUCT((Upload_Indiv_Player=$A93)*(Upload_Indiv_Date=T$2)*(Upload_Indiv_Excl_Score))=0,"",SUMPRODUCT((Upload_Indiv_Player=$A93)*(Upload_Indiv_Date=T$2)*(Upload_Indiv_Excl_Score)))</f>
        <v/>
      </c>
      <c r="U98" s="2" t="str" cm="1">
        <f t="array" ref="U98">IF(SUMPRODUCT((Upload_Indiv_Player=$A93)*(Upload_Indiv_Date=U$2)*(Upload_Indiv_Excl_Score))=0,"",SUMPRODUCT((Upload_Indiv_Player=$A93)*(Upload_Indiv_Date=U$2)*(Upload_Indiv_Excl_Score)))</f>
        <v/>
      </c>
      <c r="V98" s="276"/>
      <c r="W98" s="276"/>
      <c r="X98" s="276"/>
      <c r="Y98" s="277"/>
      <c r="Z98" s="277"/>
      <c r="AA98" s="277"/>
    </row>
    <row r="99" spans="1:27" x14ac:dyDescent="0.25">
      <c r="A99" s="14"/>
      <c r="B99" s="2" t="s">
        <v>177</v>
      </c>
      <c r="C99" s="2" t="str" cm="1">
        <f t="array" ref="C99">IFERROR(INDEX(Upload_Indiv_Team,MATCH(1,($A93=Upload_Indiv_Player)*(C$2=Upload_Indiv_Date),0)),"")</f>
        <v/>
      </c>
      <c r="D99" s="2" t="str" cm="1">
        <f t="array" ref="D99">IFERROR(INDEX(Upload_Indiv_Team,MATCH(1,($A93=Upload_Indiv_Player)*(D$2=Upload_Indiv_Date),0)),"")</f>
        <v/>
      </c>
      <c r="E99" s="2" t="str" cm="1">
        <f t="array" ref="E99">IFERROR(INDEX(Upload_Indiv_Team,MATCH(1,($A93=Upload_Indiv_Player)*(E$2=Upload_Indiv_Date),0)),"")</f>
        <v/>
      </c>
      <c r="F99" s="2" t="str" cm="1">
        <f t="array" ref="F99">IFERROR(INDEX(Upload_Indiv_Team,MATCH(1,($A93=Upload_Indiv_Player)*(F$2=Upload_Indiv_Date),0)),"")</f>
        <v/>
      </c>
      <c r="G99" s="2" t="str" cm="1">
        <f t="array" ref="G99">IFERROR(INDEX(Upload_Indiv_Team,MATCH(1,($A93=Upload_Indiv_Player)*(G$2=Upload_Indiv_Date),0)),"")</f>
        <v/>
      </c>
      <c r="H99" s="2" t="str" cm="1">
        <f t="array" ref="H99">IFERROR(INDEX(Upload_Indiv_Team,MATCH(1,($A93=Upload_Indiv_Player)*(H$2=Upload_Indiv_Date),0)),"")</f>
        <v/>
      </c>
      <c r="I99" s="2" t="str" cm="1">
        <f t="array" ref="I99">IFERROR(INDEX(Upload_Indiv_Team,MATCH(1,($A93=Upload_Indiv_Player)*(I$2=Upload_Indiv_Date),0)),"")</f>
        <v/>
      </c>
      <c r="J99" s="2" t="str" cm="1">
        <f t="array" ref="J99">IFERROR(INDEX(Upload_Indiv_Team,MATCH(1,($A93=Upload_Indiv_Player)*(J$2=Upload_Indiv_Date),0)),"")</f>
        <v/>
      </c>
      <c r="K99" s="2" t="str" cm="1">
        <f t="array" ref="K99">IFERROR(INDEX(Upload_Indiv_Team,MATCH(1,($A93=Upload_Indiv_Player)*(K$2=Upload_Indiv_Date),0)),"")</f>
        <v/>
      </c>
      <c r="L99" s="2" t="str" cm="1">
        <f t="array" ref="L99">IFERROR(INDEX(Upload_Indiv_Team,MATCH(1,($A93=Upload_Indiv_Player)*(L$2=Upload_Indiv_Date),0)),"")</f>
        <v/>
      </c>
      <c r="M99" s="2" t="str" cm="1">
        <f t="array" ref="M99">IFERROR(INDEX(Upload_Indiv_Team,MATCH(1,($A93=Upload_Indiv_Player)*(M$2=Upload_Indiv_Date),0)),"")</f>
        <v/>
      </c>
      <c r="N99" s="2" t="str" cm="1">
        <f t="array" ref="N99">IFERROR(INDEX(Upload_Indiv_Team,MATCH(1,($A93=Upload_Indiv_Player)*(N$2=Upload_Indiv_Date),0)),"")</f>
        <v/>
      </c>
      <c r="O99" s="2" t="str" cm="1">
        <f t="array" ref="O99">IFERROR(INDEX(Upload_Indiv_Team,MATCH(1,($A93=Upload_Indiv_Player)*(O$2=Upload_Indiv_Date),0)),"")</f>
        <v/>
      </c>
      <c r="P99" s="2" t="str" cm="1">
        <f t="array" ref="P99">IFERROR(INDEX(Upload_Indiv_Team,MATCH(1,($A93=Upload_Indiv_Player)*(P$2=Upload_Indiv_Date),0)),"")</f>
        <v/>
      </c>
      <c r="Q99" s="2" t="str" cm="1">
        <f t="array" ref="Q99">IFERROR(INDEX(Upload_Indiv_Team,MATCH(1,($A93=Upload_Indiv_Player)*(Q$2=Upload_Indiv_Date),0)),"")</f>
        <v/>
      </c>
      <c r="R99" s="2" t="str" cm="1">
        <f t="array" ref="R99">IFERROR(INDEX(Upload_Indiv_Team,MATCH(1,($A93=Upload_Indiv_Player)*(R$2=Upload_Indiv_Date),0)),"")</f>
        <v/>
      </c>
      <c r="S99" s="2" t="str" cm="1">
        <f t="array" ref="S99">IFERROR(INDEX(Upload_Indiv_Team,MATCH(1,($A93=Upload_Indiv_Player)*(S$2=Upload_Indiv_Date),0)),"")</f>
        <v/>
      </c>
      <c r="T99" s="2" t="str" cm="1">
        <f t="array" ref="T99">IFERROR(INDEX(Upload_Indiv_Team,MATCH(1,($A93=Upload_Indiv_Player)*(T$2=Upload_Indiv_Date),0)),"")</f>
        <v/>
      </c>
      <c r="U99" s="2" t="str" cm="1">
        <f t="array" ref="U99">IFERROR(INDEX(Upload_Indiv_Team,MATCH(1,($A93=Upload_Indiv_Player)*(U$2=Upload_Indiv_Date),0)),"")</f>
        <v/>
      </c>
      <c r="V99" s="276"/>
      <c r="W99" s="276"/>
      <c r="X99" s="276"/>
      <c r="Y99" s="277"/>
      <c r="Z99" s="277"/>
      <c r="AA99" s="277"/>
    </row>
    <row r="100" spans="1:27" ht="13.8" thickBot="1" x14ac:dyDescent="0.3">
      <c r="A100" s="329"/>
      <c r="B100" s="8" t="s">
        <v>178</v>
      </c>
      <c r="C100" s="58" t="str">
        <f t="shared" ref="C100:U100" si="12">IF(C93="", "", IF(C95&gt;=11, "w", IF(C95&lt;=9, "l", "t")))</f>
        <v/>
      </c>
      <c r="D100" s="58" t="str">
        <f t="shared" si="12"/>
        <v/>
      </c>
      <c r="E100" s="58" t="str">
        <f t="shared" si="12"/>
        <v/>
      </c>
      <c r="F100" s="58" t="str">
        <f t="shared" si="12"/>
        <v/>
      </c>
      <c r="G100" s="58" t="str">
        <f t="shared" si="12"/>
        <v/>
      </c>
      <c r="H100" s="58" t="str">
        <f t="shared" si="12"/>
        <v/>
      </c>
      <c r="I100" s="58" t="str">
        <f t="shared" si="12"/>
        <v/>
      </c>
      <c r="J100" s="58" t="str">
        <f t="shared" si="12"/>
        <v/>
      </c>
      <c r="K100" s="58" t="str">
        <f t="shared" si="12"/>
        <v/>
      </c>
      <c r="L100" s="58" t="str">
        <f t="shared" si="12"/>
        <v/>
      </c>
      <c r="M100" s="58" t="str">
        <f t="shared" si="12"/>
        <v/>
      </c>
      <c r="N100" s="58" t="str">
        <f t="shared" si="12"/>
        <v/>
      </c>
      <c r="O100" s="58" t="str">
        <f t="shared" si="12"/>
        <v/>
      </c>
      <c r="P100" s="58" t="str">
        <f t="shared" si="12"/>
        <v/>
      </c>
      <c r="Q100" s="58" t="str">
        <f t="shared" si="12"/>
        <v/>
      </c>
      <c r="R100" s="58" t="str">
        <f t="shared" si="12"/>
        <v/>
      </c>
      <c r="S100" s="58" t="str">
        <f t="shared" si="12"/>
        <v/>
      </c>
      <c r="T100" s="58" t="str">
        <f t="shared" si="12"/>
        <v/>
      </c>
      <c r="U100" s="58" t="str">
        <f t="shared" si="12"/>
        <v/>
      </c>
      <c r="V100" s="276"/>
      <c r="W100" s="276"/>
      <c r="X100" s="276"/>
      <c r="Y100" s="277"/>
      <c r="Z100" s="277"/>
      <c r="AA100" s="277"/>
    </row>
    <row r="101" spans="1:27" x14ac:dyDescent="0.25">
      <c r="A101" s="11" t="s">
        <v>216</v>
      </c>
      <c r="B101" s="17" t="s">
        <v>170</v>
      </c>
      <c r="C101" s="3" t="str" cm="1">
        <f t="array" ref="C101">IF(SUMPRODUCT((Upload_Indiv_Player=$A101)*(Upload_Indiv_Date=C$2)*(Upload_Indiv_Gross))=0,"",SUMPRODUCT((Upload_Indiv_Player=$A101)*(Upload_Indiv_Date=C$2)*(Upload_Indiv_Gross)))</f>
        <v/>
      </c>
      <c r="D101" s="3" t="str" cm="1">
        <f t="array" ref="D101">IF(SUMPRODUCT((Upload_Indiv_Player=$A101)*(Upload_Indiv_Date=D$2)*(Upload_Indiv_Gross))=0,"",SUMPRODUCT((Upload_Indiv_Player=$A101)*(Upload_Indiv_Date=D$2)*(Upload_Indiv_Gross)))</f>
        <v/>
      </c>
      <c r="E101" s="3" t="str" cm="1">
        <f t="array" ref="E101">IF(SUMPRODUCT((Upload_Indiv_Player=$A101)*(Upload_Indiv_Date=E$2)*(Upload_Indiv_Gross))=0,"",SUMPRODUCT((Upload_Indiv_Player=$A101)*(Upload_Indiv_Date=E$2)*(Upload_Indiv_Gross)))</f>
        <v/>
      </c>
      <c r="F101" s="3" t="str" cm="1">
        <f t="array" ref="F101">IF(SUMPRODUCT((Upload_Indiv_Player=$A101)*(Upload_Indiv_Date=F$2)*(Upload_Indiv_Gross))=0,"",SUMPRODUCT((Upload_Indiv_Player=$A101)*(Upload_Indiv_Date=F$2)*(Upload_Indiv_Gross)))</f>
        <v/>
      </c>
      <c r="G101" s="3" t="str" cm="1">
        <f t="array" ref="G101">IF(SUMPRODUCT((Upload_Indiv_Player=$A101)*(Upload_Indiv_Date=G$2)*(Upload_Indiv_Gross))=0,"",SUMPRODUCT((Upload_Indiv_Player=$A101)*(Upload_Indiv_Date=G$2)*(Upload_Indiv_Gross)))</f>
        <v/>
      </c>
      <c r="H101" s="3" cm="1">
        <f t="array" ref="H101">IF(SUMPRODUCT((Upload_Indiv_Player=$A101)*(Upload_Indiv_Date=H$2)*(Upload_Indiv_Gross))=0,"",SUMPRODUCT((Upload_Indiv_Player=$A101)*(Upload_Indiv_Date=H$2)*(Upload_Indiv_Gross)))</f>
        <v>54</v>
      </c>
      <c r="I101" s="3" t="str" cm="1">
        <f t="array" ref="I101">IF(SUMPRODUCT((Upload_Indiv_Player=$A101)*(Upload_Indiv_Date=I$2)*(Upload_Indiv_Gross))=0,"",SUMPRODUCT((Upload_Indiv_Player=$A101)*(Upload_Indiv_Date=I$2)*(Upload_Indiv_Gross)))</f>
        <v/>
      </c>
      <c r="J101" s="3" t="str" cm="1">
        <f t="array" ref="J101">IF(SUMPRODUCT((Upload_Indiv_Player=$A101)*(Upload_Indiv_Date=J$2)*(Upload_Indiv_Gross))=0,"",SUMPRODUCT((Upload_Indiv_Player=$A101)*(Upload_Indiv_Date=J$2)*(Upload_Indiv_Gross)))</f>
        <v/>
      </c>
      <c r="K101" s="3" t="str" cm="1">
        <f t="array" ref="K101">IF(SUMPRODUCT((Upload_Indiv_Player=$A101)*(Upload_Indiv_Date=K$2)*(Upload_Indiv_Gross))=0,"",SUMPRODUCT((Upload_Indiv_Player=$A101)*(Upload_Indiv_Date=K$2)*(Upload_Indiv_Gross)))</f>
        <v/>
      </c>
      <c r="L101" s="3" t="str" cm="1">
        <f t="array" ref="L101">IF(SUMPRODUCT((Upload_Indiv_Player=$A101)*(Upload_Indiv_Date=L$2)*(Upload_Indiv_Gross))=0,"",SUMPRODUCT((Upload_Indiv_Player=$A101)*(Upload_Indiv_Date=L$2)*(Upload_Indiv_Gross)))</f>
        <v/>
      </c>
      <c r="M101" s="3" t="str" cm="1">
        <f t="array" ref="M101">IF(SUMPRODUCT((Upload_Indiv_Player=$A101)*(Upload_Indiv_Date=M$2)*(Upload_Indiv_Gross))=0,"",SUMPRODUCT((Upload_Indiv_Player=$A101)*(Upload_Indiv_Date=M$2)*(Upload_Indiv_Gross)))</f>
        <v/>
      </c>
      <c r="N101" s="3" t="str" cm="1">
        <f t="array" ref="N101">IF(SUMPRODUCT((Upload_Indiv_Player=$A101)*(Upload_Indiv_Date=N$2)*(Upload_Indiv_Gross))=0,"",SUMPRODUCT((Upload_Indiv_Player=$A101)*(Upload_Indiv_Date=N$2)*(Upload_Indiv_Gross)))</f>
        <v/>
      </c>
      <c r="O101" s="3" t="str" cm="1">
        <f t="array" ref="O101">IF(SUMPRODUCT((Upload_Indiv_Player=$A101)*(Upload_Indiv_Date=O$2)*(Upload_Indiv_Gross))=0,"",SUMPRODUCT((Upload_Indiv_Player=$A101)*(Upload_Indiv_Date=O$2)*(Upload_Indiv_Gross)))</f>
        <v/>
      </c>
      <c r="P101" s="3" t="str" cm="1">
        <f t="array" ref="P101">IF(SUMPRODUCT((Upload_Indiv_Player=$A101)*(Upload_Indiv_Date=P$2)*(Upload_Indiv_Gross))=0,"",SUMPRODUCT((Upload_Indiv_Player=$A101)*(Upload_Indiv_Date=P$2)*(Upload_Indiv_Gross)))</f>
        <v/>
      </c>
      <c r="Q101" s="2" t="str" cm="1">
        <f t="array" ref="Q101">IF(SUMPRODUCT((Upload_Indiv_Player=$A101)*(Upload_Indiv_Date=Q$2)*(Upload_Indiv_Gross))=0,"",SUMPRODUCT((Upload_Indiv_Player=$A101)*(Upload_Indiv_Date=Q$2)*(Upload_Indiv_Gross)))</f>
        <v/>
      </c>
      <c r="R101" s="2" t="str" cm="1">
        <f t="array" ref="R101">IF(SUMPRODUCT((Upload_Indiv_Player=$A101)*(Upload_Indiv_Date=R$2)*(Upload_Indiv_Gross))=0,"",SUMPRODUCT((Upload_Indiv_Player=$A101)*(Upload_Indiv_Date=R$2)*(Upload_Indiv_Gross)))</f>
        <v/>
      </c>
      <c r="S101" s="3" t="str" cm="1">
        <f t="array" ref="S101">IF(SUMPRODUCT((Upload_Indiv_Player=$A101)*(Upload_Indiv_Date=S$2)*(Upload_Indiv_Gross))=0,"",SUMPRODUCT((Upload_Indiv_Player=$A101)*(Upload_Indiv_Date=S$2)*(Upload_Indiv_Gross)))</f>
        <v/>
      </c>
      <c r="T101" s="2" t="str" cm="1">
        <f t="array" ref="T101">IF(SUMPRODUCT((Upload_Indiv_Player=$A101)*(Upload_Indiv_Date=T$2)*(Upload_Indiv_Gross))=0,"",SUMPRODUCT((Upload_Indiv_Player=$A101)*(Upload_Indiv_Date=T$2)*(Upload_Indiv_Gross)))</f>
        <v/>
      </c>
      <c r="U101" s="2" t="str" cm="1">
        <f t="array" ref="U101">IF(SUMPRODUCT((Upload_Indiv_Player=$A101)*(Upload_Indiv_Date=U$2)*(Upload_Indiv_Gross))=0,"",SUMPRODUCT((Upload_Indiv_Player=$A101)*(Upload_Indiv_Date=U$2)*(Upload_Indiv_Gross)))</f>
        <v/>
      </c>
      <c r="V101" s="273">
        <v>0</v>
      </c>
      <c r="W101" s="273">
        <v>0</v>
      </c>
      <c r="X101" s="273">
        <v>1</v>
      </c>
      <c r="Y101" s="277">
        <v>0</v>
      </c>
      <c r="Z101" s="277">
        <v>0</v>
      </c>
      <c r="AA101" s="277">
        <v>13</v>
      </c>
    </row>
    <row r="102" spans="1:27" x14ac:dyDescent="0.25">
      <c r="A102" s="216">
        <v>3307545960</v>
      </c>
      <c r="B102" s="8" t="s">
        <v>171</v>
      </c>
      <c r="C102" s="2" t="str" cm="1">
        <f t="array" ref="C102">IF(SUMPRODUCT((Upload_Indiv_Player=$A101)*(Upload_Indiv_Date=C$2)*(Upload_Indiv_Net))=0,"",SUMPRODUCT((Upload_Indiv_Player=$A101)*(Upload_Indiv_Date=C$2)*(Upload_Indiv_Net)))</f>
        <v/>
      </c>
      <c r="D102" s="2" t="str" cm="1">
        <f t="array" ref="D102">IF(SUMPRODUCT((Upload_Indiv_Player=$A101)*(Upload_Indiv_Date=D$2)*(Upload_Indiv_Net))=0,"",SUMPRODUCT((Upload_Indiv_Player=$A101)*(Upload_Indiv_Date=D$2)*(Upload_Indiv_Net)))</f>
        <v/>
      </c>
      <c r="E102" s="2" t="str" cm="1">
        <f t="array" ref="E102">IF(SUMPRODUCT((Upload_Indiv_Player=$A101)*(Upload_Indiv_Date=E$2)*(Upload_Indiv_Net))=0,"",SUMPRODUCT((Upload_Indiv_Player=$A101)*(Upload_Indiv_Date=E$2)*(Upload_Indiv_Net)))</f>
        <v/>
      </c>
      <c r="F102" s="2" t="str" cm="1">
        <f t="array" ref="F102">IF(SUMPRODUCT((Upload_Indiv_Player=$A101)*(Upload_Indiv_Date=F$2)*(Upload_Indiv_Net))=0,"",SUMPRODUCT((Upload_Indiv_Player=$A101)*(Upload_Indiv_Date=F$2)*(Upload_Indiv_Net)))</f>
        <v/>
      </c>
      <c r="G102" s="2" t="str" cm="1">
        <f t="array" ref="G102">IF(SUMPRODUCT((Upload_Indiv_Player=$A101)*(Upload_Indiv_Date=G$2)*(Upload_Indiv_Net))=0,"",SUMPRODUCT((Upload_Indiv_Player=$A101)*(Upload_Indiv_Date=G$2)*(Upload_Indiv_Net)))</f>
        <v/>
      </c>
      <c r="H102" s="2" cm="1">
        <f t="array" ref="H102">IF(SUMPRODUCT((Upload_Indiv_Player=$A101)*(Upload_Indiv_Date=H$2)*(Upload_Indiv_Net))=0,"",SUMPRODUCT((Upload_Indiv_Player=$A101)*(Upload_Indiv_Date=H$2)*(Upload_Indiv_Net)))</f>
        <v>39</v>
      </c>
      <c r="I102" s="2" t="str" cm="1">
        <f t="array" ref="I102">IF(SUMPRODUCT((Upload_Indiv_Player=$A101)*(Upload_Indiv_Date=I$2)*(Upload_Indiv_Net))=0,"",SUMPRODUCT((Upload_Indiv_Player=$A101)*(Upload_Indiv_Date=I$2)*(Upload_Indiv_Net)))</f>
        <v/>
      </c>
      <c r="J102" s="2" t="str" cm="1">
        <f t="array" ref="J102">IF(SUMPRODUCT((Upload_Indiv_Player=$A101)*(Upload_Indiv_Date=J$2)*(Upload_Indiv_Net))=0,"",SUMPRODUCT((Upload_Indiv_Player=$A101)*(Upload_Indiv_Date=J$2)*(Upload_Indiv_Net)))</f>
        <v/>
      </c>
      <c r="K102" s="2" t="str" cm="1">
        <f t="array" ref="K102">IF(SUMPRODUCT((Upload_Indiv_Player=$A101)*(Upload_Indiv_Date=K$2)*(Upload_Indiv_Net))=0,"",SUMPRODUCT((Upload_Indiv_Player=$A101)*(Upload_Indiv_Date=K$2)*(Upload_Indiv_Net)))</f>
        <v/>
      </c>
      <c r="L102" s="2" t="str" cm="1">
        <f t="array" ref="L102">IF(SUMPRODUCT((Upload_Indiv_Player=$A101)*(Upload_Indiv_Date=L$2)*(Upload_Indiv_Net))=0,"",SUMPRODUCT((Upload_Indiv_Player=$A101)*(Upload_Indiv_Date=L$2)*(Upload_Indiv_Net)))</f>
        <v/>
      </c>
      <c r="M102" s="2" t="str" cm="1">
        <f t="array" ref="M102">IF(SUMPRODUCT((Upload_Indiv_Player=$A101)*(Upload_Indiv_Date=M$2)*(Upload_Indiv_Net))=0,"",SUMPRODUCT((Upload_Indiv_Player=$A101)*(Upload_Indiv_Date=M$2)*(Upload_Indiv_Net)))</f>
        <v/>
      </c>
      <c r="N102" s="2" t="str" cm="1">
        <f t="array" ref="N102">IF(SUMPRODUCT((Upload_Indiv_Player=$A101)*(Upload_Indiv_Date=N$2)*(Upload_Indiv_Net))=0,"",SUMPRODUCT((Upload_Indiv_Player=$A101)*(Upload_Indiv_Date=N$2)*(Upload_Indiv_Net)))</f>
        <v/>
      </c>
      <c r="O102" s="2" t="str" cm="1">
        <f t="array" ref="O102">IF(SUMPRODUCT((Upload_Indiv_Player=$A101)*(Upload_Indiv_Date=O$2)*(Upload_Indiv_Net))=0,"",SUMPRODUCT((Upload_Indiv_Player=$A101)*(Upload_Indiv_Date=O$2)*(Upload_Indiv_Net)))</f>
        <v/>
      </c>
      <c r="P102" s="2" t="str" cm="1">
        <f t="array" ref="P102">IF(SUMPRODUCT((Upload_Indiv_Player=$A101)*(Upload_Indiv_Date=P$2)*(Upload_Indiv_Net))=0,"",SUMPRODUCT((Upload_Indiv_Player=$A101)*(Upload_Indiv_Date=P$2)*(Upload_Indiv_Net)))</f>
        <v/>
      </c>
      <c r="Q102" s="2" t="str" cm="1">
        <f t="array" ref="Q102">IF(SUMPRODUCT((Upload_Indiv_Player=$A101)*(Upload_Indiv_Date=Q$2)*(Upload_Indiv_Net))=0,"",SUMPRODUCT((Upload_Indiv_Player=$A101)*(Upload_Indiv_Date=Q$2)*(Upload_Indiv_Net)))</f>
        <v/>
      </c>
      <c r="R102" s="2" t="str" cm="1">
        <f t="array" ref="R102">IF(SUMPRODUCT((Upload_Indiv_Player=$A101)*(Upload_Indiv_Date=R$2)*(Upload_Indiv_Net))=0,"",SUMPRODUCT((Upload_Indiv_Player=$A101)*(Upload_Indiv_Date=R$2)*(Upload_Indiv_Net)))</f>
        <v/>
      </c>
      <c r="S102" s="2" t="str" cm="1">
        <f t="array" ref="S102">IF(SUMPRODUCT((Upload_Indiv_Player=$A101)*(Upload_Indiv_Date=S$2)*(Upload_Indiv_Net))=0,"",SUMPRODUCT((Upload_Indiv_Player=$A101)*(Upload_Indiv_Date=S$2)*(Upload_Indiv_Net)))</f>
        <v/>
      </c>
      <c r="T102" s="2" t="str" cm="1">
        <f t="array" ref="T102">IF(SUMPRODUCT((Upload_Indiv_Player=$A101)*(Upload_Indiv_Date=T$2)*(Upload_Indiv_Net))=0,"",SUMPRODUCT((Upload_Indiv_Player=$A101)*(Upload_Indiv_Date=T$2)*(Upload_Indiv_Net)))</f>
        <v/>
      </c>
      <c r="U102" s="2" t="str" cm="1">
        <f t="array" ref="U102">IF(SUMPRODUCT((Upload_Indiv_Player=$A101)*(Upload_Indiv_Date=U$2)*(Upload_Indiv_Net))=0,"",SUMPRODUCT((Upload_Indiv_Player=$A101)*(Upload_Indiv_Date=U$2)*(Upload_Indiv_Net)))</f>
        <v/>
      </c>
      <c r="V102" s="276"/>
      <c r="W102" s="276"/>
      <c r="X102" s="276"/>
      <c r="Y102" s="277"/>
      <c r="Z102" s="277"/>
      <c r="AA102" s="277"/>
    </row>
    <row r="103" spans="1:27" x14ac:dyDescent="0.25">
      <c r="A103" s="65" t="s">
        <v>217</v>
      </c>
      <c r="B103" s="8" t="s">
        <v>173</v>
      </c>
      <c r="C103" s="2" t="str" cm="1">
        <f t="array" ref="C103">IF(SUMPRODUCT((Upload_Indiv_Player=$A101)*(Upload_Indiv_Date=C$2)*(Upload_Indiv_PointsTot))=0,"",SUMPRODUCT((Upload_Indiv_Player=$A101)*(Upload_Indiv_Date=C$2)*(Upload_Indiv_PointsTot)))</f>
        <v/>
      </c>
      <c r="D103" s="2" t="str" cm="1">
        <f t="array" ref="D103">IF(SUMPRODUCT((Upload_Indiv_Player=$A101)*(Upload_Indiv_Date=D$2)*(Upload_Indiv_PointsTot))=0,"",SUMPRODUCT((Upload_Indiv_Player=$A101)*(Upload_Indiv_Date=D$2)*(Upload_Indiv_PointsTot)))</f>
        <v/>
      </c>
      <c r="E103" s="2" t="str" cm="1">
        <f t="array" ref="E103">IF(SUMPRODUCT((Upload_Indiv_Player=$A101)*(Upload_Indiv_Date=E$2)*(Upload_Indiv_PointsTot))=0,"",SUMPRODUCT((Upload_Indiv_Player=$A101)*(Upload_Indiv_Date=E$2)*(Upload_Indiv_PointsTot)))</f>
        <v/>
      </c>
      <c r="F103" s="2" t="str" cm="1">
        <f t="array" ref="F103">IF(SUMPRODUCT((Upload_Indiv_Player=$A101)*(Upload_Indiv_Date=F$2)*(Upload_Indiv_PointsTot))=0,"",SUMPRODUCT((Upload_Indiv_Player=$A101)*(Upload_Indiv_Date=F$2)*(Upload_Indiv_PointsTot)))</f>
        <v/>
      </c>
      <c r="G103" s="2" t="str" cm="1">
        <f t="array" ref="G103">IF(SUMPRODUCT((Upload_Indiv_Player=$A101)*(Upload_Indiv_Date=G$2)*(Upload_Indiv_PointsTot))=0,"",SUMPRODUCT((Upload_Indiv_Player=$A101)*(Upload_Indiv_Date=G$2)*(Upload_Indiv_PointsTot)))</f>
        <v/>
      </c>
      <c r="H103" s="2" cm="1">
        <f t="array" ref="H103">IF(SUMPRODUCT((Upload_Indiv_Player=$A101)*(Upload_Indiv_Date=H$2)*(Upload_Indiv_PointsTot))=0,"",SUMPRODUCT((Upload_Indiv_Player=$A101)*(Upload_Indiv_Date=H$2)*(Upload_Indiv_PointsTot)))</f>
        <v>13</v>
      </c>
      <c r="I103" s="2" t="str" cm="1">
        <f t="array" ref="I103">IF(SUMPRODUCT((Upload_Indiv_Player=$A101)*(Upload_Indiv_Date=I$2)*(Upload_Indiv_PointsTot))=0,"",SUMPRODUCT((Upload_Indiv_Player=$A101)*(Upload_Indiv_Date=I$2)*(Upload_Indiv_PointsTot)))</f>
        <v/>
      </c>
      <c r="J103" s="2" t="str" cm="1">
        <f t="array" ref="J103">IF(SUMPRODUCT((Upload_Indiv_Player=$A101)*(Upload_Indiv_Date=J$2)*(Upload_Indiv_PointsTot))=0,"",SUMPRODUCT((Upload_Indiv_Player=$A101)*(Upload_Indiv_Date=J$2)*(Upload_Indiv_PointsTot)))</f>
        <v/>
      </c>
      <c r="K103" s="2" t="str" cm="1">
        <f t="array" ref="K103">IF(SUMPRODUCT((Upload_Indiv_Player=$A101)*(Upload_Indiv_Date=K$2)*(Upload_Indiv_PointsTot))=0,"",SUMPRODUCT((Upload_Indiv_Player=$A101)*(Upload_Indiv_Date=K$2)*(Upload_Indiv_PointsTot)))</f>
        <v/>
      </c>
      <c r="L103" s="2" t="str" cm="1">
        <f t="array" ref="L103">IF(SUMPRODUCT((Upload_Indiv_Player=$A101)*(Upload_Indiv_Date=L$2)*(Upload_Indiv_PointsTot))=0,"",SUMPRODUCT((Upload_Indiv_Player=$A101)*(Upload_Indiv_Date=L$2)*(Upload_Indiv_PointsTot)))</f>
        <v/>
      </c>
      <c r="M103" s="2" t="str" cm="1">
        <f t="array" ref="M103">IF(SUMPRODUCT((Upload_Indiv_Player=$A101)*(Upload_Indiv_Date=M$2)*(Upload_Indiv_PointsTot))=0,"",SUMPRODUCT((Upload_Indiv_Player=$A101)*(Upload_Indiv_Date=M$2)*(Upload_Indiv_PointsTot)))</f>
        <v/>
      </c>
      <c r="N103" s="2" t="str" cm="1">
        <f t="array" ref="N103">IF(SUMPRODUCT((Upload_Indiv_Player=$A101)*(Upload_Indiv_Date=N$2)*(Upload_Indiv_PointsTot))=0,"",SUMPRODUCT((Upload_Indiv_Player=$A101)*(Upload_Indiv_Date=N$2)*(Upload_Indiv_PointsTot)))</f>
        <v/>
      </c>
      <c r="O103" s="2" t="str" cm="1">
        <f t="array" ref="O103">IF(SUMPRODUCT((Upload_Indiv_Player=$A101)*(Upload_Indiv_Date=O$2)*(Upload_Indiv_PointsTot))=0,"",SUMPRODUCT((Upload_Indiv_Player=$A101)*(Upload_Indiv_Date=O$2)*(Upload_Indiv_PointsTot)))</f>
        <v/>
      </c>
      <c r="P103" s="2" t="str" cm="1">
        <f t="array" ref="P103">IF(SUMPRODUCT((Upload_Indiv_Player=$A101)*(Upload_Indiv_Date=P$2)*(Upload_Indiv_PointsTot))=0,"",SUMPRODUCT((Upload_Indiv_Player=$A101)*(Upload_Indiv_Date=P$2)*(Upload_Indiv_PointsTot)))</f>
        <v/>
      </c>
      <c r="Q103" s="2" t="str" cm="1">
        <f t="array" ref="Q103">IF(SUMPRODUCT((Upload_Indiv_Player=$A101)*(Upload_Indiv_Date=Q$2)*(Upload_Indiv_PointsTot))=0,"",SUMPRODUCT((Upload_Indiv_Player=$A101)*(Upload_Indiv_Date=Q$2)*(Upload_Indiv_PointsTot)))</f>
        <v/>
      </c>
      <c r="R103" s="2" t="str" cm="1">
        <f t="array" ref="R103">IF(SUMPRODUCT((Upload_Indiv_Player=$A101)*(Upload_Indiv_Date=R$2)*(Upload_Indiv_PointsTot))=0,"",SUMPRODUCT((Upload_Indiv_Player=$A101)*(Upload_Indiv_Date=R$2)*(Upload_Indiv_PointsTot)))</f>
        <v/>
      </c>
      <c r="S103" s="2" t="str" cm="1">
        <f t="array" ref="S103">IF(SUMPRODUCT((Upload_Indiv_Player=$A101)*(Upload_Indiv_Date=S$2)*(Upload_Indiv_PointsTot))=0,"",SUMPRODUCT((Upload_Indiv_Player=$A101)*(Upload_Indiv_Date=S$2)*(Upload_Indiv_PointsTot)))</f>
        <v/>
      </c>
      <c r="T103" s="2" t="str" cm="1">
        <f t="array" ref="T103">IF(SUMPRODUCT((Upload_Indiv_Player=$A101)*(Upload_Indiv_Date=T$2)*(Upload_Indiv_PointsTot))=0,"",SUMPRODUCT((Upload_Indiv_Player=$A101)*(Upload_Indiv_Date=T$2)*(Upload_Indiv_PointsTot)))</f>
        <v/>
      </c>
      <c r="U103" s="2" t="str" cm="1">
        <f t="array" ref="U103">IF(SUMPRODUCT((Upload_Indiv_Player=$A101)*(Upload_Indiv_Date=U$2)*(Upload_Indiv_PointsTot))=0,"",SUMPRODUCT((Upload_Indiv_Player=$A101)*(Upload_Indiv_Date=U$2)*(Upload_Indiv_PointsTot)))</f>
        <v/>
      </c>
      <c r="V103" s="276"/>
      <c r="W103" s="276"/>
      <c r="X103" s="276"/>
      <c r="Y103" s="277"/>
      <c r="Z103" s="277"/>
      <c r="AA103" s="277"/>
    </row>
    <row r="104" spans="1:27" x14ac:dyDescent="0.25">
      <c r="A104" s="14" t="s">
        <v>160</v>
      </c>
      <c r="B104" s="8" t="s">
        <v>174</v>
      </c>
      <c r="C104" s="2" t="str" cm="1">
        <f t="array" ref="C104">IF(SUMPRODUCT((Upload_Indiv_Player=$A101)*(Upload_Indiv_Date=C$2)*(Upload_Indiv_Tot_Birds))=0,"",SUMPRODUCT((Upload_Indiv_Player=$A101)*(Upload_Indiv_Date=C$2)*(Upload_Indiv_Tot_Birds)))</f>
        <v/>
      </c>
      <c r="D104" s="2" t="str" cm="1">
        <f t="array" ref="D104">IF(SUMPRODUCT((Upload_Indiv_Player=$A101)*(Upload_Indiv_Date=D$2)*(Upload_Indiv_Tot_Birds))=0,"",SUMPRODUCT((Upload_Indiv_Player=$A101)*(Upload_Indiv_Date=D$2)*(Upload_Indiv_Tot_Birds)))</f>
        <v/>
      </c>
      <c r="E104" s="2" t="str" cm="1">
        <f t="array" ref="E104">IF(SUMPRODUCT((Upload_Indiv_Player=$A101)*(Upload_Indiv_Date=E$2)*(Upload_Indiv_Tot_Birds))=0,"",SUMPRODUCT((Upload_Indiv_Player=$A101)*(Upload_Indiv_Date=E$2)*(Upload_Indiv_Tot_Birds)))</f>
        <v/>
      </c>
      <c r="F104" s="2" t="str" cm="1">
        <f t="array" ref="F104">IF(SUMPRODUCT((Upload_Indiv_Player=$A101)*(Upload_Indiv_Date=F$2)*(Upload_Indiv_Tot_Birds))=0,"",SUMPRODUCT((Upload_Indiv_Player=$A101)*(Upload_Indiv_Date=F$2)*(Upload_Indiv_Tot_Birds)))</f>
        <v/>
      </c>
      <c r="G104" s="2" t="str" cm="1">
        <f t="array" ref="G104">IF(SUMPRODUCT((Upload_Indiv_Player=$A101)*(Upload_Indiv_Date=G$2)*(Upload_Indiv_Tot_Birds))=0,"",SUMPRODUCT((Upload_Indiv_Player=$A101)*(Upload_Indiv_Date=G$2)*(Upload_Indiv_Tot_Birds)))</f>
        <v/>
      </c>
      <c r="H104" s="2" t="str" cm="1">
        <f t="array" ref="H104">IF(SUMPRODUCT((Upload_Indiv_Player=$A101)*(Upload_Indiv_Date=H$2)*(Upload_Indiv_Tot_Birds))=0,"",SUMPRODUCT((Upload_Indiv_Player=$A101)*(Upload_Indiv_Date=H$2)*(Upload_Indiv_Tot_Birds)))</f>
        <v/>
      </c>
      <c r="I104" s="2" t="str" cm="1">
        <f t="array" ref="I104">IF(SUMPRODUCT((Upload_Indiv_Player=$A101)*(Upload_Indiv_Date=I$2)*(Upload_Indiv_Tot_Birds))=0,"",SUMPRODUCT((Upload_Indiv_Player=$A101)*(Upload_Indiv_Date=I$2)*(Upload_Indiv_Tot_Birds)))</f>
        <v/>
      </c>
      <c r="J104" s="2" t="str" cm="1">
        <f t="array" ref="J104">IF(SUMPRODUCT((Upload_Indiv_Player=$A101)*(Upload_Indiv_Date=J$2)*(Upload_Indiv_Tot_Birds))=0,"",SUMPRODUCT((Upload_Indiv_Player=$A101)*(Upload_Indiv_Date=J$2)*(Upload_Indiv_Tot_Birds)))</f>
        <v/>
      </c>
      <c r="K104" s="2" t="str" cm="1">
        <f t="array" ref="K104">IF(SUMPRODUCT((Upload_Indiv_Player=$A101)*(Upload_Indiv_Date=K$2)*(Upload_Indiv_Tot_Birds))=0,"",SUMPRODUCT((Upload_Indiv_Player=$A101)*(Upload_Indiv_Date=K$2)*(Upload_Indiv_Tot_Birds)))</f>
        <v/>
      </c>
      <c r="L104" s="2" t="str" cm="1">
        <f t="array" ref="L104">IF(SUMPRODUCT((Upload_Indiv_Player=$A101)*(Upload_Indiv_Date=L$2)*(Upload_Indiv_Tot_Birds))=0,"",SUMPRODUCT((Upload_Indiv_Player=$A101)*(Upload_Indiv_Date=L$2)*(Upload_Indiv_Tot_Birds)))</f>
        <v/>
      </c>
      <c r="M104" s="2" t="str" cm="1">
        <f t="array" ref="M104">IF(SUMPRODUCT((Upload_Indiv_Player=$A101)*(Upload_Indiv_Date=M$2)*(Upload_Indiv_Tot_Birds))=0,"",SUMPRODUCT((Upload_Indiv_Player=$A101)*(Upload_Indiv_Date=M$2)*(Upload_Indiv_Tot_Birds)))</f>
        <v/>
      </c>
      <c r="N104" s="2" t="str" cm="1">
        <f t="array" ref="N104">IF(SUMPRODUCT((Upload_Indiv_Player=$A101)*(Upload_Indiv_Date=N$2)*(Upload_Indiv_Tot_Birds))=0,"",SUMPRODUCT((Upload_Indiv_Player=$A101)*(Upload_Indiv_Date=N$2)*(Upload_Indiv_Tot_Birds)))</f>
        <v/>
      </c>
      <c r="O104" s="2" t="str" cm="1">
        <f t="array" ref="O104">IF(SUMPRODUCT((Upload_Indiv_Player=$A101)*(Upload_Indiv_Date=O$2)*(Upload_Indiv_Tot_Birds))=0,"",SUMPRODUCT((Upload_Indiv_Player=$A101)*(Upload_Indiv_Date=O$2)*(Upload_Indiv_Tot_Birds)))</f>
        <v/>
      </c>
      <c r="P104" s="2" t="str" cm="1">
        <f t="array" ref="P104">IF(SUMPRODUCT((Upload_Indiv_Player=$A101)*(Upload_Indiv_Date=P$2)*(Upload_Indiv_Tot_Birds))=0,"",SUMPRODUCT((Upload_Indiv_Player=$A101)*(Upload_Indiv_Date=P$2)*(Upload_Indiv_Tot_Birds)))</f>
        <v/>
      </c>
      <c r="Q104" s="2" t="str" cm="1">
        <f t="array" ref="Q104">IF(SUMPRODUCT((Upload_Indiv_Player=$A101)*(Upload_Indiv_Date=Q$2)*(Upload_Indiv_Tot_Birds))=0,"",SUMPRODUCT((Upload_Indiv_Player=$A101)*(Upload_Indiv_Date=Q$2)*(Upload_Indiv_Tot_Birds)))</f>
        <v/>
      </c>
      <c r="R104" s="2" t="str" cm="1">
        <f t="array" ref="R104">IF(SUMPRODUCT((Upload_Indiv_Player=$A101)*(Upload_Indiv_Date=R$2)*(Upload_Indiv_Tot_Birds))=0,"",SUMPRODUCT((Upload_Indiv_Player=$A101)*(Upload_Indiv_Date=R$2)*(Upload_Indiv_Tot_Birds)))</f>
        <v/>
      </c>
      <c r="S104" s="2" t="str" cm="1">
        <f t="array" ref="S104">IF(SUMPRODUCT((Upload_Indiv_Player=$A101)*(Upload_Indiv_Date=S$2)*(Upload_Indiv_Tot_Birds))=0,"",SUMPRODUCT((Upload_Indiv_Player=$A101)*(Upload_Indiv_Date=S$2)*(Upload_Indiv_Tot_Birds)))</f>
        <v/>
      </c>
      <c r="T104" s="2" t="str" cm="1">
        <f t="array" ref="T104">IF(SUMPRODUCT((Upload_Indiv_Player=$A101)*(Upload_Indiv_Date=T$2)*(Upload_Indiv_Tot_Birds))=0,"",SUMPRODUCT((Upload_Indiv_Player=$A101)*(Upload_Indiv_Date=T$2)*(Upload_Indiv_Tot_Birds)))</f>
        <v/>
      </c>
      <c r="U104" s="2" t="str" cm="1">
        <f t="array" ref="U104">IF(SUMPRODUCT((Upload_Indiv_Player=$A101)*(Upload_Indiv_Date=U$2)*(Upload_Indiv_Tot_Birds))=0,"",SUMPRODUCT((Upload_Indiv_Player=$A101)*(Upload_Indiv_Date=U$2)*(Upload_Indiv_Tot_Birds)))</f>
        <v/>
      </c>
      <c r="V104" s="276"/>
      <c r="W104" s="276"/>
      <c r="X104" s="276"/>
      <c r="Y104" s="277"/>
      <c r="Z104" s="277"/>
      <c r="AA104" s="277"/>
    </row>
    <row r="105" spans="1:27" x14ac:dyDescent="0.25">
      <c r="A105" s="14"/>
      <c r="B105" s="8" t="s">
        <v>175</v>
      </c>
      <c r="C105" s="2" t="str" cm="1">
        <f t="array" ref="C105">IF(SUMPRODUCT((Upload_Indiv_Player=$A101)*(Upload_Indiv_Date=C$2)*(Upload_Indiv_Tot_Eagles))=0,"",SUMPRODUCT((Upload_Indiv_Player=$A101)*(Upload_Indiv_Date=C$2)*(Upload_Indiv_Tot_Eagles)))</f>
        <v/>
      </c>
      <c r="D105" s="2" t="str" cm="1">
        <f t="array" ref="D105">IF(SUMPRODUCT((Upload_Indiv_Player=$A101)*(Upload_Indiv_Date=D$2)*(Upload_Indiv_Tot_Eagles))=0,"",SUMPRODUCT((Upload_Indiv_Player=$A101)*(Upload_Indiv_Date=D$2)*(Upload_Indiv_Tot_Eagles)))</f>
        <v/>
      </c>
      <c r="E105" s="2" t="str" cm="1">
        <f t="array" ref="E105">IF(SUMPRODUCT((Upload_Indiv_Player=$A101)*(Upload_Indiv_Date=E$2)*(Upload_Indiv_Tot_Eagles))=0,"",SUMPRODUCT((Upload_Indiv_Player=$A101)*(Upload_Indiv_Date=E$2)*(Upload_Indiv_Tot_Eagles)))</f>
        <v/>
      </c>
      <c r="F105" s="2" t="str" cm="1">
        <f t="array" ref="F105">IF(SUMPRODUCT((Upload_Indiv_Player=$A101)*(Upload_Indiv_Date=F$2)*(Upload_Indiv_Tot_Eagles))=0,"",SUMPRODUCT((Upload_Indiv_Player=$A101)*(Upload_Indiv_Date=F$2)*(Upload_Indiv_Tot_Eagles)))</f>
        <v/>
      </c>
      <c r="G105" s="2" t="str" cm="1">
        <f t="array" ref="G105">IF(SUMPRODUCT((Upload_Indiv_Player=$A101)*(Upload_Indiv_Date=G$2)*(Upload_Indiv_Tot_Eagles))=0,"",SUMPRODUCT((Upload_Indiv_Player=$A101)*(Upload_Indiv_Date=G$2)*(Upload_Indiv_Tot_Eagles)))</f>
        <v/>
      </c>
      <c r="H105" s="2" t="str" cm="1">
        <f t="array" ref="H105">IF(SUMPRODUCT((Upload_Indiv_Player=$A101)*(Upload_Indiv_Date=H$2)*(Upload_Indiv_Tot_Eagles))=0,"",SUMPRODUCT((Upload_Indiv_Player=$A101)*(Upload_Indiv_Date=H$2)*(Upload_Indiv_Tot_Eagles)))</f>
        <v/>
      </c>
      <c r="I105" s="2" t="str" cm="1">
        <f t="array" ref="I105">IF(SUMPRODUCT((Upload_Indiv_Player=$A101)*(Upload_Indiv_Date=I$2)*(Upload_Indiv_Tot_Eagles))=0,"",SUMPRODUCT((Upload_Indiv_Player=$A101)*(Upload_Indiv_Date=I$2)*(Upload_Indiv_Tot_Eagles)))</f>
        <v/>
      </c>
      <c r="J105" s="2" t="str" cm="1">
        <f t="array" ref="J105">IF(SUMPRODUCT((Upload_Indiv_Player=$A101)*(Upload_Indiv_Date=J$2)*(Upload_Indiv_Tot_Eagles))=0,"",SUMPRODUCT((Upload_Indiv_Player=$A101)*(Upload_Indiv_Date=J$2)*(Upload_Indiv_Tot_Eagles)))</f>
        <v/>
      </c>
      <c r="K105" s="2" t="str" cm="1">
        <f t="array" ref="K105">IF(SUMPRODUCT((Upload_Indiv_Player=$A101)*(Upload_Indiv_Date=K$2)*(Upload_Indiv_Tot_Eagles))=0,"",SUMPRODUCT((Upload_Indiv_Player=$A101)*(Upload_Indiv_Date=K$2)*(Upload_Indiv_Tot_Eagles)))</f>
        <v/>
      </c>
      <c r="L105" s="2" t="str" cm="1">
        <f t="array" ref="L105">IF(SUMPRODUCT((Upload_Indiv_Player=$A101)*(Upload_Indiv_Date=L$2)*(Upload_Indiv_Tot_Eagles))=0,"",SUMPRODUCT((Upload_Indiv_Player=$A101)*(Upload_Indiv_Date=L$2)*(Upload_Indiv_Tot_Eagles)))</f>
        <v/>
      </c>
      <c r="M105" s="2" t="str" cm="1">
        <f t="array" ref="M105">IF(SUMPRODUCT((Upload_Indiv_Player=$A101)*(Upload_Indiv_Date=M$2)*(Upload_Indiv_Tot_Eagles))=0,"",SUMPRODUCT((Upload_Indiv_Player=$A101)*(Upload_Indiv_Date=M$2)*(Upload_Indiv_Tot_Eagles)))</f>
        <v/>
      </c>
      <c r="N105" s="2" t="str" cm="1">
        <f t="array" ref="N105">IF(SUMPRODUCT((Upload_Indiv_Player=$A101)*(Upload_Indiv_Date=N$2)*(Upload_Indiv_Tot_Eagles))=0,"",SUMPRODUCT((Upload_Indiv_Player=$A101)*(Upload_Indiv_Date=N$2)*(Upload_Indiv_Tot_Eagles)))</f>
        <v/>
      </c>
      <c r="O105" s="2" t="str" cm="1">
        <f t="array" ref="O105">IF(SUMPRODUCT((Upload_Indiv_Player=$A101)*(Upload_Indiv_Date=O$2)*(Upload_Indiv_Tot_Eagles))=0,"",SUMPRODUCT((Upload_Indiv_Player=$A101)*(Upload_Indiv_Date=O$2)*(Upload_Indiv_Tot_Eagles)))</f>
        <v/>
      </c>
      <c r="P105" s="2" t="str" cm="1">
        <f t="array" ref="P105">IF(SUMPRODUCT((Upload_Indiv_Player=$A101)*(Upload_Indiv_Date=P$2)*(Upload_Indiv_Tot_Eagles))=0,"",SUMPRODUCT((Upload_Indiv_Player=$A101)*(Upload_Indiv_Date=P$2)*(Upload_Indiv_Tot_Eagles)))</f>
        <v/>
      </c>
      <c r="Q105" s="2" t="str" cm="1">
        <f t="array" ref="Q105">IF(SUMPRODUCT((Upload_Indiv_Player=$A101)*(Upload_Indiv_Date=Q$2)*(Upload_Indiv_Tot_Eagles))=0,"",SUMPRODUCT((Upload_Indiv_Player=$A101)*(Upload_Indiv_Date=Q$2)*(Upload_Indiv_Tot_Eagles)))</f>
        <v/>
      </c>
      <c r="R105" s="2" t="str" cm="1">
        <f t="array" ref="R105">IF(SUMPRODUCT((Upload_Indiv_Player=$A101)*(Upload_Indiv_Date=R$2)*(Upload_Indiv_Tot_Eagles))=0,"",SUMPRODUCT((Upload_Indiv_Player=$A101)*(Upload_Indiv_Date=R$2)*(Upload_Indiv_Tot_Eagles)))</f>
        <v/>
      </c>
      <c r="S105" s="2" t="str" cm="1">
        <f t="array" ref="S105">IF(SUMPRODUCT((Upload_Indiv_Player=$A101)*(Upload_Indiv_Date=S$2)*(Upload_Indiv_Tot_Eagles))=0,"",SUMPRODUCT((Upload_Indiv_Player=$A101)*(Upload_Indiv_Date=S$2)*(Upload_Indiv_Tot_Eagles)))</f>
        <v/>
      </c>
      <c r="T105" s="2" t="str" cm="1">
        <f t="array" ref="T105">IF(SUMPRODUCT((Upload_Indiv_Player=$A101)*(Upload_Indiv_Date=T$2)*(Upload_Indiv_Tot_Eagles))=0,"",SUMPRODUCT((Upload_Indiv_Player=$A101)*(Upload_Indiv_Date=T$2)*(Upload_Indiv_Tot_Eagles)))</f>
        <v/>
      </c>
      <c r="U105" s="2" t="str" cm="1">
        <f t="array" ref="U105">IF(SUMPRODUCT((Upload_Indiv_Player=$A101)*(Upload_Indiv_Date=U$2)*(Upload_Indiv_Tot_Eagles))=0,"",SUMPRODUCT((Upload_Indiv_Player=$A101)*(Upload_Indiv_Date=U$2)*(Upload_Indiv_Tot_Eagles)))</f>
        <v/>
      </c>
      <c r="V105" s="276"/>
      <c r="W105" s="276"/>
      <c r="X105" s="276"/>
      <c r="Y105" s="277"/>
      <c r="Z105" s="278"/>
      <c r="AA105" s="277"/>
    </row>
    <row r="106" spans="1:27" x14ac:dyDescent="0.25">
      <c r="A106" s="14"/>
      <c r="B106" s="2" t="s">
        <v>176</v>
      </c>
      <c r="C106" s="2" t="str" cm="1">
        <f t="array" ref="C106">IF(SUMPRODUCT((Upload_Indiv_Player=$A101)*(Upload_Indiv_Date=C$2)*(Upload_Indiv_Excl_Score))=0,"",SUMPRODUCT((Upload_Indiv_Player=$A101)*(Upload_Indiv_Date=C$2)*(Upload_Indiv_Excl_Score)))</f>
        <v/>
      </c>
      <c r="D106" s="2" t="str" cm="1">
        <f t="array" ref="D106">IF(SUMPRODUCT((Upload_Indiv_Player=$A101)*(Upload_Indiv_Date=D$2)*(Upload_Indiv_Excl_Score))=0,"",SUMPRODUCT((Upload_Indiv_Player=$A101)*(Upload_Indiv_Date=D$2)*(Upload_Indiv_Excl_Score)))</f>
        <v/>
      </c>
      <c r="E106" s="2" t="str" cm="1">
        <f t="array" ref="E106">IF(SUMPRODUCT((Upload_Indiv_Player=$A101)*(Upload_Indiv_Date=E$2)*(Upload_Indiv_Excl_Score))=0,"",SUMPRODUCT((Upload_Indiv_Player=$A101)*(Upload_Indiv_Date=E$2)*(Upload_Indiv_Excl_Score)))</f>
        <v/>
      </c>
      <c r="F106" s="2" t="str" cm="1">
        <f t="array" ref="F106">IF(SUMPRODUCT((Upload_Indiv_Player=$A101)*(Upload_Indiv_Date=F$2)*(Upload_Indiv_Excl_Score))=0,"",SUMPRODUCT((Upload_Indiv_Player=$A101)*(Upload_Indiv_Date=F$2)*(Upload_Indiv_Excl_Score)))</f>
        <v/>
      </c>
      <c r="G106" s="2" t="str" cm="1">
        <f t="array" ref="G106">IF(SUMPRODUCT((Upload_Indiv_Player=$A101)*(Upload_Indiv_Date=G$2)*(Upload_Indiv_Excl_Score))=0,"",SUMPRODUCT((Upload_Indiv_Player=$A101)*(Upload_Indiv_Date=G$2)*(Upload_Indiv_Excl_Score)))</f>
        <v/>
      </c>
      <c r="H106" s="2" t="str" cm="1">
        <f t="array" ref="H106">IF(SUMPRODUCT((Upload_Indiv_Player=$A101)*(Upload_Indiv_Date=H$2)*(Upload_Indiv_Excl_Score))=0,"",SUMPRODUCT((Upload_Indiv_Player=$A101)*(Upload_Indiv_Date=H$2)*(Upload_Indiv_Excl_Score)))</f>
        <v/>
      </c>
      <c r="I106" s="2" t="str" cm="1">
        <f t="array" ref="I106">IF(SUMPRODUCT((Upload_Indiv_Player=$A101)*(Upload_Indiv_Date=I$2)*(Upload_Indiv_Excl_Score))=0,"",SUMPRODUCT((Upload_Indiv_Player=$A101)*(Upload_Indiv_Date=I$2)*(Upload_Indiv_Excl_Score)))</f>
        <v/>
      </c>
      <c r="J106" s="2" t="str" cm="1">
        <f t="array" ref="J106">IF(SUMPRODUCT((Upload_Indiv_Player=$A101)*(Upload_Indiv_Date=J$2)*(Upload_Indiv_Excl_Score))=0,"",SUMPRODUCT((Upload_Indiv_Player=$A101)*(Upload_Indiv_Date=J$2)*(Upload_Indiv_Excl_Score)))</f>
        <v/>
      </c>
      <c r="K106" s="2" t="str" cm="1">
        <f t="array" ref="K106">IF(SUMPRODUCT((Upload_Indiv_Player=$A101)*(Upload_Indiv_Date=K$2)*(Upload_Indiv_Excl_Score))=0,"",SUMPRODUCT((Upload_Indiv_Player=$A101)*(Upload_Indiv_Date=K$2)*(Upload_Indiv_Excl_Score)))</f>
        <v/>
      </c>
      <c r="L106" s="2" t="str" cm="1">
        <f t="array" ref="L106">IF(SUMPRODUCT((Upload_Indiv_Player=$A101)*(Upload_Indiv_Date=L$2)*(Upload_Indiv_Excl_Score))=0,"",SUMPRODUCT((Upload_Indiv_Player=$A101)*(Upload_Indiv_Date=L$2)*(Upload_Indiv_Excl_Score)))</f>
        <v/>
      </c>
      <c r="M106" s="2" t="str" cm="1">
        <f t="array" ref="M106">IF(SUMPRODUCT((Upload_Indiv_Player=$A101)*(Upload_Indiv_Date=M$2)*(Upload_Indiv_Excl_Score))=0,"",SUMPRODUCT((Upload_Indiv_Player=$A101)*(Upload_Indiv_Date=M$2)*(Upload_Indiv_Excl_Score)))</f>
        <v/>
      </c>
      <c r="N106" s="2" t="str" cm="1">
        <f t="array" ref="N106">IF(SUMPRODUCT((Upload_Indiv_Player=$A101)*(Upload_Indiv_Date=N$2)*(Upload_Indiv_Excl_Score))=0,"",SUMPRODUCT((Upload_Indiv_Player=$A101)*(Upload_Indiv_Date=N$2)*(Upload_Indiv_Excl_Score)))</f>
        <v/>
      </c>
      <c r="O106" s="2" t="str" cm="1">
        <f t="array" ref="O106">IF(SUMPRODUCT((Upload_Indiv_Player=$A101)*(Upload_Indiv_Date=O$2)*(Upload_Indiv_Excl_Score))=0,"",SUMPRODUCT((Upload_Indiv_Player=$A101)*(Upload_Indiv_Date=O$2)*(Upload_Indiv_Excl_Score)))</f>
        <v/>
      </c>
      <c r="P106" s="2" t="str" cm="1">
        <f t="array" ref="P106">IF(SUMPRODUCT((Upload_Indiv_Player=$A101)*(Upload_Indiv_Date=P$2)*(Upload_Indiv_Excl_Score))=0,"",SUMPRODUCT((Upload_Indiv_Player=$A101)*(Upload_Indiv_Date=P$2)*(Upload_Indiv_Excl_Score)))</f>
        <v/>
      </c>
      <c r="Q106" s="2" t="str" cm="1">
        <f t="array" ref="Q106">IF(SUMPRODUCT((Upload_Indiv_Player=$A101)*(Upload_Indiv_Date=Q$2)*(Upload_Indiv_Excl_Score))=0,"",SUMPRODUCT((Upload_Indiv_Player=$A101)*(Upload_Indiv_Date=Q$2)*(Upload_Indiv_Excl_Score)))</f>
        <v/>
      </c>
      <c r="R106" s="2" t="str" cm="1">
        <f t="array" ref="R106">IF(SUMPRODUCT((Upload_Indiv_Player=$A101)*(Upload_Indiv_Date=R$2)*(Upload_Indiv_Excl_Score))=0,"",SUMPRODUCT((Upload_Indiv_Player=$A101)*(Upload_Indiv_Date=R$2)*(Upload_Indiv_Excl_Score)))</f>
        <v/>
      </c>
      <c r="S106" s="2" t="str" cm="1">
        <f t="array" ref="S106">IF(SUMPRODUCT((Upload_Indiv_Player=$A101)*(Upload_Indiv_Date=S$2)*(Upload_Indiv_Excl_Score))=0,"",SUMPRODUCT((Upload_Indiv_Player=$A101)*(Upload_Indiv_Date=S$2)*(Upload_Indiv_Excl_Score)))</f>
        <v/>
      </c>
      <c r="T106" s="2" t="str" cm="1">
        <f t="array" ref="T106">IF(SUMPRODUCT((Upload_Indiv_Player=$A101)*(Upload_Indiv_Date=T$2)*(Upload_Indiv_Excl_Score))=0,"",SUMPRODUCT((Upload_Indiv_Player=$A101)*(Upload_Indiv_Date=T$2)*(Upload_Indiv_Excl_Score)))</f>
        <v/>
      </c>
      <c r="U106" s="2" t="str" cm="1">
        <f t="array" ref="U106">IF(SUMPRODUCT((Upload_Indiv_Player=$A101)*(Upload_Indiv_Date=U$2)*(Upload_Indiv_Excl_Score))=0,"",SUMPRODUCT((Upload_Indiv_Player=$A101)*(Upload_Indiv_Date=U$2)*(Upload_Indiv_Excl_Score)))</f>
        <v/>
      </c>
      <c r="V106" s="276"/>
      <c r="W106" s="276"/>
      <c r="X106" s="276"/>
      <c r="Y106" s="277"/>
      <c r="Z106" s="277"/>
      <c r="AA106" s="277"/>
    </row>
    <row r="107" spans="1:27" x14ac:dyDescent="0.25">
      <c r="A107" s="14"/>
      <c r="B107" s="2" t="s">
        <v>177</v>
      </c>
      <c r="C107" s="2" t="str" cm="1">
        <f t="array" ref="C107">IFERROR(INDEX(Upload_Indiv_Team,MATCH(1,($A101=Upload_Indiv_Player)*(C$2=Upload_Indiv_Date),0)),"")</f>
        <v/>
      </c>
      <c r="D107" s="2" t="str" cm="1">
        <f t="array" ref="D107">IFERROR(INDEX(Upload_Indiv_Team,MATCH(1,($A101=Upload_Indiv_Player)*(D$2=Upload_Indiv_Date),0)),"")</f>
        <v/>
      </c>
      <c r="E107" s="2" t="str" cm="1">
        <f t="array" ref="E107">IFERROR(INDEX(Upload_Indiv_Team,MATCH(1,($A101=Upload_Indiv_Player)*(E$2=Upload_Indiv_Date),0)),"")</f>
        <v/>
      </c>
      <c r="F107" s="2" t="str" cm="1">
        <f t="array" ref="F107">IFERROR(INDEX(Upload_Indiv_Team,MATCH(1,($A101=Upload_Indiv_Player)*(F$2=Upload_Indiv_Date),0)),"")</f>
        <v/>
      </c>
      <c r="G107" s="2" t="str" cm="1">
        <f t="array" ref="G107">IFERROR(INDEX(Upload_Indiv_Team,MATCH(1,($A101=Upload_Indiv_Player)*(G$2=Upload_Indiv_Date),0)),"")</f>
        <v/>
      </c>
      <c r="H107" s="2" t="str" cm="1">
        <f t="array" ref="H107">IFERROR(INDEX(Upload_Indiv_Team,MATCH(1,($A101=Upload_Indiv_Player)*(H$2=Upload_Indiv_Date),0)),"")</f>
        <v>Stymies</v>
      </c>
      <c r="I107" s="2" t="str" cm="1">
        <f t="array" ref="I107">IFERROR(INDEX(Upload_Indiv_Team,MATCH(1,($A101=Upload_Indiv_Player)*(I$2=Upload_Indiv_Date),0)),"")</f>
        <v/>
      </c>
      <c r="J107" s="2" t="str" cm="1">
        <f t="array" ref="J107">IFERROR(INDEX(Upload_Indiv_Team,MATCH(1,($A101=Upload_Indiv_Player)*(J$2=Upload_Indiv_Date),0)),"")</f>
        <v/>
      </c>
      <c r="K107" s="2" t="str" cm="1">
        <f t="array" ref="K107">IFERROR(INDEX(Upload_Indiv_Team,MATCH(1,($A101=Upload_Indiv_Player)*(K$2=Upload_Indiv_Date),0)),"")</f>
        <v/>
      </c>
      <c r="L107" s="2" t="str" cm="1">
        <f t="array" ref="L107">IFERROR(INDEX(Upload_Indiv_Team,MATCH(1,($A101=Upload_Indiv_Player)*(L$2=Upload_Indiv_Date),0)),"")</f>
        <v/>
      </c>
      <c r="M107" s="2" t="str" cm="1">
        <f t="array" ref="M107">IFERROR(INDEX(Upload_Indiv_Team,MATCH(1,($A101=Upload_Indiv_Player)*(M$2=Upload_Indiv_Date),0)),"")</f>
        <v/>
      </c>
      <c r="N107" s="2" t="str" cm="1">
        <f t="array" ref="N107">IFERROR(INDEX(Upload_Indiv_Team,MATCH(1,($A101=Upload_Indiv_Player)*(N$2=Upload_Indiv_Date),0)),"")</f>
        <v/>
      </c>
      <c r="O107" s="2" t="str" cm="1">
        <f t="array" ref="O107">IFERROR(INDEX(Upload_Indiv_Team,MATCH(1,($A101=Upload_Indiv_Player)*(O$2=Upload_Indiv_Date),0)),"")</f>
        <v/>
      </c>
      <c r="P107" s="2" t="str" cm="1">
        <f t="array" ref="P107">IFERROR(INDEX(Upload_Indiv_Team,MATCH(1,($A101=Upload_Indiv_Player)*(P$2=Upload_Indiv_Date),0)),"")</f>
        <v/>
      </c>
      <c r="Q107" s="2" t="str" cm="1">
        <f t="array" ref="Q107">IFERROR(INDEX(Upload_Indiv_Team,MATCH(1,($A101=Upload_Indiv_Player)*(Q$2=Upload_Indiv_Date),0)),"")</f>
        <v/>
      </c>
      <c r="R107" s="2" t="str" cm="1">
        <f t="array" ref="R107">IFERROR(INDEX(Upload_Indiv_Team,MATCH(1,($A101=Upload_Indiv_Player)*(R$2=Upload_Indiv_Date),0)),"")</f>
        <v/>
      </c>
      <c r="S107" s="2" t="str" cm="1">
        <f t="array" ref="S107">IFERROR(INDEX(Upload_Indiv_Team,MATCH(1,($A101=Upload_Indiv_Player)*(S$2=Upload_Indiv_Date),0)),"")</f>
        <v/>
      </c>
      <c r="T107" s="2" t="str" cm="1">
        <f t="array" ref="T107">IFERROR(INDEX(Upload_Indiv_Team,MATCH(1,($A101=Upload_Indiv_Player)*(T$2=Upload_Indiv_Date),0)),"")</f>
        <v/>
      </c>
      <c r="U107" s="2" t="str" cm="1">
        <f t="array" ref="U107">IFERROR(INDEX(Upload_Indiv_Team,MATCH(1,($A101=Upload_Indiv_Player)*(U$2=Upload_Indiv_Date),0)),"")</f>
        <v/>
      </c>
      <c r="V107" s="276"/>
      <c r="W107" s="276"/>
      <c r="X107" s="276"/>
      <c r="Y107" s="277"/>
      <c r="Z107" s="277"/>
      <c r="AA107" s="277"/>
    </row>
    <row r="108" spans="1:27" ht="13.8" thickBot="1" x14ac:dyDescent="0.3">
      <c r="A108" s="329" t="s">
        <v>160</v>
      </c>
      <c r="B108" s="8" t="s">
        <v>178</v>
      </c>
      <c r="C108" s="58" t="str">
        <f t="shared" ref="C108:U108" si="13">IF(C101="", "", IF(C103&gt;=11, "w", IF(C103&lt;=9, "l", "t")))</f>
        <v/>
      </c>
      <c r="D108" s="58" t="str">
        <f t="shared" si="13"/>
        <v/>
      </c>
      <c r="E108" s="58" t="str">
        <f t="shared" si="13"/>
        <v/>
      </c>
      <c r="F108" s="58" t="str">
        <f t="shared" si="13"/>
        <v/>
      </c>
      <c r="G108" s="58" t="str">
        <f t="shared" si="13"/>
        <v/>
      </c>
      <c r="H108" s="87" t="str">
        <f t="shared" si="13"/>
        <v>w</v>
      </c>
      <c r="I108" s="58" t="str">
        <f t="shared" si="13"/>
        <v/>
      </c>
      <c r="J108" s="58" t="str">
        <f t="shared" si="13"/>
        <v/>
      </c>
      <c r="K108" s="58" t="str">
        <f t="shared" si="13"/>
        <v/>
      </c>
      <c r="L108" s="58" t="str">
        <f t="shared" si="13"/>
        <v/>
      </c>
      <c r="M108" s="58" t="str">
        <f t="shared" si="13"/>
        <v/>
      </c>
      <c r="N108" s="58" t="str">
        <f t="shared" si="13"/>
        <v/>
      </c>
      <c r="O108" s="58" t="str">
        <f t="shared" si="13"/>
        <v/>
      </c>
      <c r="P108" s="58" t="str">
        <f t="shared" si="13"/>
        <v/>
      </c>
      <c r="Q108" s="58" t="str">
        <f t="shared" si="13"/>
        <v/>
      </c>
      <c r="R108" s="58" t="str">
        <f t="shared" si="13"/>
        <v/>
      </c>
      <c r="S108" s="58" t="str">
        <f t="shared" si="13"/>
        <v/>
      </c>
      <c r="T108" s="58" t="str">
        <f t="shared" si="13"/>
        <v/>
      </c>
      <c r="U108" s="58" t="str">
        <f t="shared" si="13"/>
        <v/>
      </c>
      <c r="V108" s="276"/>
      <c r="W108" s="276"/>
      <c r="X108" s="276"/>
      <c r="Y108" s="277"/>
      <c r="Z108" s="277"/>
      <c r="AA108" s="277"/>
    </row>
    <row r="109" spans="1:27" x14ac:dyDescent="0.25">
      <c r="A109" s="11" t="s">
        <v>218</v>
      </c>
      <c r="B109" s="17" t="s">
        <v>170</v>
      </c>
      <c r="C109" s="3" t="str" cm="1">
        <f t="array" ref="C109">IF(SUMPRODUCT((Upload_Indiv_Player=$A109)*(Upload_Indiv_Date=C$2)*(Upload_Indiv_Gross))=0,"",SUMPRODUCT((Upload_Indiv_Player=$A109)*(Upload_Indiv_Date=C$2)*(Upload_Indiv_Gross)))</f>
        <v/>
      </c>
      <c r="D109" s="3" t="str" cm="1">
        <f t="array" ref="D109">IF(SUMPRODUCT((Upload_Indiv_Player=$A109)*(Upload_Indiv_Date=D$2)*(Upload_Indiv_Gross))=0,"",SUMPRODUCT((Upload_Indiv_Player=$A109)*(Upload_Indiv_Date=D$2)*(Upload_Indiv_Gross)))</f>
        <v/>
      </c>
      <c r="E109" s="3" t="str" cm="1">
        <f t="array" ref="E109">IF(SUMPRODUCT((Upload_Indiv_Player=$A109)*(Upload_Indiv_Date=E$2)*(Upload_Indiv_Gross))=0,"",SUMPRODUCT((Upload_Indiv_Player=$A109)*(Upload_Indiv_Date=E$2)*(Upload_Indiv_Gross)))</f>
        <v/>
      </c>
      <c r="F109" s="3" t="str" cm="1">
        <f t="array" ref="F109">IF(SUMPRODUCT((Upload_Indiv_Player=$A109)*(Upload_Indiv_Date=F$2)*(Upload_Indiv_Gross))=0,"",SUMPRODUCT((Upload_Indiv_Player=$A109)*(Upload_Indiv_Date=F$2)*(Upload_Indiv_Gross)))</f>
        <v/>
      </c>
      <c r="G109" s="3" t="str" cm="1">
        <f t="array" ref="G109">IF(SUMPRODUCT((Upload_Indiv_Player=$A109)*(Upload_Indiv_Date=G$2)*(Upload_Indiv_Gross))=0,"",SUMPRODUCT((Upload_Indiv_Player=$A109)*(Upload_Indiv_Date=G$2)*(Upload_Indiv_Gross)))</f>
        <v/>
      </c>
      <c r="H109" s="3" t="str" cm="1">
        <f t="array" ref="H109">IF(SUMPRODUCT((Upload_Indiv_Player=$A109)*(Upload_Indiv_Date=H$2)*(Upload_Indiv_Gross))=0,"",SUMPRODUCT((Upload_Indiv_Player=$A109)*(Upload_Indiv_Date=H$2)*(Upload_Indiv_Gross)))</f>
        <v/>
      </c>
      <c r="I109" s="3" t="str" cm="1">
        <f t="array" ref="I109">IF(SUMPRODUCT((Upload_Indiv_Player=$A109)*(Upload_Indiv_Date=I$2)*(Upload_Indiv_Gross))=0,"",SUMPRODUCT((Upload_Indiv_Player=$A109)*(Upload_Indiv_Date=I$2)*(Upload_Indiv_Gross)))</f>
        <v/>
      </c>
      <c r="J109" s="3" t="str" cm="1">
        <f t="array" ref="J109">IF(SUMPRODUCT((Upload_Indiv_Player=$A109)*(Upload_Indiv_Date=J$2)*(Upload_Indiv_Gross))=0,"",SUMPRODUCT((Upload_Indiv_Player=$A109)*(Upload_Indiv_Date=J$2)*(Upload_Indiv_Gross)))</f>
        <v/>
      </c>
      <c r="K109" s="3" t="str" cm="1">
        <f t="array" ref="K109">IF(SUMPRODUCT((Upload_Indiv_Player=$A109)*(Upload_Indiv_Date=K$2)*(Upload_Indiv_Gross))=0,"",SUMPRODUCT((Upload_Indiv_Player=$A109)*(Upload_Indiv_Date=K$2)*(Upload_Indiv_Gross)))</f>
        <v/>
      </c>
      <c r="L109" s="3" t="str" cm="1">
        <f t="array" ref="L109">IF(SUMPRODUCT((Upload_Indiv_Player=$A109)*(Upload_Indiv_Date=L$2)*(Upload_Indiv_Gross))=0,"",SUMPRODUCT((Upload_Indiv_Player=$A109)*(Upload_Indiv_Date=L$2)*(Upload_Indiv_Gross)))</f>
        <v/>
      </c>
      <c r="M109" s="3" t="str" cm="1">
        <f t="array" ref="M109">IF(SUMPRODUCT((Upload_Indiv_Player=$A109)*(Upload_Indiv_Date=M$2)*(Upload_Indiv_Gross))=0,"",SUMPRODUCT((Upload_Indiv_Player=$A109)*(Upload_Indiv_Date=M$2)*(Upload_Indiv_Gross)))</f>
        <v/>
      </c>
      <c r="N109" s="3" t="str" cm="1">
        <f t="array" ref="N109">IF(SUMPRODUCT((Upload_Indiv_Player=$A109)*(Upload_Indiv_Date=N$2)*(Upload_Indiv_Gross))=0,"",SUMPRODUCT((Upload_Indiv_Player=$A109)*(Upload_Indiv_Date=N$2)*(Upload_Indiv_Gross)))</f>
        <v/>
      </c>
      <c r="O109" s="3" t="str" cm="1">
        <f t="array" ref="O109">IF(SUMPRODUCT((Upload_Indiv_Player=$A109)*(Upload_Indiv_Date=O$2)*(Upload_Indiv_Gross))=0,"",SUMPRODUCT((Upload_Indiv_Player=$A109)*(Upload_Indiv_Date=O$2)*(Upload_Indiv_Gross)))</f>
        <v/>
      </c>
      <c r="P109" s="3" t="str" cm="1">
        <f t="array" ref="P109">IF(SUMPRODUCT((Upload_Indiv_Player=$A109)*(Upload_Indiv_Date=P$2)*(Upload_Indiv_Gross))=0,"",SUMPRODUCT((Upload_Indiv_Player=$A109)*(Upload_Indiv_Date=P$2)*(Upload_Indiv_Gross)))</f>
        <v/>
      </c>
      <c r="Q109" s="2" t="str" cm="1">
        <f t="array" ref="Q109">IF(SUMPRODUCT((Upload_Indiv_Player=$A109)*(Upload_Indiv_Date=Q$2)*(Upload_Indiv_Gross))=0,"",SUMPRODUCT((Upload_Indiv_Player=$A109)*(Upload_Indiv_Date=Q$2)*(Upload_Indiv_Gross)))</f>
        <v/>
      </c>
      <c r="R109" s="2" t="str" cm="1">
        <f t="array" ref="R109">IF(SUMPRODUCT((Upload_Indiv_Player=$A109)*(Upload_Indiv_Date=R$2)*(Upload_Indiv_Gross))=0,"",SUMPRODUCT((Upload_Indiv_Player=$A109)*(Upload_Indiv_Date=R$2)*(Upload_Indiv_Gross)))</f>
        <v/>
      </c>
      <c r="S109" s="3" t="str" cm="1">
        <f t="array" ref="S109">IF(SUMPRODUCT((Upload_Indiv_Player=$A109)*(Upload_Indiv_Date=S$2)*(Upload_Indiv_Gross))=0,"",SUMPRODUCT((Upload_Indiv_Player=$A109)*(Upload_Indiv_Date=S$2)*(Upload_Indiv_Gross)))</f>
        <v/>
      </c>
      <c r="T109" s="2" t="str" cm="1">
        <f t="array" ref="T109">IF(SUMPRODUCT((Upload_Indiv_Player=$A109)*(Upload_Indiv_Date=T$2)*(Upload_Indiv_Gross))=0,"",SUMPRODUCT((Upload_Indiv_Player=$A109)*(Upload_Indiv_Date=T$2)*(Upload_Indiv_Gross)))</f>
        <v/>
      </c>
      <c r="U109" s="2" t="str" cm="1">
        <f t="array" ref="U109">IF(SUMPRODUCT((Upload_Indiv_Player=$A109)*(Upload_Indiv_Date=U$2)*(Upload_Indiv_Gross))=0,"",SUMPRODUCT((Upload_Indiv_Player=$A109)*(Upload_Indiv_Date=U$2)*(Upload_Indiv_Gross)))</f>
        <v/>
      </c>
      <c r="V109" s="273">
        <v>0</v>
      </c>
      <c r="W109" s="273">
        <v>1</v>
      </c>
      <c r="X109" s="273">
        <v>6</v>
      </c>
      <c r="Y109" s="277">
        <v>15</v>
      </c>
      <c r="Z109" s="277">
        <v>13</v>
      </c>
      <c r="AA109" s="277">
        <v>10</v>
      </c>
    </row>
    <row r="110" spans="1:27" x14ac:dyDescent="0.25">
      <c r="A110" s="216">
        <v>3303233311</v>
      </c>
      <c r="B110" s="8" t="s">
        <v>171</v>
      </c>
      <c r="C110" s="2" t="str" cm="1">
        <f t="array" ref="C110">IF(SUMPRODUCT((Upload_Indiv_Player=$A109)*(Upload_Indiv_Date=C$2)*(Upload_Indiv_Net))=0,"",SUMPRODUCT((Upload_Indiv_Player=$A109)*(Upload_Indiv_Date=C$2)*(Upload_Indiv_Net)))</f>
        <v/>
      </c>
      <c r="D110" s="2" t="str" cm="1">
        <f t="array" ref="D110">IF(SUMPRODUCT((Upload_Indiv_Player=$A109)*(Upload_Indiv_Date=D$2)*(Upload_Indiv_Net))=0,"",SUMPRODUCT((Upload_Indiv_Player=$A109)*(Upload_Indiv_Date=D$2)*(Upload_Indiv_Net)))</f>
        <v/>
      </c>
      <c r="E110" s="2" t="str" cm="1">
        <f t="array" ref="E110">IF(SUMPRODUCT((Upload_Indiv_Player=$A109)*(Upload_Indiv_Date=E$2)*(Upload_Indiv_Net))=0,"",SUMPRODUCT((Upload_Indiv_Player=$A109)*(Upload_Indiv_Date=E$2)*(Upload_Indiv_Net)))</f>
        <v/>
      </c>
      <c r="F110" s="2" t="str" cm="1">
        <f t="array" ref="F110">IF(SUMPRODUCT((Upload_Indiv_Player=$A109)*(Upload_Indiv_Date=F$2)*(Upload_Indiv_Net))=0,"",SUMPRODUCT((Upload_Indiv_Player=$A109)*(Upload_Indiv_Date=F$2)*(Upload_Indiv_Net)))</f>
        <v/>
      </c>
      <c r="G110" s="2" t="str" cm="1">
        <f t="array" ref="G110">IF(SUMPRODUCT((Upload_Indiv_Player=$A109)*(Upload_Indiv_Date=G$2)*(Upload_Indiv_Net))=0,"",SUMPRODUCT((Upload_Indiv_Player=$A109)*(Upload_Indiv_Date=G$2)*(Upload_Indiv_Net)))</f>
        <v/>
      </c>
      <c r="H110" s="2" t="str" cm="1">
        <f t="array" ref="H110">IF(SUMPRODUCT((Upload_Indiv_Player=$A109)*(Upload_Indiv_Date=H$2)*(Upload_Indiv_Net))=0,"",SUMPRODUCT((Upload_Indiv_Player=$A109)*(Upload_Indiv_Date=H$2)*(Upload_Indiv_Net)))</f>
        <v/>
      </c>
      <c r="I110" s="2" t="str" cm="1">
        <f t="array" ref="I110">IF(SUMPRODUCT((Upload_Indiv_Player=$A109)*(Upload_Indiv_Date=I$2)*(Upload_Indiv_Net))=0,"",SUMPRODUCT((Upload_Indiv_Player=$A109)*(Upload_Indiv_Date=I$2)*(Upload_Indiv_Net)))</f>
        <v/>
      </c>
      <c r="J110" s="2" t="str" cm="1">
        <f t="array" ref="J110">IF(SUMPRODUCT((Upload_Indiv_Player=$A109)*(Upload_Indiv_Date=J$2)*(Upload_Indiv_Net))=0,"",SUMPRODUCT((Upload_Indiv_Player=$A109)*(Upload_Indiv_Date=J$2)*(Upload_Indiv_Net)))</f>
        <v/>
      </c>
      <c r="K110" s="2" t="str" cm="1">
        <f t="array" ref="K110">IF(SUMPRODUCT((Upload_Indiv_Player=$A109)*(Upload_Indiv_Date=K$2)*(Upload_Indiv_Net))=0,"",SUMPRODUCT((Upload_Indiv_Player=$A109)*(Upload_Indiv_Date=K$2)*(Upload_Indiv_Net)))</f>
        <v/>
      </c>
      <c r="L110" s="2" t="str" cm="1">
        <f t="array" ref="L110">IF(SUMPRODUCT((Upload_Indiv_Player=$A109)*(Upload_Indiv_Date=L$2)*(Upload_Indiv_Net))=0,"",SUMPRODUCT((Upload_Indiv_Player=$A109)*(Upload_Indiv_Date=L$2)*(Upload_Indiv_Net)))</f>
        <v/>
      </c>
      <c r="M110" s="2" t="str" cm="1">
        <f t="array" ref="M110">IF(SUMPRODUCT((Upload_Indiv_Player=$A109)*(Upload_Indiv_Date=M$2)*(Upload_Indiv_Net))=0,"",SUMPRODUCT((Upload_Indiv_Player=$A109)*(Upload_Indiv_Date=M$2)*(Upload_Indiv_Net)))</f>
        <v/>
      </c>
      <c r="N110" s="2" t="str" cm="1">
        <f t="array" ref="N110">IF(SUMPRODUCT((Upload_Indiv_Player=$A109)*(Upload_Indiv_Date=N$2)*(Upload_Indiv_Net))=0,"",SUMPRODUCT((Upload_Indiv_Player=$A109)*(Upload_Indiv_Date=N$2)*(Upload_Indiv_Net)))</f>
        <v/>
      </c>
      <c r="O110" s="2" t="str" cm="1">
        <f t="array" ref="O110">IF(SUMPRODUCT((Upload_Indiv_Player=$A109)*(Upload_Indiv_Date=O$2)*(Upload_Indiv_Net))=0,"",SUMPRODUCT((Upload_Indiv_Player=$A109)*(Upload_Indiv_Date=O$2)*(Upload_Indiv_Net)))</f>
        <v/>
      </c>
      <c r="P110" s="2" t="str" cm="1">
        <f t="array" ref="P110">IF(SUMPRODUCT((Upload_Indiv_Player=$A109)*(Upload_Indiv_Date=P$2)*(Upload_Indiv_Net))=0,"",SUMPRODUCT((Upload_Indiv_Player=$A109)*(Upload_Indiv_Date=P$2)*(Upload_Indiv_Net)))</f>
        <v/>
      </c>
      <c r="Q110" s="2" t="str" cm="1">
        <f t="array" ref="Q110">IF(SUMPRODUCT((Upload_Indiv_Player=$A109)*(Upload_Indiv_Date=Q$2)*(Upload_Indiv_Net))=0,"",SUMPRODUCT((Upload_Indiv_Player=$A109)*(Upload_Indiv_Date=Q$2)*(Upload_Indiv_Net)))</f>
        <v/>
      </c>
      <c r="R110" s="2" t="str" cm="1">
        <f t="array" ref="R110">IF(SUMPRODUCT((Upload_Indiv_Player=$A109)*(Upload_Indiv_Date=R$2)*(Upload_Indiv_Net))=0,"",SUMPRODUCT((Upload_Indiv_Player=$A109)*(Upload_Indiv_Date=R$2)*(Upload_Indiv_Net)))</f>
        <v/>
      </c>
      <c r="S110" s="2" t="str" cm="1">
        <f t="array" ref="S110">IF(SUMPRODUCT((Upload_Indiv_Player=$A109)*(Upload_Indiv_Date=S$2)*(Upload_Indiv_Net))=0,"",SUMPRODUCT((Upload_Indiv_Player=$A109)*(Upload_Indiv_Date=S$2)*(Upload_Indiv_Net)))</f>
        <v/>
      </c>
      <c r="T110" s="2" t="str" cm="1">
        <f t="array" ref="T110">IF(SUMPRODUCT((Upload_Indiv_Player=$A109)*(Upload_Indiv_Date=T$2)*(Upload_Indiv_Net))=0,"",SUMPRODUCT((Upload_Indiv_Player=$A109)*(Upload_Indiv_Date=T$2)*(Upload_Indiv_Net)))</f>
        <v/>
      </c>
      <c r="U110" s="2" t="str" cm="1">
        <f t="array" ref="U110">IF(SUMPRODUCT((Upload_Indiv_Player=$A109)*(Upload_Indiv_Date=U$2)*(Upload_Indiv_Net))=0,"",SUMPRODUCT((Upload_Indiv_Player=$A109)*(Upload_Indiv_Date=U$2)*(Upload_Indiv_Net)))</f>
        <v/>
      </c>
      <c r="V110" s="276"/>
      <c r="W110" s="276"/>
      <c r="X110" s="276"/>
      <c r="Y110" s="277"/>
      <c r="Z110" s="277"/>
      <c r="AA110" s="277"/>
    </row>
    <row r="111" spans="1:27" x14ac:dyDescent="0.25">
      <c r="A111" s="65" t="s">
        <v>219</v>
      </c>
      <c r="B111" s="8" t="s">
        <v>173</v>
      </c>
      <c r="C111" s="2" t="str" cm="1">
        <f t="array" ref="C111">IF(SUMPRODUCT((Upload_Indiv_Player=$A109)*(Upload_Indiv_Date=C$2)*(Upload_Indiv_PointsTot))=0,"",SUMPRODUCT((Upload_Indiv_Player=$A109)*(Upload_Indiv_Date=C$2)*(Upload_Indiv_PointsTot)))</f>
        <v/>
      </c>
      <c r="D111" s="2" t="str" cm="1">
        <f t="array" ref="D111">IF(SUMPRODUCT((Upload_Indiv_Player=$A109)*(Upload_Indiv_Date=D$2)*(Upload_Indiv_PointsTot))=0,"",SUMPRODUCT((Upload_Indiv_Player=$A109)*(Upload_Indiv_Date=D$2)*(Upload_Indiv_PointsTot)))</f>
        <v/>
      </c>
      <c r="E111" s="2" t="str" cm="1">
        <f t="array" ref="E111">IF(SUMPRODUCT((Upload_Indiv_Player=$A109)*(Upload_Indiv_Date=E$2)*(Upload_Indiv_PointsTot))=0,"",SUMPRODUCT((Upload_Indiv_Player=$A109)*(Upload_Indiv_Date=E$2)*(Upload_Indiv_PointsTot)))</f>
        <v/>
      </c>
      <c r="F111" s="2" t="str" cm="1">
        <f t="array" ref="F111">IF(SUMPRODUCT((Upload_Indiv_Player=$A109)*(Upload_Indiv_Date=F$2)*(Upload_Indiv_PointsTot))=0,"",SUMPRODUCT((Upload_Indiv_Player=$A109)*(Upload_Indiv_Date=F$2)*(Upload_Indiv_PointsTot)))</f>
        <v/>
      </c>
      <c r="G111" s="2" t="str" cm="1">
        <f t="array" ref="G111">IF(SUMPRODUCT((Upload_Indiv_Player=$A109)*(Upload_Indiv_Date=G$2)*(Upload_Indiv_PointsTot))=0,"",SUMPRODUCT((Upload_Indiv_Player=$A109)*(Upload_Indiv_Date=G$2)*(Upload_Indiv_PointsTot)))</f>
        <v/>
      </c>
      <c r="H111" s="2" t="str" cm="1">
        <f t="array" ref="H111">IF(SUMPRODUCT((Upload_Indiv_Player=$A109)*(Upload_Indiv_Date=H$2)*(Upload_Indiv_PointsTot))=0,"",SUMPRODUCT((Upload_Indiv_Player=$A109)*(Upload_Indiv_Date=H$2)*(Upload_Indiv_PointsTot)))</f>
        <v/>
      </c>
      <c r="I111" s="2" t="str" cm="1">
        <f t="array" ref="I111">IF(SUMPRODUCT((Upload_Indiv_Player=$A109)*(Upload_Indiv_Date=I$2)*(Upload_Indiv_PointsTot))=0,"",SUMPRODUCT((Upload_Indiv_Player=$A109)*(Upload_Indiv_Date=I$2)*(Upload_Indiv_PointsTot)))</f>
        <v/>
      </c>
      <c r="J111" s="2" t="str" cm="1">
        <f t="array" ref="J111">IF(SUMPRODUCT((Upload_Indiv_Player=$A109)*(Upload_Indiv_Date=J$2)*(Upload_Indiv_PointsTot))=0,"",SUMPRODUCT((Upload_Indiv_Player=$A109)*(Upload_Indiv_Date=J$2)*(Upload_Indiv_PointsTot)))</f>
        <v/>
      </c>
      <c r="K111" s="2" t="str" cm="1">
        <f t="array" ref="K111">IF(SUMPRODUCT((Upload_Indiv_Player=$A109)*(Upload_Indiv_Date=K$2)*(Upload_Indiv_PointsTot))=0,"",SUMPRODUCT((Upload_Indiv_Player=$A109)*(Upload_Indiv_Date=K$2)*(Upload_Indiv_PointsTot)))</f>
        <v/>
      </c>
      <c r="L111" s="2" t="str" cm="1">
        <f t="array" ref="L111">IF(SUMPRODUCT((Upload_Indiv_Player=$A109)*(Upload_Indiv_Date=L$2)*(Upload_Indiv_PointsTot))=0,"",SUMPRODUCT((Upload_Indiv_Player=$A109)*(Upload_Indiv_Date=L$2)*(Upload_Indiv_PointsTot)))</f>
        <v/>
      </c>
      <c r="M111" s="2" t="str" cm="1">
        <f t="array" ref="M111">IF(SUMPRODUCT((Upload_Indiv_Player=$A109)*(Upload_Indiv_Date=M$2)*(Upload_Indiv_PointsTot))=0,"",SUMPRODUCT((Upload_Indiv_Player=$A109)*(Upload_Indiv_Date=M$2)*(Upload_Indiv_PointsTot)))</f>
        <v/>
      </c>
      <c r="N111" s="2" t="str" cm="1">
        <f t="array" ref="N111">IF(SUMPRODUCT((Upload_Indiv_Player=$A109)*(Upload_Indiv_Date=N$2)*(Upload_Indiv_PointsTot))=0,"",SUMPRODUCT((Upload_Indiv_Player=$A109)*(Upload_Indiv_Date=N$2)*(Upload_Indiv_PointsTot)))</f>
        <v/>
      </c>
      <c r="O111" s="2" t="str" cm="1">
        <f t="array" ref="O111">IF(SUMPRODUCT((Upload_Indiv_Player=$A109)*(Upload_Indiv_Date=O$2)*(Upload_Indiv_PointsTot))=0,"",SUMPRODUCT((Upload_Indiv_Player=$A109)*(Upload_Indiv_Date=O$2)*(Upload_Indiv_PointsTot)))</f>
        <v/>
      </c>
      <c r="P111" s="2" t="str" cm="1">
        <f t="array" ref="P111">IF(SUMPRODUCT((Upload_Indiv_Player=$A109)*(Upload_Indiv_Date=P$2)*(Upload_Indiv_PointsTot))=0,"",SUMPRODUCT((Upload_Indiv_Player=$A109)*(Upload_Indiv_Date=P$2)*(Upload_Indiv_PointsTot)))</f>
        <v/>
      </c>
      <c r="Q111" s="2" t="str" cm="1">
        <f t="array" ref="Q111">IF(SUMPRODUCT((Upload_Indiv_Player=$A109)*(Upload_Indiv_Date=Q$2)*(Upload_Indiv_PointsTot))=0,"",SUMPRODUCT((Upload_Indiv_Player=$A109)*(Upload_Indiv_Date=Q$2)*(Upload_Indiv_PointsTot)))</f>
        <v/>
      </c>
      <c r="R111" s="2" t="str" cm="1">
        <f t="array" ref="R111">IF(SUMPRODUCT((Upload_Indiv_Player=$A109)*(Upload_Indiv_Date=R$2)*(Upload_Indiv_PointsTot))=0,"",SUMPRODUCT((Upload_Indiv_Player=$A109)*(Upload_Indiv_Date=R$2)*(Upload_Indiv_PointsTot)))</f>
        <v/>
      </c>
      <c r="S111" s="2" t="str" cm="1">
        <f t="array" ref="S111">IF(SUMPRODUCT((Upload_Indiv_Player=$A109)*(Upload_Indiv_Date=S$2)*(Upload_Indiv_PointsTot))=0,"",SUMPRODUCT((Upload_Indiv_Player=$A109)*(Upload_Indiv_Date=S$2)*(Upload_Indiv_PointsTot)))</f>
        <v/>
      </c>
      <c r="T111" s="2" t="str" cm="1">
        <f t="array" ref="T111">IF(SUMPRODUCT((Upload_Indiv_Player=$A109)*(Upload_Indiv_Date=T$2)*(Upload_Indiv_PointsTot))=0,"",SUMPRODUCT((Upload_Indiv_Player=$A109)*(Upload_Indiv_Date=T$2)*(Upload_Indiv_PointsTot)))</f>
        <v/>
      </c>
      <c r="U111" s="2" t="str" cm="1">
        <f t="array" ref="U111">IF(SUMPRODUCT((Upload_Indiv_Player=$A109)*(Upload_Indiv_Date=U$2)*(Upload_Indiv_PointsTot))=0,"",SUMPRODUCT((Upload_Indiv_Player=$A109)*(Upload_Indiv_Date=U$2)*(Upload_Indiv_PointsTot)))</f>
        <v/>
      </c>
      <c r="V111" s="276"/>
      <c r="W111" s="276"/>
      <c r="X111" s="276"/>
      <c r="Y111" s="277"/>
      <c r="Z111" s="277"/>
      <c r="AA111" s="277"/>
    </row>
    <row r="112" spans="1:27" x14ac:dyDescent="0.25">
      <c r="A112" s="14" t="s">
        <v>160</v>
      </c>
      <c r="B112" s="8" t="s">
        <v>174</v>
      </c>
      <c r="C112" s="2" t="str" cm="1">
        <f t="array" ref="C112">IF(SUMPRODUCT((Upload_Indiv_Player=$A109)*(Upload_Indiv_Date=C$2)*(Upload_Indiv_Tot_Birds))=0,"",SUMPRODUCT((Upload_Indiv_Player=$A109)*(Upload_Indiv_Date=C$2)*(Upload_Indiv_Tot_Birds)))</f>
        <v/>
      </c>
      <c r="D112" s="2" t="str" cm="1">
        <f t="array" ref="D112">IF(SUMPRODUCT((Upload_Indiv_Player=$A109)*(Upload_Indiv_Date=D$2)*(Upload_Indiv_Tot_Birds))=0,"",SUMPRODUCT((Upload_Indiv_Player=$A109)*(Upload_Indiv_Date=D$2)*(Upload_Indiv_Tot_Birds)))</f>
        <v/>
      </c>
      <c r="E112" s="2" t="str" cm="1">
        <f t="array" ref="E112">IF(SUMPRODUCT((Upload_Indiv_Player=$A109)*(Upload_Indiv_Date=E$2)*(Upload_Indiv_Tot_Birds))=0,"",SUMPRODUCT((Upload_Indiv_Player=$A109)*(Upload_Indiv_Date=E$2)*(Upload_Indiv_Tot_Birds)))</f>
        <v/>
      </c>
      <c r="F112" s="2" t="str" cm="1">
        <f t="array" ref="F112">IF(SUMPRODUCT((Upload_Indiv_Player=$A109)*(Upload_Indiv_Date=F$2)*(Upload_Indiv_Tot_Birds))=0,"",SUMPRODUCT((Upload_Indiv_Player=$A109)*(Upload_Indiv_Date=F$2)*(Upload_Indiv_Tot_Birds)))</f>
        <v/>
      </c>
      <c r="G112" s="2" t="str" cm="1">
        <f t="array" ref="G112">IF(SUMPRODUCT((Upload_Indiv_Player=$A109)*(Upload_Indiv_Date=G$2)*(Upload_Indiv_Tot_Birds))=0,"",SUMPRODUCT((Upload_Indiv_Player=$A109)*(Upload_Indiv_Date=G$2)*(Upload_Indiv_Tot_Birds)))</f>
        <v/>
      </c>
      <c r="H112" s="2" t="str" cm="1">
        <f t="array" ref="H112">IF(SUMPRODUCT((Upload_Indiv_Player=$A109)*(Upload_Indiv_Date=H$2)*(Upload_Indiv_Tot_Birds))=0,"",SUMPRODUCT((Upload_Indiv_Player=$A109)*(Upload_Indiv_Date=H$2)*(Upload_Indiv_Tot_Birds)))</f>
        <v/>
      </c>
      <c r="I112" s="2" t="str" cm="1">
        <f t="array" ref="I112">IF(SUMPRODUCT((Upload_Indiv_Player=$A109)*(Upload_Indiv_Date=I$2)*(Upload_Indiv_Tot_Birds))=0,"",SUMPRODUCT((Upload_Indiv_Player=$A109)*(Upload_Indiv_Date=I$2)*(Upload_Indiv_Tot_Birds)))</f>
        <v/>
      </c>
      <c r="J112" s="2" t="str" cm="1">
        <f t="array" ref="J112">IF(SUMPRODUCT((Upload_Indiv_Player=$A109)*(Upload_Indiv_Date=J$2)*(Upload_Indiv_Tot_Birds))=0,"",SUMPRODUCT((Upload_Indiv_Player=$A109)*(Upload_Indiv_Date=J$2)*(Upload_Indiv_Tot_Birds)))</f>
        <v/>
      </c>
      <c r="K112" s="2" t="str" cm="1">
        <f t="array" ref="K112">IF(SUMPRODUCT((Upload_Indiv_Player=$A109)*(Upload_Indiv_Date=K$2)*(Upload_Indiv_Tot_Birds))=0,"",SUMPRODUCT((Upload_Indiv_Player=$A109)*(Upload_Indiv_Date=K$2)*(Upload_Indiv_Tot_Birds)))</f>
        <v/>
      </c>
      <c r="L112" s="2" t="str" cm="1">
        <f t="array" ref="L112">IF(SUMPRODUCT((Upload_Indiv_Player=$A109)*(Upload_Indiv_Date=L$2)*(Upload_Indiv_Tot_Birds))=0,"",SUMPRODUCT((Upload_Indiv_Player=$A109)*(Upload_Indiv_Date=L$2)*(Upload_Indiv_Tot_Birds)))</f>
        <v/>
      </c>
      <c r="M112" s="2" t="str" cm="1">
        <f t="array" ref="M112">IF(SUMPRODUCT((Upload_Indiv_Player=$A109)*(Upload_Indiv_Date=M$2)*(Upload_Indiv_Tot_Birds))=0,"",SUMPRODUCT((Upload_Indiv_Player=$A109)*(Upload_Indiv_Date=M$2)*(Upload_Indiv_Tot_Birds)))</f>
        <v/>
      </c>
      <c r="N112" s="2" t="str" cm="1">
        <f t="array" ref="N112">IF(SUMPRODUCT((Upload_Indiv_Player=$A109)*(Upload_Indiv_Date=N$2)*(Upload_Indiv_Tot_Birds))=0,"",SUMPRODUCT((Upload_Indiv_Player=$A109)*(Upload_Indiv_Date=N$2)*(Upload_Indiv_Tot_Birds)))</f>
        <v/>
      </c>
      <c r="O112" s="2" t="str" cm="1">
        <f t="array" ref="O112">IF(SUMPRODUCT((Upload_Indiv_Player=$A109)*(Upload_Indiv_Date=O$2)*(Upload_Indiv_Tot_Birds))=0,"",SUMPRODUCT((Upload_Indiv_Player=$A109)*(Upload_Indiv_Date=O$2)*(Upload_Indiv_Tot_Birds)))</f>
        <v/>
      </c>
      <c r="P112" s="2" t="str" cm="1">
        <f t="array" ref="P112">IF(SUMPRODUCT((Upload_Indiv_Player=$A109)*(Upload_Indiv_Date=P$2)*(Upload_Indiv_Tot_Birds))=0,"",SUMPRODUCT((Upload_Indiv_Player=$A109)*(Upload_Indiv_Date=P$2)*(Upload_Indiv_Tot_Birds)))</f>
        <v/>
      </c>
      <c r="Q112" s="2" t="str" cm="1">
        <f t="array" ref="Q112">IF(SUMPRODUCT((Upload_Indiv_Player=$A109)*(Upload_Indiv_Date=Q$2)*(Upload_Indiv_Tot_Birds))=0,"",SUMPRODUCT((Upload_Indiv_Player=$A109)*(Upload_Indiv_Date=Q$2)*(Upload_Indiv_Tot_Birds)))</f>
        <v/>
      </c>
      <c r="R112" s="2" t="str" cm="1">
        <f t="array" ref="R112">IF(SUMPRODUCT((Upload_Indiv_Player=$A109)*(Upload_Indiv_Date=R$2)*(Upload_Indiv_Tot_Birds))=0,"",SUMPRODUCT((Upload_Indiv_Player=$A109)*(Upload_Indiv_Date=R$2)*(Upload_Indiv_Tot_Birds)))</f>
        <v/>
      </c>
      <c r="S112" s="2" t="str" cm="1">
        <f t="array" ref="S112">IF(SUMPRODUCT((Upload_Indiv_Player=$A109)*(Upload_Indiv_Date=S$2)*(Upload_Indiv_Tot_Birds))=0,"",SUMPRODUCT((Upload_Indiv_Player=$A109)*(Upload_Indiv_Date=S$2)*(Upload_Indiv_Tot_Birds)))</f>
        <v/>
      </c>
      <c r="T112" s="2" t="str" cm="1">
        <f t="array" ref="T112">IF(SUMPRODUCT((Upload_Indiv_Player=$A109)*(Upload_Indiv_Date=T$2)*(Upload_Indiv_Tot_Birds))=0,"",SUMPRODUCT((Upload_Indiv_Player=$A109)*(Upload_Indiv_Date=T$2)*(Upload_Indiv_Tot_Birds)))</f>
        <v/>
      </c>
      <c r="U112" s="2" t="str" cm="1">
        <f t="array" ref="U112">IF(SUMPRODUCT((Upload_Indiv_Player=$A109)*(Upload_Indiv_Date=U$2)*(Upload_Indiv_Tot_Birds))=0,"",SUMPRODUCT((Upload_Indiv_Player=$A109)*(Upload_Indiv_Date=U$2)*(Upload_Indiv_Tot_Birds)))</f>
        <v/>
      </c>
      <c r="V112" s="276"/>
      <c r="W112" s="276"/>
      <c r="X112" s="276"/>
      <c r="Y112" s="277"/>
      <c r="Z112" s="277"/>
      <c r="AA112" s="277"/>
    </row>
    <row r="113" spans="1:27" x14ac:dyDescent="0.25">
      <c r="A113" s="14"/>
      <c r="B113" s="8" t="s">
        <v>175</v>
      </c>
      <c r="C113" s="2" t="str" cm="1">
        <f t="array" ref="C113">IF(SUMPRODUCT((Upload_Indiv_Player=$A109)*(Upload_Indiv_Date=C$2)*(Upload_Indiv_Tot_Eagles))=0,"",SUMPRODUCT((Upload_Indiv_Player=$A109)*(Upload_Indiv_Date=C$2)*(Upload_Indiv_Tot_Eagles)))</f>
        <v/>
      </c>
      <c r="D113" s="2" t="str" cm="1">
        <f t="array" ref="D113">IF(SUMPRODUCT((Upload_Indiv_Player=$A109)*(Upload_Indiv_Date=D$2)*(Upload_Indiv_Tot_Eagles))=0,"",SUMPRODUCT((Upload_Indiv_Player=$A109)*(Upload_Indiv_Date=D$2)*(Upload_Indiv_Tot_Eagles)))</f>
        <v/>
      </c>
      <c r="E113" s="2" t="str" cm="1">
        <f t="array" ref="E113">IF(SUMPRODUCT((Upload_Indiv_Player=$A109)*(Upload_Indiv_Date=E$2)*(Upload_Indiv_Tot_Eagles))=0,"",SUMPRODUCT((Upload_Indiv_Player=$A109)*(Upload_Indiv_Date=E$2)*(Upload_Indiv_Tot_Eagles)))</f>
        <v/>
      </c>
      <c r="F113" s="2" t="str" cm="1">
        <f t="array" ref="F113">IF(SUMPRODUCT((Upload_Indiv_Player=$A109)*(Upload_Indiv_Date=F$2)*(Upload_Indiv_Tot_Eagles))=0,"",SUMPRODUCT((Upload_Indiv_Player=$A109)*(Upload_Indiv_Date=F$2)*(Upload_Indiv_Tot_Eagles)))</f>
        <v/>
      </c>
      <c r="G113" s="2" t="str" cm="1">
        <f t="array" ref="G113">IF(SUMPRODUCT((Upload_Indiv_Player=$A109)*(Upload_Indiv_Date=G$2)*(Upload_Indiv_Tot_Eagles))=0,"",SUMPRODUCT((Upload_Indiv_Player=$A109)*(Upload_Indiv_Date=G$2)*(Upload_Indiv_Tot_Eagles)))</f>
        <v/>
      </c>
      <c r="H113" s="2" t="str" cm="1">
        <f t="array" ref="H113">IF(SUMPRODUCT((Upload_Indiv_Player=$A109)*(Upload_Indiv_Date=H$2)*(Upload_Indiv_Tot_Eagles))=0,"",SUMPRODUCT((Upload_Indiv_Player=$A109)*(Upload_Indiv_Date=H$2)*(Upload_Indiv_Tot_Eagles)))</f>
        <v/>
      </c>
      <c r="I113" s="2" t="str" cm="1">
        <f t="array" ref="I113">IF(SUMPRODUCT((Upload_Indiv_Player=$A109)*(Upload_Indiv_Date=I$2)*(Upload_Indiv_Tot_Eagles))=0,"",SUMPRODUCT((Upload_Indiv_Player=$A109)*(Upload_Indiv_Date=I$2)*(Upload_Indiv_Tot_Eagles)))</f>
        <v/>
      </c>
      <c r="J113" s="2" t="str" cm="1">
        <f t="array" ref="J113">IF(SUMPRODUCT((Upload_Indiv_Player=$A109)*(Upload_Indiv_Date=J$2)*(Upload_Indiv_Tot_Eagles))=0,"",SUMPRODUCT((Upload_Indiv_Player=$A109)*(Upload_Indiv_Date=J$2)*(Upload_Indiv_Tot_Eagles)))</f>
        <v/>
      </c>
      <c r="K113" s="2" t="str" cm="1">
        <f t="array" ref="K113">IF(SUMPRODUCT((Upload_Indiv_Player=$A109)*(Upload_Indiv_Date=K$2)*(Upload_Indiv_Tot_Eagles))=0,"",SUMPRODUCT((Upload_Indiv_Player=$A109)*(Upload_Indiv_Date=K$2)*(Upload_Indiv_Tot_Eagles)))</f>
        <v/>
      </c>
      <c r="L113" s="2" t="str" cm="1">
        <f t="array" ref="L113">IF(SUMPRODUCT((Upload_Indiv_Player=$A109)*(Upload_Indiv_Date=L$2)*(Upload_Indiv_Tot_Eagles))=0,"",SUMPRODUCT((Upload_Indiv_Player=$A109)*(Upload_Indiv_Date=L$2)*(Upload_Indiv_Tot_Eagles)))</f>
        <v/>
      </c>
      <c r="M113" s="2" t="str" cm="1">
        <f t="array" ref="M113">IF(SUMPRODUCT((Upload_Indiv_Player=$A109)*(Upload_Indiv_Date=M$2)*(Upload_Indiv_Tot_Eagles))=0,"",SUMPRODUCT((Upload_Indiv_Player=$A109)*(Upload_Indiv_Date=M$2)*(Upload_Indiv_Tot_Eagles)))</f>
        <v/>
      </c>
      <c r="N113" s="2" t="str" cm="1">
        <f t="array" ref="N113">IF(SUMPRODUCT((Upload_Indiv_Player=$A109)*(Upload_Indiv_Date=N$2)*(Upload_Indiv_Tot_Eagles))=0,"",SUMPRODUCT((Upload_Indiv_Player=$A109)*(Upload_Indiv_Date=N$2)*(Upload_Indiv_Tot_Eagles)))</f>
        <v/>
      </c>
      <c r="O113" s="2" t="str" cm="1">
        <f t="array" ref="O113">IF(SUMPRODUCT((Upload_Indiv_Player=$A109)*(Upload_Indiv_Date=O$2)*(Upload_Indiv_Tot_Eagles))=0,"",SUMPRODUCT((Upload_Indiv_Player=$A109)*(Upload_Indiv_Date=O$2)*(Upload_Indiv_Tot_Eagles)))</f>
        <v/>
      </c>
      <c r="P113" s="2" t="str" cm="1">
        <f t="array" ref="P113">IF(SUMPRODUCT((Upload_Indiv_Player=$A109)*(Upload_Indiv_Date=P$2)*(Upload_Indiv_Tot_Eagles))=0,"",SUMPRODUCT((Upload_Indiv_Player=$A109)*(Upload_Indiv_Date=P$2)*(Upload_Indiv_Tot_Eagles)))</f>
        <v/>
      </c>
      <c r="Q113" s="2" t="str" cm="1">
        <f t="array" ref="Q113">IF(SUMPRODUCT((Upload_Indiv_Player=$A109)*(Upload_Indiv_Date=Q$2)*(Upload_Indiv_Tot_Eagles))=0,"",SUMPRODUCT((Upload_Indiv_Player=$A109)*(Upload_Indiv_Date=Q$2)*(Upload_Indiv_Tot_Eagles)))</f>
        <v/>
      </c>
      <c r="R113" s="2" t="str" cm="1">
        <f t="array" ref="R113">IF(SUMPRODUCT((Upload_Indiv_Player=$A109)*(Upload_Indiv_Date=R$2)*(Upload_Indiv_Tot_Eagles))=0,"",SUMPRODUCT((Upload_Indiv_Player=$A109)*(Upload_Indiv_Date=R$2)*(Upload_Indiv_Tot_Eagles)))</f>
        <v/>
      </c>
      <c r="S113" s="2" t="str" cm="1">
        <f t="array" ref="S113">IF(SUMPRODUCT((Upload_Indiv_Player=$A109)*(Upload_Indiv_Date=S$2)*(Upload_Indiv_Tot_Eagles))=0,"",SUMPRODUCT((Upload_Indiv_Player=$A109)*(Upload_Indiv_Date=S$2)*(Upload_Indiv_Tot_Eagles)))</f>
        <v/>
      </c>
      <c r="T113" s="2" t="str" cm="1">
        <f t="array" ref="T113">IF(SUMPRODUCT((Upload_Indiv_Player=$A109)*(Upload_Indiv_Date=T$2)*(Upload_Indiv_Tot_Eagles))=0,"",SUMPRODUCT((Upload_Indiv_Player=$A109)*(Upload_Indiv_Date=T$2)*(Upload_Indiv_Tot_Eagles)))</f>
        <v/>
      </c>
      <c r="U113" s="2" t="str" cm="1">
        <f t="array" ref="U113">IF(SUMPRODUCT((Upload_Indiv_Player=$A109)*(Upload_Indiv_Date=U$2)*(Upload_Indiv_Tot_Eagles))=0,"",SUMPRODUCT((Upload_Indiv_Player=$A109)*(Upload_Indiv_Date=U$2)*(Upload_Indiv_Tot_Eagles)))</f>
        <v/>
      </c>
      <c r="V113" s="276"/>
      <c r="W113" s="276"/>
      <c r="X113" s="276"/>
      <c r="Y113" s="277"/>
      <c r="Z113" s="278"/>
      <c r="AA113" s="277"/>
    </row>
    <row r="114" spans="1:27" x14ac:dyDescent="0.25">
      <c r="A114" s="14"/>
      <c r="B114" s="2" t="s">
        <v>176</v>
      </c>
      <c r="C114" s="2" t="str" cm="1">
        <f t="array" ref="C114">IF(SUMPRODUCT((Upload_Indiv_Player=$A109)*(Upload_Indiv_Date=C$2)*(Upload_Indiv_Excl_Score))=0,"",SUMPRODUCT((Upload_Indiv_Player=$A109)*(Upload_Indiv_Date=C$2)*(Upload_Indiv_Excl_Score)))</f>
        <v/>
      </c>
      <c r="D114" s="2" t="str" cm="1">
        <f t="array" ref="D114">IF(SUMPRODUCT((Upload_Indiv_Player=$A109)*(Upload_Indiv_Date=D$2)*(Upload_Indiv_Excl_Score))=0,"",SUMPRODUCT((Upload_Indiv_Player=$A109)*(Upload_Indiv_Date=D$2)*(Upload_Indiv_Excl_Score)))</f>
        <v/>
      </c>
      <c r="E114" s="2" t="str" cm="1">
        <f t="array" ref="E114">IF(SUMPRODUCT((Upload_Indiv_Player=$A109)*(Upload_Indiv_Date=E$2)*(Upload_Indiv_Excl_Score))=0,"",SUMPRODUCT((Upload_Indiv_Player=$A109)*(Upload_Indiv_Date=E$2)*(Upload_Indiv_Excl_Score)))</f>
        <v/>
      </c>
      <c r="F114" s="2" t="str" cm="1">
        <f t="array" ref="F114">IF(SUMPRODUCT((Upload_Indiv_Player=$A109)*(Upload_Indiv_Date=F$2)*(Upload_Indiv_Excl_Score))=0,"",SUMPRODUCT((Upload_Indiv_Player=$A109)*(Upload_Indiv_Date=F$2)*(Upload_Indiv_Excl_Score)))</f>
        <v/>
      </c>
      <c r="G114" s="2" t="str" cm="1">
        <f t="array" ref="G114">IF(SUMPRODUCT((Upload_Indiv_Player=$A109)*(Upload_Indiv_Date=G$2)*(Upload_Indiv_Excl_Score))=0,"",SUMPRODUCT((Upload_Indiv_Player=$A109)*(Upload_Indiv_Date=G$2)*(Upload_Indiv_Excl_Score)))</f>
        <v/>
      </c>
      <c r="H114" s="2" t="str" cm="1">
        <f t="array" ref="H114">IF(SUMPRODUCT((Upload_Indiv_Player=$A109)*(Upload_Indiv_Date=H$2)*(Upload_Indiv_Excl_Score))=0,"",SUMPRODUCT((Upload_Indiv_Player=$A109)*(Upload_Indiv_Date=H$2)*(Upload_Indiv_Excl_Score)))</f>
        <v/>
      </c>
      <c r="I114" s="2" t="str" cm="1">
        <f t="array" ref="I114">IF(SUMPRODUCT((Upload_Indiv_Player=$A109)*(Upload_Indiv_Date=I$2)*(Upload_Indiv_Excl_Score))=0,"",SUMPRODUCT((Upload_Indiv_Player=$A109)*(Upload_Indiv_Date=I$2)*(Upload_Indiv_Excl_Score)))</f>
        <v/>
      </c>
      <c r="J114" s="2" t="str" cm="1">
        <f t="array" ref="J114">IF(SUMPRODUCT((Upload_Indiv_Player=$A109)*(Upload_Indiv_Date=J$2)*(Upload_Indiv_Excl_Score))=0,"",SUMPRODUCT((Upload_Indiv_Player=$A109)*(Upload_Indiv_Date=J$2)*(Upload_Indiv_Excl_Score)))</f>
        <v/>
      </c>
      <c r="K114" s="2" t="str" cm="1">
        <f t="array" ref="K114">IF(SUMPRODUCT((Upload_Indiv_Player=$A109)*(Upload_Indiv_Date=K$2)*(Upload_Indiv_Excl_Score))=0,"",SUMPRODUCT((Upload_Indiv_Player=$A109)*(Upload_Indiv_Date=K$2)*(Upload_Indiv_Excl_Score)))</f>
        <v/>
      </c>
      <c r="L114" s="2" t="str" cm="1">
        <f t="array" ref="L114">IF(SUMPRODUCT((Upload_Indiv_Player=$A109)*(Upload_Indiv_Date=L$2)*(Upload_Indiv_Excl_Score))=0,"",SUMPRODUCT((Upload_Indiv_Player=$A109)*(Upload_Indiv_Date=L$2)*(Upload_Indiv_Excl_Score)))</f>
        <v/>
      </c>
      <c r="M114" s="2" t="str" cm="1">
        <f t="array" ref="M114">IF(SUMPRODUCT((Upload_Indiv_Player=$A109)*(Upload_Indiv_Date=M$2)*(Upload_Indiv_Excl_Score))=0,"",SUMPRODUCT((Upload_Indiv_Player=$A109)*(Upload_Indiv_Date=M$2)*(Upload_Indiv_Excl_Score)))</f>
        <v/>
      </c>
      <c r="N114" s="2" t="str" cm="1">
        <f t="array" ref="N114">IF(SUMPRODUCT((Upload_Indiv_Player=$A109)*(Upload_Indiv_Date=N$2)*(Upload_Indiv_Excl_Score))=0,"",SUMPRODUCT((Upload_Indiv_Player=$A109)*(Upload_Indiv_Date=N$2)*(Upload_Indiv_Excl_Score)))</f>
        <v/>
      </c>
      <c r="O114" s="2" t="str" cm="1">
        <f t="array" ref="O114">IF(SUMPRODUCT((Upload_Indiv_Player=$A109)*(Upload_Indiv_Date=O$2)*(Upload_Indiv_Excl_Score))=0,"",SUMPRODUCT((Upload_Indiv_Player=$A109)*(Upload_Indiv_Date=O$2)*(Upload_Indiv_Excl_Score)))</f>
        <v/>
      </c>
      <c r="P114" s="2" t="str" cm="1">
        <f t="array" ref="P114">IF(SUMPRODUCT((Upload_Indiv_Player=$A109)*(Upload_Indiv_Date=P$2)*(Upload_Indiv_Excl_Score))=0,"",SUMPRODUCT((Upload_Indiv_Player=$A109)*(Upload_Indiv_Date=P$2)*(Upload_Indiv_Excl_Score)))</f>
        <v/>
      </c>
      <c r="Q114" s="2" t="str" cm="1">
        <f t="array" ref="Q114">IF(SUMPRODUCT((Upload_Indiv_Player=$A109)*(Upload_Indiv_Date=Q$2)*(Upload_Indiv_Excl_Score))=0,"",SUMPRODUCT((Upload_Indiv_Player=$A109)*(Upload_Indiv_Date=Q$2)*(Upload_Indiv_Excl_Score)))</f>
        <v/>
      </c>
      <c r="R114" s="2" t="str" cm="1">
        <f t="array" ref="R114">IF(SUMPRODUCT((Upload_Indiv_Player=$A109)*(Upload_Indiv_Date=R$2)*(Upload_Indiv_Excl_Score))=0,"",SUMPRODUCT((Upload_Indiv_Player=$A109)*(Upload_Indiv_Date=R$2)*(Upload_Indiv_Excl_Score)))</f>
        <v/>
      </c>
      <c r="S114" s="2" t="str" cm="1">
        <f t="array" ref="S114">IF(SUMPRODUCT((Upload_Indiv_Player=$A109)*(Upload_Indiv_Date=S$2)*(Upload_Indiv_Excl_Score))=0,"",SUMPRODUCT((Upload_Indiv_Player=$A109)*(Upload_Indiv_Date=S$2)*(Upload_Indiv_Excl_Score)))</f>
        <v/>
      </c>
      <c r="T114" s="2" t="str" cm="1">
        <f t="array" ref="T114">IF(SUMPRODUCT((Upload_Indiv_Player=$A109)*(Upload_Indiv_Date=T$2)*(Upload_Indiv_Excl_Score))=0,"",SUMPRODUCT((Upload_Indiv_Player=$A109)*(Upload_Indiv_Date=T$2)*(Upload_Indiv_Excl_Score)))</f>
        <v/>
      </c>
      <c r="U114" s="2" t="str" cm="1">
        <f t="array" ref="U114">IF(SUMPRODUCT((Upload_Indiv_Player=$A109)*(Upload_Indiv_Date=U$2)*(Upload_Indiv_Excl_Score))=0,"",SUMPRODUCT((Upload_Indiv_Player=$A109)*(Upload_Indiv_Date=U$2)*(Upload_Indiv_Excl_Score)))</f>
        <v/>
      </c>
      <c r="V114" s="276"/>
      <c r="W114" s="276"/>
      <c r="X114" s="276"/>
      <c r="Y114" s="277"/>
      <c r="Z114" s="277"/>
      <c r="AA114" s="277"/>
    </row>
    <row r="115" spans="1:27" x14ac:dyDescent="0.25">
      <c r="A115" s="14"/>
      <c r="B115" s="2" t="s">
        <v>177</v>
      </c>
      <c r="C115" s="2" t="str" cm="1">
        <f t="array" ref="C115">IFERROR(INDEX(Upload_Indiv_Team,MATCH(1,($A109=Upload_Indiv_Player)*(C$2=Upload_Indiv_Date),0)),"")</f>
        <v/>
      </c>
      <c r="D115" s="2" t="str" cm="1">
        <f t="array" ref="D115">IFERROR(INDEX(Upload_Indiv_Team,MATCH(1,($A109=Upload_Indiv_Player)*(D$2=Upload_Indiv_Date),0)),"")</f>
        <v/>
      </c>
      <c r="E115" s="2" t="str" cm="1">
        <f t="array" ref="E115">IFERROR(INDEX(Upload_Indiv_Team,MATCH(1,($A109=Upload_Indiv_Player)*(E$2=Upload_Indiv_Date),0)),"")</f>
        <v/>
      </c>
      <c r="F115" s="2" t="str" cm="1">
        <f t="array" ref="F115">IFERROR(INDEX(Upload_Indiv_Team,MATCH(1,($A109=Upload_Indiv_Player)*(F$2=Upload_Indiv_Date),0)),"")</f>
        <v/>
      </c>
      <c r="G115" s="2" t="str" cm="1">
        <f t="array" ref="G115">IFERROR(INDEX(Upload_Indiv_Team,MATCH(1,($A109=Upload_Indiv_Player)*(G$2=Upload_Indiv_Date),0)),"")</f>
        <v/>
      </c>
      <c r="H115" s="2" t="str" cm="1">
        <f t="array" ref="H115">IFERROR(INDEX(Upload_Indiv_Team,MATCH(1,($A109=Upload_Indiv_Player)*(H$2=Upload_Indiv_Date),0)),"")</f>
        <v/>
      </c>
      <c r="I115" s="2" t="str" cm="1">
        <f t="array" ref="I115">IFERROR(INDEX(Upload_Indiv_Team,MATCH(1,($A109=Upload_Indiv_Player)*(I$2=Upload_Indiv_Date),0)),"")</f>
        <v/>
      </c>
      <c r="J115" s="2" t="str" cm="1">
        <f t="array" ref="J115">IFERROR(INDEX(Upload_Indiv_Team,MATCH(1,($A109=Upload_Indiv_Player)*(J$2=Upload_Indiv_Date),0)),"")</f>
        <v/>
      </c>
      <c r="K115" s="2" t="str" cm="1">
        <f t="array" ref="K115">IFERROR(INDEX(Upload_Indiv_Team,MATCH(1,($A109=Upload_Indiv_Player)*(K$2=Upload_Indiv_Date),0)),"")</f>
        <v/>
      </c>
      <c r="L115" s="2" t="str" cm="1">
        <f t="array" ref="L115">IFERROR(INDEX(Upload_Indiv_Team,MATCH(1,($A109=Upload_Indiv_Player)*(L$2=Upload_Indiv_Date),0)),"")</f>
        <v/>
      </c>
      <c r="M115" s="2" t="str" cm="1">
        <f t="array" ref="M115">IFERROR(INDEX(Upload_Indiv_Team,MATCH(1,($A109=Upload_Indiv_Player)*(M$2=Upload_Indiv_Date),0)),"")</f>
        <v/>
      </c>
      <c r="N115" s="2" t="str" cm="1">
        <f t="array" ref="N115">IFERROR(INDEX(Upload_Indiv_Team,MATCH(1,($A109=Upload_Indiv_Player)*(N$2=Upload_Indiv_Date),0)),"")</f>
        <v/>
      </c>
      <c r="O115" s="2" t="str" cm="1">
        <f t="array" ref="O115">IFERROR(INDEX(Upload_Indiv_Team,MATCH(1,($A109=Upload_Indiv_Player)*(O$2=Upload_Indiv_Date),0)),"")</f>
        <v/>
      </c>
      <c r="P115" s="2" t="str" cm="1">
        <f t="array" ref="P115">IFERROR(INDEX(Upload_Indiv_Team,MATCH(1,($A109=Upload_Indiv_Player)*(P$2=Upload_Indiv_Date),0)),"")</f>
        <v/>
      </c>
      <c r="Q115" s="2" t="str" cm="1">
        <f t="array" ref="Q115">IFERROR(INDEX(Upload_Indiv_Team,MATCH(1,($A109=Upload_Indiv_Player)*(Q$2=Upload_Indiv_Date),0)),"")</f>
        <v/>
      </c>
      <c r="R115" s="2" t="str" cm="1">
        <f t="array" ref="R115">IFERROR(INDEX(Upload_Indiv_Team,MATCH(1,($A109=Upload_Indiv_Player)*(R$2=Upload_Indiv_Date),0)),"")</f>
        <v/>
      </c>
      <c r="S115" s="2" t="str" cm="1">
        <f t="array" ref="S115">IFERROR(INDEX(Upload_Indiv_Team,MATCH(1,($A109=Upload_Indiv_Player)*(S$2=Upload_Indiv_Date),0)),"")</f>
        <v/>
      </c>
      <c r="T115" s="2" t="str" cm="1">
        <f t="array" ref="T115">IFERROR(INDEX(Upload_Indiv_Team,MATCH(1,($A109=Upload_Indiv_Player)*(T$2=Upload_Indiv_Date),0)),"")</f>
        <v/>
      </c>
      <c r="U115" s="2" t="str" cm="1">
        <f t="array" ref="U115">IFERROR(INDEX(Upload_Indiv_Team,MATCH(1,($A109=Upload_Indiv_Player)*(U$2=Upload_Indiv_Date),0)),"")</f>
        <v/>
      </c>
      <c r="V115" s="276"/>
      <c r="W115" s="276"/>
      <c r="X115" s="276"/>
      <c r="Y115" s="277"/>
      <c r="Z115" s="277"/>
      <c r="AA115" s="277"/>
    </row>
    <row r="116" spans="1:27" ht="13.8" thickBot="1" x14ac:dyDescent="0.3">
      <c r="A116" s="329" t="s">
        <v>160</v>
      </c>
      <c r="B116" s="8" t="s">
        <v>178</v>
      </c>
      <c r="C116" s="58" t="str">
        <f t="shared" ref="C116:U116" si="14">IF(C109="", "", IF(C111&gt;=11, "w", IF(C111&lt;=9, "l", "t")))</f>
        <v/>
      </c>
      <c r="D116" s="58" t="str">
        <f t="shared" si="14"/>
        <v/>
      </c>
      <c r="E116" s="58" t="str">
        <f t="shared" si="14"/>
        <v/>
      </c>
      <c r="F116" s="58" t="str">
        <f t="shared" si="14"/>
        <v/>
      </c>
      <c r="G116" s="58" t="str">
        <f t="shared" si="14"/>
        <v/>
      </c>
      <c r="H116" s="87" t="str">
        <f t="shared" si="14"/>
        <v/>
      </c>
      <c r="I116" s="58" t="str">
        <f t="shared" si="14"/>
        <v/>
      </c>
      <c r="J116" s="58" t="str">
        <f t="shared" si="14"/>
        <v/>
      </c>
      <c r="K116" s="58" t="str">
        <f t="shared" si="14"/>
        <v/>
      </c>
      <c r="L116" s="58" t="str">
        <f t="shared" si="14"/>
        <v/>
      </c>
      <c r="M116" s="58" t="str">
        <f t="shared" si="14"/>
        <v/>
      </c>
      <c r="N116" s="58" t="str">
        <f t="shared" si="14"/>
        <v/>
      </c>
      <c r="O116" s="58" t="str">
        <f t="shared" si="14"/>
        <v/>
      </c>
      <c r="P116" s="58" t="str">
        <f t="shared" si="14"/>
        <v/>
      </c>
      <c r="Q116" s="58" t="str">
        <f t="shared" si="14"/>
        <v/>
      </c>
      <c r="R116" s="58" t="str">
        <f t="shared" si="14"/>
        <v/>
      </c>
      <c r="S116" s="58" t="str">
        <f t="shared" si="14"/>
        <v/>
      </c>
      <c r="T116" s="58" t="str">
        <f t="shared" si="14"/>
        <v/>
      </c>
      <c r="U116" s="58" t="str">
        <f t="shared" si="14"/>
        <v/>
      </c>
      <c r="V116" s="276"/>
      <c r="W116" s="276"/>
      <c r="X116" s="276"/>
      <c r="Y116" s="277"/>
      <c r="Z116" s="277"/>
      <c r="AA116" s="277"/>
    </row>
    <row r="117" spans="1:27" x14ac:dyDescent="0.25">
      <c r="A117" s="11" t="s">
        <v>224</v>
      </c>
      <c r="B117" s="17" t="s">
        <v>170</v>
      </c>
      <c r="C117" s="3" t="str" cm="1">
        <f t="array" ref="C117">IF(SUMPRODUCT((Upload_Indiv_Player=$A117)*(Upload_Indiv_Date=C$2)*(Upload_Indiv_Gross))=0,"",SUMPRODUCT((Upload_Indiv_Player=$A117)*(Upload_Indiv_Date=C$2)*(Upload_Indiv_Gross)))</f>
        <v/>
      </c>
      <c r="D117" s="3" cm="1">
        <f t="array" ref="D117">IF(SUMPRODUCT((Upload_Indiv_Player=$A117)*(Upload_Indiv_Date=D$2)*(Upload_Indiv_Gross))=0,"",SUMPRODUCT((Upload_Indiv_Player=$A117)*(Upload_Indiv_Date=D$2)*(Upload_Indiv_Gross)))</f>
        <v>52</v>
      </c>
      <c r="E117" s="3" cm="1">
        <f t="array" ref="E117">IF(SUMPRODUCT((Upload_Indiv_Player=$A117)*(Upload_Indiv_Date=E$2)*(Upload_Indiv_Gross))=0,"",SUMPRODUCT((Upload_Indiv_Player=$A117)*(Upload_Indiv_Date=E$2)*(Upload_Indiv_Gross)))</f>
        <v>56</v>
      </c>
      <c r="F117" s="3" cm="1">
        <f t="array" ref="F117">IF(SUMPRODUCT((Upload_Indiv_Player=$A117)*(Upload_Indiv_Date=F$2)*(Upload_Indiv_Gross))=0,"",SUMPRODUCT((Upload_Indiv_Player=$A117)*(Upload_Indiv_Date=F$2)*(Upload_Indiv_Gross)))</f>
        <v>49</v>
      </c>
      <c r="G117" s="3" cm="1">
        <f t="array" ref="G117">IF(SUMPRODUCT((Upload_Indiv_Player=$A117)*(Upload_Indiv_Date=G$2)*(Upload_Indiv_Gross))=0,"",SUMPRODUCT((Upload_Indiv_Player=$A117)*(Upload_Indiv_Date=G$2)*(Upload_Indiv_Gross)))</f>
        <v>55</v>
      </c>
      <c r="H117" s="3" t="str" cm="1">
        <f t="array" ref="H117">IF(SUMPRODUCT((Upload_Indiv_Player=$A117)*(Upload_Indiv_Date=H$2)*(Upload_Indiv_Gross))=0,"",SUMPRODUCT((Upload_Indiv_Player=$A117)*(Upload_Indiv_Date=H$2)*(Upload_Indiv_Gross)))</f>
        <v/>
      </c>
      <c r="I117" s="3" t="str" cm="1">
        <f t="array" ref="I117">IF(SUMPRODUCT((Upload_Indiv_Player=$A117)*(Upload_Indiv_Date=I$2)*(Upload_Indiv_Gross))=0,"",SUMPRODUCT((Upload_Indiv_Player=$A117)*(Upload_Indiv_Date=I$2)*(Upload_Indiv_Gross)))</f>
        <v/>
      </c>
      <c r="J117" s="3" t="str" cm="1">
        <f t="array" ref="J117">IF(SUMPRODUCT((Upload_Indiv_Player=$A117)*(Upload_Indiv_Date=J$2)*(Upload_Indiv_Gross))=0,"",SUMPRODUCT((Upload_Indiv_Player=$A117)*(Upload_Indiv_Date=J$2)*(Upload_Indiv_Gross)))</f>
        <v/>
      </c>
      <c r="K117" s="3" t="str" cm="1">
        <f t="array" ref="K117">IF(SUMPRODUCT((Upload_Indiv_Player=$A117)*(Upload_Indiv_Date=K$2)*(Upload_Indiv_Gross))=0,"",SUMPRODUCT((Upload_Indiv_Player=$A117)*(Upload_Indiv_Date=K$2)*(Upload_Indiv_Gross)))</f>
        <v/>
      </c>
      <c r="L117" s="3" t="str" cm="1">
        <f t="array" ref="L117">IF(SUMPRODUCT((Upload_Indiv_Player=$A117)*(Upload_Indiv_Date=L$2)*(Upload_Indiv_Gross))=0,"",SUMPRODUCT((Upload_Indiv_Player=$A117)*(Upload_Indiv_Date=L$2)*(Upload_Indiv_Gross)))</f>
        <v/>
      </c>
      <c r="M117" s="3" cm="1">
        <f t="array" ref="M117">IF(SUMPRODUCT((Upload_Indiv_Player=$A117)*(Upload_Indiv_Date=M$2)*(Upload_Indiv_Gross))=0,"",SUMPRODUCT((Upload_Indiv_Player=$A117)*(Upload_Indiv_Date=M$2)*(Upload_Indiv_Gross)))</f>
        <v>44</v>
      </c>
      <c r="N117" s="3" t="str" cm="1">
        <f t="array" ref="N117">IF(SUMPRODUCT((Upload_Indiv_Player=$A117)*(Upload_Indiv_Date=N$2)*(Upload_Indiv_Gross))=0,"",SUMPRODUCT((Upload_Indiv_Player=$A117)*(Upload_Indiv_Date=N$2)*(Upload_Indiv_Gross)))</f>
        <v/>
      </c>
      <c r="O117" s="3" t="str" cm="1">
        <f t="array" ref="O117">IF(SUMPRODUCT((Upload_Indiv_Player=$A117)*(Upload_Indiv_Date=O$2)*(Upload_Indiv_Gross))=0,"",SUMPRODUCT((Upload_Indiv_Player=$A117)*(Upload_Indiv_Date=O$2)*(Upload_Indiv_Gross)))</f>
        <v/>
      </c>
      <c r="P117" s="3" t="str" cm="1">
        <f t="array" ref="P117">IF(SUMPRODUCT((Upload_Indiv_Player=$A117)*(Upload_Indiv_Date=P$2)*(Upload_Indiv_Gross))=0,"",SUMPRODUCT((Upload_Indiv_Player=$A117)*(Upload_Indiv_Date=P$2)*(Upload_Indiv_Gross)))</f>
        <v/>
      </c>
      <c r="Q117" s="2" t="str" cm="1">
        <f t="array" ref="Q117">IF(SUMPRODUCT((Upload_Indiv_Player=$A117)*(Upload_Indiv_Date=Q$2)*(Upload_Indiv_Gross))=0,"",SUMPRODUCT((Upload_Indiv_Player=$A117)*(Upload_Indiv_Date=Q$2)*(Upload_Indiv_Gross)))</f>
        <v/>
      </c>
      <c r="R117" s="2" t="str" cm="1">
        <f t="array" ref="R117">IF(SUMPRODUCT((Upload_Indiv_Player=$A117)*(Upload_Indiv_Date=R$2)*(Upload_Indiv_Gross))=0,"",SUMPRODUCT((Upload_Indiv_Player=$A117)*(Upload_Indiv_Date=R$2)*(Upload_Indiv_Gross)))</f>
        <v/>
      </c>
      <c r="S117" s="3" t="str" cm="1">
        <f t="array" ref="S117">IF(SUMPRODUCT((Upload_Indiv_Player=$A117)*(Upload_Indiv_Date=S$2)*(Upload_Indiv_Gross))=0,"",SUMPRODUCT((Upload_Indiv_Player=$A117)*(Upload_Indiv_Date=S$2)*(Upload_Indiv_Gross)))</f>
        <v/>
      </c>
      <c r="T117" s="2" t="str" cm="1">
        <f t="array" ref="T117">IF(SUMPRODUCT((Upload_Indiv_Player=$A117)*(Upload_Indiv_Date=T$2)*(Upload_Indiv_Gross))=0,"",SUMPRODUCT((Upload_Indiv_Player=$A117)*(Upload_Indiv_Date=T$2)*(Upload_Indiv_Gross)))</f>
        <v/>
      </c>
      <c r="U117" s="2" t="str" cm="1">
        <f t="array" ref="U117">IF(SUMPRODUCT((Upload_Indiv_Player=$A117)*(Upload_Indiv_Date=U$2)*(Upload_Indiv_Gross))=0,"",SUMPRODUCT((Upload_Indiv_Player=$A117)*(Upload_Indiv_Date=U$2)*(Upload_Indiv_Gross)))</f>
        <v/>
      </c>
      <c r="V117" s="273">
        <v>3</v>
      </c>
      <c r="W117" s="273">
        <v>1</v>
      </c>
      <c r="X117" s="273">
        <v>8</v>
      </c>
      <c r="Y117" s="277">
        <v>8</v>
      </c>
      <c r="Z117" s="277">
        <v>12</v>
      </c>
      <c r="AA117" s="277">
        <v>13</v>
      </c>
    </row>
    <row r="118" spans="1:27" x14ac:dyDescent="0.25">
      <c r="A118" s="216"/>
      <c r="B118" s="8" t="s">
        <v>171</v>
      </c>
      <c r="C118" s="2" t="str" cm="1">
        <f t="array" ref="C118">IF(SUMPRODUCT((Upload_Indiv_Player=$A117)*(Upload_Indiv_Date=C$2)*(Upload_Indiv_Net))=0,"",SUMPRODUCT((Upload_Indiv_Player=$A117)*(Upload_Indiv_Date=C$2)*(Upload_Indiv_Net)))</f>
        <v/>
      </c>
      <c r="D118" s="2" cm="1">
        <f t="array" ref="D118">IF(SUMPRODUCT((Upload_Indiv_Player=$A117)*(Upload_Indiv_Date=D$2)*(Upload_Indiv_Net))=0,"",SUMPRODUCT((Upload_Indiv_Player=$A117)*(Upload_Indiv_Date=D$2)*(Upload_Indiv_Net)))</f>
        <v>39</v>
      </c>
      <c r="E118" s="2" cm="1">
        <f t="array" ref="E118">IF(SUMPRODUCT((Upload_Indiv_Player=$A117)*(Upload_Indiv_Date=E$2)*(Upload_Indiv_Net))=0,"",SUMPRODUCT((Upload_Indiv_Player=$A117)*(Upload_Indiv_Date=E$2)*(Upload_Indiv_Net)))</f>
        <v>43</v>
      </c>
      <c r="F118" s="2" cm="1">
        <f t="array" ref="F118">IF(SUMPRODUCT((Upload_Indiv_Player=$A117)*(Upload_Indiv_Date=F$2)*(Upload_Indiv_Net))=0,"",SUMPRODUCT((Upload_Indiv_Player=$A117)*(Upload_Indiv_Date=F$2)*(Upload_Indiv_Net)))</f>
        <v>36</v>
      </c>
      <c r="G118" s="2" cm="1">
        <f t="array" ref="G118">IF(SUMPRODUCT((Upload_Indiv_Player=$A117)*(Upload_Indiv_Date=G$2)*(Upload_Indiv_Net))=0,"",SUMPRODUCT((Upload_Indiv_Player=$A117)*(Upload_Indiv_Date=G$2)*(Upload_Indiv_Net)))</f>
        <v>42</v>
      </c>
      <c r="H118" s="2" t="str" cm="1">
        <f t="array" ref="H118">IF(SUMPRODUCT((Upload_Indiv_Player=$A117)*(Upload_Indiv_Date=H$2)*(Upload_Indiv_Net))=0,"",SUMPRODUCT((Upload_Indiv_Player=$A117)*(Upload_Indiv_Date=H$2)*(Upload_Indiv_Net)))</f>
        <v/>
      </c>
      <c r="I118" s="2" t="str" cm="1">
        <f t="array" ref="I118">IF(SUMPRODUCT((Upload_Indiv_Player=$A117)*(Upload_Indiv_Date=I$2)*(Upload_Indiv_Net))=0,"",SUMPRODUCT((Upload_Indiv_Player=$A117)*(Upload_Indiv_Date=I$2)*(Upload_Indiv_Net)))</f>
        <v/>
      </c>
      <c r="J118" s="2" t="str" cm="1">
        <f t="array" ref="J118">IF(SUMPRODUCT((Upload_Indiv_Player=$A117)*(Upload_Indiv_Date=J$2)*(Upload_Indiv_Net))=0,"",SUMPRODUCT((Upload_Indiv_Player=$A117)*(Upload_Indiv_Date=J$2)*(Upload_Indiv_Net)))</f>
        <v/>
      </c>
      <c r="K118" s="2" t="str" cm="1">
        <f t="array" ref="K118">IF(SUMPRODUCT((Upload_Indiv_Player=$A117)*(Upload_Indiv_Date=K$2)*(Upload_Indiv_Net))=0,"",SUMPRODUCT((Upload_Indiv_Player=$A117)*(Upload_Indiv_Date=K$2)*(Upload_Indiv_Net)))</f>
        <v/>
      </c>
      <c r="L118" s="2" t="str" cm="1">
        <f t="array" ref="L118">IF(SUMPRODUCT((Upload_Indiv_Player=$A117)*(Upload_Indiv_Date=L$2)*(Upload_Indiv_Net))=0,"",SUMPRODUCT((Upload_Indiv_Player=$A117)*(Upload_Indiv_Date=L$2)*(Upload_Indiv_Net)))</f>
        <v/>
      </c>
      <c r="M118" s="2" cm="1">
        <f t="array" ref="M118">IF(SUMPRODUCT((Upload_Indiv_Player=$A117)*(Upload_Indiv_Date=M$2)*(Upload_Indiv_Net))=0,"",SUMPRODUCT((Upload_Indiv_Player=$A117)*(Upload_Indiv_Date=M$2)*(Upload_Indiv_Net)))</f>
        <v>31</v>
      </c>
      <c r="N118" s="2" t="str" cm="1">
        <f t="array" ref="N118">IF(SUMPRODUCT((Upload_Indiv_Player=$A117)*(Upload_Indiv_Date=N$2)*(Upload_Indiv_Net))=0,"",SUMPRODUCT((Upload_Indiv_Player=$A117)*(Upload_Indiv_Date=N$2)*(Upload_Indiv_Net)))</f>
        <v/>
      </c>
      <c r="O118" s="2" t="str" cm="1">
        <f t="array" ref="O118">IF(SUMPRODUCT((Upload_Indiv_Player=$A117)*(Upload_Indiv_Date=O$2)*(Upload_Indiv_Net))=0,"",SUMPRODUCT((Upload_Indiv_Player=$A117)*(Upload_Indiv_Date=O$2)*(Upload_Indiv_Net)))</f>
        <v/>
      </c>
      <c r="P118" s="2" t="str" cm="1">
        <f t="array" ref="P118">IF(SUMPRODUCT((Upload_Indiv_Player=$A117)*(Upload_Indiv_Date=P$2)*(Upload_Indiv_Net))=0,"",SUMPRODUCT((Upload_Indiv_Player=$A117)*(Upload_Indiv_Date=P$2)*(Upload_Indiv_Net)))</f>
        <v/>
      </c>
      <c r="Q118" s="2" t="str" cm="1">
        <f t="array" ref="Q118">IF(SUMPRODUCT((Upload_Indiv_Player=$A117)*(Upload_Indiv_Date=Q$2)*(Upload_Indiv_Net))=0,"",SUMPRODUCT((Upload_Indiv_Player=$A117)*(Upload_Indiv_Date=Q$2)*(Upload_Indiv_Net)))</f>
        <v/>
      </c>
      <c r="R118" s="2" t="str" cm="1">
        <f t="array" ref="R118">IF(SUMPRODUCT((Upload_Indiv_Player=$A117)*(Upload_Indiv_Date=R$2)*(Upload_Indiv_Net))=0,"",SUMPRODUCT((Upload_Indiv_Player=$A117)*(Upload_Indiv_Date=R$2)*(Upload_Indiv_Net)))</f>
        <v/>
      </c>
      <c r="S118" s="2" t="str" cm="1">
        <f t="array" ref="S118">IF(SUMPRODUCT((Upload_Indiv_Player=$A117)*(Upload_Indiv_Date=S$2)*(Upload_Indiv_Net))=0,"",SUMPRODUCT((Upload_Indiv_Player=$A117)*(Upload_Indiv_Date=S$2)*(Upload_Indiv_Net)))</f>
        <v/>
      </c>
      <c r="T118" s="2" t="str" cm="1">
        <f t="array" ref="T118">IF(SUMPRODUCT((Upload_Indiv_Player=$A117)*(Upload_Indiv_Date=T$2)*(Upload_Indiv_Net))=0,"",SUMPRODUCT((Upload_Indiv_Player=$A117)*(Upload_Indiv_Date=T$2)*(Upload_Indiv_Net)))</f>
        <v/>
      </c>
      <c r="U118" s="2" t="str" cm="1">
        <f t="array" ref="U118">IF(SUMPRODUCT((Upload_Indiv_Player=$A117)*(Upload_Indiv_Date=U$2)*(Upload_Indiv_Net))=0,"",SUMPRODUCT((Upload_Indiv_Player=$A117)*(Upload_Indiv_Date=U$2)*(Upload_Indiv_Net)))</f>
        <v/>
      </c>
      <c r="V118" s="279">
        <v>50</v>
      </c>
      <c r="W118" s="276"/>
      <c r="X118" s="276"/>
      <c r="Y118" s="277"/>
      <c r="Z118" s="277"/>
      <c r="AA118" s="277"/>
    </row>
    <row r="119" spans="1:27" x14ac:dyDescent="0.25">
      <c r="A119" s="65"/>
      <c r="B119" s="8" t="s">
        <v>173</v>
      </c>
      <c r="C119" s="2" t="str" cm="1">
        <f t="array" ref="C119">IF(SUMPRODUCT((Upload_Indiv_Player=$A117)*(Upload_Indiv_Date=C$2)*(Upload_Indiv_PointsTot))=0,"",SUMPRODUCT((Upload_Indiv_Player=$A117)*(Upload_Indiv_Date=C$2)*(Upload_Indiv_PointsTot)))</f>
        <v/>
      </c>
      <c r="D119" s="2" cm="1">
        <f t="array" ref="D119">IF(SUMPRODUCT((Upload_Indiv_Player=$A117)*(Upload_Indiv_Date=D$2)*(Upload_Indiv_PointsTot))=0,"",SUMPRODUCT((Upload_Indiv_Player=$A117)*(Upload_Indiv_Date=D$2)*(Upload_Indiv_PointsTot)))</f>
        <v>14</v>
      </c>
      <c r="E119" s="2" cm="1">
        <f t="array" ref="E119">IF(SUMPRODUCT((Upload_Indiv_Player=$A117)*(Upload_Indiv_Date=E$2)*(Upload_Indiv_PointsTot))=0,"",SUMPRODUCT((Upload_Indiv_Player=$A117)*(Upload_Indiv_Date=E$2)*(Upload_Indiv_PointsTot)))</f>
        <v>8</v>
      </c>
      <c r="F119" s="2" cm="1">
        <f t="array" ref="F119">IF(SUMPRODUCT((Upload_Indiv_Player=$A117)*(Upload_Indiv_Date=F$2)*(Upload_Indiv_PointsTot))=0,"",SUMPRODUCT((Upload_Indiv_Player=$A117)*(Upload_Indiv_Date=F$2)*(Upload_Indiv_PointsTot)))</f>
        <v>15</v>
      </c>
      <c r="G119" s="2" cm="1">
        <f t="array" ref="G119">IF(SUMPRODUCT((Upload_Indiv_Player=$A117)*(Upload_Indiv_Date=G$2)*(Upload_Indiv_PointsTot))=0,"",SUMPRODUCT((Upload_Indiv_Player=$A117)*(Upload_Indiv_Date=G$2)*(Upload_Indiv_PointsTot)))</f>
        <v>9</v>
      </c>
      <c r="H119" s="2" t="str" cm="1">
        <f t="array" ref="H119">IF(SUMPRODUCT((Upload_Indiv_Player=$A117)*(Upload_Indiv_Date=H$2)*(Upload_Indiv_PointsTot))=0,"",SUMPRODUCT((Upload_Indiv_Player=$A117)*(Upload_Indiv_Date=H$2)*(Upload_Indiv_PointsTot)))</f>
        <v/>
      </c>
      <c r="I119" s="2" t="str" cm="1">
        <f t="array" ref="I119">IF(SUMPRODUCT((Upload_Indiv_Player=$A117)*(Upload_Indiv_Date=I$2)*(Upload_Indiv_PointsTot))=0,"",SUMPRODUCT((Upload_Indiv_Player=$A117)*(Upload_Indiv_Date=I$2)*(Upload_Indiv_PointsTot)))</f>
        <v/>
      </c>
      <c r="J119" s="2" t="str" cm="1">
        <f t="array" ref="J119">IF(SUMPRODUCT((Upload_Indiv_Player=$A117)*(Upload_Indiv_Date=J$2)*(Upload_Indiv_PointsTot))=0,"",SUMPRODUCT((Upload_Indiv_Player=$A117)*(Upload_Indiv_Date=J$2)*(Upload_Indiv_PointsTot)))</f>
        <v/>
      </c>
      <c r="K119" s="2" t="str" cm="1">
        <f t="array" ref="K119">IF(SUMPRODUCT((Upload_Indiv_Player=$A117)*(Upload_Indiv_Date=K$2)*(Upload_Indiv_PointsTot))=0,"",SUMPRODUCT((Upload_Indiv_Player=$A117)*(Upload_Indiv_Date=K$2)*(Upload_Indiv_PointsTot)))</f>
        <v/>
      </c>
      <c r="L119" s="2" t="str" cm="1">
        <f t="array" ref="L119">IF(SUMPRODUCT((Upload_Indiv_Player=$A117)*(Upload_Indiv_Date=L$2)*(Upload_Indiv_PointsTot))=0,"",SUMPRODUCT((Upload_Indiv_Player=$A117)*(Upload_Indiv_Date=L$2)*(Upload_Indiv_PointsTot)))</f>
        <v/>
      </c>
      <c r="M119" s="2" cm="1">
        <f t="array" ref="M119">IF(SUMPRODUCT((Upload_Indiv_Player=$A117)*(Upload_Indiv_Date=M$2)*(Upload_Indiv_PointsTot))=0,"",SUMPRODUCT((Upload_Indiv_Player=$A117)*(Upload_Indiv_Date=M$2)*(Upload_Indiv_PointsTot)))</f>
        <v>13</v>
      </c>
      <c r="N119" s="2" t="str" cm="1">
        <f t="array" ref="N119">IF(SUMPRODUCT((Upload_Indiv_Player=$A117)*(Upload_Indiv_Date=N$2)*(Upload_Indiv_PointsTot))=0,"",SUMPRODUCT((Upload_Indiv_Player=$A117)*(Upload_Indiv_Date=N$2)*(Upload_Indiv_PointsTot)))</f>
        <v/>
      </c>
      <c r="O119" s="2" t="str" cm="1">
        <f t="array" ref="O119">IF(SUMPRODUCT((Upload_Indiv_Player=$A117)*(Upload_Indiv_Date=O$2)*(Upload_Indiv_PointsTot))=0,"",SUMPRODUCT((Upload_Indiv_Player=$A117)*(Upload_Indiv_Date=O$2)*(Upload_Indiv_PointsTot)))</f>
        <v/>
      </c>
      <c r="P119" s="2" t="str" cm="1">
        <f t="array" ref="P119">IF(SUMPRODUCT((Upload_Indiv_Player=$A117)*(Upload_Indiv_Date=P$2)*(Upload_Indiv_PointsTot))=0,"",SUMPRODUCT((Upload_Indiv_Player=$A117)*(Upload_Indiv_Date=P$2)*(Upload_Indiv_PointsTot)))</f>
        <v/>
      </c>
      <c r="Q119" s="2" t="str" cm="1">
        <f t="array" ref="Q119">IF(SUMPRODUCT((Upload_Indiv_Player=$A117)*(Upload_Indiv_Date=Q$2)*(Upload_Indiv_PointsTot))=0,"",SUMPRODUCT((Upload_Indiv_Player=$A117)*(Upload_Indiv_Date=Q$2)*(Upload_Indiv_PointsTot)))</f>
        <v/>
      </c>
      <c r="R119" s="2" t="str" cm="1">
        <f t="array" ref="R119">IF(SUMPRODUCT((Upload_Indiv_Player=$A117)*(Upload_Indiv_Date=R$2)*(Upload_Indiv_PointsTot))=0,"",SUMPRODUCT((Upload_Indiv_Player=$A117)*(Upload_Indiv_Date=R$2)*(Upload_Indiv_PointsTot)))</f>
        <v/>
      </c>
      <c r="S119" s="2" t="str" cm="1">
        <f t="array" ref="S119">IF(SUMPRODUCT((Upload_Indiv_Player=$A117)*(Upload_Indiv_Date=S$2)*(Upload_Indiv_PointsTot))=0,"",SUMPRODUCT((Upload_Indiv_Player=$A117)*(Upload_Indiv_Date=S$2)*(Upload_Indiv_PointsTot)))</f>
        <v/>
      </c>
      <c r="T119" s="2" t="str" cm="1">
        <f t="array" ref="T119">IF(SUMPRODUCT((Upload_Indiv_Player=$A117)*(Upload_Indiv_Date=T$2)*(Upload_Indiv_PointsTot))=0,"",SUMPRODUCT((Upload_Indiv_Player=$A117)*(Upload_Indiv_Date=T$2)*(Upload_Indiv_PointsTot)))</f>
        <v/>
      </c>
      <c r="U119" s="2" t="str" cm="1">
        <f t="array" ref="U119">IF(SUMPRODUCT((Upload_Indiv_Player=$A117)*(Upload_Indiv_Date=U$2)*(Upload_Indiv_PointsTot))=0,"",SUMPRODUCT((Upload_Indiv_Player=$A117)*(Upload_Indiv_Date=U$2)*(Upload_Indiv_PointsTot)))</f>
        <v/>
      </c>
      <c r="V119" s="276"/>
      <c r="W119" s="276"/>
      <c r="X119" s="276"/>
      <c r="Y119" s="277"/>
      <c r="Z119" s="277"/>
      <c r="AA119" s="277"/>
    </row>
    <row r="120" spans="1:27" x14ac:dyDescent="0.25">
      <c r="A120" s="14"/>
      <c r="B120" s="8" t="s">
        <v>174</v>
      </c>
      <c r="C120" s="2" t="str" cm="1">
        <f t="array" ref="C120">IF(SUMPRODUCT((Upload_Indiv_Player=$A117)*(Upload_Indiv_Date=C$2)*(Upload_Indiv_Tot_Birds))=0,"",SUMPRODUCT((Upload_Indiv_Player=$A117)*(Upload_Indiv_Date=C$2)*(Upload_Indiv_Tot_Birds)))</f>
        <v/>
      </c>
      <c r="D120" s="2" t="str" cm="1">
        <f t="array" ref="D120">IF(SUMPRODUCT((Upload_Indiv_Player=$A117)*(Upload_Indiv_Date=D$2)*(Upload_Indiv_Tot_Birds))=0,"",SUMPRODUCT((Upload_Indiv_Player=$A117)*(Upload_Indiv_Date=D$2)*(Upload_Indiv_Tot_Birds)))</f>
        <v/>
      </c>
      <c r="E120" s="2" t="str" cm="1">
        <f t="array" ref="E120">IF(SUMPRODUCT((Upload_Indiv_Player=$A117)*(Upload_Indiv_Date=E$2)*(Upload_Indiv_Tot_Birds))=0,"",SUMPRODUCT((Upload_Indiv_Player=$A117)*(Upload_Indiv_Date=E$2)*(Upload_Indiv_Tot_Birds)))</f>
        <v/>
      </c>
      <c r="F120" s="2" t="str" cm="1">
        <f t="array" ref="F120">IF(SUMPRODUCT((Upload_Indiv_Player=$A117)*(Upload_Indiv_Date=F$2)*(Upload_Indiv_Tot_Birds))=0,"",SUMPRODUCT((Upload_Indiv_Player=$A117)*(Upload_Indiv_Date=F$2)*(Upload_Indiv_Tot_Birds)))</f>
        <v/>
      </c>
      <c r="G120" s="2" t="str" cm="1">
        <f t="array" ref="G120">IF(SUMPRODUCT((Upload_Indiv_Player=$A117)*(Upload_Indiv_Date=G$2)*(Upload_Indiv_Tot_Birds))=0,"",SUMPRODUCT((Upload_Indiv_Player=$A117)*(Upload_Indiv_Date=G$2)*(Upload_Indiv_Tot_Birds)))</f>
        <v/>
      </c>
      <c r="H120" s="2" t="str" cm="1">
        <f t="array" ref="H120">IF(SUMPRODUCT((Upload_Indiv_Player=$A117)*(Upload_Indiv_Date=H$2)*(Upload_Indiv_Tot_Birds))=0,"",SUMPRODUCT((Upload_Indiv_Player=$A117)*(Upload_Indiv_Date=H$2)*(Upload_Indiv_Tot_Birds)))</f>
        <v/>
      </c>
      <c r="I120" s="2" t="str" cm="1">
        <f t="array" ref="I120">IF(SUMPRODUCT((Upload_Indiv_Player=$A117)*(Upload_Indiv_Date=I$2)*(Upload_Indiv_Tot_Birds))=0,"",SUMPRODUCT((Upload_Indiv_Player=$A117)*(Upload_Indiv_Date=I$2)*(Upload_Indiv_Tot_Birds)))</f>
        <v/>
      </c>
      <c r="J120" s="2" t="str" cm="1">
        <f t="array" ref="J120">IF(SUMPRODUCT((Upload_Indiv_Player=$A117)*(Upload_Indiv_Date=J$2)*(Upload_Indiv_Tot_Birds))=0,"",SUMPRODUCT((Upload_Indiv_Player=$A117)*(Upload_Indiv_Date=J$2)*(Upload_Indiv_Tot_Birds)))</f>
        <v/>
      </c>
      <c r="K120" s="2" t="str" cm="1">
        <f t="array" ref="K120">IF(SUMPRODUCT((Upload_Indiv_Player=$A117)*(Upload_Indiv_Date=K$2)*(Upload_Indiv_Tot_Birds))=0,"",SUMPRODUCT((Upload_Indiv_Player=$A117)*(Upload_Indiv_Date=K$2)*(Upload_Indiv_Tot_Birds)))</f>
        <v/>
      </c>
      <c r="L120" s="2" t="str" cm="1">
        <f t="array" ref="L120">IF(SUMPRODUCT((Upload_Indiv_Player=$A117)*(Upload_Indiv_Date=L$2)*(Upload_Indiv_Tot_Birds))=0,"",SUMPRODUCT((Upload_Indiv_Player=$A117)*(Upload_Indiv_Date=L$2)*(Upload_Indiv_Tot_Birds)))</f>
        <v/>
      </c>
      <c r="M120" s="2" t="str" cm="1">
        <f t="array" ref="M120">IF(SUMPRODUCT((Upload_Indiv_Player=$A117)*(Upload_Indiv_Date=M$2)*(Upload_Indiv_Tot_Birds))=0,"",SUMPRODUCT((Upload_Indiv_Player=$A117)*(Upload_Indiv_Date=M$2)*(Upload_Indiv_Tot_Birds)))</f>
        <v/>
      </c>
      <c r="N120" s="2" t="str" cm="1">
        <f t="array" ref="N120">IF(SUMPRODUCT((Upload_Indiv_Player=$A117)*(Upload_Indiv_Date=N$2)*(Upload_Indiv_Tot_Birds))=0,"",SUMPRODUCT((Upload_Indiv_Player=$A117)*(Upload_Indiv_Date=N$2)*(Upload_Indiv_Tot_Birds)))</f>
        <v/>
      </c>
      <c r="O120" s="2" t="str" cm="1">
        <f t="array" ref="O120">IF(SUMPRODUCT((Upload_Indiv_Player=$A117)*(Upload_Indiv_Date=O$2)*(Upload_Indiv_Tot_Birds))=0,"",SUMPRODUCT((Upload_Indiv_Player=$A117)*(Upload_Indiv_Date=O$2)*(Upload_Indiv_Tot_Birds)))</f>
        <v/>
      </c>
      <c r="P120" s="2" t="str" cm="1">
        <f t="array" ref="P120">IF(SUMPRODUCT((Upload_Indiv_Player=$A117)*(Upload_Indiv_Date=P$2)*(Upload_Indiv_Tot_Birds))=0,"",SUMPRODUCT((Upload_Indiv_Player=$A117)*(Upload_Indiv_Date=P$2)*(Upload_Indiv_Tot_Birds)))</f>
        <v/>
      </c>
      <c r="Q120" s="2" t="str" cm="1">
        <f t="array" ref="Q120">IF(SUMPRODUCT((Upload_Indiv_Player=$A117)*(Upload_Indiv_Date=Q$2)*(Upload_Indiv_Tot_Birds))=0,"",SUMPRODUCT((Upload_Indiv_Player=$A117)*(Upload_Indiv_Date=Q$2)*(Upload_Indiv_Tot_Birds)))</f>
        <v/>
      </c>
      <c r="R120" s="2" t="str" cm="1">
        <f t="array" ref="R120">IF(SUMPRODUCT((Upload_Indiv_Player=$A117)*(Upload_Indiv_Date=R$2)*(Upload_Indiv_Tot_Birds))=0,"",SUMPRODUCT((Upload_Indiv_Player=$A117)*(Upload_Indiv_Date=R$2)*(Upload_Indiv_Tot_Birds)))</f>
        <v/>
      </c>
      <c r="S120" s="2" t="str" cm="1">
        <f t="array" ref="S120">IF(SUMPRODUCT((Upload_Indiv_Player=$A117)*(Upload_Indiv_Date=S$2)*(Upload_Indiv_Tot_Birds))=0,"",SUMPRODUCT((Upload_Indiv_Player=$A117)*(Upload_Indiv_Date=S$2)*(Upload_Indiv_Tot_Birds)))</f>
        <v/>
      </c>
      <c r="T120" s="2" t="str" cm="1">
        <f t="array" ref="T120">IF(SUMPRODUCT((Upload_Indiv_Player=$A117)*(Upload_Indiv_Date=T$2)*(Upload_Indiv_Tot_Birds))=0,"",SUMPRODUCT((Upload_Indiv_Player=$A117)*(Upload_Indiv_Date=T$2)*(Upload_Indiv_Tot_Birds)))</f>
        <v/>
      </c>
      <c r="U120" s="2" t="str" cm="1">
        <f t="array" ref="U120">IF(SUMPRODUCT((Upload_Indiv_Player=$A117)*(Upload_Indiv_Date=U$2)*(Upload_Indiv_Tot_Birds))=0,"",SUMPRODUCT((Upload_Indiv_Player=$A117)*(Upload_Indiv_Date=U$2)*(Upload_Indiv_Tot_Birds)))</f>
        <v/>
      </c>
      <c r="V120" s="276"/>
      <c r="W120" s="276"/>
      <c r="X120" s="276"/>
      <c r="Y120" s="277"/>
      <c r="Z120" s="277"/>
      <c r="AA120" s="277"/>
    </row>
    <row r="121" spans="1:27" x14ac:dyDescent="0.25">
      <c r="A121" s="14"/>
      <c r="B121" s="8" t="s">
        <v>175</v>
      </c>
      <c r="C121" s="2" t="str" cm="1">
        <f t="array" ref="C121">IF(SUMPRODUCT((Upload_Indiv_Player=$A117)*(Upload_Indiv_Date=C$2)*(Upload_Indiv_Tot_Eagles))=0,"",SUMPRODUCT((Upload_Indiv_Player=$A117)*(Upload_Indiv_Date=C$2)*(Upload_Indiv_Tot_Eagles)))</f>
        <v/>
      </c>
      <c r="D121" s="2" t="str" cm="1">
        <f t="array" ref="D121">IF(SUMPRODUCT((Upload_Indiv_Player=$A117)*(Upload_Indiv_Date=D$2)*(Upload_Indiv_Tot_Eagles))=0,"",SUMPRODUCT((Upload_Indiv_Player=$A117)*(Upload_Indiv_Date=D$2)*(Upload_Indiv_Tot_Eagles)))</f>
        <v/>
      </c>
      <c r="E121" s="2" t="str" cm="1">
        <f t="array" ref="E121">IF(SUMPRODUCT((Upload_Indiv_Player=$A117)*(Upload_Indiv_Date=E$2)*(Upload_Indiv_Tot_Eagles))=0,"",SUMPRODUCT((Upload_Indiv_Player=$A117)*(Upload_Indiv_Date=E$2)*(Upload_Indiv_Tot_Eagles)))</f>
        <v/>
      </c>
      <c r="F121" s="2" t="str" cm="1">
        <f t="array" ref="F121">IF(SUMPRODUCT((Upload_Indiv_Player=$A117)*(Upload_Indiv_Date=F$2)*(Upload_Indiv_Tot_Eagles))=0,"",SUMPRODUCT((Upload_Indiv_Player=$A117)*(Upload_Indiv_Date=F$2)*(Upload_Indiv_Tot_Eagles)))</f>
        <v/>
      </c>
      <c r="G121" s="2" t="str" cm="1">
        <f t="array" ref="G121">IF(SUMPRODUCT((Upload_Indiv_Player=$A117)*(Upload_Indiv_Date=G$2)*(Upload_Indiv_Tot_Eagles))=0,"",SUMPRODUCT((Upload_Indiv_Player=$A117)*(Upload_Indiv_Date=G$2)*(Upload_Indiv_Tot_Eagles)))</f>
        <v/>
      </c>
      <c r="H121" s="2" t="str" cm="1">
        <f t="array" ref="H121">IF(SUMPRODUCT((Upload_Indiv_Player=$A117)*(Upload_Indiv_Date=H$2)*(Upload_Indiv_Tot_Eagles))=0,"",SUMPRODUCT((Upload_Indiv_Player=$A117)*(Upload_Indiv_Date=H$2)*(Upload_Indiv_Tot_Eagles)))</f>
        <v/>
      </c>
      <c r="I121" s="2" t="str" cm="1">
        <f t="array" ref="I121">IF(SUMPRODUCT((Upload_Indiv_Player=$A117)*(Upload_Indiv_Date=I$2)*(Upload_Indiv_Tot_Eagles))=0,"",SUMPRODUCT((Upload_Indiv_Player=$A117)*(Upload_Indiv_Date=I$2)*(Upload_Indiv_Tot_Eagles)))</f>
        <v/>
      </c>
      <c r="J121" s="2" t="str" cm="1">
        <f t="array" ref="J121">IF(SUMPRODUCT((Upload_Indiv_Player=$A117)*(Upload_Indiv_Date=J$2)*(Upload_Indiv_Tot_Eagles))=0,"",SUMPRODUCT((Upload_Indiv_Player=$A117)*(Upload_Indiv_Date=J$2)*(Upload_Indiv_Tot_Eagles)))</f>
        <v/>
      </c>
      <c r="K121" s="2" t="str" cm="1">
        <f t="array" ref="K121">IF(SUMPRODUCT((Upload_Indiv_Player=$A117)*(Upload_Indiv_Date=K$2)*(Upload_Indiv_Tot_Eagles))=0,"",SUMPRODUCT((Upload_Indiv_Player=$A117)*(Upload_Indiv_Date=K$2)*(Upload_Indiv_Tot_Eagles)))</f>
        <v/>
      </c>
      <c r="L121" s="2" t="str" cm="1">
        <f t="array" ref="L121">IF(SUMPRODUCT((Upload_Indiv_Player=$A117)*(Upload_Indiv_Date=L$2)*(Upload_Indiv_Tot_Eagles))=0,"",SUMPRODUCT((Upload_Indiv_Player=$A117)*(Upload_Indiv_Date=L$2)*(Upload_Indiv_Tot_Eagles)))</f>
        <v/>
      </c>
      <c r="M121" s="2" t="str" cm="1">
        <f t="array" ref="M121">IF(SUMPRODUCT((Upload_Indiv_Player=$A117)*(Upload_Indiv_Date=M$2)*(Upload_Indiv_Tot_Eagles))=0,"",SUMPRODUCT((Upload_Indiv_Player=$A117)*(Upload_Indiv_Date=M$2)*(Upload_Indiv_Tot_Eagles)))</f>
        <v/>
      </c>
      <c r="N121" s="2" t="str" cm="1">
        <f t="array" ref="N121">IF(SUMPRODUCT((Upload_Indiv_Player=$A117)*(Upload_Indiv_Date=N$2)*(Upload_Indiv_Tot_Eagles))=0,"",SUMPRODUCT((Upload_Indiv_Player=$A117)*(Upload_Indiv_Date=N$2)*(Upload_Indiv_Tot_Eagles)))</f>
        <v/>
      </c>
      <c r="O121" s="2" t="str" cm="1">
        <f t="array" ref="O121">IF(SUMPRODUCT((Upload_Indiv_Player=$A117)*(Upload_Indiv_Date=O$2)*(Upload_Indiv_Tot_Eagles))=0,"",SUMPRODUCT((Upload_Indiv_Player=$A117)*(Upload_Indiv_Date=O$2)*(Upload_Indiv_Tot_Eagles)))</f>
        <v/>
      </c>
      <c r="P121" s="2" t="str" cm="1">
        <f t="array" ref="P121">IF(SUMPRODUCT((Upload_Indiv_Player=$A117)*(Upload_Indiv_Date=P$2)*(Upload_Indiv_Tot_Eagles))=0,"",SUMPRODUCT((Upload_Indiv_Player=$A117)*(Upload_Indiv_Date=P$2)*(Upload_Indiv_Tot_Eagles)))</f>
        <v/>
      </c>
      <c r="Q121" s="2" t="str" cm="1">
        <f t="array" ref="Q121">IF(SUMPRODUCT((Upload_Indiv_Player=$A117)*(Upload_Indiv_Date=Q$2)*(Upload_Indiv_Tot_Eagles))=0,"",SUMPRODUCT((Upload_Indiv_Player=$A117)*(Upload_Indiv_Date=Q$2)*(Upload_Indiv_Tot_Eagles)))</f>
        <v/>
      </c>
      <c r="R121" s="2" t="str" cm="1">
        <f t="array" ref="R121">IF(SUMPRODUCT((Upload_Indiv_Player=$A117)*(Upload_Indiv_Date=R$2)*(Upload_Indiv_Tot_Eagles))=0,"",SUMPRODUCT((Upload_Indiv_Player=$A117)*(Upload_Indiv_Date=R$2)*(Upload_Indiv_Tot_Eagles)))</f>
        <v/>
      </c>
      <c r="S121" s="2" t="str" cm="1">
        <f t="array" ref="S121">IF(SUMPRODUCT((Upload_Indiv_Player=$A117)*(Upload_Indiv_Date=S$2)*(Upload_Indiv_Tot_Eagles))=0,"",SUMPRODUCT((Upload_Indiv_Player=$A117)*(Upload_Indiv_Date=S$2)*(Upload_Indiv_Tot_Eagles)))</f>
        <v/>
      </c>
      <c r="T121" s="2" t="str" cm="1">
        <f t="array" ref="T121">IF(SUMPRODUCT((Upload_Indiv_Player=$A117)*(Upload_Indiv_Date=T$2)*(Upload_Indiv_Tot_Eagles))=0,"",SUMPRODUCT((Upload_Indiv_Player=$A117)*(Upload_Indiv_Date=T$2)*(Upload_Indiv_Tot_Eagles)))</f>
        <v/>
      </c>
      <c r="U121" s="2" t="str" cm="1">
        <f t="array" ref="U121">IF(SUMPRODUCT((Upload_Indiv_Player=$A117)*(Upload_Indiv_Date=U$2)*(Upload_Indiv_Tot_Eagles))=0,"",SUMPRODUCT((Upload_Indiv_Player=$A117)*(Upload_Indiv_Date=U$2)*(Upload_Indiv_Tot_Eagles)))</f>
        <v/>
      </c>
      <c r="V121" s="276"/>
      <c r="W121" s="276"/>
      <c r="X121" s="276"/>
      <c r="Y121" s="277"/>
      <c r="Z121" s="278"/>
      <c r="AA121" s="277"/>
    </row>
    <row r="122" spans="1:27" x14ac:dyDescent="0.25">
      <c r="A122" s="14"/>
      <c r="B122" s="2" t="s">
        <v>176</v>
      </c>
      <c r="C122" s="2" t="str" cm="1">
        <f t="array" ref="C122">IF(SUMPRODUCT((Upload_Indiv_Player=$A117)*(Upload_Indiv_Date=C$2)*(Upload_Indiv_Excl_Score))=0,"",SUMPRODUCT((Upload_Indiv_Player=$A117)*(Upload_Indiv_Date=C$2)*(Upload_Indiv_Excl_Score)))</f>
        <v/>
      </c>
      <c r="D122" s="2" t="str" cm="1">
        <f t="array" ref="D122">IF(SUMPRODUCT((Upload_Indiv_Player=$A117)*(Upload_Indiv_Date=D$2)*(Upload_Indiv_Excl_Score))=0,"",SUMPRODUCT((Upload_Indiv_Player=$A117)*(Upload_Indiv_Date=D$2)*(Upload_Indiv_Excl_Score)))</f>
        <v/>
      </c>
      <c r="E122" s="2" t="str" cm="1">
        <f t="array" ref="E122">IF(SUMPRODUCT((Upload_Indiv_Player=$A117)*(Upload_Indiv_Date=E$2)*(Upload_Indiv_Excl_Score))=0,"",SUMPRODUCT((Upload_Indiv_Player=$A117)*(Upload_Indiv_Date=E$2)*(Upload_Indiv_Excl_Score)))</f>
        <v/>
      </c>
      <c r="F122" s="2" t="str" cm="1">
        <f t="array" ref="F122">IF(SUMPRODUCT((Upload_Indiv_Player=$A117)*(Upload_Indiv_Date=F$2)*(Upload_Indiv_Excl_Score))=0,"",SUMPRODUCT((Upload_Indiv_Player=$A117)*(Upload_Indiv_Date=F$2)*(Upload_Indiv_Excl_Score)))</f>
        <v/>
      </c>
      <c r="G122" s="2" t="str" cm="1">
        <f t="array" ref="G122">IF(SUMPRODUCT((Upload_Indiv_Player=$A117)*(Upload_Indiv_Date=G$2)*(Upload_Indiv_Excl_Score))=0,"",SUMPRODUCT((Upload_Indiv_Player=$A117)*(Upload_Indiv_Date=G$2)*(Upload_Indiv_Excl_Score)))</f>
        <v/>
      </c>
      <c r="H122" s="2" t="str" cm="1">
        <f t="array" ref="H122">IF(SUMPRODUCT((Upload_Indiv_Player=$A117)*(Upload_Indiv_Date=H$2)*(Upload_Indiv_Excl_Score))=0,"",SUMPRODUCT((Upload_Indiv_Player=$A117)*(Upload_Indiv_Date=H$2)*(Upload_Indiv_Excl_Score)))</f>
        <v/>
      </c>
      <c r="I122" s="2" t="str" cm="1">
        <f t="array" ref="I122">IF(SUMPRODUCT((Upload_Indiv_Player=$A117)*(Upload_Indiv_Date=I$2)*(Upload_Indiv_Excl_Score))=0,"",SUMPRODUCT((Upload_Indiv_Player=$A117)*(Upload_Indiv_Date=I$2)*(Upload_Indiv_Excl_Score)))</f>
        <v/>
      </c>
      <c r="J122" s="2" t="str" cm="1">
        <f t="array" ref="J122">IF(SUMPRODUCT((Upload_Indiv_Player=$A117)*(Upload_Indiv_Date=J$2)*(Upload_Indiv_Excl_Score))=0,"",SUMPRODUCT((Upload_Indiv_Player=$A117)*(Upload_Indiv_Date=J$2)*(Upload_Indiv_Excl_Score)))</f>
        <v/>
      </c>
      <c r="K122" s="2" t="str" cm="1">
        <f t="array" ref="K122">IF(SUMPRODUCT((Upload_Indiv_Player=$A117)*(Upload_Indiv_Date=K$2)*(Upload_Indiv_Excl_Score))=0,"",SUMPRODUCT((Upload_Indiv_Player=$A117)*(Upload_Indiv_Date=K$2)*(Upload_Indiv_Excl_Score)))</f>
        <v/>
      </c>
      <c r="L122" s="2" t="str" cm="1">
        <f t="array" ref="L122">IF(SUMPRODUCT((Upload_Indiv_Player=$A117)*(Upload_Indiv_Date=L$2)*(Upload_Indiv_Excl_Score))=0,"",SUMPRODUCT((Upload_Indiv_Player=$A117)*(Upload_Indiv_Date=L$2)*(Upload_Indiv_Excl_Score)))</f>
        <v/>
      </c>
      <c r="M122" s="2" t="str" cm="1">
        <f t="array" ref="M122">IF(SUMPRODUCT((Upload_Indiv_Player=$A117)*(Upload_Indiv_Date=M$2)*(Upload_Indiv_Excl_Score))=0,"",SUMPRODUCT((Upload_Indiv_Player=$A117)*(Upload_Indiv_Date=M$2)*(Upload_Indiv_Excl_Score)))</f>
        <v/>
      </c>
      <c r="N122" s="2" t="str" cm="1">
        <f t="array" ref="N122">IF(SUMPRODUCT((Upload_Indiv_Player=$A117)*(Upload_Indiv_Date=N$2)*(Upload_Indiv_Excl_Score))=0,"",SUMPRODUCT((Upload_Indiv_Player=$A117)*(Upload_Indiv_Date=N$2)*(Upload_Indiv_Excl_Score)))</f>
        <v/>
      </c>
      <c r="O122" s="2" t="str" cm="1">
        <f t="array" ref="O122">IF(SUMPRODUCT((Upload_Indiv_Player=$A117)*(Upload_Indiv_Date=O$2)*(Upload_Indiv_Excl_Score))=0,"",SUMPRODUCT((Upload_Indiv_Player=$A117)*(Upload_Indiv_Date=O$2)*(Upload_Indiv_Excl_Score)))</f>
        <v/>
      </c>
      <c r="P122" s="2" t="str" cm="1">
        <f t="array" ref="P122">IF(SUMPRODUCT((Upload_Indiv_Player=$A117)*(Upload_Indiv_Date=P$2)*(Upload_Indiv_Excl_Score))=0,"",SUMPRODUCT((Upload_Indiv_Player=$A117)*(Upload_Indiv_Date=P$2)*(Upload_Indiv_Excl_Score)))</f>
        <v/>
      </c>
      <c r="Q122" s="2" t="str" cm="1">
        <f t="array" ref="Q122">IF(SUMPRODUCT((Upload_Indiv_Player=$A117)*(Upload_Indiv_Date=Q$2)*(Upload_Indiv_Excl_Score))=0,"",SUMPRODUCT((Upload_Indiv_Player=$A117)*(Upload_Indiv_Date=Q$2)*(Upload_Indiv_Excl_Score)))</f>
        <v/>
      </c>
      <c r="R122" s="2" t="str" cm="1">
        <f t="array" ref="R122">IF(SUMPRODUCT((Upload_Indiv_Player=$A117)*(Upload_Indiv_Date=R$2)*(Upload_Indiv_Excl_Score))=0,"",SUMPRODUCT((Upload_Indiv_Player=$A117)*(Upload_Indiv_Date=R$2)*(Upload_Indiv_Excl_Score)))</f>
        <v/>
      </c>
      <c r="S122" s="2" t="str" cm="1">
        <f t="array" ref="S122">IF(SUMPRODUCT((Upload_Indiv_Player=$A117)*(Upload_Indiv_Date=S$2)*(Upload_Indiv_Excl_Score))=0,"",SUMPRODUCT((Upload_Indiv_Player=$A117)*(Upload_Indiv_Date=S$2)*(Upload_Indiv_Excl_Score)))</f>
        <v/>
      </c>
      <c r="T122" s="2" t="str" cm="1">
        <f t="array" ref="T122">IF(SUMPRODUCT((Upload_Indiv_Player=$A117)*(Upload_Indiv_Date=T$2)*(Upload_Indiv_Excl_Score))=0,"",SUMPRODUCT((Upload_Indiv_Player=$A117)*(Upload_Indiv_Date=T$2)*(Upload_Indiv_Excl_Score)))</f>
        <v/>
      </c>
      <c r="U122" s="2" t="str" cm="1">
        <f t="array" ref="U122">IF(SUMPRODUCT((Upload_Indiv_Player=$A117)*(Upload_Indiv_Date=U$2)*(Upload_Indiv_Excl_Score))=0,"",SUMPRODUCT((Upload_Indiv_Player=$A117)*(Upload_Indiv_Date=U$2)*(Upload_Indiv_Excl_Score)))</f>
        <v/>
      </c>
      <c r="V122" s="276"/>
      <c r="W122" s="276"/>
      <c r="X122" s="276"/>
      <c r="Y122" s="277"/>
      <c r="Z122" s="277"/>
      <c r="AA122" s="277"/>
    </row>
    <row r="123" spans="1:27" x14ac:dyDescent="0.25">
      <c r="A123" s="14"/>
      <c r="B123" s="2" t="s">
        <v>177</v>
      </c>
      <c r="C123" s="2" t="str" cm="1">
        <f t="array" ref="C123">IFERROR(INDEX(Upload_Indiv_Team,MATCH(1,($A117=Upload_Indiv_Player)*(C$2=Upload_Indiv_Date),0)),"")</f>
        <v/>
      </c>
      <c r="D123" s="2" t="str" cm="1">
        <f t="array" ref="D123">IFERROR(INDEX(Upload_Indiv_Team,MATCH(1,($A117=Upload_Indiv_Player)*(D$2=Upload_Indiv_Date),0)),"")</f>
        <v>Metheads</v>
      </c>
      <c r="E123" s="2" t="str" cm="1">
        <f t="array" ref="E123">IFERROR(INDEX(Upload_Indiv_Team,MATCH(1,($A117=Upload_Indiv_Player)*(E$2=Upload_Indiv_Date),0)),"")</f>
        <v>Metheads</v>
      </c>
      <c r="F123" s="2" t="str" cm="1">
        <f t="array" ref="F123">IFERROR(INDEX(Upload_Indiv_Team,MATCH(1,($A117=Upload_Indiv_Player)*(F$2=Upload_Indiv_Date),0)),"")</f>
        <v>Metheads</v>
      </c>
      <c r="G123" s="2" t="str" cm="1">
        <f t="array" ref="G123">IFERROR(INDEX(Upload_Indiv_Team,MATCH(1,($A117=Upload_Indiv_Player)*(G$2=Upload_Indiv_Date),0)),"")</f>
        <v>Metheads</v>
      </c>
      <c r="H123" s="2" t="str" cm="1">
        <f t="array" ref="H123">IFERROR(INDEX(Upload_Indiv_Team,MATCH(1,($A117=Upload_Indiv_Player)*(H$2=Upload_Indiv_Date),0)),"")</f>
        <v/>
      </c>
      <c r="I123" s="2" t="str" cm="1">
        <f t="array" ref="I123">IFERROR(INDEX(Upload_Indiv_Team,MATCH(1,($A117=Upload_Indiv_Player)*(I$2=Upload_Indiv_Date),0)),"")</f>
        <v/>
      </c>
      <c r="J123" s="2" t="str" cm="1">
        <f t="array" ref="J123">IFERROR(INDEX(Upload_Indiv_Team,MATCH(1,($A117=Upload_Indiv_Player)*(J$2=Upload_Indiv_Date),0)),"")</f>
        <v/>
      </c>
      <c r="K123" s="2" t="str" cm="1">
        <f t="array" ref="K123">IFERROR(INDEX(Upload_Indiv_Team,MATCH(1,($A117=Upload_Indiv_Player)*(K$2=Upload_Indiv_Date),0)),"")</f>
        <v/>
      </c>
      <c r="L123" s="2" t="str" cm="1">
        <f t="array" ref="L123">IFERROR(INDEX(Upload_Indiv_Team,MATCH(1,($A117=Upload_Indiv_Player)*(L$2=Upload_Indiv_Date),0)),"")</f>
        <v/>
      </c>
      <c r="M123" s="2" t="str" cm="1">
        <f t="array" ref="M123">IFERROR(INDEX(Upload_Indiv_Team,MATCH(1,($A117=Upload_Indiv_Player)*(M$2=Upload_Indiv_Date),0)),"")</f>
        <v>Metheads</v>
      </c>
      <c r="N123" s="2" t="str" cm="1">
        <f t="array" ref="N123">IFERROR(INDEX(Upload_Indiv_Team,MATCH(1,($A117=Upload_Indiv_Player)*(N$2=Upload_Indiv_Date),0)),"")</f>
        <v/>
      </c>
      <c r="O123" s="2" t="str" cm="1">
        <f t="array" ref="O123">IFERROR(INDEX(Upload_Indiv_Team,MATCH(1,($A117=Upload_Indiv_Player)*(O$2=Upload_Indiv_Date),0)),"")</f>
        <v/>
      </c>
      <c r="P123" s="2" t="str" cm="1">
        <f t="array" ref="P123">IFERROR(INDEX(Upload_Indiv_Team,MATCH(1,($A117=Upload_Indiv_Player)*(P$2=Upload_Indiv_Date),0)),"")</f>
        <v/>
      </c>
      <c r="Q123" s="2" t="str" cm="1">
        <f t="array" ref="Q123">IFERROR(INDEX(Upload_Indiv_Team,MATCH(1,($A117=Upload_Indiv_Player)*(Q$2=Upload_Indiv_Date),0)),"")</f>
        <v/>
      </c>
      <c r="R123" s="2" t="str" cm="1">
        <f t="array" ref="R123">IFERROR(INDEX(Upload_Indiv_Team,MATCH(1,($A117=Upload_Indiv_Player)*(R$2=Upload_Indiv_Date),0)),"")</f>
        <v/>
      </c>
      <c r="S123" s="2" t="str" cm="1">
        <f t="array" ref="S123">IFERROR(INDEX(Upload_Indiv_Team,MATCH(1,($A117=Upload_Indiv_Player)*(S$2=Upload_Indiv_Date),0)),"")</f>
        <v/>
      </c>
      <c r="T123" s="2" t="str" cm="1">
        <f t="array" ref="T123">IFERROR(INDEX(Upload_Indiv_Team,MATCH(1,($A117=Upload_Indiv_Player)*(T$2=Upload_Indiv_Date),0)),"")</f>
        <v/>
      </c>
      <c r="U123" s="2" t="str" cm="1">
        <f t="array" ref="U123">IFERROR(INDEX(Upload_Indiv_Team,MATCH(1,($A117=Upload_Indiv_Player)*(U$2=Upload_Indiv_Date),0)),"")</f>
        <v/>
      </c>
      <c r="V123" s="276"/>
      <c r="W123" s="276"/>
      <c r="X123" s="276"/>
      <c r="Y123" s="277"/>
      <c r="Z123" s="277"/>
      <c r="AA123" s="277"/>
    </row>
    <row r="124" spans="1:27" ht="13.8" thickBot="1" x14ac:dyDescent="0.3">
      <c r="A124" s="329" t="s">
        <v>160</v>
      </c>
      <c r="B124" s="8" t="s">
        <v>178</v>
      </c>
      <c r="C124" s="58" t="str">
        <f t="shared" ref="C124:U124" si="15">IF(C117="", "", IF(C119&gt;=11, "w", IF(C119&lt;=9, "l", "t")))</f>
        <v/>
      </c>
      <c r="D124" s="58" t="str">
        <f t="shared" si="15"/>
        <v>w</v>
      </c>
      <c r="E124" s="58" t="str">
        <f t="shared" si="15"/>
        <v>l</v>
      </c>
      <c r="F124" s="58" t="str">
        <f t="shared" si="15"/>
        <v>w</v>
      </c>
      <c r="G124" s="58" t="str">
        <f t="shared" si="15"/>
        <v>l</v>
      </c>
      <c r="H124" s="87" t="str">
        <f t="shared" si="15"/>
        <v/>
      </c>
      <c r="I124" s="58" t="str">
        <f t="shared" si="15"/>
        <v/>
      </c>
      <c r="J124" s="58" t="str">
        <f t="shared" si="15"/>
        <v/>
      </c>
      <c r="K124" s="58" t="str">
        <f t="shared" si="15"/>
        <v/>
      </c>
      <c r="L124" s="58" t="str">
        <f t="shared" si="15"/>
        <v/>
      </c>
      <c r="M124" s="58" t="str">
        <f t="shared" si="15"/>
        <v>w</v>
      </c>
      <c r="N124" s="58" t="str">
        <f t="shared" si="15"/>
        <v/>
      </c>
      <c r="O124" s="58" t="str">
        <f t="shared" si="15"/>
        <v/>
      </c>
      <c r="P124" s="58" t="str">
        <f t="shared" si="15"/>
        <v/>
      </c>
      <c r="Q124" s="58" t="str">
        <f t="shared" si="15"/>
        <v/>
      </c>
      <c r="R124" s="58" t="str">
        <f t="shared" si="15"/>
        <v/>
      </c>
      <c r="S124" s="58" t="str">
        <f t="shared" si="15"/>
        <v/>
      </c>
      <c r="T124" s="58" t="str">
        <f t="shared" si="15"/>
        <v/>
      </c>
      <c r="U124" s="58" t="str">
        <f t="shared" si="15"/>
        <v/>
      </c>
      <c r="V124" s="276"/>
      <c r="W124" s="276"/>
      <c r="X124" s="276"/>
      <c r="Y124" s="277"/>
      <c r="Z124" s="277"/>
      <c r="AA124" s="277"/>
    </row>
    <row r="125" spans="1:27" x14ac:dyDescent="0.25">
      <c r="A125" s="11" t="s">
        <v>426</v>
      </c>
      <c r="B125" s="3" t="s">
        <v>170</v>
      </c>
      <c r="C125" s="3" t="str" cm="1">
        <f t="array" ref="C125">IF(SUMPRODUCT((Upload_Indiv_Player=$A125)*(Upload_Indiv_Date=C$2)*(Upload_Indiv_Gross))=0,"",SUMPRODUCT((Upload_Indiv_Player=$A125)*(Upload_Indiv_Date=C$2)*(Upload_Indiv_Gross)))</f>
        <v/>
      </c>
      <c r="D125" s="3" t="str" cm="1">
        <f t="array" ref="D125">IF(SUMPRODUCT((Upload_Indiv_Player=$A125)*(Upload_Indiv_Date=D$2)*(Upload_Indiv_Gross))=0,"",SUMPRODUCT((Upload_Indiv_Player=$A125)*(Upload_Indiv_Date=D$2)*(Upload_Indiv_Gross)))</f>
        <v/>
      </c>
      <c r="E125" s="3" t="str" cm="1">
        <f t="array" ref="E125">IF(SUMPRODUCT((Upload_Indiv_Player=$A125)*(Upload_Indiv_Date=E$2)*(Upload_Indiv_Gross))=0,"",SUMPRODUCT((Upload_Indiv_Player=$A125)*(Upload_Indiv_Date=E$2)*(Upload_Indiv_Gross)))</f>
        <v/>
      </c>
      <c r="F125" s="3" t="str" cm="1">
        <f t="array" ref="F125">IF(SUMPRODUCT((Upload_Indiv_Player=$A125)*(Upload_Indiv_Date=F$2)*(Upload_Indiv_Gross))=0,"",SUMPRODUCT((Upload_Indiv_Player=$A125)*(Upload_Indiv_Date=F$2)*(Upload_Indiv_Gross)))</f>
        <v/>
      </c>
      <c r="G125" s="3" t="str" cm="1">
        <f t="array" ref="G125">IF(SUMPRODUCT((Upload_Indiv_Player=$A125)*(Upload_Indiv_Date=G$2)*(Upload_Indiv_Gross))=0,"",SUMPRODUCT((Upload_Indiv_Player=$A125)*(Upload_Indiv_Date=G$2)*(Upload_Indiv_Gross)))</f>
        <v/>
      </c>
      <c r="H125" s="3" t="str" cm="1">
        <f t="array" ref="H125">IF(SUMPRODUCT((Upload_Indiv_Player=$A125)*(Upload_Indiv_Date=H$2)*(Upload_Indiv_Gross))=0,"",SUMPRODUCT((Upload_Indiv_Player=$A125)*(Upload_Indiv_Date=H$2)*(Upload_Indiv_Gross)))</f>
        <v/>
      </c>
      <c r="I125" s="3" t="str" cm="1">
        <f t="array" ref="I125">IF(SUMPRODUCT((Upload_Indiv_Player=$A125)*(Upload_Indiv_Date=I$2)*(Upload_Indiv_Gross))=0,"",SUMPRODUCT((Upload_Indiv_Player=$A125)*(Upload_Indiv_Date=I$2)*(Upload_Indiv_Gross)))</f>
        <v/>
      </c>
      <c r="J125" s="3" t="str" cm="1">
        <f t="array" ref="J125">IF(SUMPRODUCT((Upload_Indiv_Player=$A125)*(Upload_Indiv_Date=J$2)*(Upload_Indiv_Gross))=0,"",SUMPRODUCT((Upload_Indiv_Player=$A125)*(Upload_Indiv_Date=J$2)*(Upload_Indiv_Gross)))</f>
        <v/>
      </c>
      <c r="K125" s="3" t="str" cm="1">
        <f t="array" ref="K125">IF(SUMPRODUCT((Upload_Indiv_Player=$A125)*(Upload_Indiv_Date=K$2)*(Upload_Indiv_Gross))=0,"",SUMPRODUCT((Upload_Indiv_Player=$A125)*(Upload_Indiv_Date=K$2)*(Upload_Indiv_Gross)))</f>
        <v/>
      </c>
      <c r="L125" s="3" t="str" cm="1">
        <f t="array" ref="L125">IF(SUMPRODUCT((Upload_Indiv_Player=$A125)*(Upload_Indiv_Date=L$2)*(Upload_Indiv_Gross))=0,"",SUMPRODUCT((Upload_Indiv_Player=$A125)*(Upload_Indiv_Date=L$2)*(Upload_Indiv_Gross)))</f>
        <v/>
      </c>
      <c r="M125" s="3" t="str" cm="1">
        <f t="array" ref="M125">IF(SUMPRODUCT((Upload_Indiv_Player=$A125)*(Upload_Indiv_Date=M$2)*(Upload_Indiv_Gross))=0,"",SUMPRODUCT((Upload_Indiv_Player=$A125)*(Upload_Indiv_Date=M$2)*(Upload_Indiv_Gross)))</f>
        <v/>
      </c>
      <c r="N125" s="3" t="str" cm="1">
        <f t="array" ref="N125">IF(SUMPRODUCT((Upload_Indiv_Player=$A125)*(Upload_Indiv_Date=N$2)*(Upload_Indiv_Gross))=0,"",SUMPRODUCT((Upload_Indiv_Player=$A125)*(Upload_Indiv_Date=N$2)*(Upload_Indiv_Gross)))</f>
        <v/>
      </c>
      <c r="O125" s="3" t="str" cm="1">
        <f t="array" ref="O125">IF(SUMPRODUCT((Upload_Indiv_Player=$A125)*(Upload_Indiv_Date=O$2)*(Upload_Indiv_Gross))=0,"",SUMPRODUCT((Upload_Indiv_Player=$A125)*(Upload_Indiv_Date=O$2)*(Upload_Indiv_Gross)))</f>
        <v/>
      </c>
      <c r="P125" s="3" t="str" cm="1">
        <f t="array" ref="P125">IF(SUMPRODUCT((Upload_Indiv_Player=$A125)*(Upload_Indiv_Date=P$2)*(Upload_Indiv_Gross))=0,"",SUMPRODUCT((Upload_Indiv_Player=$A125)*(Upload_Indiv_Date=P$2)*(Upload_Indiv_Gross)))</f>
        <v/>
      </c>
      <c r="Q125" s="2" t="str" cm="1">
        <f t="array" ref="Q125">IF(SUMPRODUCT((Upload_Indiv_Player=$A125)*(Upload_Indiv_Date=Q$2)*(Upload_Indiv_Gross))=0,"",SUMPRODUCT((Upload_Indiv_Player=$A125)*(Upload_Indiv_Date=Q$2)*(Upload_Indiv_Gross)))</f>
        <v/>
      </c>
      <c r="R125" s="2" t="str" cm="1">
        <f t="array" ref="R125">IF(SUMPRODUCT((Upload_Indiv_Player=$A125)*(Upload_Indiv_Date=R$2)*(Upload_Indiv_Gross))=0,"",SUMPRODUCT((Upload_Indiv_Player=$A125)*(Upload_Indiv_Date=R$2)*(Upload_Indiv_Gross)))</f>
        <v/>
      </c>
      <c r="S125" s="2" t="str" cm="1">
        <f t="array" ref="S125">IF(SUMPRODUCT((Upload_Indiv_Player=$A125)*(Upload_Indiv_Date=S$2)*(Upload_Indiv_Gross))=0,"",SUMPRODUCT((Upload_Indiv_Player=$A125)*(Upload_Indiv_Date=S$2)*(Upload_Indiv_Gross)))</f>
        <v/>
      </c>
      <c r="T125" s="2" t="str" cm="1">
        <f t="array" ref="T125">IF(SUMPRODUCT((Upload_Indiv_Player=$A125)*(Upload_Indiv_Date=T$2)*(Upload_Indiv_Gross))=0,"",SUMPRODUCT((Upload_Indiv_Player=$A125)*(Upload_Indiv_Date=T$2)*(Upload_Indiv_Gross)))</f>
        <v/>
      </c>
      <c r="U125" s="2" t="str" cm="1">
        <f t="array" ref="U125">IF(SUMPRODUCT((Upload_Indiv_Player=$A125)*(Upload_Indiv_Date=U$2)*(Upload_Indiv_Gross))=0,"",SUMPRODUCT((Upload_Indiv_Player=$A125)*(Upload_Indiv_Date=U$2)*(Upload_Indiv_Gross)))</f>
        <v/>
      </c>
      <c r="V125" s="273">
        <v>2</v>
      </c>
      <c r="W125" s="273">
        <v>0</v>
      </c>
      <c r="X125" s="273">
        <v>0</v>
      </c>
      <c r="Y125" s="277">
        <v>0</v>
      </c>
      <c r="Z125" s="277">
        <v>0</v>
      </c>
      <c r="AA125" s="277">
        <v>0</v>
      </c>
    </row>
    <row r="126" spans="1:27" x14ac:dyDescent="0.25">
      <c r="A126" s="216"/>
      <c r="B126" s="2" t="s">
        <v>171</v>
      </c>
      <c r="C126" s="2" t="str" cm="1">
        <f t="array" ref="C126">IF(SUMPRODUCT((Upload_Indiv_Player=$A125)*(Upload_Indiv_Date=C$2)*(Upload_Indiv_Net))=0,"",SUMPRODUCT((Upload_Indiv_Player=$A125)*(Upload_Indiv_Date=C$2)*(Upload_Indiv_Net)))</f>
        <v/>
      </c>
      <c r="D126" s="2" t="str" cm="1">
        <f t="array" ref="D126">IF(SUMPRODUCT((Upload_Indiv_Player=$A125)*(Upload_Indiv_Date=D$2)*(Upload_Indiv_Net))=0,"",SUMPRODUCT((Upload_Indiv_Player=$A125)*(Upload_Indiv_Date=D$2)*(Upload_Indiv_Net)))</f>
        <v/>
      </c>
      <c r="E126" s="2" t="str" cm="1">
        <f t="array" ref="E126">IF(SUMPRODUCT((Upload_Indiv_Player=$A125)*(Upload_Indiv_Date=E$2)*(Upload_Indiv_Net))=0,"",SUMPRODUCT((Upload_Indiv_Player=$A125)*(Upload_Indiv_Date=E$2)*(Upload_Indiv_Net)))</f>
        <v/>
      </c>
      <c r="F126" s="2" t="str" cm="1">
        <f t="array" ref="F126">IF(SUMPRODUCT((Upload_Indiv_Player=$A125)*(Upload_Indiv_Date=F$2)*(Upload_Indiv_Net))=0,"",SUMPRODUCT((Upload_Indiv_Player=$A125)*(Upload_Indiv_Date=F$2)*(Upload_Indiv_Net)))</f>
        <v/>
      </c>
      <c r="G126" s="2" t="str" cm="1">
        <f t="array" ref="G126">IF(SUMPRODUCT((Upload_Indiv_Player=$A125)*(Upload_Indiv_Date=G$2)*(Upload_Indiv_Net))=0,"",SUMPRODUCT((Upload_Indiv_Player=$A125)*(Upload_Indiv_Date=G$2)*(Upload_Indiv_Net)))</f>
        <v/>
      </c>
      <c r="H126" s="2" t="str" cm="1">
        <f t="array" ref="H126">IF(SUMPRODUCT((Upload_Indiv_Player=$A125)*(Upload_Indiv_Date=H$2)*(Upload_Indiv_Net))=0,"",SUMPRODUCT((Upload_Indiv_Player=$A125)*(Upload_Indiv_Date=H$2)*(Upload_Indiv_Net)))</f>
        <v/>
      </c>
      <c r="I126" s="2" t="str" cm="1">
        <f t="array" ref="I126">IF(SUMPRODUCT((Upload_Indiv_Player=$A125)*(Upload_Indiv_Date=I$2)*(Upload_Indiv_Net))=0,"",SUMPRODUCT((Upload_Indiv_Player=$A125)*(Upload_Indiv_Date=I$2)*(Upload_Indiv_Net)))</f>
        <v/>
      </c>
      <c r="J126" s="2" t="str" cm="1">
        <f t="array" ref="J126">IF(SUMPRODUCT((Upload_Indiv_Player=$A125)*(Upload_Indiv_Date=J$2)*(Upload_Indiv_Net))=0,"",SUMPRODUCT((Upload_Indiv_Player=$A125)*(Upload_Indiv_Date=J$2)*(Upload_Indiv_Net)))</f>
        <v/>
      </c>
      <c r="K126" s="2" t="str" cm="1">
        <f t="array" ref="K126">IF(SUMPRODUCT((Upload_Indiv_Player=$A125)*(Upload_Indiv_Date=K$2)*(Upload_Indiv_Net))=0,"",SUMPRODUCT((Upload_Indiv_Player=$A125)*(Upload_Indiv_Date=K$2)*(Upload_Indiv_Net)))</f>
        <v/>
      </c>
      <c r="L126" s="2" t="str" cm="1">
        <f t="array" ref="L126">IF(SUMPRODUCT((Upload_Indiv_Player=$A125)*(Upload_Indiv_Date=L$2)*(Upload_Indiv_Net))=0,"",SUMPRODUCT((Upload_Indiv_Player=$A125)*(Upload_Indiv_Date=L$2)*(Upload_Indiv_Net)))</f>
        <v/>
      </c>
      <c r="M126" s="2" t="str" cm="1">
        <f t="array" ref="M126">IF(SUMPRODUCT((Upload_Indiv_Player=$A125)*(Upload_Indiv_Date=M$2)*(Upload_Indiv_Net))=0,"",SUMPRODUCT((Upload_Indiv_Player=$A125)*(Upload_Indiv_Date=M$2)*(Upload_Indiv_Net)))</f>
        <v/>
      </c>
      <c r="N126" s="2" t="str" cm="1">
        <f t="array" ref="N126">IF(SUMPRODUCT((Upload_Indiv_Player=$A125)*(Upload_Indiv_Date=N$2)*(Upload_Indiv_Net))=0,"",SUMPRODUCT((Upload_Indiv_Player=$A125)*(Upload_Indiv_Date=N$2)*(Upload_Indiv_Net)))</f>
        <v/>
      </c>
      <c r="O126" s="2" t="str" cm="1">
        <f t="array" ref="O126">IF(SUMPRODUCT((Upload_Indiv_Player=$A125)*(Upload_Indiv_Date=O$2)*(Upload_Indiv_Net))=0,"",SUMPRODUCT((Upload_Indiv_Player=$A125)*(Upload_Indiv_Date=O$2)*(Upload_Indiv_Net)))</f>
        <v/>
      </c>
      <c r="P126" s="2" t="str" cm="1">
        <f t="array" ref="P126">IF(SUMPRODUCT((Upload_Indiv_Player=$A125)*(Upload_Indiv_Date=P$2)*(Upload_Indiv_Net))=0,"",SUMPRODUCT((Upload_Indiv_Player=$A125)*(Upload_Indiv_Date=P$2)*(Upload_Indiv_Net)))</f>
        <v/>
      </c>
      <c r="Q126" s="2" t="str" cm="1">
        <f t="array" ref="Q126">IF(SUMPRODUCT((Upload_Indiv_Player=$A125)*(Upload_Indiv_Date=Q$2)*(Upload_Indiv_Net))=0,"",SUMPRODUCT((Upload_Indiv_Player=$A125)*(Upload_Indiv_Date=Q$2)*(Upload_Indiv_Net)))</f>
        <v/>
      </c>
      <c r="R126" s="2" t="str" cm="1">
        <f t="array" ref="R126">IF(SUMPRODUCT((Upload_Indiv_Player=$A125)*(Upload_Indiv_Date=R$2)*(Upload_Indiv_Net))=0,"",SUMPRODUCT((Upload_Indiv_Player=$A125)*(Upload_Indiv_Date=R$2)*(Upload_Indiv_Net)))</f>
        <v/>
      </c>
      <c r="S126" s="2" t="str" cm="1">
        <f t="array" ref="S126">IF(SUMPRODUCT((Upload_Indiv_Player=$A125)*(Upload_Indiv_Date=S$2)*(Upload_Indiv_Net))=0,"",SUMPRODUCT((Upload_Indiv_Player=$A125)*(Upload_Indiv_Date=S$2)*(Upload_Indiv_Net)))</f>
        <v/>
      </c>
      <c r="T126" s="2" t="str" cm="1">
        <f t="array" ref="T126">IF(SUMPRODUCT((Upload_Indiv_Player=$A125)*(Upload_Indiv_Date=T$2)*(Upload_Indiv_Net))=0,"",SUMPRODUCT((Upload_Indiv_Player=$A125)*(Upload_Indiv_Date=T$2)*(Upload_Indiv_Net)))</f>
        <v/>
      </c>
      <c r="U126" s="2" t="str" cm="1">
        <f t="array" ref="U126">IF(SUMPRODUCT((Upload_Indiv_Player=$A125)*(Upload_Indiv_Date=U$2)*(Upload_Indiv_Net))=0,"",SUMPRODUCT((Upload_Indiv_Player=$A125)*(Upload_Indiv_Date=U$2)*(Upload_Indiv_Net)))</f>
        <v/>
      </c>
      <c r="V126" s="279">
        <v>55.5</v>
      </c>
      <c r="W126" s="276"/>
      <c r="X126" s="276"/>
      <c r="Y126" s="277"/>
      <c r="Z126" s="277"/>
      <c r="AA126" s="277"/>
    </row>
    <row r="127" spans="1:27" x14ac:dyDescent="0.25">
      <c r="A127" s="65"/>
      <c r="B127" s="2" t="s">
        <v>173</v>
      </c>
      <c r="C127" s="2" t="str" cm="1">
        <f t="array" ref="C127">IF(SUMPRODUCT((Upload_Indiv_Player=$A125)*(Upload_Indiv_Date=C$2)*(Upload_Indiv_PointsTot))=0,"",SUMPRODUCT((Upload_Indiv_Player=$A125)*(Upload_Indiv_Date=C$2)*(Upload_Indiv_PointsTot)))</f>
        <v/>
      </c>
      <c r="D127" s="2" t="str" cm="1">
        <f t="array" ref="D127">IF(SUMPRODUCT((Upload_Indiv_Player=$A125)*(Upload_Indiv_Date=D$2)*(Upload_Indiv_PointsTot))=0,"",SUMPRODUCT((Upload_Indiv_Player=$A125)*(Upload_Indiv_Date=D$2)*(Upload_Indiv_PointsTot)))</f>
        <v/>
      </c>
      <c r="E127" s="2" t="str" cm="1">
        <f t="array" ref="E127">IF(SUMPRODUCT((Upload_Indiv_Player=$A125)*(Upload_Indiv_Date=E$2)*(Upload_Indiv_PointsTot))=0,"",SUMPRODUCT((Upload_Indiv_Player=$A125)*(Upload_Indiv_Date=E$2)*(Upload_Indiv_PointsTot)))</f>
        <v/>
      </c>
      <c r="F127" s="2" t="str" cm="1">
        <f t="array" ref="F127">IF(SUMPRODUCT((Upload_Indiv_Player=$A125)*(Upload_Indiv_Date=F$2)*(Upload_Indiv_PointsTot))=0,"",SUMPRODUCT((Upload_Indiv_Player=$A125)*(Upload_Indiv_Date=F$2)*(Upload_Indiv_PointsTot)))</f>
        <v/>
      </c>
      <c r="G127" s="2" t="str" cm="1">
        <f t="array" ref="G127">IF(SUMPRODUCT((Upload_Indiv_Player=$A125)*(Upload_Indiv_Date=G$2)*(Upload_Indiv_PointsTot))=0,"",SUMPRODUCT((Upload_Indiv_Player=$A125)*(Upload_Indiv_Date=G$2)*(Upload_Indiv_PointsTot)))</f>
        <v/>
      </c>
      <c r="H127" s="2" t="str" cm="1">
        <f t="array" ref="H127">IF(SUMPRODUCT((Upload_Indiv_Player=$A125)*(Upload_Indiv_Date=H$2)*(Upload_Indiv_PointsTot))=0,"",SUMPRODUCT((Upload_Indiv_Player=$A125)*(Upload_Indiv_Date=H$2)*(Upload_Indiv_PointsTot)))</f>
        <v/>
      </c>
      <c r="I127" s="2" t="str" cm="1">
        <f t="array" ref="I127">IF(SUMPRODUCT((Upload_Indiv_Player=$A125)*(Upload_Indiv_Date=I$2)*(Upload_Indiv_PointsTot))=0,"",SUMPRODUCT((Upload_Indiv_Player=$A125)*(Upload_Indiv_Date=I$2)*(Upload_Indiv_PointsTot)))</f>
        <v/>
      </c>
      <c r="J127" s="2" t="str" cm="1">
        <f t="array" ref="J127">IF(SUMPRODUCT((Upload_Indiv_Player=$A125)*(Upload_Indiv_Date=J$2)*(Upload_Indiv_PointsTot))=0,"",SUMPRODUCT((Upload_Indiv_Player=$A125)*(Upload_Indiv_Date=J$2)*(Upload_Indiv_PointsTot)))</f>
        <v/>
      </c>
      <c r="K127" s="2" t="str" cm="1">
        <f t="array" ref="K127">IF(SUMPRODUCT((Upload_Indiv_Player=$A125)*(Upload_Indiv_Date=K$2)*(Upload_Indiv_PointsTot))=0,"",SUMPRODUCT((Upload_Indiv_Player=$A125)*(Upload_Indiv_Date=K$2)*(Upload_Indiv_PointsTot)))</f>
        <v/>
      </c>
      <c r="L127" s="2" t="str" cm="1">
        <f t="array" ref="L127">IF(SUMPRODUCT((Upload_Indiv_Player=$A125)*(Upload_Indiv_Date=L$2)*(Upload_Indiv_PointsTot))=0,"",SUMPRODUCT((Upload_Indiv_Player=$A125)*(Upload_Indiv_Date=L$2)*(Upload_Indiv_PointsTot)))</f>
        <v/>
      </c>
      <c r="M127" s="2" t="str" cm="1">
        <f t="array" ref="M127">IF(SUMPRODUCT((Upload_Indiv_Player=$A125)*(Upload_Indiv_Date=M$2)*(Upload_Indiv_PointsTot))=0,"",SUMPRODUCT((Upload_Indiv_Player=$A125)*(Upload_Indiv_Date=M$2)*(Upload_Indiv_PointsTot)))</f>
        <v/>
      </c>
      <c r="N127" s="2" t="str" cm="1">
        <f t="array" ref="N127">IF(SUMPRODUCT((Upload_Indiv_Player=$A125)*(Upload_Indiv_Date=N$2)*(Upload_Indiv_PointsTot))=0,"",SUMPRODUCT((Upload_Indiv_Player=$A125)*(Upload_Indiv_Date=N$2)*(Upload_Indiv_PointsTot)))</f>
        <v/>
      </c>
      <c r="O127" s="2" t="str" cm="1">
        <f t="array" ref="O127">IF(SUMPRODUCT((Upload_Indiv_Player=$A125)*(Upload_Indiv_Date=O$2)*(Upload_Indiv_PointsTot))=0,"",SUMPRODUCT((Upload_Indiv_Player=$A125)*(Upload_Indiv_Date=O$2)*(Upload_Indiv_PointsTot)))</f>
        <v/>
      </c>
      <c r="P127" s="2" t="str" cm="1">
        <f t="array" ref="P127">IF(SUMPRODUCT((Upload_Indiv_Player=$A125)*(Upload_Indiv_Date=P$2)*(Upload_Indiv_PointsTot))=0,"",SUMPRODUCT((Upload_Indiv_Player=$A125)*(Upload_Indiv_Date=P$2)*(Upload_Indiv_PointsTot)))</f>
        <v/>
      </c>
      <c r="Q127" s="2" t="str" cm="1">
        <f t="array" ref="Q127">IF(SUMPRODUCT((Upload_Indiv_Player=$A125)*(Upload_Indiv_Date=Q$2)*(Upload_Indiv_PointsTot))=0,"",SUMPRODUCT((Upload_Indiv_Player=$A125)*(Upload_Indiv_Date=Q$2)*(Upload_Indiv_PointsTot)))</f>
        <v/>
      </c>
      <c r="R127" s="2" t="str" cm="1">
        <f t="array" ref="R127">IF(SUMPRODUCT((Upload_Indiv_Player=$A125)*(Upload_Indiv_Date=R$2)*(Upload_Indiv_PointsTot))=0,"",SUMPRODUCT((Upload_Indiv_Player=$A125)*(Upload_Indiv_Date=R$2)*(Upload_Indiv_PointsTot)))</f>
        <v/>
      </c>
      <c r="S127" s="2" t="str" cm="1">
        <f t="array" ref="S127">IF(SUMPRODUCT((Upload_Indiv_Player=$A125)*(Upload_Indiv_Date=S$2)*(Upload_Indiv_PointsTot))=0,"",SUMPRODUCT((Upload_Indiv_Player=$A125)*(Upload_Indiv_Date=S$2)*(Upload_Indiv_PointsTot)))</f>
        <v/>
      </c>
      <c r="T127" s="2" t="str" cm="1">
        <f t="array" ref="T127">IF(SUMPRODUCT((Upload_Indiv_Player=$A125)*(Upload_Indiv_Date=T$2)*(Upload_Indiv_PointsTot))=0,"",SUMPRODUCT((Upload_Indiv_Player=$A125)*(Upload_Indiv_Date=T$2)*(Upload_Indiv_PointsTot)))</f>
        <v/>
      </c>
      <c r="U127" s="2" t="str" cm="1">
        <f t="array" ref="U127">IF(SUMPRODUCT((Upload_Indiv_Player=$A125)*(Upload_Indiv_Date=U$2)*(Upload_Indiv_PointsTot))=0,"",SUMPRODUCT((Upload_Indiv_Player=$A125)*(Upload_Indiv_Date=U$2)*(Upload_Indiv_PointsTot)))</f>
        <v/>
      </c>
      <c r="V127" s="276"/>
      <c r="W127" s="276"/>
      <c r="X127" s="276"/>
      <c r="Y127" s="277"/>
      <c r="Z127" s="277"/>
      <c r="AA127" s="277"/>
    </row>
    <row r="128" spans="1:27" x14ac:dyDescent="0.25">
      <c r="A128" s="14"/>
      <c r="B128" s="8" t="s">
        <v>174</v>
      </c>
      <c r="C128" s="2" t="str" cm="1">
        <f t="array" ref="C128">IF(SUMPRODUCT((Upload_Indiv_Player=$A125)*(Upload_Indiv_Date=C$2)*(Upload_Indiv_Tot_Birds))=0,"",SUMPRODUCT((Upload_Indiv_Player=$A125)*(Upload_Indiv_Date=C$2)*(Upload_Indiv_Tot_Birds)))</f>
        <v/>
      </c>
      <c r="D128" s="2" t="str" cm="1">
        <f t="array" ref="D128">IF(SUMPRODUCT((Upload_Indiv_Player=$A125)*(Upload_Indiv_Date=D$2)*(Upload_Indiv_Tot_Birds))=0,"",SUMPRODUCT((Upload_Indiv_Player=$A125)*(Upload_Indiv_Date=D$2)*(Upload_Indiv_Tot_Birds)))</f>
        <v/>
      </c>
      <c r="E128" s="2" t="str" cm="1">
        <f t="array" ref="E128">IF(SUMPRODUCT((Upload_Indiv_Player=$A125)*(Upload_Indiv_Date=E$2)*(Upload_Indiv_Tot_Birds))=0,"",SUMPRODUCT((Upload_Indiv_Player=$A125)*(Upload_Indiv_Date=E$2)*(Upload_Indiv_Tot_Birds)))</f>
        <v/>
      </c>
      <c r="F128" s="2" t="str" cm="1">
        <f t="array" ref="F128">IF(SUMPRODUCT((Upload_Indiv_Player=$A125)*(Upload_Indiv_Date=F$2)*(Upload_Indiv_Tot_Birds))=0,"",SUMPRODUCT((Upload_Indiv_Player=$A125)*(Upload_Indiv_Date=F$2)*(Upload_Indiv_Tot_Birds)))</f>
        <v/>
      </c>
      <c r="G128" s="2" t="str" cm="1">
        <f t="array" ref="G128">IF(SUMPRODUCT((Upload_Indiv_Player=$A125)*(Upload_Indiv_Date=G$2)*(Upload_Indiv_Tot_Birds))=0,"",SUMPRODUCT((Upload_Indiv_Player=$A125)*(Upload_Indiv_Date=G$2)*(Upload_Indiv_Tot_Birds)))</f>
        <v/>
      </c>
      <c r="H128" s="2" t="str" cm="1">
        <f t="array" ref="H128">IF(SUMPRODUCT((Upload_Indiv_Player=$A125)*(Upload_Indiv_Date=H$2)*(Upload_Indiv_Tot_Birds))=0,"",SUMPRODUCT((Upload_Indiv_Player=$A125)*(Upload_Indiv_Date=H$2)*(Upload_Indiv_Tot_Birds)))</f>
        <v/>
      </c>
      <c r="I128" s="2" t="str" cm="1">
        <f t="array" ref="I128">IF(SUMPRODUCT((Upload_Indiv_Player=$A125)*(Upload_Indiv_Date=I$2)*(Upload_Indiv_Tot_Birds))=0,"",SUMPRODUCT((Upload_Indiv_Player=$A125)*(Upload_Indiv_Date=I$2)*(Upload_Indiv_Tot_Birds)))</f>
        <v/>
      </c>
      <c r="J128" s="2" t="str" cm="1">
        <f t="array" ref="J128">IF(SUMPRODUCT((Upload_Indiv_Player=$A125)*(Upload_Indiv_Date=J$2)*(Upload_Indiv_Tot_Birds))=0,"",SUMPRODUCT((Upload_Indiv_Player=$A125)*(Upload_Indiv_Date=J$2)*(Upload_Indiv_Tot_Birds)))</f>
        <v/>
      </c>
      <c r="K128" s="2" t="str" cm="1">
        <f t="array" ref="K128">IF(SUMPRODUCT((Upload_Indiv_Player=$A125)*(Upload_Indiv_Date=K$2)*(Upload_Indiv_Tot_Birds))=0,"",SUMPRODUCT((Upload_Indiv_Player=$A125)*(Upload_Indiv_Date=K$2)*(Upload_Indiv_Tot_Birds)))</f>
        <v/>
      </c>
      <c r="L128" s="2" t="str" cm="1">
        <f t="array" ref="L128">IF(SUMPRODUCT((Upload_Indiv_Player=$A125)*(Upload_Indiv_Date=L$2)*(Upload_Indiv_Tot_Birds))=0,"",SUMPRODUCT((Upload_Indiv_Player=$A125)*(Upload_Indiv_Date=L$2)*(Upload_Indiv_Tot_Birds)))</f>
        <v/>
      </c>
      <c r="M128" s="2" t="str" cm="1">
        <f t="array" ref="M128">IF(SUMPRODUCT((Upload_Indiv_Player=$A125)*(Upload_Indiv_Date=M$2)*(Upload_Indiv_Tot_Birds))=0,"",SUMPRODUCT((Upload_Indiv_Player=$A125)*(Upload_Indiv_Date=M$2)*(Upload_Indiv_Tot_Birds)))</f>
        <v/>
      </c>
      <c r="N128" s="2" t="str" cm="1">
        <f t="array" ref="N128">IF(SUMPRODUCT((Upload_Indiv_Player=$A125)*(Upload_Indiv_Date=N$2)*(Upload_Indiv_Tot_Birds))=0,"",SUMPRODUCT((Upload_Indiv_Player=$A125)*(Upload_Indiv_Date=N$2)*(Upload_Indiv_Tot_Birds)))</f>
        <v/>
      </c>
      <c r="O128" s="2" t="str" cm="1">
        <f t="array" ref="O128">IF(SUMPRODUCT((Upload_Indiv_Player=$A125)*(Upload_Indiv_Date=O$2)*(Upload_Indiv_Tot_Birds))=0,"",SUMPRODUCT((Upload_Indiv_Player=$A125)*(Upload_Indiv_Date=O$2)*(Upload_Indiv_Tot_Birds)))</f>
        <v/>
      </c>
      <c r="P128" s="2" t="str" cm="1">
        <f t="array" ref="P128">IF(SUMPRODUCT((Upload_Indiv_Player=$A125)*(Upload_Indiv_Date=P$2)*(Upload_Indiv_Tot_Birds))=0,"",SUMPRODUCT((Upload_Indiv_Player=$A125)*(Upload_Indiv_Date=P$2)*(Upload_Indiv_Tot_Birds)))</f>
        <v/>
      </c>
      <c r="Q128" s="2" t="str" cm="1">
        <f t="array" ref="Q128">IF(SUMPRODUCT((Upload_Indiv_Player=$A125)*(Upload_Indiv_Date=Q$2)*(Upload_Indiv_Tot_Birds))=0,"",SUMPRODUCT((Upload_Indiv_Player=$A125)*(Upload_Indiv_Date=Q$2)*(Upload_Indiv_Tot_Birds)))</f>
        <v/>
      </c>
      <c r="R128" s="2" t="str" cm="1">
        <f t="array" ref="R128">IF(SUMPRODUCT((Upload_Indiv_Player=$A125)*(Upload_Indiv_Date=R$2)*(Upload_Indiv_Tot_Birds))=0,"",SUMPRODUCT((Upload_Indiv_Player=$A125)*(Upload_Indiv_Date=R$2)*(Upload_Indiv_Tot_Birds)))</f>
        <v/>
      </c>
      <c r="S128" s="2" t="str" cm="1">
        <f t="array" ref="S128">IF(SUMPRODUCT((Upload_Indiv_Player=$A125)*(Upload_Indiv_Date=S$2)*(Upload_Indiv_Tot_Birds))=0,"",SUMPRODUCT((Upload_Indiv_Player=$A125)*(Upload_Indiv_Date=S$2)*(Upload_Indiv_Tot_Birds)))</f>
        <v/>
      </c>
      <c r="T128" s="2" t="str" cm="1">
        <f t="array" ref="T128">IF(SUMPRODUCT((Upload_Indiv_Player=$A125)*(Upload_Indiv_Date=T$2)*(Upload_Indiv_Tot_Birds))=0,"",SUMPRODUCT((Upload_Indiv_Player=$A125)*(Upload_Indiv_Date=T$2)*(Upload_Indiv_Tot_Birds)))</f>
        <v/>
      </c>
      <c r="U128" s="2" t="str" cm="1">
        <f t="array" ref="U128">IF(SUMPRODUCT((Upload_Indiv_Player=$A125)*(Upload_Indiv_Date=U$2)*(Upload_Indiv_Tot_Birds))=0,"",SUMPRODUCT((Upload_Indiv_Player=$A125)*(Upload_Indiv_Date=U$2)*(Upload_Indiv_Tot_Birds)))</f>
        <v/>
      </c>
      <c r="V128" s="276"/>
      <c r="W128" s="276"/>
      <c r="X128" s="276"/>
      <c r="Y128" s="277"/>
      <c r="Z128" s="277"/>
      <c r="AA128" s="277"/>
    </row>
    <row r="129" spans="1:27" x14ac:dyDescent="0.25">
      <c r="A129" s="14"/>
      <c r="B129" s="8" t="s">
        <v>175</v>
      </c>
      <c r="C129" s="2" t="str" cm="1">
        <f t="array" ref="C129">IF(SUMPRODUCT((Upload_Indiv_Player=$A125)*(Upload_Indiv_Date=C$2)*(Upload_Indiv_Tot_Eagles))=0,"",SUMPRODUCT((Upload_Indiv_Player=$A125)*(Upload_Indiv_Date=C$2)*(Upload_Indiv_Tot_Eagles)))</f>
        <v/>
      </c>
      <c r="D129" s="2" t="str" cm="1">
        <f t="array" ref="D129">IF(SUMPRODUCT((Upload_Indiv_Player=$A125)*(Upload_Indiv_Date=D$2)*(Upload_Indiv_Tot_Eagles))=0,"",SUMPRODUCT((Upload_Indiv_Player=$A125)*(Upload_Indiv_Date=D$2)*(Upload_Indiv_Tot_Eagles)))</f>
        <v/>
      </c>
      <c r="E129" s="2" t="str" cm="1">
        <f t="array" ref="E129">IF(SUMPRODUCT((Upload_Indiv_Player=$A125)*(Upload_Indiv_Date=E$2)*(Upload_Indiv_Tot_Eagles))=0,"",SUMPRODUCT((Upload_Indiv_Player=$A125)*(Upload_Indiv_Date=E$2)*(Upload_Indiv_Tot_Eagles)))</f>
        <v/>
      </c>
      <c r="F129" s="2" t="str" cm="1">
        <f t="array" ref="F129">IF(SUMPRODUCT((Upload_Indiv_Player=$A125)*(Upload_Indiv_Date=F$2)*(Upload_Indiv_Tot_Eagles))=0,"",SUMPRODUCT((Upload_Indiv_Player=$A125)*(Upload_Indiv_Date=F$2)*(Upload_Indiv_Tot_Eagles)))</f>
        <v/>
      </c>
      <c r="G129" s="2" t="str" cm="1">
        <f t="array" ref="G129">IF(SUMPRODUCT((Upload_Indiv_Player=$A125)*(Upload_Indiv_Date=G$2)*(Upload_Indiv_Tot_Eagles))=0,"",SUMPRODUCT((Upload_Indiv_Player=$A125)*(Upload_Indiv_Date=G$2)*(Upload_Indiv_Tot_Eagles)))</f>
        <v/>
      </c>
      <c r="H129" s="2" t="str" cm="1">
        <f t="array" ref="H129">IF(SUMPRODUCT((Upload_Indiv_Player=$A125)*(Upload_Indiv_Date=H$2)*(Upload_Indiv_Tot_Eagles))=0,"",SUMPRODUCT((Upload_Indiv_Player=$A125)*(Upload_Indiv_Date=H$2)*(Upload_Indiv_Tot_Eagles)))</f>
        <v/>
      </c>
      <c r="I129" s="2" t="str" cm="1">
        <f t="array" ref="I129">IF(SUMPRODUCT((Upload_Indiv_Player=$A125)*(Upload_Indiv_Date=I$2)*(Upload_Indiv_Tot_Eagles))=0,"",SUMPRODUCT((Upload_Indiv_Player=$A125)*(Upload_Indiv_Date=I$2)*(Upload_Indiv_Tot_Eagles)))</f>
        <v/>
      </c>
      <c r="J129" s="2" t="str" cm="1">
        <f t="array" ref="J129">IF(SUMPRODUCT((Upload_Indiv_Player=$A125)*(Upload_Indiv_Date=J$2)*(Upload_Indiv_Tot_Eagles))=0,"",SUMPRODUCT((Upload_Indiv_Player=$A125)*(Upload_Indiv_Date=J$2)*(Upload_Indiv_Tot_Eagles)))</f>
        <v/>
      </c>
      <c r="K129" s="2" t="str" cm="1">
        <f t="array" ref="K129">IF(SUMPRODUCT((Upload_Indiv_Player=$A125)*(Upload_Indiv_Date=K$2)*(Upload_Indiv_Tot_Eagles))=0,"",SUMPRODUCT((Upload_Indiv_Player=$A125)*(Upload_Indiv_Date=K$2)*(Upload_Indiv_Tot_Eagles)))</f>
        <v/>
      </c>
      <c r="L129" s="2" t="str" cm="1">
        <f t="array" ref="L129">IF(SUMPRODUCT((Upload_Indiv_Player=$A125)*(Upload_Indiv_Date=L$2)*(Upload_Indiv_Tot_Eagles))=0,"",SUMPRODUCT((Upload_Indiv_Player=$A125)*(Upload_Indiv_Date=L$2)*(Upload_Indiv_Tot_Eagles)))</f>
        <v/>
      </c>
      <c r="M129" s="2" t="str" cm="1">
        <f t="array" ref="M129">IF(SUMPRODUCT((Upload_Indiv_Player=$A125)*(Upload_Indiv_Date=M$2)*(Upload_Indiv_Tot_Eagles))=0,"",SUMPRODUCT((Upload_Indiv_Player=$A125)*(Upload_Indiv_Date=M$2)*(Upload_Indiv_Tot_Eagles)))</f>
        <v/>
      </c>
      <c r="N129" s="2" t="str" cm="1">
        <f t="array" ref="N129">IF(SUMPRODUCT((Upload_Indiv_Player=$A125)*(Upload_Indiv_Date=N$2)*(Upload_Indiv_Tot_Eagles))=0,"",SUMPRODUCT((Upload_Indiv_Player=$A125)*(Upload_Indiv_Date=N$2)*(Upload_Indiv_Tot_Eagles)))</f>
        <v/>
      </c>
      <c r="O129" s="2" t="str" cm="1">
        <f t="array" ref="O129">IF(SUMPRODUCT((Upload_Indiv_Player=$A125)*(Upload_Indiv_Date=O$2)*(Upload_Indiv_Tot_Eagles))=0,"",SUMPRODUCT((Upload_Indiv_Player=$A125)*(Upload_Indiv_Date=O$2)*(Upload_Indiv_Tot_Eagles)))</f>
        <v/>
      </c>
      <c r="P129" s="2" t="str" cm="1">
        <f t="array" ref="P129">IF(SUMPRODUCT((Upload_Indiv_Player=$A125)*(Upload_Indiv_Date=P$2)*(Upload_Indiv_Tot_Eagles))=0,"",SUMPRODUCT((Upload_Indiv_Player=$A125)*(Upload_Indiv_Date=P$2)*(Upload_Indiv_Tot_Eagles)))</f>
        <v/>
      </c>
      <c r="Q129" s="2" t="str" cm="1">
        <f t="array" ref="Q129">IF(SUMPRODUCT((Upload_Indiv_Player=$A125)*(Upload_Indiv_Date=Q$2)*(Upload_Indiv_Tot_Eagles))=0,"",SUMPRODUCT((Upload_Indiv_Player=$A125)*(Upload_Indiv_Date=Q$2)*(Upload_Indiv_Tot_Eagles)))</f>
        <v/>
      </c>
      <c r="R129" s="2" t="str" cm="1">
        <f t="array" ref="R129">IF(SUMPRODUCT((Upload_Indiv_Player=$A125)*(Upload_Indiv_Date=R$2)*(Upload_Indiv_Tot_Eagles))=0,"",SUMPRODUCT((Upload_Indiv_Player=$A125)*(Upload_Indiv_Date=R$2)*(Upload_Indiv_Tot_Eagles)))</f>
        <v/>
      </c>
      <c r="S129" s="2" t="str" cm="1">
        <f t="array" ref="S129">IF(SUMPRODUCT((Upload_Indiv_Player=$A125)*(Upload_Indiv_Date=S$2)*(Upload_Indiv_Tot_Eagles))=0,"",SUMPRODUCT((Upload_Indiv_Player=$A125)*(Upload_Indiv_Date=S$2)*(Upload_Indiv_Tot_Eagles)))</f>
        <v/>
      </c>
      <c r="T129" s="2" t="str" cm="1">
        <f t="array" ref="T129">IF(SUMPRODUCT((Upload_Indiv_Player=$A125)*(Upload_Indiv_Date=T$2)*(Upload_Indiv_Tot_Eagles))=0,"",SUMPRODUCT((Upload_Indiv_Player=$A125)*(Upload_Indiv_Date=T$2)*(Upload_Indiv_Tot_Eagles)))</f>
        <v/>
      </c>
      <c r="U129" s="2" t="str" cm="1">
        <f t="array" ref="U129">IF(SUMPRODUCT((Upload_Indiv_Player=$A125)*(Upload_Indiv_Date=U$2)*(Upload_Indiv_Tot_Eagles))=0,"",SUMPRODUCT((Upload_Indiv_Player=$A125)*(Upload_Indiv_Date=U$2)*(Upload_Indiv_Tot_Eagles)))</f>
        <v/>
      </c>
      <c r="V129" s="276"/>
      <c r="W129" s="276"/>
      <c r="X129" s="276"/>
      <c r="Y129" s="277"/>
      <c r="Z129" s="278"/>
      <c r="AA129" s="277"/>
    </row>
    <row r="130" spans="1:27" x14ac:dyDescent="0.25">
      <c r="A130" s="14"/>
      <c r="B130" s="2" t="s">
        <v>176</v>
      </c>
      <c r="C130" s="2" t="str" cm="1">
        <f t="array" ref="C130">IF(SUMPRODUCT((Upload_Indiv_Player=$A125)*(Upload_Indiv_Date=C$2)*(Upload_Indiv_Excl_Score))=0,"",SUMPRODUCT((Upload_Indiv_Player=$A125)*(Upload_Indiv_Date=C$2)*(Upload_Indiv_Excl_Score)))</f>
        <v/>
      </c>
      <c r="D130" s="2" t="str" cm="1">
        <f t="array" ref="D130">IF(SUMPRODUCT((Upload_Indiv_Player=$A125)*(Upload_Indiv_Date=D$2)*(Upload_Indiv_Excl_Score))=0,"",SUMPRODUCT((Upload_Indiv_Player=$A125)*(Upload_Indiv_Date=D$2)*(Upload_Indiv_Excl_Score)))</f>
        <v/>
      </c>
      <c r="E130" s="2" t="str" cm="1">
        <f t="array" ref="E130">IF(SUMPRODUCT((Upload_Indiv_Player=$A125)*(Upload_Indiv_Date=E$2)*(Upload_Indiv_Excl_Score))=0,"",SUMPRODUCT((Upload_Indiv_Player=$A125)*(Upload_Indiv_Date=E$2)*(Upload_Indiv_Excl_Score)))</f>
        <v/>
      </c>
      <c r="F130" s="2" t="str" cm="1">
        <f t="array" ref="F130">IF(SUMPRODUCT((Upload_Indiv_Player=$A125)*(Upload_Indiv_Date=F$2)*(Upload_Indiv_Excl_Score))=0,"",SUMPRODUCT((Upload_Indiv_Player=$A125)*(Upload_Indiv_Date=F$2)*(Upload_Indiv_Excl_Score)))</f>
        <v/>
      </c>
      <c r="G130" s="2" t="str" cm="1">
        <f t="array" ref="G130">IF(SUMPRODUCT((Upload_Indiv_Player=$A125)*(Upload_Indiv_Date=G$2)*(Upload_Indiv_Excl_Score))=0,"",SUMPRODUCT((Upload_Indiv_Player=$A125)*(Upload_Indiv_Date=G$2)*(Upload_Indiv_Excl_Score)))</f>
        <v/>
      </c>
      <c r="H130" s="2" t="str" cm="1">
        <f t="array" ref="H130">IF(SUMPRODUCT((Upload_Indiv_Player=$A125)*(Upload_Indiv_Date=H$2)*(Upload_Indiv_Excl_Score))=0,"",SUMPRODUCT((Upload_Indiv_Player=$A125)*(Upload_Indiv_Date=H$2)*(Upload_Indiv_Excl_Score)))</f>
        <v/>
      </c>
      <c r="I130" s="2" t="str" cm="1">
        <f t="array" ref="I130">IF(SUMPRODUCT((Upload_Indiv_Player=$A125)*(Upload_Indiv_Date=I$2)*(Upload_Indiv_Excl_Score))=0,"",SUMPRODUCT((Upload_Indiv_Player=$A125)*(Upload_Indiv_Date=I$2)*(Upload_Indiv_Excl_Score)))</f>
        <v/>
      </c>
      <c r="J130" s="2" t="str" cm="1">
        <f t="array" ref="J130">IF(SUMPRODUCT((Upload_Indiv_Player=$A125)*(Upload_Indiv_Date=J$2)*(Upload_Indiv_Excl_Score))=0,"",SUMPRODUCT((Upload_Indiv_Player=$A125)*(Upload_Indiv_Date=J$2)*(Upload_Indiv_Excl_Score)))</f>
        <v/>
      </c>
      <c r="K130" s="2" t="str" cm="1">
        <f t="array" ref="K130">IF(SUMPRODUCT((Upload_Indiv_Player=$A125)*(Upload_Indiv_Date=K$2)*(Upload_Indiv_Excl_Score))=0,"",SUMPRODUCT((Upload_Indiv_Player=$A125)*(Upload_Indiv_Date=K$2)*(Upload_Indiv_Excl_Score)))</f>
        <v/>
      </c>
      <c r="L130" s="2" t="str" cm="1">
        <f t="array" ref="L130">IF(SUMPRODUCT((Upload_Indiv_Player=$A125)*(Upload_Indiv_Date=L$2)*(Upload_Indiv_Excl_Score))=0,"",SUMPRODUCT((Upload_Indiv_Player=$A125)*(Upload_Indiv_Date=L$2)*(Upload_Indiv_Excl_Score)))</f>
        <v/>
      </c>
      <c r="M130" s="2" t="str" cm="1">
        <f t="array" ref="M130">IF(SUMPRODUCT((Upload_Indiv_Player=$A125)*(Upload_Indiv_Date=M$2)*(Upload_Indiv_Excl_Score))=0,"",SUMPRODUCT((Upload_Indiv_Player=$A125)*(Upload_Indiv_Date=M$2)*(Upload_Indiv_Excl_Score)))</f>
        <v/>
      </c>
      <c r="N130" s="2" t="str" cm="1">
        <f t="array" ref="N130">IF(SUMPRODUCT((Upload_Indiv_Player=$A125)*(Upload_Indiv_Date=N$2)*(Upload_Indiv_Excl_Score))=0,"",SUMPRODUCT((Upload_Indiv_Player=$A125)*(Upload_Indiv_Date=N$2)*(Upload_Indiv_Excl_Score)))</f>
        <v/>
      </c>
      <c r="O130" s="2" t="str" cm="1">
        <f t="array" ref="O130">IF(SUMPRODUCT((Upload_Indiv_Player=$A125)*(Upload_Indiv_Date=O$2)*(Upload_Indiv_Excl_Score))=0,"",SUMPRODUCT((Upload_Indiv_Player=$A125)*(Upload_Indiv_Date=O$2)*(Upload_Indiv_Excl_Score)))</f>
        <v/>
      </c>
      <c r="P130" s="2" t="str" cm="1">
        <f t="array" ref="P130">IF(SUMPRODUCT((Upload_Indiv_Player=$A125)*(Upload_Indiv_Date=P$2)*(Upload_Indiv_Excl_Score))=0,"",SUMPRODUCT((Upload_Indiv_Player=$A125)*(Upload_Indiv_Date=P$2)*(Upload_Indiv_Excl_Score)))</f>
        <v/>
      </c>
      <c r="Q130" s="2" t="str" cm="1">
        <f t="array" ref="Q130">IF(SUMPRODUCT((Upload_Indiv_Player=$A125)*(Upload_Indiv_Date=Q$2)*(Upload_Indiv_Excl_Score))=0,"",SUMPRODUCT((Upload_Indiv_Player=$A125)*(Upload_Indiv_Date=Q$2)*(Upload_Indiv_Excl_Score)))</f>
        <v/>
      </c>
      <c r="R130" s="2" t="str" cm="1">
        <f t="array" ref="R130">IF(SUMPRODUCT((Upload_Indiv_Player=$A125)*(Upload_Indiv_Date=R$2)*(Upload_Indiv_Excl_Score))=0,"",SUMPRODUCT((Upload_Indiv_Player=$A125)*(Upload_Indiv_Date=R$2)*(Upload_Indiv_Excl_Score)))</f>
        <v/>
      </c>
      <c r="S130" s="2" t="str" cm="1">
        <f t="array" ref="S130">IF(SUMPRODUCT((Upload_Indiv_Player=$A125)*(Upload_Indiv_Date=S$2)*(Upload_Indiv_Excl_Score))=0,"",SUMPRODUCT((Upload_Indiv_Player=$A125)*(Upload_Indiv_Date=S$2)*(Upload_Indiv_Excl_Score)))</f>
        <v/>
      </c>
      <c r="T130" s="2" t="str" cm="1">
        <f t="array" ref="T130">IF(SUMPRODUCT((Upload_Indiv_Player=$A125)*(Upload_Indiv_Date=T$2)*(Upload_Indiv_Excl_Score))=0,"",SUMPRODUCT((Upload_Indiv_Player=$A125)*(Upload_Indiv_Date=T$2)*(Upload_Indiv_Excl_Score)))</f>
        <v/>
      </c>
      <c r="U130" s="2" t="str" cm="1">
        <f t="array" ref="U130">IF(SUMPRODUCT((Upload_Indiv_Player=$A125)*(Upload_Indiv_Date=U$2)*(Upload_Indiv_Excl_Score))=0,"",SUMPRODUCT((Upload_Indiv_Player=$A125)*(Upload_Indiv_Date=U$2)*(Upload_Indiv_Excl_Score)))</f>
        <v/>
      </c>
      <c r="V130" s="276"/>
      <c r="W130" s="276"/>
      <c r="X130" s="276"/>
      <c r="Y130" s="277"/>
      <c r="Z130" s="277"/>
      <c r="AA130" s="277"/>
    </row>
    <row r="131" spans="1:27" x14ac:dyDescent="0.25">
      <c r="A131" s="14"/>
      <c r="B131" s="2" t="s">
        <v>177</v>
      </c>
      <c r="C131" s="2" t="str" cm="1">
        <f t="array" ref="C131">IFERROR(INDEX(Upload_Indiv_Team,MATCH(1,($A125=Upload_Indiv_Player)*(C$2=Upload_Indiv_Date),0)),"")</f>
        <v/>
      </c>
      <c r="D131" s="2" t="str" cm="1">
        <f t="array" ref="D131">IFERROR(INDEX(Upload_Indiv_Team,MATCH(1,($A125=Upload_Indiv_Player)*(D$2=Upload_Indiv_Date),0)),"")</f>
        <v/>
      </c>
      <c r="E131" s="2" t="str" cm="1">
        <f t="array" ref="E131">IFERROR(INDEX(Upload_Indiv_Team,MATCH(1,($A125=Upload_Indiv_Player)*(E$2=Upload_Indiv_Date),0)),"")</f>
        <v/>
      </c>
      <c r="F131" s="2" t="str" cm="1">
        <f t="array" ref="F131">IFERROR(INDEX(Upload_Indiv_Team,MATCH(1,($A125=Upload_Indiv_Player)*(F$2=Upload_Indiv_Date),0)),"")</f>
        <v/>
      </c>
      <c r="G131" s="2" t="str" cm="1">
        <f t="array" ref="G131">IFERROR(INDEX(Upload_Indiv_Team,MATCH(1,($A125=Upload_Indiv_Player)*(G$2=Upload_Indiv_Date),0)),"")</f>
        <v/>
      </c>
      <c r="H131" s="2" t="str" cm="1">
        <f t="array" ref="H131">IFERROR(INDEX(Upload_Indiv_Team,MATCH(1,($A125=Upload_Indiv_Player)*(H$2=Upload_Indiv_Date),0)),"")</f>
        <v/>
      </c>
      <c r="I131" s="2" t="str" cm="1">
        <f t="array" ref="I131">IFERROR(INDEX(Upload_Indiv_Team,MATCH(1,($A125=Upload_Indiv_Player)*(I$2=Upload_Indiv_Date),0)),"")</f>
        <v/>
      </c>
      <c r="J131" s="2" t="str" cm="1">
        <f t="array" ref="J131">IFERROR(INDEX(Upload_Indiv_Team,MATCH(1,($A125=Upload_Indiv_Player)*(J$2=Upload_Indiv_Date),0)),"")</f>
        <v/>
      </c>
      <c r="K131" s="2" t="str" cm="1">
        <f t="array" ref="K131">IFERROR(INDEX(Upload_Indiv_Team,MATCH(1,($A125=Upload_Indiv_Player)*(K$2=Upload_Indiv_Date),0)),"")</f>
        <v/>
      </c>
      <c r="L131" s="2" t="str" cm="1">
        <f t="array" ref="L131">IFERROR(INDEX(Upload_Indiv_Team,MATCH(1,($A125=Upload_Indiv_Player)*(L$2=Upload_Indiv_Date),0)),"")</f>
        <v/>
      </c>
      <c r="M131" s="2" t="str" cm="1">
        <f t="array" ref="M131">IFERROR(INDEX(Upload_Indiv_Team,MATCH(1,($A125=Upload_Indiv_Player)*(M$2=Upload_Indiv_Date),0)),"")</f>
        <v/>
      </c>
      <c r="N131" s="2" t="str" cm="1">
        <f t="array" ref="N131">IFERROR(INDEX(Upload_Indiv_Team,MATCH(1,($A125=Upload_Indiv_Player)*(N$2=Upload_Indiv_Date),0)),"")</f>
        <v/>
      </c>
      <c r="O131" s="2" t="str" cm="1">
        <f t="array" ref="O131">IFERROR(INDEX(Upload_Indiv_Team,MATCH(1,($A125=Upload_Indiv_Player)*(O$2=Upload_Indiv_Date),0)),"")</f>
        <v/>
      </c>
      <c r="P131" s="2" t="str" cm="1">
        <f t="array" ref="P131">IFERROR(INDEX(Upload_Indiv_Team,MATCH(1,($A125=Upload_Indiv_Player)*(P$2=Upload_Indiv_Date),0)),"")</f>
        <v/>
      </c>
      <c r="Q131" s="2" t="str" cm="1">
        <f t="array" ref="Q131">IFERROR(INDEX(Upload_Indiv_Team,MATCH(1,($A125=Upload_Indiv_Player)*(Q$2=Upload_Indiv_Date),0)),"")</f>
        <v/>
      </c>
      <c r="R131" s="2" t="str" cm="1">
        <f t="array" ref="R131">IFERROR(INDEX(Upload_Indiv_Team,MATCH(1,($A125=Upload_Indiv_Player)*(R$2=Upload_Indiv_Date),0)),"")</f>
        <v/>
      </c>
      <c r="S131" s="2" t="str" cm="1">
        <f t="array" ref="S131">IFERROR(INDEX(Upload_Indiv_Team,MATCH(1,($A125=Upload_Indiv_Player)*(S$2=Upload_Indiv_Date),0)),"")</f>
        <v/>
      </c>
      <c r="T131" s="2" t="str" cm="1">
        <f t="array" ref="T131">IFERROR(INDEX(Upload_Indiv_Team,MATCH(1,($A125=Upload_Indiv_Player)*(T$2=Upload_Indiv_Date),0)),"")</f>
        <v/>
      </c>
      <c r="U131" s="2" t="str" cm="1">
        <f t="array" ref="U131">IFERROR(INDEX(Upload_Indiv_Team,MATCH(1,($A125=Upload_Indiv_Player)*(U$2=Upload_Indiv_Date),0)),"")</f>
        <v/>
      </c>
      <c r="V131" s="276"/>
      <c r="W131" s="276"/>
      <c r="X131" s="276"/>
      <c r="Y131" s="277"/>
      <c r="Z131" s="277"/>
      <c r="AA131" s="277"/>
    </row>
    <row r="132" spans="1:27" ht="13.8" thickBot="1" x14ac:dyDescent="0.3">
      <c r="A132" s="329" t="s">
        <v>160</v>
      </c>
      <c r="B132" s="16" t="s">
        <v>178</v>
      </c>
      <c r="C132" s="58" t="str">
        <f t="shared" ref="C132:U132" si="16">IF(C125="", "", IF(C127&gt;=11, "w", IF(C127&lt;=9, "l", "t")))</f>
        <v/>
      </c>
      <c r="D132" s="58" t="str">
        <f t="shared" si="16"/>
        <v/>
      </c>
      <c r="E132" s="58" t="str">
        <f t="shared" si="16"/>
        <v/>
      </c>
      <c r="F132" s="58" t="str">
        <f t="shared" si="16"/>
        <v/>
      </c>
      <c r="G132" s="58" t="str">
        <f t="shared" si="16"/>
        <v/>
      </c>
      <c r="H132" s="58" t="str">
        <f t="shared" si="16"/>
        <v/>
      </c>
      <c r="I132" s="58" t="str">
        <f t="shared" si="16"/>
        <v/>
      </c>
      <c r="J132" s="58" t="str">
        <f t="shared" si="16"/>
        <v/>
      </c>
      <c r="K132" s="58" t="str">
        <f t="shared" si="16"/>
        <v/>
      </c>
      <c r="L132" s="58" t="str">
        <f t="shared" si="16"/>
        <v/>
      </c>
      <c r="M132" s="87" t="str">
        <f t="shared" si="16"/>
        <v/>
      </c>
      <c r="N132" s="58" t="str">
        <f t="shared" si="16"/>
        <v/>
      </c>
      <c r="O132" s="58" t="str">
        <f t="shared" si="16"/>
        <v/>
      </c>
      <c r="P132" s="58" t="str">
        <f t="shared" si="16"/>
        <v/>
      </c>
      <c r="Q132" s="58" t="str">
        <f t="shared" si="16"/>
        <v/>
      </c>
      <c r="R132" s="58" t="str">
        <f t="shared" si="16"/>
        <v/>
      </c>
      <c r="S132" s="58" t="str">
        <f t="shared" si="16"/>
        <v/>
      </c>
      <c r="T132" s="58" t="str">
        <f t="shared" si="16"/>
        <v/>
      </c>
      <c r="U132" s="58" t="str">
        <f t="shared" si="16"/>
        <v/>
      </c>
      <c r="V132" s="276"/>
      <c r="W132" s="276"/>
      <c r="X132" s="276"/>
      <c r="Y132" s="277"/>
      <c r="Z132" s="277"/>
      <c r="AA132" s="277"/>
    </row>
    <row r="133" spans="1:27" x14ac:dyDescent="0.25">
      <c r="A133" s="11" t="s">
        <v>166</v>
      </c>
      <c r="B133" s="3" t="s">
        <v>170</v>
      </c>
      <c r="C133" s="3" t="str" cm="1">
        <f t="array" ref="C133">IF(SUMPRODUCT((Upload_Indiv_Player=$A133)*(Upload_Indiv_Date=C$2)*(Upload_Indiv_Gross))=0,"",SUMPRODUCT((Upload_Indiv_Player=$A133)*(Upload_Indiv_Date=C$2)*(Upload_Indiv_Gross)))</f>
        <v/>
      </c>
      <c r="D133" s="3" t="str" cm="1">
        <f t="array" ref="D133">IF(SUMPRODUCT((Upload_Indiv_Player=$A133)*(Upload_Indiv_Date=D$2)*(Upload_Indiv_Gross))=0,"",SUMPRODUCT((Upload_Indiv_Player=$A133)*(Upload_Indiv_Date=D$2)*(Upload_Indiv_Gross)))</f>
        <v/>
      </c>
      <c r="E133" s="3" t="str" cm="1">
        <f t="array" ref="E133">IF(SUMPRODUCT((Upload_Indiv_Player=$A133)*(Upload_Indiv_Date=E$2)*(Upload_Indiv_Gross))=0,"",SUMPRODUCT((Upload_Indiv_Player=$A133)*(Upload_Indiv_Date=E$2)*(Upload_Indiv_Gross)))</f>
        <v/>
      </c>
      <c r="F133" s="3" t="str" cm="1">
        <f t="array" ref="F133">IF(SUMPRODUCT((Upload_Indiv_Player=$A133)*(Upload_Indiv_Date=F$2)*(Upload_Indiv_Gross))=0,"",SUMPRODUCT((Upload_Indiv_Player=$A133)*(Upload_Indiv_Date=F$2)*(Upload_Indiv_Gross)))</f>
        <v/>
      </c>
      <c r="G133" s="3" t="str" cm="1">
        <f t="array" ref="G133">IF(SUMPRODUCT((Upload_Indiv_Player=$A133)*(Upload_Indiv_Date=G$2)*(Upload_Indiv_Gross))=0,"",SUMPRODUCT((Upload_Indiv_Player=$A133)*(Upload_Indiv_Date=G$2)*(Upload_Indiv_Gross)))</f>
        <v/>
      </c>
      <c r="H133" s="3" t="str" cm="1">
        <f t="array" ref="H133">IF(SUMPRODUCT((Upload_Indiv_Player=$A133)*(Upload_Indiv_Date=H$2)*(Upload_Indiv_Gross))=0,"",SUMPRODUCT((Upload_Indiv_Player=$A133)*(Upload_Indiv_Date=H$2)*(Upload_Indiv_Gross)))</f>
        <v/>
      </c>
      <c r="I133" s="3" t="str" cm="1">
        <f t="array" ref="I133">IF(SUMPRODUCT((Upload_Indiv_Player=$A133)*(Upload_Indiv_Date=I$2)*(Upload_Indiv_Gross))=0,"",SUMPRODUCT((Upload_Indiv_Player=$A133)*(Upload_Indiv_Date=I$2)*(Upload_Indiv_Gross)))</f>
        <v/>
      </c>
      <c r="J133" s="3" t="str" cm="1">
        <f t="array" ref="J133">IF(SUMPRODUCT((Upload_Indiv_Player=$A133)*(Upload_Indiv_Date=J$2)*(Upload_Indiv_Gross))=0,"",SUMPRODUCT((Upload_Indiv_Player=$A133)*(Upload_Indiv_Date=J$2)*(Upload_Indiv_Gross)))</f>
        <v/>
      </c>
      <c r="K133" s="3" t="str" cm="1">
        <f t="array" ref="K133">IF(SUMPRODUCT((Upload_Indiv_Player=$A133)*(Upload_Indiv_Date=K$2)*(Upload_Indiv_Gross))=0,"",SUMPRODUCT((Upload_Indiv_Player=$A133)*(Upload_Indiv_Date=K$2)*(Upload_Indiv_Gross)))</f>
        <v/>
      </c>
      <c r="L133" s="3" t="str" cm="1">
        <f t="array" ref="L133">IF(SUMPRODUCT((Upload_Indiv_Player=$A133)*(Upload_Indiv_Date=L$2)*(Upload_Indiv_Gross))=0,"",SUMPRODUCT((Upload_Indiv_Player=$A133)*(Upload_Indiv_Date=L$2)*(Upload_Indiv_Gross)))</f>
        <v/>
      </c>
      <c r="M133" s="3" t="str" cm="1">
        <f t="array" ref="M133">IF(SUMPRODUCT((Upload_Indiv_Player=$A133)*(Upload_Indiv_Date=M$2)*(Upload_Indiv_Gross))=0,"",SUMPRODUCT((Upload_Indiv_Player=$A133)*(Upload_Indiv_Date=M$2)*(Upload_Indiv_Gross)))</f>
        <v/>
      </c>
      <c r="N133" s="3" t="str" cm="1">
        <f t="array" ref="N133">IF(SUMPRODUCT((Upload_Indiv_Player=$A133)*(Upload_Indiv_Date=N$2)*(Upload_Indiv_Gross))=0,"",SUMPRODUCT((Upload_Indiv_Player=$A133)*(Upload_Indiv_Date=N$2)*(Upload_Indiv_Gross)))</f>
        <v/>
      </c>
      <c r="O133" s="3" t="str" cm="1">
        <f t="array" ref="O133">IF(SUMPRODUCT((Upload_Indiv_Player=$A133)*(Upload_Indiv_Date=O$2)*(Upload_Indiv_Gross))=0,"",SUMPRODUCT((Upload_Indiv_Player=$A133)*(Upload_Indiv_Date=O$2)*(Upload_Indiv_Gross)))</f>
        <v/>
      </c>
      <c r="P133" s="3" t="str" cm="1">
        <f t="array" ref="P133">IF(SUMPRODUCT((Upload_Indiv_Player=$A133)*(Upload_Indiv_Date=P$2)*(Upload_Indiv_Gross))=0,"",SUMPRODUCT((Upload_Indiv_Player=$A133)*(Upload_Indiv_Date=P$2)*(Upload_Indiv_Gross)))</f>
        <v/>
      </c>
      <c r="Q133" s="2" t="str" cm="1">
        <f t="array" ref="Q133">IF(SUMPRODUCT((Upload_Indiv_Player=$A133)*(Upload_Indiv_Date=Q$2)*(Upload_Indiv_Gross))=0,"",SUMPRODUCT((Upload_Indiv_Player=$A133)*(Upload_Indiv_Date=Q$2)*(Upload_Indiv_Gross)))</f>
        <v/>
      </c>
      <c r="R133" s="2" t="str" cm="1">
        <f t="array" ref="R133">IF(SUMPRODUCT((Upload_Indiv_Player=$A133)*(Upload_Indiv_Date=R$2)*(Upload_Indiv_Gross))=0,"",SUMPRODUCT((Upload_Indiv_Player=$A133)*(Upload_Indiv_Date=R$2)*(Upload_Indiv_Gross)))</f>
        <v/>
      </c>
      <c r="S133" s="2" t="str" cm="1">
        <f t="array" ref="S133">IF(SUMPRODUCT((Upload_Indiv_Player=$A133)*(Upload_Indiv_Date=S$2)*(Upload_Indiv_Gross))=0,"",SUMPRODUCT((Upload_Indiv_Player=$A133)*(Upload_Indiv_Date=S$2)*(Upload_Indiv_Gross)))</f>
        <v/>
      </c>
      <c r="T133" s="2" t="str" cm="1">
        <f t="array" ref="T133">IF(SUMPRODUCT((Upload_Indiv_Player=$A133)*(Upload_Indiv_Date=T$2)*(Upload_Indiv_Gross))=0,"",SUMPRODUCT((Upload_Indiv_Player=$A133)*(Upload_Indiv_Date=T$2)*(Upload_Indiv_Gross)))</f>
        <v/>
      </c>
      <c r="U133" s="2" t="str" cm="1">
        <f t="array" ref="U133">IF(SUMPRODUCT((Upload_Indiv_Player=$A133)*(Upload_Indiv_Date=U$2)*(Upload_Indiv_Gross))=0,"",SUMPRODUCT((Upload_Indiv_Player=$A133)*(Upload_Indiv_Date=U$2)*(Upload_Indiv_Gross)))</f>
        <v/>
      </c>
      <c r="V133" s="273">
        <v>3</v>
      </c>
      <c r="W133" s="273">
        <v>10</v>
      </c>
      <c r="X133" s="273">
        <v>0</v>
      </c>
      <c r="Y133" s="277">
        <v>0</v>
      </c>
      <c r="Z133" s="277">
        <v>0</v>
      </c>
      <c r="AA133" s="277">
        <v>0</v>
      </c>
    </row>
    <row r="134" spans="1:27" x14ac:dyDescent="0.25">
      <c r="A134" s="216">
        <v>3304958907</v>
      </c>
      <c r="B134" s="2" t="s">
        <v>171</v>
      </c>
      <c r="C134" s="2" t="str" cm="1">
        <f t="array" ref="C134">IF(SUMPRODUCT((Upload_Indiv_Player=$A133)*(Upload_Indiv_Date=C$2)*(Upload_Indiv_Net))=0,"",SUMPRODUCT((Upload_Indiv_Player=$A133)*(Upload_Indiv_Date=C$2)*(Upload_Indiv_Net)))</f>
        <v/>
      </c>
      <c r="D134" s="2" t="str" cm="1">
        <f t="array" ref="D134">IF(SUMPRODUCT((Upload_Indiv_Player=$A133)*(Upload_Indiv_Date=D$2)*(Upload_Indiv_Net))=0,"",SUMPRODUCT((Upload_Indiv_Player=$A133)*(Upload_Indiv_Date=D$2)*(Upload_Indiv_Net)))</f>
        <v/>
      </c>
      <c r="E134" s="2" t="str" cm="1">
        <f t="array" ref="E134">IF(SUMPRODUCT((Upload_Indiv_Player=$A133)*(Upload_Indiv_Date=E$2)*(Upload_Indiv_Net))=0,"",SUMPRODUCT((Upload_Indiv_Player=$A133)*(Upload_Indiv_Date=E$2)*(Upload_Indiv_Net)))</f>
        <v/>
      </c>
      <c r="F134" s="2" t="str" cm="1">
        <f t="array" ref="F134">IF(SUMPRODUCT((Upload_Indiv_Player=$A133)*(Upload_Indiv_Date=F$2)*(Upload_Indiv_Net))=0,"",SUMPRODUCT((Upload_Indiv_Player=$A133)*(Upload_Indiv_Date=F$2)*(Upload_Indiv_Net)))</f>
        <v/>
      </c>
      <c r="G134" s="2" t="str" cm="1">
        <f t="array" ref="G134">IF(SUMPRODUCT((Upload_Indiv_Player=$A133)*(Upload_Indiv_Date=G$2)*(Upload_Indiv_Net))=0,"",SUMPRODUCT((Upload_Indiv_Player=$A133)*(Upload_Indiv_Date=G$2)*(Upload_Indiv_Net)))</f>
        <v/>
      </c>
      <c r="H134" s="2" t="str" cm="1">
        <f t="array" ref="H134">IF(SUMPRODUCT((Upload_Indiv_Player=$A133)*(Upload_Indiv_Date=H$2)*(Upload_Indiv_Net))=0,"",SUMPRODUCT((Upload_Indiv_Player=$A133)*(Upload_Indiv_Date=H$2)*(Upload_Indiv_Net)))</f>
        <v/>
      </c>
      <c r="I134" s="2" t="str" cm="1">
        <f t="array" ref="I134">IF(SUMPRODUCT((Upload_Indiv_Player=$A133)*(Upload_Indiv_Date=I$2)*(Upload_Indiv_Net))=0,"",SUMPRODUCT((Upload_Indiv_Player=$A133)*(Upload_Indiv_Date=I$2)*(Upload_Indiv_Net)))</f>
        <v/>
      </c>
      <c r="J134" s="2" t="str" cm="1">
        <f t="array" ref="J134">IF(SUMPRODUCT((Upload_Indiv_Player=$A133)*(Upload_Indiv_Date=J$2)*(Upload_Indiv_Net))=0,"",SUMPRODUCT((Upload_Indiv_Player=$A133)*(Upload_Indiv_Date=J$2)*(Upload_Indiv_Net)))</f>
        <v/>
      </c>
      <c r="K134" s="2" t="str" cm="1">
        <f t="array" ref="K134">IF(SUMPRODUCT((Upload_Indiv_Player=$A133)*(Upload_Indiv_Date=K$2)*(Upload_Indiv_Net))=0,"",SUMPRODUCT((Upload_Indiv_Player=$A133)*(Upload_Indiv_Date=K$2)*(Upload_Indiv_Net)))</f>
        <v/>
      </c>
      <c r="L134" s="2" t="str" cm="1">
        <f t="array" ref="L134">IF(SUMPRODUCT((Upload_Indiv_Player=$A133)*(Upload_Indiv_Date=L$2)*(Upload_Indiv_Net))=0,"",SUMPRODUCT((Upload_Indiv_Player=$A133)*(Upload_Indiv_Date=L$2)*(Upload_Indiv_Net)))</f>
        <v/>
      </c>
      <c r="M134" s="2" t="str" cm="1">
        <f t="array" ref="M134">IF(SUMPRODUCT((Upload_Indiv_Player=$A133)*(Upload_Indiv_Date=M$2)*(Upload_Indiv_Net))=0,"",SUMPRODUCT((Upload_Indiv_Player=$A133)*(Upload_Indiv_Date=M$2)*(Upload_Indiv_Net)))</f>
        <v/>
      </c>
      <c r="N134" s="2" t="str" cm="1">
        <f t="array" ref="N134">IF(SUMPRODUCT((Upload_Indiv_Player=$A133)*(Upload_Indiv_Date=N$2)*(Upload_Indiv_Net))=0,"",SUMPRODUCT((Upload_Indiv_Player=$A133)*(Upload_Indiv_Date=N$2)*(Upload_Indiv_Net)))</f>
        <v/>
      </c>
      <c r="O134" s="2" t="str" cm="1">
        <f t="array" ref="O134">IF(SUMPRODUCT((Upload_Indiv_Player=$A133)*(Upload_Indiv_Date=O$2)*(Upload_Indiv_Net))=0,"",SUMPRODUCT((Upload_Indiv_Player=$A133)*(Upload_Indiv_Date=O$2)*(Upload_Indiv_Net)))</f>
        <v/>
      </c>
      <c r="P134" s="2" t="str" cm="1">
        <f t="array" ref="P134">IF(SUMPRODUCT((Upload_Indiv_Player=$A133)*(Upload_Indiv_Date=P$2)*(Upload_Indiv_Net))=0,"",SUMPRODUCT((Upload_Indiv_Player=$A133)*(Upload_Indiv_Date=P$2)*(Upload_Indiv_Net)))</f>
        <v/>
      </c>
      <c r="Q134" s="2" t="str" cm="1">
        <f t="array" ref="Q134">IF(SUMPRODUCT((Upload_Indiv_Player=$A133)*(Upload_Indiv_Date=Q$2)*(Upload_Indiv_Net))=0,"",SUMPRODUCT((Upload_Indiv_Player=$A133)*(Upload_Indiv_Date=Q$2)*(Upload_Indiv_Net)))</f>
        <v/>
      </c>
      <c r="R134" s="2" t="str" cm="1">
        <f t="array" ref="R134">IF(SUMPRODUCT((Upload_Indiv_Player=$A133)*(Upload_Indiv_Date=R$2)*(Upload_Indiv_Net))=0,"",SUMPRODUCT((Upload_Indiv_Player=$A133)*(Upload_Indiv_Date=R$2)*(Upload_Indiv_Net)))</f>
        <v/>
      </c>
      <c r="S134" s="2" t="str" cm="1">
        <f t="array" ref="S134">IF(SUMPRODUCT((Upload_Indiv_Player=$A133)*(Upload_Indiv_Date=S$2)*(Upload_Indiv_Net))=0,"",SUMPRODUCT((Upload_Indiv_Player=$A133)*(Upload_Indiv_Date=S$2)*(Upload_Indiv_Net)))</f>
        <v/>
      </c>
      <c r="T134" s="2" t="str" cm="1">
        <f t="array" ref="T134">IF(SUMPRODUCT((Upload_Indiv_Player=$A133)*(Upload_Indiv_Date=T$2)*(Upload_Indiv_Net))=0,"",SUMPRODUCT((Upload_Indiv_Player=$A133)*(Upload_Indiv_Date=T$2)*(Upload_Indiv_Net)))</f>
        <v/>
      </c>
      <c r="U134" s="2" t="str" cm="1">
        <f t="array" ref="U134">IF(SUMPRODUCT((Upload_Indiv_Player=$A133)*(Upload_Indiv_Date=U$2)*(Upload_Indiv_Net))=0,"",SUMPRODUCT((Upload_Indiv_Player=$A133)*(Upload_Indiv_Date=U$2)*(Upload_Indiv_Net)))</f>
        <v/>
      </c>
      <c r="V134" s="279">
        <v>49.67</v>
      </c>
      <c r="W134" s="276"/>
      <c r="X134" s="276"/>
      <c r="Y134" s="277"/>
      <c r="Z134" s="277"/>
      <c r="AA134" s="277"/>
    </row>
    <row r="135" spans="1:27" x14ac:dyDescent="0.25">
      <c r="A135" s="65" t="s">
        <v>343</v>
      </c>
      <c r="B135" s="2" t="s">
        <v>173</v>
      </c>
      <c r="C135" s="2" t="str" cm="1">
        <f t="array" ref="C135">IF(SUMPRODUCT((Upload_Indiv_Player=$A133)*(Upload_Indiv_Date=C$2)*(Upload_Indiv_PointsTot))=0,"",SUMPRODUCT((Upload_Indiv_Player=$A133)*(Upload_Indiv_Date=C$2)*(Upload_Indiv_PointsTot)))</f>
        <v/>
      </c>
      <c r="D135" s="2" t="str" cm="1">
        <f t="array" ref="D135">IF(SUMPRODUCT((Upload_Indiv_Player=$A133)*(Upload_Indiv_Date=D$2)*(Upload_Indiv_PointsTot))=0,"",SUMPRODUCT((Upload_Indiv_Player=$A133)*(Upload_Indiv_Date=D$2)*(Upload_Indiv_PointsTot)))</f>
        <v/>
      </c>
      <c r="E135" s="2" t="str" cm="1">
        <f t="array" ref="E135">IF(SUMPRODUCT((Upload_Indiv_Player=$A133)*(Upload_Indiv_Date=E$2)*(Upload_Indiv_PointsTot))=0,"",SUMPRODUCT((Upload_Indiv_Player=$A133)*(Upload_Indiv_Date=E$2)*(Upload_Indiv_PointsTot)))</f>
        <v/>
      </c>
      <c r="F135" s="2" t="str" cm="1">
        <f t="array" ref="F135">IF(SUMPRODUCT((Upload_Indiv_Player=$A133)*(Upload_Indiv_Date=F$2)*(Upload_Indiv_PointsTot))=0,"",SUMPRODUCT((Upload_Indiv_Player=$A133)*(Upload_Indiv_Date=F$2)*(Upload_Indiv_PointsTot)))</f>
        <v/>
      </c>
      <c r="G135" s="2" t="str" cm="1">
        <f t="array" ref="G135">IF(SUMPRODUCT((Upload_Indiv_Player=$A133)*(Upload_Indiv_Date=G$2)*(Upload_Indiv_PointsTot))=0,"",SUMPRODUCT((Upload_Indiv_Player=$A133)*(Upload_Indiv_Date=G$2)*(Upload_Indiv_PointsTot)))</f>
        <v/>
      </c>
      <c r="H135" s="2" t="str" cm="1">
        <f t="array" ref="H135">IF(SUMPRODUCT((Upload_Indiv_Player=$A133)*(Upload_Indiv_Date=H$2)*(Upload_Indiv_PointsTot))=0,"",SUMPRODUCT((Upload_Indiv_Player=$A133)*(Upload_Indiv_Date=H$2)*(Upload_Indiv_PointsTot)))</f>
        <v/>
      </c>
      <c r="I135" s="2" t="str" cm="1">
        <f t="array" ref="I135">IF(SUMPRODUCT((Upload_Indiv_Player=$A133)*(Upload_Indiv_Date=I$2)*(Upload_Indiv_PointsTot))=0,"",SUMPRODUCT((Upload_Indiv_Player=$A133)*(Upload_Indiv_Date=I$2)*(Upload_Indiv_PointsTot)))</f>
        <v/>
      </c>
      <c r="J135" s="2" t="str" cm="1">
        <f t="array" ref="J135">IF(SUMPRODUCT((Upload_Indiv_Player=$A133)*(Upload_Indiv_Date=J$2)*(Upload_Indiv_PointsTot))=0,"",SUMPRODUCT((Upload_Indiv_Player=$A133)*(Upload_Indiv_Date=J$2)*(Upload_Indiv_PointsTot)))</f>
        <v/>
      </c>
      <c r="K135" s="2" t="str" cm="1">
        <f t="array" ref="K135">IF(SUMPRODUCT((Upload_Indiv_Player=$A133)*(Upload_Indiv_Date=K$2)*(Upload_Indiv_PointsTot))=0,"",SUMPRODUCT((Upload_Indiv_Player=$A133)*(Upload_Indiv_Date=K$2)*(Upload_Indiv_PointsTot)))</f>
        <v/>
      </c>
      <c r="L135" s="2" t="str" cm="1">
        <f t="array" ref="L135">IF(SUMPRODUCT((Upload_Indiv_Player=$A133)*(Upload_Indiv_Date=L$2)*(Upload_Indiv_PointsTot))=0,"",SUMPRODUCT((Upload_Indiv_Player=$A133)*(Upload_Indiv_Date=L$2)*(Upload_Indiv_PointsTot)))</f>
        <v/>
      </c>
      <c r="M135" s="2" t="str" cm="1">
        <f t="array" ref="M135">IF(SUMPRODUCT((Upload_Indiv_Player=$A133)*(Upload_Indiv_Date=M$2)*(Upload_Indiv_PointsTot))=0,"",SUMPRODUCT((Upload_Indiv_Player=$A133)*(Upload_Indiv_Date=M$2)*(Upload_Indiv_PointsTot)))</f>
        <v/>
      </c>
      <c r="N135" s="2" t="str" cm="1">
        <f t="array" ref="N135">IF(SUMPRODUCT((Upload_Indiv_Player=$A133)*(Upload_Indiv_Date=N$2)*(Upload_Indiv_PointsTot))=0,"",SUMPRODUCT((Upload_Indiv_Player=$A133)*(Upload_Indiv_Date=N$2)*(Upload_Indiv_PointsTot)))</f>
        <v/>
      </c>
      <c r="O135" s="2" t="str" cm="1">
        <f t="array" ref="O135">IF(SUMPRODUCT((Upload_Indiv_Player=$A133)*(Upload_Indiv_Date=O$2)*(Upload_Indiv_PointsTot))=0,"",SUMPRODUCT((Upload_Indiv_Player=$A133)*(Upload_Indiv_Date=O$2)*(Upload_Indiv_PointsTot)))</f>
        <v/>
      </c>
      <c r="P135" s="2" t="str" cm="1">
        <f t="array" ref="P135">IF(SUMPRODUCT((Upload_Indiv_Player=$A133)*(Upload_Indiv_Date=P$2)*(Upload_Indiv_PointsTot))=0,"",SUMPRODUCT((Upload_Indiv_Player=$A133)*(Upload_Indiv_Date=P$2)*(Upload_Indiv_PointsTot)))</f>
        <v/>
      </c>
      <c r="Q135" s="2" t="str" cm="1">
        <f t="array" ref="Q135">IF(SUMPRODUCT((Upload_Indiv_Player=$A133)*(Upload_Indiv_Date=Q$2)*(Upload_Indiv_PointsTot))=0,"",SUMPRODUCT((Upload_Indiv_Player=$A133)*(Upload_Indiv_Date=Q$2)*(Upload_Indiv_PointsTot)))</f>
        <v/>
      </c>
      <c r="R135" s="2" t="str" cm="1">
        <f t="array" ref="R135">IF(SUMPRODUCT((Upload_Indiv_Player=$A133)*(Upload_Indiv_Date=R$2)*(Upload_Indiv_PointsTot))=0,"",SUMPRODUCT((Upload_Indiv_Player=$A133)*(Upload_Indiv_Date=R$2)*(Upload_Indiv_PointsTot)))</f>
        <v/>
      </c>
      <c r="S135" s="2" t="str" cm="1">
        <f t="array" ref="S135">IF(SUMPRODUCT((Upload_Indiv_Player=$A133)*(Upload_Indiv_Date=S$2)*(Upload_Indiv_PointsTot))=0,"",SUMPRODUCT((Upload_Indiv_Player=$A133)*(Upload_Indiv_Date=S$2)*(Upload_Indiv_PointsTot)))</f>
        <v/>
      </c>
      <c r="T135" s="2" t="str" cm="1">
        <f t="array" ref="T135">IF(SUMPRODUCT((Upload_Indiv_Player=$A133)*(Upload_Indiv_Date=T$2)*(Upload_Indiv_PointsTot))=0,"",SUMPRODUCT((Upload_Indiv_Player=$A133)*(Upload_Indiv_Date=T$2)*(Upload_Indiv_PointsTot)))</f>
        <v/>
      </c>
      <c r="U135" s="2" t="str" cm="1">
        <f t="array" ref="U135">IF(SUMPRODUCT((Upload_Indiv_Player=$A133)*(Upload_Indiv_Date=U$2)*(Upload_Indiv_PointsTot))=0,"",SUMPRODUCT((Upload_Indiv_Player=$A133)*(Upload_Indiv_Date=U$2)*(Upload_Indiv_PointsTot)))</f>
        <v/>
      </c>
      <c r="V135" s="276"/>
      <c r="W135" s="276"/>
      <c r="X135" s="276"/>
      <c r="Y135" s="277"/>
      <c r="Z135" s="277"/>
      <c r="AA135" s="277"/>
    </row>
    <row r="136" spans="1:27" x14ac:dyDescent="0.25">
      <c r="A136" s="14" t="s">
        <v>160</v>
      </c>
      <c r="B136" s="8" t="s">
        <v>174</v>
      </c>
      <c r="C136" s="2" t="str" cm="1">
        <f t="array" ref="C136">IF(SUMPRODUCT((Upload_Indiv_Player=$A133)*(Upload_Indiv_Date=C$2)*(Upload_Indiv_Tot_Birds))=0,"",SUMPRODUCT((Upload_Indiv_Player=$A133)*(Upload_Indiv_Date=C$2)*(Upload_Indiv_Tot_Birds)))</f>
        <v/>
      </c>
      <c r="D136" s="2" t="str" cm="1">
        <f t="array" ref="D136">IF(SUMPRODUCT((Upload_Indiv_Player=$A133)*(Upload_Indiv_Date=D$2)*(Upload_Indiv_Tot_Birds))=0,"",SUMPRODUCT((Upload_Indiv_Player=$A133)*(Upload_Indiv_Date=D$2)*(Upload_Indiv_Tot_Birds)))</f>
        <v/>
      </c>
      <c r="E136" s="2" t="str" cm="1">
        <f t="array" ref="E136">IF(SUMPRODUCT((Upload_Indiv_Player=$A133)*(Upload_Indiv_Date=E$2)*(Upload_Indiv_Tot_Birds))=0,"",SUMPRODUCT((Upload_Indiv_Player=$A133)*(Upload_Indiv_Date=E$2)*(Upload_Indiv_Tot_Birds)))</f>
        <v/>
      </c>
      <c r="F136" s="2" t="str" cm="1">
        <f t="array" ref="F136">IF(SUMPRODUCT((Upload_Indiv_Player=$A133)*(Upload_Indiv_Date=F$2)*(Upload_Indiv_Tot_Birds))=0,"",SUMPRODUCT((Upload_Indiv_Player=$A133)*(Upload_Indiv_Date=F$2)*(Upload_Indiv_Tot_Birds)))</f>
        <v/>
      </c>
      <c r="G136" s="2" t="str" cm="1">
        <f t="array" ref="G136">IF(SUMPRODUCT((Upload_Indiv_Player=$A133)*(Upload_Indiv_Date=G$2)*(Upload_Indiv_Tot_Birds))=0,"",SUMPRODUCT((Upload_Indiv_Player=$A133)*(Upload_Indiv_Date=G$2)*(Upload_Indiv_Tot_Birds)))</f>
        <v/>
      </c>
      <c r="H136" s="2" t="str" cm="1">
        <f t="array" ref="H136">IF(SUMPRODUCT((Upload_Indiv_Player=$A133)*(Upload_Indiv_Date=H$2)*(Upload_Indiv_Tot_Birds))=0,"",SUMPRODUCT((Upload_Indiv_Player=$A133)*(Upload_Indiv_Date=H$2)*(Upload_Indiv_Tot_Birds)))</f>
        <v/>
      </c>
      <c r="I136" s="2" t="str" cm="1">
        <f t="array" ref="I136">IF(SUMPRODUCT((Upload_Indiv_Player=$A133)*(Upload_Indiv_Date=I$2)*(Upload_Indiv_Tot_Birds))=0,"",SUMPRODUCT((Upload_Indiv_Player=$A133)*(Upload_Indiv_Date=I$2)*(Upload_Indiv_Tot_Birds)))</f>
        <v/>
      </c>
      <c r="J136" s="2" t="str" cm="1">
        <f t="array" ref="J136">IF(SUMPRODUCT((Upload_Indiv_Player=$A133)*(Upload_Indiv_Date=J$2)*(Upload_Indiv_Tot_Birds))=0,"",SUMPRODUCT((Upload_Indiv_Player=$A133)*(Upload_Indiv_Date=J$2)*(Upload_Indiv_Tot_Birds)))</f>
        <v/>
      </c>
      <c r="K136" s="2" t="str" cm="1">
        <f t="array" ref="K136">IF(SUMPRODUCT((Upload_Indiv_Player=$A133)*(Upload_Indiv_Date=K$2)*(Upload_Indiv_Tot_Birds))=0,"",SUMPRODUCT((Upload_Indiv_Player=$A133)*(Upload_Indiv_Date=K$2)*(Upload_Indiv_Tot_Birds)))</f>
        <v/>
      </c>
      <c r="L136" s="2" t="str" cm="1">
        <f t="array" ref="L136">IF(SUMPRODUCT((Upload_Indiv_Player=$A133)*(Upload_Indiv_Date=L$2)*(Upload_Indiv_Tot_Birds))=0,"",SUMPRODUCT((Upload_Indiv_Player=$A133)*(Upload_Indiv_Date=L$2)*(Upload_Indiv_Tot_Birds)))</f>
        <v/>
      </c>
      <c r="M136" s="2" t="str" cm="1">
        <f t="array" ref="M136">IF(SUMPRODUCT((Upload_Indiv_Player=$A133)*(Upload_Indiv_Date=M$2)*(Upload_Indiv_Tot_Birds))=0,"",SUMPRODUCT((Upload_Indiv_Player=$A133)*(Upload_Indiv_Date=M$2)*(Upload_Indiv_Tot_Birds)))</f>
        <v/>
      </c>
      <c r="N136" s="2" t="str" cm="1">
        <f t="array" ref="N136">IF(SUMPRODUCT((Upload_Indiv_Player=$A133)*(Upload_Indiv_Date=N$2)*(Upload_Indiv_Tot_Birds))=0,"",SUMPRODUCT((Upload_Indiv_Player=$A133)*(Upload_Indiv_Date=N$2)*(Upload_Indiv_Tot_Birds)))</f>
        <v/>
      </c>
      <c r="O136" s="2" t="str" cm="1">
        <f t="array" ref="O136">IF(SUMPRODUCT((Upload_Indiv_Player=$A133)*(Upload_Indiv_Date=O$2)*(Upload_Indiv_Tot_Birds))=0,"",SUMPRODUCT((Upload_Indiv_Player=$A133)*(Upload_Indiv_Date=O$2)*(Upload_Indiv_Tot_Birds)))</f>
        <v/>
      </c>
      <c r="P136" s="2" t="str" cm="1">
        <f t="array" ref="P136">IF(SUMPRODUCT((Upload_Indiv_Player=$A133)*(Upload_Indiv_Date=P$2)*(Upload_Indiv_Tot_Birds))=0,"",SUMPRODUCT((Upload_Indiv_Player=$A133)*(Upload_Indiv_Date=P$2)*(Upload_Indiv_Tot_Birds)))</f>
        <v/>
      </c>
      <c r="Q136" s="2" t="str" cm="1">
        <f t="array" ref="Q136">IF(SUMPRODUCT((Upload_Indiv_Player=$A133)*(Upload_Indiv_Date=Q$2)*(Upload_Indiv_Tot_Birds))=0,"",SUMPRODUCT((Upload_Indiv_Player=$A133)*(Upload_Indiv_Date=Q$2)*(Upload_Indiv_Tot_Birds)))</f>
        <v/>
      </c>
      <c r="R136" s="2" t="str" cm="1">
        <f t="array" ref="R136">IF(SUMPRODUCT((Upload_Indiv_Player=$A133)*(Upload_Indiv_Date=R$2)*(Upload_Indiv_Tot_Birds))=0,"",SUMPRODUCT((Upload_Indiv_Player=$A133)*(Upload_Indiv_Date=R$2)*(Upload_Indiv_Tot_Birds)))</f>
        <v/>
      </c>
      <c r="S136" s="2" t="str" cm="1">
        <f t="array" ref="S136">IF(SUMPRODUCT((Upload_Indiv_Player=$A133)*(Upload_Indiv_Date=S$2)*(Upload_Indiv_Tot_Birds))=0,"",SUMPRODUCT((Upload_Indiv_Player=$A133)*(Upload_Indiv_Date=S$2)*(Upload_Indiv_Tot_Birds)))</f>
        <v/>
      </c>
      <c r="T136" s="2" t="str" cm="1">
        <f t="array" ref="T136">IF(SUMPRODUCT((Upload_Indiv_Player=$A133)*(Upload_Indiv_Date=T$2)*(Upload_Indiv_Tot_Birds))=0,"",SUMPRODUCT((Upload_Indiv_Player=$A133)*(Upload_Indiv_Date=T$2)*(Upload_Indiv_Tot_Birds)))</f>
        <v/>
      </c>
      <c r="U136" s="2" t="str" cm="1">
        <f t="array" ref="U136">IF(SUMPRODUCT((Upload_Indiv_Player=$A133)*(Upload_Indiv_Date=U$2)*(Upload_Indiv_Tot_Birds))=0,"",SUMPRODUCT((Upload_Indiv_Player=$A133)*(Upload_Indiv_Date=U$2)*(Upload_Indiv_Tot_Birds)))</f>
        <v/>
      </c>
      <c r="V136" s="276"/>
      <c r="W136" s="276"/>
      <c r="X136" s="276"/>
      <c r="Y136" s="277"/>
      <c r="Z136" s="277"/>
      <c r="AA136" s="277"/>
    </row>
    <row r="137" spans="1:27" x14ac:dyDescent="0.25">
      <c r="A137" s="14"/>
      <c r="B137" s="8" t="s">
        <v>175</v>
      </c>
      <c r="C137" s="2" t="str" cm="1">
        <f t="array" ref="C137">IF(SUMPRODUCT((Upload_Indiv_Player=$A133)*(Upload_Indiv_Date=C$2)*(Upload_Indiv_Tot_Eagles))=0,"",SUMPRODUCT((Upload_Indiv_Player=$A133)*(Upload_Indiv_Date=C$2)*(Upload_Indiv_Tot_Eagles)))</f>
        <v/>
      </c>
      <c r="D137" s="2" t="str" cm="1">
        <f t="array" ref="D137">IF(SUMPRODUCT((Upload_Indiv_Player=$A133)*(Upload_Indiv_Date=D$2)*(Upload_Indiv_Tot_Eagles))=0,"",SUMPRODUCT((Upload_Indiv_Player=$A133)*(Upload_Indiv_Date=D$2)*(Upload_Indiv_Tot_Eagles)))</f>
        <v/>
      </c>
      <c r="E137" s="2" t="str" cm="1">
        <f t="array" ref="E137">IF(SUMPRODUCT((Upload_Indiv_Player=$A133)*(Upload_Indiv_Date=E$2)*(Upload_Indiv_Tot_Eagles))=0,"",SUMPRODUCT((Upload_Indiv_Player=$A133)*(Upload_Indiv_Date=E$2)*(Upload_Indiv_Tot_Eagles)))</f>
        <v/>
      </c>
      <c r="F137" s="2" t="str" cm="1">
        <f t="array" ref="F137">IF(SUMPRODUCT((Upload_Indiv_Player=$A133)*(Upload_Indiv_Date=F$2)*(Upload_Indiv_Tot_Eagles))=0,"",SUMPRODUCT((Upload_Indiv_Player=$A133)*(Upload_Indiv_Date=F$2)*(Upload_Indiv_Tot_Eagles)))</f>
        <v/>
      </c>
      <c r="G137" s="2" t="str" cm="1">
        <f t="array" ref="G137">IF(SUMPRODUCT((Upload_Indiv_Player=$A133)*(Upload_Indiv_Date=G$2)*(Upload_Indiv_Tot_Eagles))=0,"",SUMPRODUCT((Upload_Indiv_Player=$A133)*(Upload_Indiv_Date=G$2)*(Upload_Indiv_Tot_Eagles)))</f>
        <v/>
      </c>
      <c r="H137" s="2" t="str" cm="1">
        <f t="array" ref="H137">IF(SUMPRODUCT((Upload_Indiv_Player=$A133)*(Upload_Indiv_Date=H$2)*(Upload_Indiv_Tot_Eagles))=0,"",SUMPRODUCT((Upload_Indiv_Player=$A133)*(Upload_Indiv_Date=H$2)*(Upload_Indiv_Tot_Eagles)))</f>
        <v/>
      </c>
      <c r="I137" s="2" t="str" cm="1">
        <f t="array" ref="I137">IF(SUMPRODUCT((Upload_Indiv_Player=$A133)*(Upload_Indiv_Date=I$2)*(Upload_Indiv_Tot_Eagles))=0,"",SUMPRODUCT((Upload_Indiv_Player=$A133)*(Upload_Indiv_Date=I$2)*(Upload_Indiv_Tot_Eagles)))</f>
        <v/>
      </c>
      <c r="J137" s="2" t="str" cm="1">
        <f t="array" ref="J137">IF(SUMPRODUCT((Upload_Indiv_Player=$A133)*(Upload_Indiv_Date=J$2)*(Upload_Indiv_Tot_Eagles))=0,"",SUMPRODUCT((Upload_Indiv_Player=$A133)*(Upload_Indiv_Date=J$2)*(Upload_Indiv_Tot_Eagles)))</f>
        <v/>
      </c>
      <c r="K137" s="2" t="str" cm="1">
        <f t="array" ref="K137">IF(SUMPRODUCT((Upload_Indiv_Player=$A133)*(Upload_Indiv_Date=K$2)*(Upload_Indiv_Tot_Eagles))=0,"",SUMPRODUCT((Upload_Indiv_Player=$A133)*(Upload_Indiv_Date=K$2)*(Upload_Indiv_Tot_Eagles)))</f>
        <v/>
      </c>
      <c r="L137" s="2" t="str" cm="1">
        <f t="array" ref="L137">IF(SUMPRODUCT((Upload_Indiv_Player=$A133)*(Upload_Indiv_Date=L$2)*(Upload_Indiv_Tot_Eagles))=0,"",SUMPRODUCT((Upload_Indiv_Player=$A133)*(Upload_Indiv_Date=L$2)*(Upload_Indiv_Tot_Eagles)))</f>
        <v/>
      </c>
      <c r="M137" s="2" t="str" cm="1">
        <f t="array" ref="M137">IF(SUMPRODUCT((Upload_Indiv_Player=$A133)*(Upload_Indiv_Date=M$2)*(Upload_Indiv_Tot_Eagles))=0,"",SUMPRODUCT((Upload_Indiv_Player=$A133)*(Upload_Indiv_Date=M$2)*(Upload_Indiv_Tot_Eagles)))</f>
        <v/>
      </c>
      <c r="N137" s="2" t="str" cm="1">
        <f t="array" ref="N137">IF(SUMPRODUCT((Upload_Indiv_Player=$A133)*(Upload_Indiv_Date=N$2)*(Upload_Indiv_Tot_Eagles))=0,"",SUMPRODUCT((Upload_Indiv_Player=$A133)*(Upload_Indiv_Date=N$2)*(Upload_Indiv_Tot_Eagles)))</f>
        <v/>
      </c>
      <c r="O137" s="2" t="str" cm="1">
        <f t="array" ref="O137">IF(SUMPRODUCT((Upload_Indiv_Player=$A133)*(Upload_Indiv_Date=O$2)*(Upload_Indiv_Tot_Eagles))=0,"",SUMPRODUCT((Upload_Indiv_Player=$A133)*(Upload_Indiv_Date=O$2)*(Upload_Indiv_Tot_Eagles)))</f>
        <v/>
      </c>
      <c r="P137" s="2" t="str" cm="1">
        <f t="array" ref="P137">IF(SUMPRODUCT((Upload_Indiv_Player=$A133)*(Upload_Indiv_Date=P$2)*(Upload_Indiv_Tot_Eagles))=0,"",SUMPRODUCT((Upload_Indiv_Player=$A133)*(Upload_Indiv_Date=P$2)*(Upload_Indiv_Tot_Eagles)))</f>
        <v/>
      </c>
      <c r="Q137" s="2" t="str" cm="1">
        <f t="array" ref="Q137">IF(SUMPRODUCT((Upload_Indiv_Player=$A133)*(Upload_Indiv_Date=Q$2)*(Upload_Indiv_Tot_Eagles))=0,"",SUMPRODUCT((Upload_Indiv_Player=$A133)*(Upload_Indiv_Date=Q$2)*(Upload_Indiv_Tot_Eagles)))</f>
        <v/>
      </c>
      <c r="R137" s="2" t="str" cm="1">
        <f t="array" ref="R137">IF(SUMPRODUCT((Upload_Indiv_Player=$A133)*(Upload_Indiv_Date=R$2)*(Upload_Indiv_Tot_Eagles))=0,"",SUMPRODUCT((Upload_Indiv_Player=$A133)*(Upload_Indiv_Date=R$2)*(Upload_Indiv_Tot_Eagles)))</f>
        <v/>
      </c>
      <c r="S137" s="2" t="str" cm="1">
        <f t="array" ref="S137">IF(SUMPRODUCT((Upload_Indiv_Player=$A133)*(Upload_Indiv_Date=S$2)*(Upload_Indiv_Tot_Eagles))=0,"",SUMPRODUCT((Upload_Indiv_Player=$A133)*(Upload_Indiv_Date=S$2)*(Upload_Indiv_Tot_Eagles)))</f>
        <v/>
      </c>
      <c r="T137" s="2" t="str" cm="1">
        <f t="array" ref="T137">IF(SUMPRODUCT((Upload_Indiv_Player=$A133)*(Upload_Indiv_Date=T$2)*(Upload_Indiv_Tot_Eagles))=0,"",SUMPRODUCT((Upload_Indiv_Player=$A133)*(Upload_Indiv_Date=T$2)*(Upload_Indiv_Tot_Eagles)))</f>
        <v/>
      </c>
      <c r="U137" s="2" t="str" cm="1">
        <f t="array" ref="U137">IF(SUMPRODUCT((Upload_Indiv_Player=$A133)*(Upload_Indiv_Date=U$2)*(Upload_Indiv_Tot_Eagles))=0,"",SUMPRODUCT((Upload_Indiv_Player=$A133)*(Upload_Indiv_Date=U$2)*(Upload_Indiv_Tot_Eagles)))</f>
        <v/>
      </c>
      <c r="V137" s="276"/>
      <c r="W137" s="276"/>
      <c r="X137" s="276"/>
      <c r="Y137" s="277"/>
      <c r="Z137" s="278"/>
      <c r="AA137" s="277"/>
    </row>
    <row r="138" spans="1:27" x14ac:dyDescent="0.25">
      <c r="A138" s="14"/>
      <c r="B138" s="2" t="s">
        <v>176</v>
      </c>
      <c r="C138" s="2" t="str" cm="1">
        <f t="array" ref="C138">IF(SUMPRODUCT((Upload_Indiv_Player=$A133)*(Upload_Indiv_Date=C$2)*(Upload_Indiv_Excl_Score))=0,"",SUMPRODUCT((Upload_Indiv_Player=$A133)*(Upload_Indiv_Date=C$2)*(Upload_Indiv_Excl_Score)))</f>
        <v/>
      </c>
      <c r="D138" s="2" t="str" cm="1">
        <f t="array" ref="D138">IF(SUMPRODUCT((Upload_Indiv_Player=$A133)*(Upload_Indiv_Date=D$2)*(Upload_Indiv_Excl_Score))=0,"",SUMPRODUCT((Upload_Indiv_Player=$A133)*(Upload_Indiv_Date=D$2)*(Upload_Indiv_Excl_Score)))</f>
        <v/>
      </c>
      <c r="E138" s="2" t="str" cm="1">
        <f t="array" ref="E138">IF(SUMPRODUCT((Upload_Indiv_Player=$A133)*(Upload_Indiv_Date=E$2)*(Upload_Indiv_Excl_Score))=0,"",SUMPRODUCT((Upload_Indiv_Player=$A133)*(Upload_Indiv_Date=E$2)*(Upload_Indiv_Excl_Score)))</f>
        <v/>
      </c>
      <c r="F138" s="2" t="str" cm="1">
        <f t="array" ref="F138">IF(SUMPRODUCT((Upload_Indiv_Player=$A133)*(Upload_Indiv_Date=F$2)*(Upload_Indiv_Excl_Score))=0,"",SUMPRODUCT((Upload_Indiv_Player=$A133)*(Upload_Indiv_Date=F$2)*(Upload_Indiv_Excl_Score)))</f>
        <v/>
      </c>
      <c r="G138" s="2" t="str" cm="1">
        <f t="array" ref="G138">IF(SUMPRODUCT((Upload_Indiv_Player=$A133)*(Upload_Indiv_Date=G$2)*(Upload_Indiv_Excl_Score))=0,"",SUMPRODUCT((Upload_Indiv_Player=$A133)*(Upload_Indiv_Date=G$2)*(Upload_Indiv_Excl_Score)))</f>
        <v/>
      </c>
      <c r="H138" s="2" t="str" cm="1">
        <f t="array" ref="H138">IF(SUMPRODUCT((Upload_Indiv_Player=$A133)*(Upload_Indiv_Date=H$2)*(Upload_Indiv_Excl_Score))=0,"",SUMPRODUCT((Upload_Indiv_Player=$A133)*(Upload_Indiv_Date=H$2)*(Upload_Indiv_Excl_Score)))</f>
        <v/>
      </c>
      <c r="I138" s="2" t="str" cm="1">
        <f t="array" ref="I138">IF(SUMPRODUCT((Upload_Indiv_Player=$A133)*(Upload_Indiv_Date=I$2)*(Upload_Indiv_Excl_Score))=0,"",SUMPRODUCT((Upload_Indiv_Player=$A133)*(Upload_Indiv_Date=I$2)*(Upload_Indiv_Excl_Score)))</f>
        <v/>
      </c>
      <c r="J138" s="2" t="str" cm="1">
        <f t="array" ref="J138">IF(SUMPRODUCT((Upload_Indiv_Player=$A133)*(Upload_Indiv_Date=J$2)*(Upload_Indiv_Excl_Score))=0,"",SUMPRODUCT((Upload_Indiv_Player=$A133)*(Upload_Indiv_Date=J$2)*(Upload_Indiv_Excl_Score)))</f>
        <v/>
      </c>
      <c r="K138" s="2" t="str" cm="1">
        <f t="array" ref="K138">IF(SUMPRODUCT((Upload_Indiv_Player=$A133)*(Upload_Indiv_Date=K$2)*(Upload_Indiv_Excl_Score))=0,"",SUMPRODUCT((Upload_Indiv_Player=$A133)*(Upload_Indiv_Date=K$2)*(Upload_Indiv_Excl_Score)))</f>
        <v/>
      </c>
      <c r="L138" s="2" t="str" cm="1">
        <f t="array" ref="L138">IF(SUMPRODUCT((Upload_Indiv_Player=$A133)*(Upload_Indiv_Date=L$2)*(Upload_Indiv_Excl_Score))=0,"",SUMPRODUCT((Upload_Indiv_Player=$A133)*(Upload_Indiv_Date=L$2)*(Upload_Indiv_Excl_Score)))</f>
        <v/>
      </c>
      <c r="M138" s="2" t="str" cm="1">
        <f t="array" ref="M138">IF(SUMPRODUCT((Upload_Indiv_Player=$A133)*(Upload_Indiv_Date=M$2)*(Upload_Indiv_Excl_Score))=0,"",SUMPRODUCT((Upload_Indiv_Player=$A133)*(Upload_Indiv_Date=M$2)*(Upload_Indiv_Excl_Score)))</f>
        <v/>
      </c>
      <c r="N138" s="2" t="str" cm="1">
        <f t="array" ref="N138">IF(SUMPRODUCT((Upload_Indiv_Player=$A133)*(Upload_Indiv_Date=N$2)*(Upload_Indiv_Excl_Score))=0,"",SUMPRODUCT((Upload_Indiv_Player=$A133)*(Upload_Indiv_Date=N$2)*(Upload_Indiv_Excl_Score)))</f>
        <v/>
      </c>
      <c r="O138" s="2" t="str" cm="1">
        <f t="array" ref="O138">IF(SUMPRODUCT((Upload_Indiv_Player=$A133)*(Upload_Indiv_Date=O$2)*(Upload_Indiv_Excl_Score))=0,"",SUMPRODUCT((Upload_Indiv_Player=$A133)*(Upload_Indiv_Date=O$2)*(Upload_Indiv_Excl_Score)))</f>
        <v/>
      </c>
      <c r="P138" s="2" t="str" cm="1">
        <f t="array" ref="P138">IF(SUMPRODUCT((Upload_Indiv_Player=$A133)*(Upload_Indiv_Date=P$2)*(Upload_Indiv_Excl_Score))=0,"",SUMPRODUCT((Upload_Indiv_Player=$A133)*(Upload_Indiv_Date=P$2)*(Upload_Indiv_Excl_Score)))</f>
        <v/>
      </c>
      <c r="Q138" s="2" t="str" cm="1">
        <f t="array" ref="Q138">IF(SUMPRODUCT((Upload_Indiv_Player=$A133)*(Upload_Indiv_Date=Q$2)*(Upload_Indiv_Excl_Score))=0,"",SUMPRODUCT((Upload_Indiv_Player=$A133)*(Upload_Indiv_Date=Q$2)*(Upload_Indiv_Excl_Score)))</f>
        <v/>
      </c>
      <c r="R138" s="2" t="str" cm="1">
        <f t="array" ref="R138">IF(SUMPRODUCT((Upload_Indiv_Player=$A133)*(Upload_Indiv_Date=R$2)*(Upload_Indiv_Excl_Score))=0,"",SUMPRODUCT((Upload_Indiv_Player=$A133)*(Upload_Indiv_Date=R$2)*(Upload_Indiv_Excl_Score)))</f>
        <v/>
      </c>
      <c r="S138" s="2" t="str" cm="1">
        <f t="array" ref="S138">IF(SUMPRODUCT((Upload_Indiv_Player=$A133)*(Upload_Indiv_Date=S$2)*(Upload_Indiv_Excl_Score))=0,"",SUMPRODUCT((Upload_Indiv_Player=$A133)*(Upload_Indiv_Date=S$2)*(Upload_Indiv_Excl_Score)))</f>
        <v/>
      </c>
      <c r="T138" s="2" t="str" cm="1">
        <f t="array" ref="T138">IF(SUMPRODUCT((Upload_Indiv_Player=$A133)*(Upload_Indiv_Date=T$2)*(Upload_Indiv_Excl_Score))=0,"",SUMPRODUCT((Upload_Indiv_Player=$A133)*(Upload_Indiv_Date=T$2)*(Upload_Indiv_Excl_Score)))</f>
        <v/>
      </c>
      <c r="U138" s="2" t="str" cm="1">
        <f t="array" ref="U138">IF(SUMPRODUCT((Upload_Indiv_Player=$A133)*(Upload_Indiv_Date=U$2)*(Upload_Indiv_Excl_Score))=0,"",SUMPRODUCT((Upload_Indiv_Player=$A133)*(Upload_Indiv_Date=U$2)*(Upload_Indiv_Excl_Score)))</f>
        <v/>
      </c>
      <c r="V138" s="276"/>
      <c r="W138" s="276"/>
      <c r="X138" s="276"/>
      <c r="Y138" s="277"/>
      <c r="Z138" s="277"/>
      <c r="AA138" s="277"/>
    </row>
    <row r="139" spans="1:27" x14ac:dyDescent="0.25">
      <c r="A139" s="14"/>
      <c r="B139" s="2" t="s">
        <v>177</v>
      </c>
      <c r="C139" s="2" t="str" cm="1">
        <f t="array" ref="C139">IFERROR(INDEX(Upload_Indiv_Team,MATCH(1,($A133=Upload_Indiv_Player)*(C$2=Upload_Indiv_Date),0)),"")</f>
        <v/>
      </c>
      <c r="D139" s="2" t="str" cm="1">
        <f t="array" ref="D139">IFERROR(INDEX(Upload_Indiv_Team,MATCH(1,($A133=Upload_Indiv_Player)*(D$2=Upload_Indiv_Date),0)),"")</f>
        <v/>
      </c>
      <c r="E139" s="2" t="str" cm="1">
        <f t="array" ref="E139">IFERROR(INDEX(Upload_Indiv_Team,MATCH(1,($A133=Upload_Indiv_Player)*(E$2=Upload_Indiv_Date),0)),"")</f>
        <v/>
      </c>
      <c r="F139" s="2" t="str" cm="1">
        <f t="array" ref="F139">IFERROR(INDEX(Upload_Indiv_Team,MATCH(1,($A133=Upload_Indiv_Player)*(F$2=Upload_Indiv_Date),0)),"")</f>
        <v/>
      </c>
      <c r="G139" s="2" t="str" cm="1">
        <f t="array" ref="G139">IFERROR(INDEX(Upload_Indiv_Team,MATCH(1,($A133=Upload_Indiv_Player)*(G$2=Upload_Indiv_Date),0)),"")</f>
        <v/>
      </c>
      <c r="H139" s="2" t="str" cm="1">
        <f t="array" ref="H139">IFERROR(INDEX(Upload_Indiv_Team,MATCH(1,($A133=Upload_Indiv_Player)*(H$2=Upload_Indiv_Date),0)),"")</f>
        <v/>
      </c>
      <c r="I139" s="2" t="str" cm="1">
        <f t="array" ref="I139">IFERROR(INDEX(Upload_Indiv_Team,MATCH(1,($A133=Upload_Indiv_Player)*(I$2=Upload_Indiv_Date),0)),"")</f>
        <v/>
      </c>
      <c r="J139" s="2" t="str" cm="1">
        <f t="array" ref="J139">IFERROR(INDEX(Upload_Indiv_Team,MATCH(1,($A133=Upload_Indiv_Player)*(J$2=Upload_Indiv_Date),0)),"")</f>
        <v/>
      </c>
      <c r="K139" s="2" t="str" cm="1">
        <f t="array" ref="K139">IFERROR(INDEX(Upload_Indiv_Team,MATCH(1,($A133=Upload_Indiv_Player)*(K$2=Upload_Indiv_Date),0)),"")</f>
        <v/>
      </c>
      <c r="L139" s="2" t="str" cm="1">
        <f t="array" ref="L139">IFERROR(INDEX(Upload_Indiv_Team,MATCH(1,($A133=Upload_Indiv_Player)*(L$2=Upload_Indiv_Date),0)),"")</f>
        <v/>
      </c>
      <c r="M139" s="2" t="str" cm="1">
        <f t="array" ref="M139">IFERROR(INDEX(Upload_Indiv_Team,MATCH(1,($A133=Upload_Indiv_Player)*(M$2=Upload_Indiv_Date),0)),"")</f>
        <v/>
      </c>
      <c r="N139" s="2" t="str" cm="1">
        <f t="array" ref="N139">IFERROR(INDEX(Upload_Indiv_Team,MATCH(1,($A133=Upload_Indiv_Player)*(N$2=Upload_Indiv_Date),0)),"")</f>
        <v/>
      </c>
      <c r="O139" s="2" t="str" cm="1">
        <f t="array" ref="O139">IFERROR(INDEX(Upload_Indiv_Team,MATCH(1,($A133=Upload_Indiv_Player)*(O$2=Upload_Indiv_Date),0)),"")</f>
        <v/>
      </c>
      <c r="P139" s="2" t="str" cm="1">
        <f t="array" ref="P139">IFERROR(INDEX(Upload_Indiv_Team,MATCH(1,($A133=Upload_Indiv_Player)*(P$2=Upload_Indiv_Date),0)),"")</f>
        <v/>
      </c>
      <c r="Q139" s="2" t="str" cm="1">
        <f t="array" ref="Q139">IFERROR(INDEX(Upload_Indiv_Team,MATCH(1,($A133=Upload_Indiv_Player)*(Q$2=Upload_Indiv_Date),0)),"")</f>
        <v/>
      </c>
      <c r="R139" s="2" t="str" cm="1">
        <f t="array" ref="R139">IFERROR(INDEX(Upload_Indiv_Team,MATCH(1,($A133=Upload_Indiv_Player)*(R$2=Upload_Indiv_Date),0)),"")</f>
        <v/>
      </c>
      <c r="S139" s="2" t="str" cm="1">
        <f t="array" ref="S139">IFERROR(INDEX(Upload_Indiv_Team,MATCH(1,($A133=Upload_Indiv_Player)*(S$2=Upload_Indiv_Date),0)),"")</f>
        <v/>
      </c>
      <c r="T139" s="2" t="str" cm="1">
        <f t="array" ref="T139">IFERROR(INDEX(Upload_Indiv_Team,MATCH(1,($A133=Upload_Indiv_Player)*(T$2=Upload_Indiv_Date),0)),"")</f>
        <v/>
      </c>
      <c r="U139" s="2" t="str" cm="1">
        <f t="array" ref="U139">IFERROR(INDEX(Upload_Indiv_Team,MATCH(1,($A133=Upload_Indiv_Player)*(U$2=Upload_Indiv_Date),0)),"")</f>
        <v/>
      </c>
      <c r="V139" s="276"/>
      <c r="W139" s="276"/>
      <c r="X139" s="276"/>
      <c r="Y139" s="277"/>
      <c r="Z139" s="277"/>
      <c r="AA139" s="277"/>
    </row>
    <row r="140" spans="1:27" ht="13.8" thickBot="1" x14ac:dyDescent="0.3">
      <c r="A140" s="329" t="s">
        <v>160</v>
      </c>
      <c r="B140" s="16" t="s">
        <v>178</v>
      </c>
      <c r="C140" s="58" t="str">
        <f t="shared" ref="C140:U140" si="17">IF(C133="", "", IF(C135&gt;=11, "w", IF(C135&lt;=9, "l", "t")))</f>
        <v/>
      </c>
      <c r="D140" s="58" t="str">
        <f t="shared" si="17"/>
        <v/>
      </c>
      <c r="E140" s="58" t="str">
        <f t="shared" si="17"/>
        <v/>
      </c>
      <c r="F140" s="58" t="str">
        <f t="shared" si="17"/>
        <v/>
      </c>
      <c r="G140" s="58" t="str">
        <f t="shared" si="17"/>
        <v/>
      </c>
      <c r="H140" s="58" t="str">
        <f t="shared" si="17"/>
        <v/>
      </c>
      <c r="I140" s="58" t="str">
        <f t="shared" si="17"/>
        <v/>
      </c>
      <c r="J140" s="58" t="str">
        <f t="shared" si="17"/>
        <v/>
      </c>
      <c r="K140" s="58" t="str">
        <f t="shared" si="17"/>
        <v/>
      </c>
      <c r="L140" s="58" t="str">
        <f t="shared" si="17"/>
        <v/>
      </c>
      <c r="M140" s="87" t="str">
        <f t="shared" si="17"/>
        <v/>
      </c>
      <c r="N140" s="58" t="str">
        <f t="shared" si="17"/>
        <v/>
      </c>
      <c r="O140" s="58" t="str">
        <f t="shared" si="17"/>
        <v/>
      </c>
      <c r="P140" s="58" t="str">
        <f t="shared" si="17"/>
        <v/>
      </c>
      <c r="Q140" s="58" t="str">
        <f t="shared" si="17"/>
        <v/>
      </c>
      <c r="R140" s="58" t="str">
        <f t="shared" si="17"/>
        <v/>
      </c>
      <c r="S140" s="58" t="str">
        <f t="shared" si="17"/>
        <v/>
      </c>
      <c r="T140" s="58" t="str">
        <f t="shared" si="17"/>
        <v/>
      </c>
      <c r="U140" s="58" t="str">
        <f t="shared" si="17"/>
        <v/>
      </c>
      <c r="V140" s="276"/>
      <c r="W140" s="276"/>
      <c r="X140" s="276"/>
      <c r="Y140" s="277"/>
      <c r="Z140" s="277"/>
      <c r="AA140" s="277"/>
    </row>
    <row r="141" spans="1:27" x14ac:dyDescent="0.25">
      <c r="A141" s="11" t="s">
        <v>262</v>
      </c>
      <c r="B141" s="3" t="s">
        <v>170</v>
      </c>
      <c r="C141" s="3" t="str" cm="1">
        <f t="array" ref="C141">IF(SUMPRODUCT((Upload_Indiv_Player=$A141)*(Upload_Indiv_Date=C$2)*(Upload_Indiv_Gross))=0,"",SUMPRODUCT((Upload_Indiv_Player=$A141)*(Upload_Indiv_Date=C$2)*(Upload_Indiv_Gross)))</f>
        <v/>
      </c>
      <c r="D141" s="3" t="str" cm="1">
        <f t="array" ref="D141">IF(SUMPRODUCT((Upload_Indiv_Player=$A141)*(Upload_Indiv_Date=D$2)*(Upload_Indiv_Gross))=0,"",SUMPRODUCT((Upload_Indiv_Player=$A141)*(Upload_Indiv_Date=D$2)*(Upload_Indiv_Gross)))</f>
        <v/>
      </c>
      <c r="E141" s="3" t="str" cm="1">
        <f t="array" ref="E141">IF(SUMPRODUCT((Upload_Indiv_Player=$A141)*(Upload_Indiv_Date=E$2)*(Upload_Indiv_Gross))=0,"",SUMPRODUCT((Upload_Indiv_Player=$A141)*(Upload_Indiv_Date=E$2)*(Upload_Indiv_Gross)))</f>
        <v/>
      </c>
      <c r="F141" s="3" t="str" cm="1">
        <f t="array" ref="F141">IF(SUMPRODUCT((Upload_Indiv_Player=$A141)*(Upload_Indiv_Date=F$2)*(Upload_Indiv_Gross))=0,"",SUMPRODUCT((Upload_Indiv_Player=$A141)*(Upload_Indiv_Date=F$2)*(Upload_Indiv_Gross)))</f>
        <v/>
      </c>
      <c r="G141" s="3" cm="1">
        <f t="array" ref="G141">IF(SUMPRODUCT((Upload_Indiv_Player=$A141)*(Upload_Indiv_Date=G$2)*(Upload_Indiv_Gross))=0,"",SUMPRODUCT((Upload_Indiv_Player=$A141)*(Upload_Indiv_Date=G$2)*(Upload_Indiv_Gross)))</f>
        <v>51</v>
      </c>
      <c r="H141" s="3" t="str" cm="1">
        <f t="array" ref="H141">IF(SUMPRODUCT((Upload_Indiv_Player=$A141)*(Upload_Indiv_Date=H$2)*(Upload_Indiv_Gross))=0,"",SUMPRODUCT((Upload_Indiv_Player=$A141)*(Upload_Indiv_Date=H$2)*(Upload_Indiv_Gross)))</f>
        <v/>
      </c>
      <c r="I141" s="3" t="str" cm="1">
        <f t="array" ref="I141">IF(SUMPRODUCT((Upload_Indiv_Player=$A141)*(Upload_Indiv_Date=I$2)*(Upload_Indiv_Gross))=0,"",SUMPRODUCT((Upload_Indiv_Player=$A141)*(Upload_Indiv_Date=I$2)*(Upload_Indiv_Gross)))</f>
        <v/>
      </c>
      <c r="J141" s="3" t="str" cm="1">
        <f t="array" ref="J141">IF(SUMPRODUCT((Upload_Indiv_Player=$A141)*(Upload_Indiv_Date=J$2)*(Upload_Indiv_Gross))=0,"",SUMPRODUCT((Upload_Indiv_Player=$A141)*(Upload_Indiv_Date=J$2)*(Upload_Indiv_Gross)))</f>
        <v/>
      </c>
      <c r="K141" s="3" t="str" cm="1">
        <f t="array" ref="K141">IF(SUMPRODUCT((Upload_Indiv_Player=$A141)*(Upload_Indiv_Date=K$2)*(Upload_Indiv_Gross))=0,"",SUMPRODUCT((Upload_Indiv_Player=$A141)*(Upload_Indiv_Date=K$2)*(Upload_Indiv_Gross)))</f>
        <v/>
      </c>
      <c r="L141" s="3" t="str" cm="1">
        <f t="array" ref="L141">IF(SUMPRODUCT((Upload_Indiv_Player=$A141)*(Upload_Indiv_Date=L$2)*(Upload_Indiv_Gross))=0,"",SUMPRODUCT((Upload_Indiv_Player=$A141)*(Upload_Indiv_Date=L$2)*(Upload_Indiv_Gross)))</f>
        <v/>
      </c>
      <c r="M141" s="3" t="str" cm="1">
        <f t="array" ref="M141">IF(SUMPRODUCT((Upload_Indiv_Player=$A141)*(Upload_Indiv_Date=M$2)*(Upload_Indiv_Gross))=0,"",SUMPRODUCT((Upload_Indiv_Player=$A141)*(Upload_Indiv_Date=M$2)*(Upload_Indiv_Gross)))</f>
        <v/>
      </c>
      <c r="N141" s="3" t="str" cm="1">
        <f t="array" ref="N141">IF(SUMPRODUCT((Upload_Indiv_Player=$A141)*(Upload_Indiv_Date=N$2)*(Upload_Indiv_Gross))=0,"",SUMPRODUCT((Upload_Indiv_Player=$A141)*(Upload_Indiv_Date=N$2)*(Upload_Indiv_Gross)))</f>
        <v/>
      </c>
      <c r="O141" s="3" t="str" cm="1">
        <f t="array" ref="O141">IF(SUMPRODUCT((Upload_Indiv_Player=$A141)*(Upload_Indiv_Date=O$2)*(Upload_Indiv_Gross))=0,"",SUMPRODUCT((Upload_Indiv_Player=$A141)*(Upload_Indiv_Date=O$2)*(Upload_Indiv_Gross)))</f>
        <v/>
      </c>
      <c r="P141" s="3" t="str" cm="1">
        <f t="array" ref="P141">IF(SUMPRODUCT((Upload_Indiv_Player=$A141)*(Upload_Indiv_Date=P$2)*(Upload_Indiv_Gross))=0,"",SUMPRODUCT((Upload_Indiv_Player=$A141)*(Upload_Indiv_Date=P$2)*(Upload_Indiv_Gross)))</f>
        <v/>
      </c>
      <c r="Q141" s="2" t="str" cm="1">
        <f t="array" ref="Q141">IF(SUMPRODUCT((Upload_Indiv_Player=$A141)*(Upload_Indiv_Date=Q$2)*(Upload_Indiv_Gross))=0,"",SUMPRODUCT((Upload_Indiv_Player=$A141)*(Upload_Indiv_Date=Q$2)*(Upload_Indiv_Gross)))</f>
        <v/>
      </c>
      <c r="R141" s="2" t="str" cm="1">
        <f t="array" ref="R141">IF(SUMPRODUCT((Upload_Indiv_Player=$A141)*(Upload_Indiv_Date=R$2)*(Upload_Indiv_Gross))=0,"",SUMPRODUCT((Upload_Indiv_Player=$A141)*(Upload_Indiv_Date=R$2)*(Upload_Indiv_Gross)))</f>
        <v/>
      </c>
      <c r="S141" s="2" t="str" cm="1">
        <f t="array" ref="S141">IF(SUMPRODUCT((Upload_Indiv_Player=$A141)*(Upload_Indiv_Date=S$2)*(Upload_Indiv_Gross))=0,"",SUMPRODUCT((Upload_Indiv_Player=$A141)*(Upload_Indiv_Date=S$2)*(Upload_Indiv_Gross)))</f>
        <v/>
      </c>
      <c r="T141" s="2" t="str" cm="1">
        <f t="array" ref="T141">IF(SUMPRODUCT((Upload_Indiv_Player=$A141)*(Upload_Indiv_Date=T$2)*(Upload_Indiv_Gross))=0,"",SUMPRODUCT((Upload_Indiv_Player=$A141)*(Upload_Indiv_Date=T$2)*(Upload_Indiv_Gross)))</f>
        <v/>
      </c>
      <c r="U141" s="2" t="str" cm="1">
        <f t="array" ref="U141">IF(SUMPRODUCT((Upload_Indiv_Player=$A141)*(Upload_Indiv_Date=U$2)*(Upload_Indiv_Gross))=0,"",SUMPRODUCT((Upload_Indiv_Player=$A141)*(Upload_Indiv_Date=U$2)*(Upload_Indiv_Gross)))</f>
        <v/>
      </c>
      <c r="V141" s="273">
        <v>11</v>
      </c>
      <c r="W141" s="273">
        <v>10</v>
      </c>
      <c r="X141" s="273">
        <v>10</v>
      </c>
      <c r="Y141" s="277">
        <v>14</v>
      </c>
      <c r="Z141" s="277">
        <v>15</v>
      </c>
      <c r="AA141" s="277">
        <v>11</v>
      </c>
    </row>
    <row r="142" spans="1:27" x14ac:dyDescent="0.25">
      <c r="A142" s="216">
        <v>3304178312</v>
      </c>
      <c r="B142" s="2" t="s">
        <v>171</v>
      </c>
      <c r="C142" s="2" t="str" cm="1">
        <f t="array" ref="C142">IF(SUMPRODUCT((Upload_Indiv_Player=$A141)*(Upload_Indiv_Date=C$2)*(Upload_Indiv_Net))=0,"",SUMPRODUCT((Upload_Indiv_Player=$A141)*(Upload_Indiv_Date=C$2)*(Upload_Indiv_Net)))</f>
        <v/>
      </c>
      <c r="D142" s="2" t="str" cm="1">
        <f t="array" ref="D142">IF(SUMPRODUCT((Upload_Indiv_Player=$A141)*(Upload_Indiv_Date=D$2)*(Upload_Indiv_Net))=0,"",SUMPRODUCT((Upload_Indiv_Player=$A141)*(Upload_Indiv_Date=D$2)*(Upload_Indiv_Net)))</f>
        <v/>
      </c>
      <c r="E142" s="2" t="str" cm="1">
        <f t="array" ref="E142">IF(SUMPRODUCT((Upload_Indiv_Player=$A141)*(Upload_Indiv_Date=E$2)*(Upload_Indiv_Net))=0,"",SUMPRODUCT((Upload_Indiv_Player=$A141)*(Upload_Indiv_Date=E$2)*(Upload_Indiv_Net)))</f>
        <v/>
      </c>
      <c r="F142" s="2" t="str" cm="1">
        <f t="array" ref="F142">IF(SUMPRODUCT((Upload_Indiv_Player=$A141)*(Upload_Indiv_Date=F$2)*(Upload_Indiv_Net))=0,"",SUMPRODUCT((Upload_Indiv_Player=$A141)*(Upload_Indiv_Date=F$2)*(Upload_Indiv_Net)))</f>
        <v/>
      </c>
      <c r="G142" s="2" cm="1">
        <f t="array" ref="G142">IF(SUMPRODUCT((Upload_Indiv_Player=$A141)*(Upload_Indiv_Date=G$2)*(Upload_Indiv_Net))=0,"",SUMPRODUCT((Upload_Indiv_Player=$A141)*(Upload_Indiv_Date=G$2)*(Upload_Indiv_Net)))</f>
        <v>41</v>
      </c>
      <c r="H142" s="2" t="str" cm="1">
        <f t="array" ref="H142">IF(SUMPRODUCT((Upload_Indiv_Player=$A141)*(Upload_Indiv_Date=H$2)*(Upload_Indiv_Net))=0,"",SUMPRODUCT((Upload_Indiv_Player=$A141)*(Upload_Indiv_Date=H$2)*(Upload_Indiv_Net)))</f>
        <v/>
      </c>
      <c r="I142" s="2" t="str" cm="1">
        <f t="array" ref="I142">IF(SUMPRODUCT((Upload_Indiv_Player=$A141)*(Upload_Indiv_Date=I$2)*(Upload_Indiv_Net))=0,"",SUMPRODUCT((Upload_Indiv_Player=$A141)*(Upload_Indiv_Date=I$2)*(Upload_Indiv_Net)))</f>
        <v/>
      </c>
      <c r="J142" s="2" t="str" cm="1">
        <f t="array" ref="J142">IF(SUMPRODUCT((Upload_Indiv_Player=$A141)*(Upload_Indiv_Date=J$2)*(Upload_Indiv_Net))=0,"",SUMPRODUCT((Upload_Indiv_Player=$A141)*(Upload_Indiv_Date=J$2)*(Upload_Indiv_Net)))</f>
        <v/>
      </c>
      <c r="K142" s="2" t="str" cm="1">
        <f t="array" ref="K142">IF(SUMPRODUCT((Upload_Indiv_Player=$A141)*(Upload_Indiv_Date=K$2)*(Upload_Indiv_Net))=0,"",SUMPRODUCT((Upload_Indiv_Player=$A141)*(Upload_Indiv_Date=K$2)*(Upload_Indiv_Net)))</f>
        <v/>
      </c>
      <c r="L142" s="2" t="str" cm="1">
        <f t="array" ref="L142">IF(SUMPRODUCT((Upload_Indiv_Player=$A141)*(Upload_Indiv_Date=L$2)*(Upload_Indiv_Net))=0,"",SUMPRODUCT((Upload_Indiv_Player=$A141)*(Upload_Indiv_Date=L$2)*(Upload_Indiv_Net)))</f>
        <v/>
      </c>
      <c r="M142" s="2" t="str" cm="1">
        <f t="array" ref="M142">IF(SUMPRODUCT((Upload_Indiv_Player=$A141)*(Upload_Indiv_Date=M$2)*(Upload_Indiv_Net))=0,"",SUMPRODUCT((Upload_Indiv_Player=$A141)*(Upload_Indiv_Date=M$2)*(Upload_Indiv_Net)))</f>
        <v/>
      </c>
      <c r="N142" s="2" t="str" cm="1">
        <f t="array" ref="N142">IF(SUMPRODUCT((Upload_Indiv_Player=$A141)*(Upload_Indiv_Date=N$2)*(Upload_Indiv_Net))=0,"",SUMPRODUCT((Upload_Indiv_Player=$A141)*(Upload_Indiv_Date=N$2)*(Upload_Indiv_Net)))</f>
        <v/>
      </c>
      <c r="O142" s="2" t="str" cm="1">
        <f t="array" ref="O142">IF(SUMPRODUCT((Upload_Indiv_Player=$A141)*(Upload_Indiv_Date=O$2)*(Upload_Indiv_Net))=0,"",SUMPRODUCT((Upload_Indiv_Player=$A141)*(Upload_Indiv_Date=O$2)*(Upload_Indiv_Net)))</f>
        <v/>
      </c>
      <c r="P142" s="2" t="str" cm="1">
        <f t="array" ref="P142">IF(SUMPRODUCT((Upload_Indiv_Player=$A141)*(Upload_Indiv_Date=P$2)*(Upload_Indiv_Net))=0,"",SUMPRODUCT((Upload_Indiv_Player=$A141)*(Upload_Indiv_Date=P$2)*(Upload_Indiv_Net)))</f>
        <v/>
      </c>
      <c r="Q142" s="2" t="str" cm="1">
        <f t="array" ref="Q142">IF(SUMPRODUCT((Upload_Indiv_Player=$A141)*(Upload_Indiv_Date=Q$2)*(Upload_Indiv_Net))=0,"",SUMPRODUCT((Upload_Indiv_Player=$A141)*(Upload_Indiv_Date=Q$2)*(Upload_Indiv_Net)))</f>
        <v/>
      </c>
      <c r="R142" s="2" t="str" cm="1">
        <f t="array" ref="R142">IF(SUMPRODUCT((Upload_Indiv_Player=$A141)*(Upload_Indiv_Date=R$2)*(Upload_Indiv_Net))=0,"",SUMPRODUCT((Upload_Indiv_Player=$A141)*(Upload_Indiv_Date=R$2)*(Upload_Indiv_Net)))</f>
        <v/>
      </c>
      <c r="S142" s="2" t="str" cm="1">
        <f t="array" ref="S142">IF(SUMPRODUCT((Upload_Indiv_Player=$A141)*(Upload_Indiv_Date=S$2)*(Upload_Indiv_Net))=0,"",SUMPRODUCT((Upload_Indiv_Player=$A141)*(Upload_Indiv_Date=S$2)*(Upload_Indiv_Net)))</f>
        <v/>
      </c>
      <c r="T142" s="2" t="str" cm="1">
        <f t="array" ref="T142">IF(SUMPRODUCT((Upload_Indiv_Player=$A141)*(Upload_Indiv_Date=T$2)*(Upload_Indiv_Net))=0,"",SUMPRODUCT((Upload_Indiv_Player=$A141)*(Upload_Indiv_Date=T$2)*(Upload_Indiv_Net)))</f>
        <v/>
      </c>
      <c r="U142" s="2" t="str" cm="1">
        <f t="array" ref="U142">IF(SUMPRODUCT((Upload_Indiv_Player=$A141)*(Upload_Indiv_Date=U$2)*(Upload_Indiv_Net))=0,"",SUMPRODUCT((Upload_Indiv_Player=$A141)*(Upload_Indiv_Date=U$2)*(Upload_Indiv_Net)))</f>
        <v/>
      </c>
      <c r="V142" s="279">
        <v>50</v>
      </c>
      <c r="W142" s="276"/>
      <c r="X142" s="276"/>
      <c r="Y142" s="277"/>
      <c r="Z142" s="277"/>
      <c r="AA142" s="277"/>
    </row>
    <row r="143" spans="1:27" x14ac:dyDescent="0.25">
      <c r="A143" s="65" t="s">
        <v>263</v>
      </c>
      <c r="B143" s="2" t="s">
        <v>173</v>
      </c>
      <c r="C143" s="2" t="str" cm="1">
        <f t="array" ref="C143">IF(SUMPRODUCT((Upload_Indiv_Player=$A141)*(Upload_Indiv_Date=C$2)*(Upload_Indiv_PointsTot))=0,"",SUMPRODUCT((Upload_Indiv_Player=$A141)*(Upload_Indiv_Date=C$2)*(Upload_Indiv_PointsTot)))</f>
        <v/>
      </c>
      <c r="D143" s="2" t="str" cm="1">
        <f t="array" ref="D143">IF(SUMPRODUCT((Upload_Indiv_Player=$A141)*(Upload_Indiv_Date=D$2)*(Upload_Indiv_PointsTot))=0,"",SUMPRODUCT((Upload_Indiv_Player=$A141)*(Upload_Indiv_Date=D$2)*(Upload_Indiv_PointsTot)))</f>
        <v/>
      </c>
      <c r="E143" s="2" t="str" cm="1">
        <f t="array" ref="E143">IF(SUMPRODUCT((Upload_Indiv_Player=$A141)*(Upload_Indiv_Date=E$2)*(Upload_Indiv_PointsTot))=0,"",SUMPRODUCT((Upload_Indiv_Player=$A141)*(Upload_Indiv_Date=E$2)*(Upload_Indiv_PointsTot)))</f>
        <v/>
      </c>
      <c r="F143" s="2" t="str" cm="1">
        <f t="array" ref="F143">IF(SUMPRODUCT((Upload_Indiv_Player=$A141)*(Upload_Indiv_Date=F$2)*(Upload_Indiv_PointsTot))=0,"",SUMPRODUCT((Upload_Indiv_Player=$A141)*(Upload_Indiv_Date=F$2)*(Upload_Indiv_PointsTot)))</f>
        <v/>
      </c>
      <c r="G143" s="2" cm="1">
        <f t="array" ref="G143">IF(SUMPRODUCT((Upload_Indiv_Player=$A141)*(Upload_Indiv_Date=G$2)*(Upload_Indiv_PointsTot))=0,"",SUMPRODUCT((Upload_Indiv_Player=$A141)*(Upload_Indiv_Date=G$2)*(Upload_Indiv_PointsTot)))</f>
        <v>9</v>
      </c>
      <c r="H143" s="2" t="str" cm="1">
        <f t="array" ref="H143">IF(SUMPRODUCT((Upload_Indiv_Player=$A141)*(Upload_Indiv_Date=H$2)*(Upload_Indiv_PointsTot))=0,"",SUMPRODUCT((Upload_Indiv_Player=$A141)*(Upload_Indiv_Date=H$2)*(Upload_Indiv_PointsTot)))</f>
        <v/>
      </c>
      <c r="I143" s="2" t="str" cm="1">
        <f t="array" ref="I143">IF(SUMPRODUCT((Upload_Indiv_Player=$A141)*(Upload_Indiv_Date=I$2)*(Upload_Indiv_PointsTot))=0,"",SUMPRODUCT((Upload_Indiv_Player=$A141)*(Upload_Indiv_Date=I$2)*(Upload_Indiv_PointsTot)))</f>
        <v/>
      </c>
      <c r="J143" s="2" t="str" cm="1">
        <f t="array" ref="J143">IF(SUMPRODUCT((Upload_Indiv_Player=$A141)*(Upload_Indiv_Date=J$2)*(Upload_Indiv_PointsTot))=0,"",SUMPRODUCT((Upload_Indiv_Player=$A141)*(Upload_Indiv_Date=J$2)*(Upload_Indiv_PointsTot)))</f>
        <v/>
      </c>
      <c r="K143" s="2" t="str" cm="1">
        <f t="array" ref="K143">IF(SUMPRODUCT((Upload_Indiv_Player=$A141)*(Upload_Indiv_Date=K$2)*(Upload_Indiv_PointsTot))=0,"",SUMPRODUCT((Upload_Indiv_Player=$A141)*(Upload_Indiv_Date=K$2)*(Upload_Indiv_PointsTot)))</f>
        <v/>
      </c>
      <c r="L143" s="2" t="str" cm="1">
        <f t="array" ref="L143">IF(SUMPRODUCT((Upload_Indiv_Player=$A141)*(Upload_Indiv_Date=L$2)*(Upload_Indiv_PointsTot))=0,"",SUMPRODUCT((Upload_Indiv_Player=$A141)*(Upload_Indiv_Date=L$2)*(Upload_Indiv_PointsTot)))</f>
        <v/>
      </c>
      <c r="M143" s="2" t="str" cm="1">
        <f t="array" ref="M143">IF(SUMPRODUCT((Upload_Indiv_Player=$A141)*(Upload_Indiv_Date=M$2)*(Upload_Indiv_PointsTot))=0,"",SUMPRODUCT((Upload_Indiv_Player=$A141)*(Upload_Indiv_Date=M$2)*(Upload_Indiv_PointsTot)))</f>
        <v/>
      </c>
      <c r="N143" s="2" t="str" cm="1">
        <f t="array" ref="N143">IF(SUMPRODUCT((Upload_Indiv_Player=$A141)*(Upload_Indiv_Date=N$2)*(Upload_Indiv_PointsTot))=0,"",SUMPRODUCT((Upload_Indiv_Player=$A141)*(Upload_Indiv_Date=N$2)*(Upload_Indiv_PointsTot)))</f>
        <v/>
      </c>
      <c r="O143" s="2" t="str" cm="1">
        <f t="array" ref="O143">IF(SUMPRODUCT((Upload_Indiv_Player=$A141)*(Upload_Indiv_Date=O$2)*(Upload_Indiv_PointsTot))=0,"",SUMPRODUCT((Upload_Indiv_Player=$A141)*(Upload_Indiv_Date=O$2)*(Upload_Indiv_PointsTot)))</f>
        <v/>
      </c>
      <c r="P143" s="2" t="str" cm="1">
        <f t="array" ref="P143">IF(SUMPRODUCT((Upload_Indiv_Player=$A141)*(Upload_Indiv_Date=P$2)*(Upload_Indiv_PointsTot))=0,"",SUMPRODUCT((Upload_Indiv_Player=$A141)*(Upload_Indiv_Date=P$2)*(Upload_Indiv_PointsTot)))</f>
        <v/>
      </c>
      <c r="Q143" s="2" t="str" cm="1">
        <f t="array" ref="Q143">IF(SUMPRODUCT((Upload_Indiv_Player=$A141)*(Upload_Indiv_Date=Q$2)*(Upload_Indiv_PointsTot))=0,"",SUMPRODUCT((Upload_Indiv_Player=$A141)*(Upload_Indiv_Date=Q$2)*(Upload_Indiv_PointsTot)))</f>
        <v/>
      </c>
      <c r="R143" s="2" t="str" cm="1">
        <f t="array" ref="R143">IF(SUMPRODUCT((Upload_Indiv_Player=$A141)*(Upload_Indiv_Date=R$2)*(Upload_Indiv_PointsTot))=0,"",SUMPRODUCT((Upload_Indiv_Player=$A141)*(Upload_Indiv_Date=R$2)*(Upload_Indiv_PointsTot)))</f>
        <v/>
      </c>
      <c r="S143" s="2" t="str" cm="1">
        <f t="array" ref="S143">IF(SUMPRODUCT((Upload_Indiv_Player=$A141)*(Upload_Indiv_Date=S$2)*(Upload_Indiv_PointsTot))=0,"",SUMPRODUCT((Upload_Indiv_Player=$A141)*(Upload_Indiv_Date=S$2)*(Upload_Indiv_PointsTot)))</f>
        <v/>
      </c>
      <c r="T143" s="2" t="str" cm="1">
        <f t="array" ref="T143">IF(SUMPRODUCT((Upload_Indiv_Player=$A141)*(Upload_Indiv_Date=T$2)*(Upload_Indiv_PointsTot))=0,"",SUMPRODUCT((Upload_Indiv_Player=$A141)*(Upload_Indiv_Date=T$2)*(Upload_Indiv_PointsTot)))</f>
        <v/>
      </c>
      <c r="U143" s="2" t="str" cm="1">
        <f t="array" ref="U143">IF(SUMPRODUCT((Upload_Indiv_Player=$A141)*(Upload_Indiv_Date=U$2)*(Upload_Indiv_PointsTot))=0,"",SUMPRODUCT((Upload_Indiv_Player=$A141)*(Upload_Indiv_Date=U$2)*(Upload_Indiv_PointsTot)))</f>
        <v/>
      </c>
      <c r="V143" s="276"/>
      <c r="W143" s="276"/>
      <c r="X143" s="276"/>
      <c r="Y143" s="277"/>
      <c r="Z143" s="277"/>
      <c r="AA143" s="277"/>
    </row>
    <row r="144" spans="1:27" x14ac:dyDescent="0.25">
      <c r="A144" s="14" t="s">
        <v>160</v>
      </c>
      <c r="B144" s="8" t="s">
        <v>174</v>
      </c>
      <c r="C144" s="2" t="str" cm="1">
        <f t="array" ref="C144">IF(SUMPRODUCT((Upload_Indiv_Player=$A141)*(Upload_Indiv_Date=C$2)*(Upload_Indiv_Tot_Birds))=0,"",SUMPRODUCT((Upload_Indiv_Player=$A141)*(Upload_Indiv_Date=C$2)*(Upload_Indiv_Tot_Birds)))</f>
        <v/>
      </c>
      <c r="D144" s="2" t="str" cm="1">
        <f t="array" ref="D144">IF(SUMPRODUCT((Upload_Indiv_Player=$A141)*(Upload_Indiv_Date=D$2)*(Upload_Indiv_Tot_Birds))=0,"",SUMPRODUCT((Upload_Indiv_Player=$A141)*(Upload_Indiv_Date=D$2)*(Upload_Indiv_Tot_Birds)))</f>
        <v/>
      </c>
      <c r="E144" s="2" t="str" cm="1">
        <f t="array" ref="E144">IF(SUMPRODUCT((Upload_Indiv_Player=$A141)*(Upload_Indiv_Date=E$2)*(Upload_Indiv_Tot_Birds))=0,"",SUMPRODUCT((Upload_Indiv_Player=$A141)*(Upload_Indiv_Date=E$2)*(Upload_Indiv_Tot_Birds)))</f>
        <v/>
      </c>
      <c r="F144" s="2" t="str" cm="1">
        <f t="array" ref="F144">IF(SUMPRODUCT((Upload_Indiv_Player=$A141)*(Upload_Indiv_Date=F$2)*(Upload_Indiv_Tot_Birds))=0,"",SUMPRODUCT((Upload_Indiv_Player=$A141)*(Upload_Indiv_Date=F$2)*(Upload_Indiv_Tot_Birds)))</f>
        <v/>
      </c>
      <c r="G144" s="2" t="str" cm="1">
        <f t="array" ref="G144">IF(SUMPRODUCT((Upload_Indiv_Player=$A141)*(Upload_Indiv_Date=G$2)*(Upload_Indiv_Tot_Birds))=0,"",SUMPRODUCT((Upload_Indiv_Player=$A141)*(Upload_Indiv_Date=G$2)*(Upload_Indiv_Tot_Birds)))</f>
        <v/>
      </c>
      <c r="H144" s="2" t="str" cm="1">
        <f t="array" ref="H144">IF(SUMPRODUCT((Upload_Indiv_Player=$A141)*(Upload_Indiv_Date=H$2)*(Upload_Indiv_Tot_Birds))=0,"",SUMPRODUCT((Upload_Indiv_Player=$A141)*(Upload_Indiv_Date=H$2)*(Upload_Indiv_Tot_Birds)))</f>
        <v/>
      </c>
      <c r="I144" s="2" t="str" cm="1">
        <f t="array" ref="I144">IF(SUMPRODUCT((Upload_Indiv_Player=$A141)*(Upload_Indiv_Date=I$2)*(Upload_Indiv_Tot_Birds))=0,"",SUMPRODUCT((Upload_Indiv_Player=$A141)*(Upload_Indiv_Date=I$2)*(Upload_Indiv_Tot_Birds)))</f>
        <v/>
      </c>
      <c r="J144" s="2" t="str" cm="1">
        <f t="array" ref="J144">IF(SUMPRODUCT((Upload_Indiv_Player=$A141)*(Upload_Indiv_Date=J$2)*(Upload_Indiv_Tot_Birds))=0,"",SUMPRODUCT((Upload_Indiv_Player=$A141)*(Upload_Indiv_Date=J$2)*(Upload_Indiv_Tot_Birds)))</f>
        <v/>
      </c>
      <c r="K144" s="2" t="str" cm="1">
        <f t="array" ref="K144">IF(SUMPRODUCT((Upload_Indiv_Player=$A141)*(Upload_Indiv_Date=K$2)*(Upload_Indiv_Tot_Birds))=0,"",SUMPRODUCT((Upload_Indiv_Player=$A141)*(Upload_Indiv_Date=K$2)*(Upload_Indiv_Tot_Birds)))</f>
        <v/>
      </c>
      <c r="L144" s="2" t="str" cm="1">
        <f t="array" ref="L144">IF(SUMPRODUCT((Upload_Indiv_Player=$A141)*(Upload_Indiv_Date=L$2)*(Upload_Indiv_Tot_Birds))=0,"",SUMPRODUCT((Upload_Indiv_Player=$A141)*(Upload_Indiv_Date=L$2)*(Upload_Indiv_Tot_Birds)))</f>
        <v/>
      </c>
      <c r="M144" s="2" t="str" cm="1">
        <f t="array" ref="M144">IF(SUMPRODUCT((Upload_Indiv_Player=$A141)*(Upload_Indiv_Date=M$2)*(Upload_Indiv_Tot_Birds))=0,"",SUMPRODUCT((Upload_Indiv_Player=$A141)*(Upload_Indiv_Date=M$2)*(Upload_Indiv_Tot_Birds)))</f>
        <v/>
      </c>
      <c r="N144" s="2" t="str" cm="1">
        <f t="array" ref="N144">IF(SUMPRODUCT((Upload_Indiv_Player=$A141)*(Upload_Indiv_Date=N$2)*(Upload_Indiv_Tot_Birds))=0,"",SUMPRODUCT((Upload_Indiv_Player=$A141)*(Upload_Indiv_Date=N$2)*(Upload_Indiv_Tot_Birds)))</f>
        <v/>
      </c>
      <c r="O144" s="2" t="str" cm="1">
        <f t="array" ref="O144">IF(SUMPRODUCT((Upload_Indiv_Player=$A141)*(Upload_Indiv_Date=O$2)*(Upload_Indiv_Tot_Birds))=0,"",SUMPRODUCT((Upload_Indiv_Player=$A141)*(Upload_Indiv_Date=O$2)*(Upload_Indiv_Tot_Birds)))</f>
        <v/>
      </c>
      <c r="P144" s="2" t="str" cm="1">
        <f t="array" ref="P144">IF(SUMPRODUCT((Upload_Indiv_Player=$A141)*(Upload_Indiv_Date=P$2)*(Upload_Indiv_Tot_Birds))=0,"",SUMPRODUCT((Upload_Indiv_Player=$A141)*(Upload_Indiv_Date=P$2)*(Upload_Indiv_Tot_Birds)))</f>
        <v/>
      </c>
      <c r="Q144" s="2" t="str" cm="1">
        <f t="array" ref="Q144">IF(SUMPRODUCT((Upload_Indiv_Player=$A141)*(Upload_Indiv_Date=Q$2)*(Upload_Indiv_Tot_Birds))=0,"",SUMPRODUCT((Upload_Indiv_Player=$A141)*(Upload_Indiv_Date=Q$2)*(Upload_Indiv_Tot_Birds)))</f>
        <v/>
      </c>
      <c r="R144" s="2" t="str" cm="1">
        <f t="array" ref="R144">IF(SUMPRODUCT((Upload_Indiv_Player=$A141)*(Upload_Indiv_Date=R$2)*(Upload_Indiv_Tot_Birds))=0,"",SUMPRODUCT((Upload_Indiv_Player=$A141)*(Upload_Indiv_Date=R$2)*(Upload_Indiv_Tot_Birds)))</f>
        <v/>
      </c>
      <c r="S144" s="2" t="str" cm="1">
        <f t="array" ref="S144">IF(SUMPRODUCT((Upload_Indiv_Player=$A141)*(Upload_Indiv_Date=S$2)*(Upload_Indiv_Tot_Birds))=0,"",SUMPRODUCT((Upload_Indiv_Player=$A141)*(Upload_Indiv_Date=S$2)*(Upload_Indiv_Tot_Birds)))</f>
        <v/>
      </c>
      <c r="T144" s="2" t="str" cm="1">
        <f t="array" ref="T144">IF(SUMPRODUCT((Upload_Indiv_Player=$A141)*(Upload_Indiv_Date=T$2)*(Upload_Indiv_Tot_Birds))=0,"",SUMPRODUCT((Upload_Indiv_Player=$A141)*(Upload_Indiv_Date=T$2)*(Upload_Indiv_Tot_Birds)))</f>
        <v/>
      </c>
      <c r="U144" s="2" t="str" cm="1">
        <f t="array" ref="U144">IF(SUMPRODUCT((Upload_Indiv_Player=$A141)*(Upload_Indiv_Date=U$2)*(Upload_Indiv_Tot_Birds))=0,"",SUMPRODUCT((Upload_Indiv_Player=$A141)*(Upload_Indiv_Date=U$2)*(Upload_Indiv_Tot_Birds)))</f>
        <v/>
      </c>
      <c r="V144" s="276"/>
      <c r="W144" s="276"/>
      <c r="X144" s="276"/>
      <c r="Y144" s="277"/>
      <c r="Z144" s="277"/>
      <c r="AA144" s="277"/>
    </row>
    <row r="145" spans="1:27" x14ac:dyDescent="0.25">
      <c r="A145" s="14"/>
      <c r="B145" s="8" t="s">
        <v>175</v>
      </c>
      <c r="C145" s="2" t="str" cm="1">
        <f t="array" ref="C145">IF(SUMPRODUCT((Upload_Indiv_Player=$A141)*(Upload_Indiv_Date=C$2)*(Upload_Indiv_Tot_Eagles))=0,"",SUMPRODUCT((Upload_Indiv_Player=$A141)*(Upload_Indiv_Date=C$2)*(Upload_Indiv_Tot_Eagles)))</f>
        <v/>
      </c>
      <c r="D145" s="2" t="str" cm="1">
        <f t="array" ref="D145">IF(SUMPRODUCT((Upload_Indiv_Player=$A141)*(Upload_Indiv_Date=D$2)*(Upload_Indiv_Tot_Eagles))=0,"",SUMPRODUCT((Upload_Indiv_Player=$A141)*(Upload_Indiv_Date=D$2)*(Upload_Indiv_Tot_Eagles)))</f>
        <v/>
      </c>
      <c r="E145" s="2" t="str" cm="1">
        <f t="array" ref="E145">IF(SUMPRODUCT((Upload_Indiv_Player=$A141)*(Upload_Indiv_Date=E$2)*(Upload_Indiv_Tot_Eagles))=0,"",SUMPRODUCT((Upload_Indiv_Player=$A141)*(Upload_Indiv_Date=E$2)*(Upload_Indiv_Tot_Eagles)))</f>
        <v/>
      </c>
      <c r="F145" s="2" t="str" cm="1">
        <f t="array" ref="F145">IF(SUMPRODUCT((Upload_Indiv_Player=$A141)*(Upload_Indiv_Date=F$2)*(Upload_Indiv_Tot_Eagles))=0,"",SUMPRODUCT((Upload_Indiv_Player=$A141)*(Upload_Indiv_Date=F$2)*(Upload_Indiv_Tot_Eagles)))</f>
        <v/>
      </c>
      <c r="G145" s="2" t="str" cm="1">
        <f t="array" ref="G145">IF(SUMPRODUCT((Upload_Indiv_Player=$A141)*(Upload_Indiv_Date=G$2)*(Upload_Indiv_Tot_Eagles))=0,"",SUMPRODUCT((Upload_Indiv_Player=$A141)*(Upload_Indiv_Date=G$2)*(Upload_Indiv_Tot_Eagles)))</f>
        <v/>
      </c>
      <c r="H145" s="2" t="str" cm="1">
        <f t="array" ref="H145">IF(SUMPRODUCT((Upload_Indiv_Player=$A141)*(Upload_Indiv_Date=H$2)*(Upload_Indiv_Tot_Eagles))=0,"",SUMPRODUCT((Upload_Indiv_Player=$A141)*(Upload_Indiv_Date=H$2)*(Upload_Indiv_Tot_Eagles)))</f>
        <v/>
      </c>
      <c r="I145" s="2" t="str" cm="1">
        <f t="array" ref="I145">IF(SUMPRODUCT((Upload_Indiv_Player=$A141)*(Upload_Indiv_Date=I$2)*(Upload_Indiv_Tot_Eagles))=0,"",SUMPRODUCT((Upload_Indiv_Player=$A141)*(Upload_Indiv_Date=I$2)*(Upload_Indiv_Tot_Eagles)))</f>
        <v/>
      </c>
      <c r="J145" s="2" t="str" cm="1">
        <f t="array" ref="J145">IF(SUMPRODUCT((Upload_Indiv_Player=$A141)*(Upload_Indiv_Date=J$2)*(Upload_Indiv_Tot_Eagles))=0,"",SUMPRODUCT((Upload_Indiv_Player=$A141)*(Upload_Indiv_Date=J$2)*(Upload_Indiv_Tot_Eagles)))</f>
        <v/>
      </c>
      <c r="K145" s="2" t="str" cm="1">
        <f t="array" ref="K145">IF(SUMPRODUCT((Upload_Indiv_Player=$A141)*(Upload_Indiv_Date=K$2)*(Upload_Indiv_Tot_Eagles))=0,"",SUMPRODUCT((Upload_Indiv_Player=$A141)*(Upload_Indiv_Date=K$2)*(Upload_Indiv_Tot_Eagles)))</f>
        <v/>
      </c>
      <c r="L145" s="2" t="str" cm="1">
        <f t="array" ref="L145">IF(SUMPRODUCT((Upload_Indiv_Player=$A141)*(Upload_Indiv_Date=L$2)*(Upload_Indiv_Tot_Eagles))=0,"",SUMPRODUCT((Upload_Indiv_Player=$A141)*(Upload_Indiv_Date=L$2)*(Upload_Indiv_Tot_Eagles)))</f>
        <v/>
      </c>
      <c r="M145" s="2" t="str" cm="1">
        <f t="array" ref="M145">IF(SUMPRODUCT((Upload_Indiv_Player=$A141)*(Upload_Indiv_Date=M$2)*(Upload_Indiv_Tot_Eagles))=0,"",SUMPRODUCT((Upload_Indiv_Player=$A141)*(Upload_Indiv_Date=M$2)*(Upload_Indiv_Tot_Eagles)))</f>
        <v/>
      </c>
      <c r="N145" s="2" t="str" cm="1">
        <f t="array" ref="N145">IF(SUMPRODUCT((Upload_Indiv_Player=$A141)*(Upload_Indiv_Date=N$2)*(Upload_Indiv_Tot_Eagles))=0,"",SUMPRODUCT((Upload_Indiv_Player=$A141)*(Upload_Indiv_Date=N$2)*(Upload_Indiv_Tot_Eagles)))</f>
        <v/>
      </c>
      <c r="O145" s="2" t="str" cm="1">
        <f t="array" ref="O145">IF(SUMPRODUCT((Upload_Indiv_Player=$A141)*(Upload_Indiv_Date=O$2)*(Upload_Indiv_Tot_Eagles))=0,"",SUMPRODUCT((Upload_Indiv_Player=$A141)*(Upload_Indiv_Date=O$2)*(Upload_Indiv_Tot_Eagles)))</f>
        <v/>
      </c>
      <c r="P145" s="2" t="str" cm="1">
        <f t="array" ref="P145">IF(SUMPRODUCT((Upload_Indiv_Player=$A141)*(Upload_Indiv_Date=P$2)*(Upload_Indiv_Tot_Eagles))=0,"",SUMPRODUCT((Upload_Indiv_Player=$A141)*(Upload_Indiv_Date=P$2)*(Upload_Indiv_Tot_Eagles)))</f>
        <v/>
      </c>
      <c r="Q145" s="2" t="str" cm="1">
        <f t="array" ref="Q145">IF(SUMPRODUCT((Upload_Indiv_Player=$A141)*(Upload_Indiv_Date=Q$2)*(Upload_Indiv_Tot_Eagles))=0,"",SUMPRODUCT((Upload_Indiv_Player=$A141)*(Upload_Indiv_Date=Q$2)*(Upload_Indiv_Tot_Eagles)))</f>
        <v/>
      </c>
      <c r="R145" s="2" t="str" cm="1">
        <f t="array" ref="R145">IF(SUMPRODUCT((Upload_Indiv_Player=$A141)*(Upload_Indiv_Date=R$2)*(Upload_Indiv_Tot_Eagles))=0,"",SUMPRODUCT((Upload_Indiv_Player=$A141)*(Upload_Indiv_Date=R$2)*(Upload_Indiv_Tot_Eagles)))</f>
        <v/>
      </c>
      <c r="S145" s="2" t="str" cm="1">
        <f t="array" ref="S145">IF(SUMPRODUCT((Upload_Indiv_Player=$A141)*(Upload_Indiv_Date=S$2)*(Upload_Indiv_Tot_Eagles))=0,"",SUMPRODUCT((Upload_Indiv_Player=$A141)*(Upload_Indiv_Date=S$2)*(Upload_Indiv_Tot_Eagles)))</f>
        <v/>
      </c>
      <c r="T145" s="2" t="str" cm="1">
        <f t="array" ref="T145">IF(SUMPRODUCT((Upload_Indiv_Player=$A141)*(Upload_Indiv_Date=T$2)*(Upload_Indiv_Tot_Eagles))=0,"",SUMPRODUCT((Upload_Indiv_Player=$A141)*(Upload_Indiv_Date=T$2)*(Upload_Indiv_Tot_Eagles)))</f>
        <v/>
      </c>
      <c r="U145" s="2" t="str" cm="1">
        <f t="array" ref="U145">IF(SUMPRODUCT((Upload_Indiv_Player=$A141)*(Upload_Indiv_Date=U$2)*(Upload_Indiv_Tot_Eagles))=0,"",SUMPRODUCT((Upload_Indiv_Player=$A141)*(Upload_Indiv_Date=U$2)*(Upload_Indiv_Tot_Eagles)))</f>
        <v/>
      </c>
      <c r="V145" s="276"/>
      <c r="W145" s="276"/>
      <c r="X145" s="276"/>
      <c r="Y145" s="277"/>
      <c r="Z145" s="278"/>
      <c r="AA145" s="277"/>
    </row>
    <row r="146" spans="1:27" x14ac:dyDescent="0.25">
      <c r="A146" s="14"/>
      <c r="B146" s="2" t="s">
        <v>176</v>
      </c>
      <c r="C146" s="2" t="str" cm="1">
        <f t="array" ref="C146">IF(SUMPRODUCT((Upload_Indiv_Player=$A141)*(Upload_Indiv_Date=C$2)*(Upload_Indiv_Excl_Score))=0,"",SUMPRODUCT((Upload_Indiv_Player=$A141)*(Upload_Indiv_Date=C$2)*(Upload_Indiv_Excl_Score)))</f>
        <v/>
      </c>
      <c r="D146" s="2" t="str" cm="1">
        <f t="array" ref="D146">IF(SUMPRODUCT((Upload_Indiv_Player=$A141)*(Upload_Indiv_Date=D$2)*(Upload_Indiv_Excl_Score))=0,"",SUMPRODUCT((Upload_Indiv_Player=$A141)*(Upload_Indiv_Date=D$2)*(Upload_Indiv_Excl_Score)))</f>
        <v/>
      </c>
      <c r="E146" s="2" t="str" cm="1">
        <f t="array" ref="E146">IF(SUMPRODUCT((Upload_Indiv_Player=$A141)*(Upload_Indiv_Date=E$2)*(Upload_Indiv_Excl_Score))=0,"",SUMPRODUCT((Upload_Indiv_Player=$A141)*(Upload_Indiv_Date=E$2)*(Upload_Indiv_Excl_Score)))</f>
        <v/>
      </c>
      <c r="F146" s="2" t="str" cm="1">
        <f t="array" ref="F146">IF(SUMPRODUCT((Upload_Indiv_Player=$A141)*(Upload_Indiv_Date=F$2)*(Upload_Indiv_Excl_Score))=0,"",SUMPRODUCT((Upload_Indiv_Player=$A141)*(Upload_Indiv_Date=F$2)*(Upload_Indiv_Excl_Score)))</f>
        <v/>
      </c>
      <c r="G146" s="2" t="str" cm="1">
        <f t="array" ref="G146">IF(SUMPRODUCT((Upload_Indiv_Player=$A141)*(Upload_Indiv_Date=G$2)*(Upload_Indiv_Excl_Score))=0,"",SUMPRODUCT((Upload_Indiv_Player=$A141)*(Upload_Indiv_Date=G$2)*(Upload_Indiv_Excl_Score)))</f>
        <v/>
      </c>
      <c r="H146" s="2" t="str" cm="1">
        <f t="array" ref="H146">IF(SUMPRODUCT((Upload_Indiv_Player=$A141)*(Upload_Indiv_Date=H$2)*(Upload_Indiv_Excl_Score))=0,"",SUMPRODUCT((Upload_Indiv_Player=$A141)*(Upload_Indiv_Date=H$2)*(Upload_Indiv_Excl_Score)))</f>
        <v/>
      </c>
      <c r="I146" s="2" t="str" cm="1">
        <f t="array" ref="I146">IF(SUMPRODUCT((Upload_Indiv_Player=$A141)*(Upload_Indiv_Date=I$2)*(Upload_Indiv_Excl_Score))=0,"",SUMPRODUCT((Upload_Indiv_Player=$A141)*(Upload_Indiv_Date=I$2)*(Upload_Indiv_Excl_Score)))</f>
        <v/>
      </c>
      <c r="J146" s="2" t="str" cm="1">
        <f t="array" ref="J146">IF(SUMPRODUCT((Upload_Indiv_Player=$A141)*(Upload_Indiv_Date=J$2)*(Upload_Indiv_Excl_Score))=0,"",SUMPRODUCT((Upload_Indiv_Player=$A141)*(Upload_Indiv_Date=J$2)*(Upload_Indiv_Excl_Score)))</f>
        <v/>
      </c>
      <c r="K146" s="2" t="str" cm="1">
        <f t="array" ref="K146">IF(SUMPRODUCT((Upload_Indiv_Player=$A141)*(Upload_Indiv_Date=K$2)*(Upload_Indiv_Excl_Score))=0,"",SUMPRODUCT((Upload_Indiv_Player=$A141)*(Upload_Indiv_Date=K$2)*(Upload_Indiv_Excl_Score)))</f>
        <v/>
      </c>
      <c r="L146" s="2" t="str" cm="1">
        <f t="array" ref="L146">IF(SUMPRODUCT((Upload_Indiv_Player=$A141)*(Upload_Indiv_Date=L$2)*(Upload_Indiv_Excl_Score))=0,"",SUMPRODUCT((Upload_Indiv_Player=$A141)*(Upload_Indiv_Date=L$2)*(Upload_Indiv_Excl_Score)))</f>
        <v/>
      </c>
      <c r="M146" s="2" t="str" cm="1">
        <f t="array" ref="M146">IF(SUMPRODUCT((Upload_Indiv_Player=$A141)*(Upload_Indiv_Date=M$2)*(Upload_Indiv_Excl_Score))=0,"",SUMPRODUCT((Upload_Indiv_Player=$A141)*(Upload_Indiv_Date=M$2)*(Upload_Indiv_Excl_Score)))</f>
        <v/>
      </c>
      <c r="N146" s="2" t="str" cm="1">
        <f t="array" ref="N146">IF(SUMPRODUCT((Upload_Indiv_Player=$A141)*(Upload_Indiv_Date=N$2)*(Upload_Indiv_Excl_Score))=0,"",SUMPRODUCT((Upload_Indiv_Player=$A141)*(Upload_Indiv_Date=N$2)*(Upload_Indiv_Excl_Score)))</f>
        <v/>
      </c>
      <c r="O146" s="2" t="str" cm="1">
        <f t="array" ref="O146">IF(SUMPRODUCT((Upload_Indiv_Player=$A141)*(Upload_Indiv_Date=O$2)*(Upload_Indiv_Excl_Score))=0,"",SUMPRODUCT((Upload_Indiv_Player=$A141)*(Upload_Indiv_Date=O$2)*(Upload_Indiv_Excl_Score)))</f>
        <v/>
      </c>
      <c r="P146" s="2" t="str" cm="1">
        <f t="array" ref="P146">IF(SUMPRODUCT((Upload_Indiv_Player=$A141)*(Upload_Indiv_Date=P$2)*(Upload_Indiv_Excl_Score))=0,"",SUMPRODUCT((Upload_Indiv_Player=$A141)*(Upload_Indiv_Date=P$2)*(Upload_Indiv_Excl_Score)))</f>
        <v/>
      </c>
      <c r="Q146" s="2" t="str" cm="1">
        <f t="array" ref="Q146">IF(SUMPRODUCT((Upload_Indiv_Player=$A141)*(Upload_Indiv_Date=Q$2)*(Upload_Indiv_Excl_Score))=0,"",SUMPRODUCT((Upload_Indiv_Player=$A141)*(Upload_Indiv_Date=Q$2)*(Upload_Indiv_Excl_Score)))</f>
        <v/>
      </c>
      <c r="R146" s="2" t="str" cm="1">
        <f t="array" ref="R146">IF(SUMPRODUCT((Upload_Indiv_Player=$A141)*(Upload_Indiv_Date=R$2)*(Upload_Indiv_Excl_Score))=0,"",SUMPRODUCT((Upload_Indiv_Player=$A141)*(Upload_Indiv_Date=R$2)*(Upload_Indiv_Excl_Score)))</f>
        <v/>
      </c>
      <c r="S146" s="2" t="str" cm="1">
        <f t="array" ref="S146">IF(SUMPRODUCT((Upload_Indiv_Player=$A141)*(Upload_Indiv_Date=S$2)*(Upload_Indiv_Excl_Score))=0,"",SUMPRODUCT((Upload_Indiv_Player=$A141)*(Upload_Indiv_Date=S$2)*(Upload_Indiv_Excl_Score)))</f>
        <v/>
      </c>
      <c r="T146" s="2" t="str" cm="1">
        <f t="array" ref="T146">IF(SUMPRODUCT((Upload_Indiv_Player=$A141)*(Upload_Indiv_Date=T$2)*(Upload_Indiv_Excl_Score))=0,"",SUMPRODUCT((Upload_Indiv_Player=$A141)*(Upload_Indiv_Date=T$2)*(Upload_Indiv_Excl_Score)))</f>
        <v/>
      </c>
      <c r="U146" s="2" t="str" cm="1">
        <f t="array" ref="U146">IF(SUMPRODUCT((Upload_Indiv_Player=$A141)*(Upload_Indiv_Date=U$2)*(Upload_Indiv_Excl_Score))=0,"",SUMPRODUCT((Upload_Indiv_Player=$A141)*(Upload_Indiv_Date=U$2)*(Upload_Indiv_Excl_Score)))</f>
        <v/>
      </c>
      <c r="V146" s="276"/>
      <c r="W146" s="276"/>
      <c r="X146" s="276"/>
      <c r="Y146" s="277"/>
      <c r="Z146" s="277"/>
      <c r="AA146" s="277"/>
    </row>
    <row r="147" spans="1:27" x14ac:dyDescent="0.25">
      <c r="A147" s="14"/>
      <c r="B147" s="2" t="s">
        <v>177</v>
      </c>
      <c r="C147" s="2" t="str" cm="1">
        <f t="array" ref="C147">IFERROR(INDEX(Upload_Indiv_Team,MATCH(1,($A141=Upload_Indiv_Player)*(C$2=Upload_Indiv_Date),0)),"")</f>
        <v/>
      </c>
      <c r="D147" s="2" t="str" cm="1">
        <f t="array" ref="D147">IFERROR(INDEX(Upload_Indiv_Team,MATCH(1,($A141=Upload_Indiv_Player)*(D$2=Upload_Indiv_Date),0)),"")</f>
        <v/>
      </c>
      <c r="E147" s="2" t="str" cm="1">
        <f t="array" ref="E147">IFERROR(INDEX(Upload_Indiv_Team,MATCH(1,($A141=Upload_Indiv_Player)*(E$2=Upload_Indiv_Date),0)),"")</f>
        <v/>
      </c>
      <c r="F147" s="2" t="str" cm="1">
        <f t="array" ref="F147">IFERROR(INDEX(Upload_Indiv_Team,MATCH(1,($A141=Upload_Indiv_Player)*(F$2=Upload_Indiv_Date),0)),"")</f>
        <v/>
      </c>
      <c r="G147" s="2" t="str" cm="1">
        <f t="array" ref="G147">IFERROR(INDEX(Upload_Indiv_Team,MATCH(1,($A141=Upload_Indiv_Player)*(G$2=Upload_Indiv_Date),0)),"")</f>
        <v>Mickey Mouse Club</v>
      </c>
      <c r="H147" s="2" t="str" cm="1">
        <f t="array" ref="H147">IFERROR(INDEX(Upload_Indiv_Team,MATCH(1,($A141=Upload_Indiv_Player)*(H$2=Upload_Indiv_Date),0)),"")</f>
        <v/>
      </c>
      <c r="I147" s="2" t="str" cm="1">
        <f t="array" ref="I147">IFERROR(INDEX(Upload_Indiv_Team,MATCH(1,($A141=Upload_Indiv_Player)*(I$2=Upload_Indiv_Date),0)),"")</f>
        <v/>
      </c>
      <c r="J147" s="2" t="str" cm="1">
        <f t="array" ref="J147">IFERROR(INDEX(Upload_Indiv_Team,MATCH(1,($A141=Upload_Indiv_Player)*(J$2=Upload_Indiv_Date),0)),"")</f>
        <v/>
      </c>
      <c r="K147" s="2" t="str" cm="1">
        <f t="array" ref="K147">IFERROR(INDEX(Upload_Indiv_Team,MATCH(1,($A141=Upload_Indiv_Player)*(K$2=Upload_Indiv_Date),0)),"")</f>
        <v/>
      </c>
      <c r="L147" s="2" t="str" cm="1">
        <f t="array" ref="L147">IFERROR(INDEX(Upload_Indiv_Team,MATCH(1,($A141=Upload_Indiv_Player)*(L$2=Upload_Indiv_Date),0)),"")</f>
        <v/>
      </c>
      <c r="M147" s="2" t="str" cm="1">
        <f t="array" ref="M147">IFERROR(INDEX(Upload_Indiv_Team,MATCH(1,($A141=Upload_Indiv_Player)*(M$2=Upload_Indiv_Date),0)),"")</f>
        <v/>
      </c>
      <c r="N147" s="2" t="str" cm="1">
        <f t="array" ref="N147">IFERROR(INDEX(Upload_Indiv_Team,MATCH(1,($A141=Upload_Indiv_Player)*(N$2=Upload_Indiv_Date),0)),"")</f>
        <v/>
      </c>
      <c r="O147" s="2" t="str" cm="1">
        <f t="array" ref="O147">IFERROR(INDEX(Upload_Indiv_Team,MATCH(1,($A141=Upload_Indiv_Player)*(O$2=Upload_Indiv_Date),0)),"")</f>
        <v/>
      </c>
      <c r="P147" s="2" t="str" cm="1">
        <f t="array" ref="P147">IFERROR(INDEX(Upload_Indiv_Team,MATCH(1,($A141=Upload_Indiv_Player)*(P$2=Upload_Indiv_Date),0)),"")</f>
        <v/>
      </c>
      <c r="Q147" s="2" t="str" cm="1">
        <f t="array" ref="Q147">IFERROR(INDEX(Upload_Indiv_Team,MATCH(1,($A141=Upload_Indiv_Player)*(Q$2=Upload_Indiv_Date),0)),"")</f>
        <v/>
      </c>
      <c r="R147" s="2" t="str" cm="1">
        <f t="array" ref="R147">IFERROR(INDEX(Upload_Indiv_Team,MATCH(1,($A141=Upload_Indiv_Player)*(R$2=Upload_Indiv_Date),0)),"")</f>
        <v/>
      </c>
      <c r="S147" s="2" t="str" cm="1">
        <f t="array" ref="S147">IFERROR(INDEX(Upload_Indiv_Team,MATCH(1,($A141=Upload_Indiv_Player)*(S$2=Upload_Indiv_Date),0)),"")</f>
        <v/>
      </c>
      <c r="T147" s="2" t="str" cm="1">
        <f t="array" ref="T147">IFERROR(INDEX(Upload_Indiv_Team,MATCH(1,($A141=Upload_Indiv_Player)*(T$2=Upload_Indiv_Date),0)),"")</f>
        <v/>
      </c>
      <c r="U147" s="2" t="str" cm="1">
        <f t="array" ref="U147">IFERROR(INDEX(Upload_Indiv_Team,MATCH(1,($A141=Upload_Indiv_Player)*(U$2=Upload_Indiv_Date),0)),"")</f>
        <v/>
      </c>
      <c r="V147" s="276"/>
      <c r="W147" s="276"/>
      <c r="X147" s="276"/>
      <c r="Y147" s="277"/>
      <c r="Z147" s="277"/>
      <c r="AA147" s="277"/>
    </row>
    <row r="148" spans="1:27" ht="13.8" thickBot="1" x14ac:dyDescent="0.3">
      <c r="A148" s="329" t="s">
        <v>160</v>
      </c>
      <c r="B148" s="16" t="s">
        <v>178</v>
      </c>
      <c r="C148" s="58" t="str">
        <f t="shared" ref="C148:U148" si="18">IF(C141="", "", IF(C143&gt;=11, "w", IF(C143&lt;=9, "l", "t")))</f>
        <v/>
      </c>
      <c r="D148" s="58" t="str">
        <f t="shared" si="18"/>
        <v/>
      </c>
      <c r="E148" s="58" t="str">
        <f t="shared" si="18"/>
        <v/>
      </c>
      <c r="F148" s="58" t="str">
        <f t="shared" si="18"/>
        <v/>
      </c>
      <c r="G148" s="58" t="str">
        <f t="shared" si="18"/>
        <v>l</v>
      </c>
      <c r="H148" s="58" t="str">
        <f t="shared" si="18"/>
        <v/>
      </c>
      <c r="I148" s="58" t="str">
        <f t="shared" si="18"/>
        <v/>
      </c>
      <c r="J148" s="58" t="str">
        <f t="shared" si="18"/>
        <v/>
      </c>
      <c r="K148" s="58" t="str">
        <f t="shared" si="18"/>
        <v/>
      </c>
      <c r="L148" s="58" t="str">
        <f t="shared" si="18"/>
        <v/>
      </c>
      <c r="M148" s="87" t="str">
        <f t="shared" si="18"/>
        <v/>
      </c>
      <c r="N148" s="58" t="str">
        <f t="shared" si="18"/>
        <v/>
      </c>
      <c r="O148" s="58" t="str">
        <f t="shared" si="18"/>
        <v/>
      </c>
      <c r="P148" s="58" t="str">
        <f t="shared" si="18"/>
        <v/>
      </c>
      <c r="Q148" s="58" t="str">
        <f t="shared" si="18"/>
        <v/>
      </c>
      <c r="R148" s="58" t="str">
        <f t="shared" si="18"/>
        <v/>
      </c>
      <c r="S148" s="58" t="str">
        <f t="shared" si="18"/>
        <v/>
      </c>
      <c r="T148" s="58" t="str">
        <f t="shared" si="18"/>
        <v/>
      </c>
      <c r="U148" s="58" t="str">
        <f t="shared" si="18"/>
        <v/>
      </c>
      <c r="V148" s="276"/>
      <c r="W148" s="276"/>
      <c r="X148" s="276"/>
      <c r="Y148" s="277"/>
      <c r="Z148" s="277"/>
      <c r="AA148" s="277"/>
    </row>
    <row r="149" spans="1:27" x14ac:dyDescent="0.25">
      <c r="A149" s="11" t="s">
        <v>233</v>
      </c>
      <c r="B149" s="3" t="s">
        <v>170</v>
      </c>
      <c r="C149" s="3" t="str" cm="1">
        <f t="array" ref="C149">IF(SUMPRODUCT((Upload_Indiv_Player=$A149)*(Upload_Indiv_Date=C$2)*(Upload_Indiv_Gross))=0,"",SUMPRODUCT((Upload_Indiv_Player=$A149)*(Upload_Indiv_Date=C$2)*(Upload_Indiv_Gross)))</f>
        <v/>
      </c>
      <c r="D149" s="3" t="str" cm="1">
        <f t="array" ref="D149">IF(SUMPRODUCT((Upload_Indiv_Player=$A149)*(Upload_Indiv_Date=D$2)*(Upload_Indiv_Gross))=0,"",SUMPRODUCT((Upload_Indiv_Player=$A149)*(Upload_Indiv_Date=D$2)*(Upload_Indiv_Gross)))</f>
        <v/>
      </c>
      <c r="E149" s="3" t="str" cm="1">
        <f t="array" ref="E149">IF(SUMPRODUCT((Upload_Indiv_Player=$A149)*(Upload_Indiv_Date=E$2)*(Upload_Indiv_Gross))=0,"",SUMPRODUCT((Upload_Indiv_Player=$A149)*(Upload_Indiv_Date=E$2)*(Upload_Indiv_Gross)))</f>
        <v/>
      </c>
      <c r="F149" s="3" t="str" cm="1">
        <f t="array" ref="F149">IF(SUMPRODUCT((Upload_Indiv_Player=$A149)*(Upload_Indiv_Date=F$2)*(Upload_Indiv_Gross))=0,"",SUMPRODUCT((Upload_Indiv_Player=$A149)*(Upload_Indiv_Date=F$2)*(Upload_Indiv_Gross)))</f>
        <v/>
      </c>
      <c r="G149" s="3" t="str" cm="1">
        <f t="array" ref="G149">IF(SUMPRODUCT((Upload_Indiv_Player=$A149)*(Upload_Indiv_Date=G$2)*(Upload_Indiv_Gross))=0,"",SUMPRODUCT((Upload_Indiv_Player=$A149)*(Upload_Indiv_Date=G$2)*(Upload_Indiv_Gross)))</f>
        <v/>
      </c>
      <c r="H149" s="3" t="str" cm="1">
        <f t="array" ref="H149">IF(SUMPRODUCT((Upload_Indiv_Player=$A149)*(Upload_Indiv_Date=H$2)*(Upload_Indiv_Gross))=0,"",SUMPRODUCT((Upload_Indiv_Player=$A149)*(Upload_Indiv_Date=H$2)*(Upload_Indiv_Gross)))</f>
        <v/>
      </c>
      <c r="I149" s="3" t="str" cm="1">
        <f t="array" ref="I149">IF(SUMPRODUCT((Upload_Indiv_Player=$A149)*(Upload_Indiv_Date=I$2)*(Upload_Indiv_Gross))=0,"",SUMPRODUCT((Upload_Indiv_Player=$A149)*(Upload_Indiv_Date=I$2)*(Upload_Indiv_Gross)))</f>
        <v/>
      </c>
      <c r="J149" s="3" t="str" cm="1">
        <f t="array" ref="J149">IF(SUMPRODUCT((Upload_Indiv_Player=$A149)*(Upload_Indiv_Date=J$2)*(Upload_Indiv_Gross))=0,"",SUMPRODUCT((Upload_Indiv_Player=$A149)*(Upload_Indiv_Date=J$2)*(Upload_Indiv_Gross)))</f>
        <v/>
      </c>
      <c r="K149" s="3" t="str" cm="1">
        <f t="array" ref="K149">IF(SUMPRODUCT((Upload_Indiv_Player=$A149)*(Upload_Indiv_Date=K$2)*(Upload_Indiv_Gross))=0,"",SUMPRODUCT((Upload_Indiv_Player=$A149)*(Upload_Indiv_Date=K$2)*(Upload_Indiv_Gross)))</f>
        <v/>
      </c>
      <c r="L149" s="3" t="str" cm="1">
        <f t="array" ref="L149">IF(SUMPRODUCT((Upload_Indiv_Player=$A149)*(Upload_Indiv_Date=L$2)*(Upload_Indiv_Gross))=0,"",SUMPRODUCT((Upload_Indiv_Player=$A149)*(Upload_Indiv_Date=L$2)*(Upload_Indiv_Gross)))</f>
        <v/>
      </c>
      <c r="M149" s="3" t="str" cm="1">
        <f t="array" ref="M149">IF(SUMPRODUCT((Upload_Indiv_Player=$A149)*(Upload_Indiv_Date=M$2)*(Upload_Indiv_Gross))=0,"",SUMPRODUCT((Upload_Indiv_Player=$A149)*(Upload_Indiv_Date=M$2)*(Upload_Indiv_Gross)))</f>
        <v/>
      </c>
      <c r="N149" s="3" t="str" cm="1">
        <f t="array" ref="N149">IF(SUMPRODUCT((Upload_Indiv_Player=$A149)*(Upload_Indiv_Date=N$2)*(Upload_Indiv_Gross))=0,"",SUMPRODUCT((Upload_Indiv_Player=$A149)*(Upload_Indiv_Date=N$2)*(Upload_Indiv_Gross)))</f>
        <v/>
      </c>
      <c r="O149" s="3" t="str" cm="1">
        <f t="array" ref="O149">IF(SUMPRODUCT((Upload_Indiv_Player=$A149)*(Upload_Indiv_Date=O$2)*(Upload_Indiv_Gross))=0,"",SUMPRODUCT((Upload_Indiv_Player=$A149)*(Upload_Indiv_Date=O$2)*(Upload_Indiv_Gross)))</f>
        <v/>
      </c>
      <c r="P149" s="3" t="str" cm="1">
        <f t="array" ref="P149">IF(SUMPRODUCT((Upload_Indiv_Player=$A149)*(Upload_Indiv_Date=P$2)*(Upload_Indiv_Gross))=0,"",SUMPRODUCT((Upload_Indiv_Player=$A149)*(Upload_Indiv_Date=P$2)*(Upload_Indiv_Gross)))</f>
        <v/>
      </c>
      <c r="Q149" s="2" cm="1">
        <f t="array" ref="Q149">IF(SUMPRODUCT((Upload_Indiv_Player=$A149)*(Upload_Indiv_Date=Q$2)*(Upload_Indiv_Gross))=0,"",SUMPRODUCT((Upload_Indiv_Player=$A149)*(Upload_Indiv_Date=Q$2)*(Upload_Indiv_Gross)))</f>
        <v>42</v>
      </c>
      <c r="R149" s="2" t="str" cm="1">
        <f t="array" ref="R149">IF(SUMPRODUCT((Upload_Indiv_Player=$A149)*(Upload_Indiv_Date=R$2)*(Upload_Indiv_Gross))=0,"",SUMPRODUCT((Upload_Indiv_Player=$A149)*(Upload_Indiv_Date=R$2)*(Upload_Indiv_Gross)))</f>
        <v/>
      </c>
      <c r="S149" s="2" t="str" cm="1">
        <f t="array" ref="S149">IF(SUMPRODUCT((Upload_Indiv_Player=$A149)*(Upload_Indiv_Date=S$2)*(Upload_Indiv_Gross))=0,"",SUMPRODUCT((Upload_Indiv_Player=$A149)*(Upload_Indiv_Date=S$2)*(Upload_Indiv_Gross)))</f>
        <v/>
      </c>
      <c r="T149" s="2" cm="1">
        <f t="array" ref="T149">IF(SUMPRODUCT((Upload_Indiv_Player=$A149)*(Upload_Indiv_Date=T$2)*(Upload_Indiv_Gross))=0,"",SUMPRODUCT((Upload_Indiv_Player=$A149)*(Upload_Indiv_Date=T$2)*(Upload_Indiv_Gross)))</f>
        <v>66</v>
      </c>
      <c r="U149" s="2" t="str" cm="1">
        <f t="array" ref="U149">IF(SUMPRODUCT((Upload_Indiv_Player=$A149)*(Upload_Indiv_Date=U$2)*(Upload_Indiv_Gross))=0,"",SUMPRODUCT((Upload_Indiv_Player=$A149)*(Upload_Indiv_Date=U$2)*(Upload_Indiv_Gross)))</f>
        <v/>
      </c>
      <c r="V149" s="273">
        <v>0</v>
      </c>
      <c r="W149" s="273">
        <v>1</v>
      </c>
      <c r="X149" s="273">
        <v>0</v>
      </c>
      <c r="Y149" s="277">
        <v>0</v>
      </c>
      <c r="Z149" s="277">
        <v>0</v>
      </c>
      <c r="AA149" s="277">
        <v>0</v>
      </c>
    </row>
    <row r="150" spans="1:27" x14ac:dyDescent="0.25">
      <c r="A150" s="216">
        <v>3304884075</v>
      </c>
      <c r="B150" s="2" t="s">
        <v>171</v>
      </c>
      <c r="C150" s="2" t="str" cm="1">
        <f t="array" ref="C150">IF(SUMPRODUCT((Upload_Indiv_Player=$A149)*(Upload_Indiv_Date=C$2)*(Upload_Indiv_Net))=0,"",SUMPRODUCT((Upload_Indiv_Player=$A149)*(Upload_Indiv_Date=C$2)*(Upload_Indiv_Net)))</f>
        <v/>
      </c>
      <c r="D150" s="2" t="str" cm="1">
        <f t="array" ref="D150">IF(SUMPRODUCT((Upload_Indiv_Player=$A149)*(Upload_Indiv_Date=D$2)*(Upload_Indiv_Net))=0,"",SUMPRODUCT((Upload_Indiv_Player=$A149)*(Upload_Indiv_Date=D$2)*(Upload_Indiv_Net)))</f>
        <v/>
      </c>
      <c r="E150" s="2" t="str" cm="1">
        <f t="array" ref="E150">IF(SUMPRODUCT((Upload_Indiv_Player=$A149)*(Upload_Indiv_Date=E$2)*(Upload_Indiv_Net))=0,"",SUMPRODUCT((Upload_Indiv_Player=$A149)*(Upload_Indiv_Date=E$2)*(Upload_Indiv_Net)))</f>
        <v/>
      </c>
      <c r="F150" s="2" t="str" cm="1">
        <f t="array" ref="F150">IF(SUMPRODUCT((Upload_Indiv_Player=$A149)*(Upload_Indiv_Date=F$2)*(Upload_Indiv_Net))=0,"",SUMPRODUCT((Upload_Indiv_Player=$A149)*(Upload_Indiv_Date=F$2)*(Upload_Indiv_Net)))</f>
        <v/>
      </c>
      <c r="G150" s="2" t="str" cm="1">
        <f t="array" ref="G150">IF(SUMPRODUCT((Upload_Indiv_Player=$A149)*(Upload_Indiv_Date=G$2)*(Upload_Indiv_Net))=0,"",SUMPRODUCT((Upload_Indiv_Player=$A149)*(Upload_Indiv_Date=G$2)*(Upload_Indiv_Net)))</f>
        <v/>
      </c>
      <c r="H150" s="2" t="str" cm="1">
        <f t="array" ref="H150">IF(SUMPRODUCT((Upload_Indiv_Player=$A149)*(Upload_Indiv_Date=H$2)*(Upload_Indiv_Net))=0,"",SUMPRODUCT((Upload_Indiv_Player=$A149)*(Upload_Indiv_Date=H$2)*(Upload_Indiv_Net)))</f>
        <v/>
      </c>
      <c r="I150" s="2" t="str" cm="1">
        <f t="array" ref="I150">IF(SUMPRODUCT((Upload_Indiv_Player=$A149)*(Upload_Indiv_Date=I$2)*(Upload_Indiv_Net))=0,"",SUMPRODUCT((Upload_Indiv_Player=$A149)*(Upload_Indiv_Date=I$2)*(Upload_Indiv_Net)))</f>
        <v/>
      </c>
      <c r="J150" s="2" t="str" cm="1">
        <f t="array" ref="J150">IF(SUMPRODUCT((Upload_Indiv_Player=$A149)*(Upload_Indiv_Date=J$2)*(Upload_Indiv_Net))=0,"",SUMPRODUCT((Upload_Indiv_Player=$A149)*(Upload_Indiv_Date=J$2)*(Upload_Indiv_Net)))</f>
        <v/>
      </c>
      <c r="K150" s="2" t="str" cm="1">
        <f t="array" ref="K150">IF(SUMPRODUCT((Upload_Indiv_Player=$A149)*(Upload_Indiv_Date=K$2)*(Upload_Indiv_Net))=0,"",SUMPRODUCT((Upload_Indiv_Player=$A149)*(Upload_Indiv_Date=K$2)*(Upload_Indiv_Net)))</f>
        <v/>
      </c>
      <c r="L150" s="2" t="str" cm="1">
        <f t="array" ref="L150">IF(SUMPRODUCT((Upload_Indiv_Player=$A149)*(Upload_Indiv_Date=L$2)*(Upload_Indiv_Net))=0,"",SUMPRODUCT((Upload_Indiv_Player=$A149)*(Upload_Indiv_Date=L$2)*(Upload_Indiv_Net)))</f>
        <v/>
      </c>
      <c r="M150" s="2" t="str" cm="1">
        <f t="array" ref="M150">IF(SUMPRODUCT((Upload_Indiv_Player=$A149)*(Upload_Indiv_Date=M$2)*(Upload_Indiv_Net))=0,"",SUMPRODUCT((Upload_Indiv_Player=$A149)*(Upload_Indiv_Date=M$2)*(Upload_Indiv_Net)))</f>
        <v/>
      </c>
      <c r="N150" s="2" t="str" cm="1">
        <f t="array" ref="N150">IF(SUMPRODUCT((Upload_Indiv_Player=$A149)*(Upload_Indiv_Date=N$2)*(Upload_Indiv_Net))=0,"",SUMPRODUCT((Upload_Indiv_Player=$A149)*(Upload_Indiv_Date=N$2)*(Upload_Indiv_Net)))</f>
        <v/>
      </c>
      <c r="O150" s="2" t="str" cm="1">
        <f t="array" ref="O150">IF(SUMPRODUCT((Upload_Indiv_Player=$A149)*(Upload_Indiv_Date=O$2)*(Upload_Indiv_Net))=0,"",SUMPRODUCT((Upload_Indiv_Player=$A149)*(Upload_Indiv_Date=O$2)*(Upload_Indiv_Net)))</f>
        <v/>
      </c>
      <c r="P150" s="2" t="str" cm="1">
        <f t="array" ref="P150">IF(SUMPRODUCT((Upload_Indiv_Player=$A149)*(Upload_Indiv_Date=P$2)*(Upload_Indiv_Net))=0,"",SUMPRODUCT((Upload_Indiv_Player=$A149)*(Upload_Indiv_Date=P$2)*(Upload_Indiv_Net)))</f>
        <v/>
      </c>
      <c r="Q150" s="2" t="str" cm="1">
        <f t="array" ref="Q150">IF(SUMPRODUCT((Upload_Indiv_Player=$A149)*(Upload_Indiv_Date=Q$2)*(Upload_Indiv_Net))=0,"",SUMPRODUCT((Upload_Indiv_Player=$A149)*(Upload_Indiv_Date=Q$2)*(Upload_Indiv_Net)))</f>
        <v/>
      </c>
      <c r="R150" s="2" t="str" cm="1">
        <f t="array" ref="R150">IF(SUMPRODUCT((Upload_Indiv_Player=$A149)*(Upload_Indiv_Date=R$2)*(Upload_Indiv_Net))=0,"",SUMPRODUCT((Upload_Indiv_Player=$A149)*(Upload_Indiv_Date=R$2)*(Upload_Indiv_Net)))</f>
        <v/>
      </c>
      <c r="S150" s="2" t="str" cm="1">
        <f t="array" ref="S150">IF(SUMPRODUCT((Upload_Indiv_Player=$A149)*(Upload_Indiv_Date=S$2)*(Upload_Indiv_Net))=0,"",SUMPRODUCT((Upload_Indiv_Player=$A149)*(Upload_Indiv_Date=S$2)*(Upload_Indiv_Net)))</f>
        <v/>
      </c>
      <c r="T150" s="2" cm="1">
        <f t="array" ref="T150">IF(SUMPRODUCT((Upload_Indiv_Player=$A149)*(Upload_Indiv_Date=T$2)*(Upload_Indiv_Net))=0,"",SUMPRODUCT((Upload_Indiv_Player=$A149)*(Upload_Indiv_Date=T$2)*(Upload_Indiv_Net)))</f>
        <v>46</v>
      </c>
      <c r="U150" s="2" t="str" cm="1">
        <f t="array" ref="U150">IF(SUMPRODUCT((Upload_Indiv_Player=$A149)*(Upload_Indiv_Date=U$2)*(Upload_Indiv_Net))=0,"",SUMPRODUCT((Upload_Indiv_Player=$A149)*(Upload_Indiv_Date=U$2)*(Upload_Indiv_Net)))</f>
        <v/>
      </c>
      <c r="V150" s="276"/>
      <c r="W150" s="276"/>
      <c r="X150" s="276"/>
      <c r="Y150" s="277"/>
      <c r="Z150" s="277"/>
      <c r="AA150" s="277"/>
    </row>
    <row r="151" spans="1:27" x14ac:dyDescent="0.25">
      <c r="A151" s="65"/>
      <c r="B151" s="2" t="s">
        <v>173</v>
      </c>
      <c r="C151" s="2" t="str" cm="1">
        <f t="array" ref="C151">IF(SUMPRODUCT((Upload_Indiv_Player=$A149)*(Upload_Indiv_Date=C$2)*(Upload_Indiv_PointsTot))=0,"",SUMPRODUCT((Upload_Indiv_Player=$A149)*(Upload_Indiv_Date=C$2)*(Upload_Indiv_PointsTot)))</f>
        <v/>
      </c>
      <c r="D151" s="2" t="str" cm="1">
        <f t="array" ref="D151">IF(SUMPRODUCT((Upload_Indiv_Player=$A149)*(Upload_Indiv_Date=D$2)*(Upload_Indiv_PointsTot))=0,"",SUMPRODUCT((Upload_Indiv_Player=$A149)*(Upload_Indiv_Date=D$2)*(Upload_Indiv_PointsTot)))</f>
        <v/>
      </c>
      <c r="E151" s="2" t="str" cm="1">
        <f t="array" ref="E151">IF(SUMPRODUCT((Upload_Indiv_Player=$A149)*(Upload_Indiv_Date=E$2)*(Upload_Indiv_PointsTot))=0,"",SUMPRODUCT((Upload_Indiv_Player=$A149)*(Upload_Indiv_Date=E$2)*(Upload_Indiv_PointsTot)))</f>
        <v/>
      </c>
      <c r="F151" s="2" t="str" cm="1">
        <f t="array" ref="F151">IF(SUMPRODUCT((Upload_Indiv_Player=$A149)*(Upload_Indiv_Date=F$2)*(Upload_Indiv_PointsTot))=0,"",SUMPRODUCT((Upload_Indiv_Player=$A149)*(Upload_Indiv_Date=F$2)*(Upload_Indiv_PointsTot)))</f>
        <v/>
      </c>
      <c r="G151" s="2" t="str" cm="1">
        <f t="array" ref="G151">IF(SUMPRODUCT((Upload_Indiv_Player=$A149)*(Upload_Indiv_Date=G$2)*(Upload_Indiv_PointsTot))=0,"",SUMPRODUCT((Upload_Indiv_Player=$A149)*(Upload_Indiv_Date=G$2)*(Upload_Indiv_PointsTot)))</f>
        <v/>
      </c>
      <c r="H151" s="2" t="str" cm="1">
        <f t="array" ref="H151">IF(SUMPRODUCT((Upload_Indiv_Player=$A149)*(Upload_Indiv_Date=H$2)*(Upload_Indiv_PointsTot))=0,"",SUMPRODUCT((Upload_Indiv_Player=$A149)*(Upload_Indiv_Date=H$2)*(Upload_Indiv_PointsTot)))</f>
        <v/>
      </c>
      <c r="I151" s="2" t="str" cm="1">
        <f t="array" ref="I151">IF(SUMPRODUCT((Upload_Indiv_Player=$A149)*(Upload_Indiv_Date=I$2)*(Upload_Indiv_PointsTot))=0,"",SUMPRODUCT((Upload_Indiv_Player=$A149)*(Upload_Indiv_Date=I$2)*(Upload_Indiv_PointsTot)))</f>
        <v/>
      </c>
      <c r="J151" s="2" t="str" cm="1">
        <f t="array" ref="J151">IF(SUMPRODUCT((Upload_Indiv_Player=$A149)*(Upload_Indiv_Date=J$2)*(Upload_Indiv_PointsTot))=0,"",SUMPRODUCT((Upload_Indiv_Player=$A149)*(Upload_Indiv_Date=J$2)*(Upload_Indiv_PointsTot)))</f>
        <v/>
      </c>
      <c r="K151" s="2" t="str" cm="1">
        <f t="array" ref="K151">IF(SUMPRODUCT((Upload_Indiv_Player=$A149)*(Upload_Indiv_Date=K$2)*(Upload_Indiv_PointsTot))=0,"",SUMPRODUCT((Upload_Indiv_Player=$A149)*(Upload_Indiv_Date=K$2)*(Upload_Indiv_PointsTot)))</f>
        <v/>
      </c>
      <c r="L151" s="2" t="str" cm="1">
        <f t="array" ref="L151">IF(SUMPRODUCT((Upload_Indiv_Player=$A149)*(Upload_Indiv_Date=L$2)*(Upload_Indiv_PointsTot))=0,"",SUMPRODUCT((Upload_Indiv_Player=$A149)*(Upload_Indiv_Date=L$2)*(Upload_Indiv_PointsTot)))</f>
        <v/>
      </c>
      <c r="M151" s="2" t="str" cm="1">
        <f t="array" ref="M151">IF(SUMPRODUCT((Upload_Indiv_Player=$A149)*(Upload_Indiv_Date=M$2)*(Upload_Indiv_PointsTot))=0,"",SUMPRODUCT((Upload_Indiv_Player=$A149)*(Upload_Indiv_Date=M$2)*(Upload_Indiv_PointsTot)))</f>
        <v/>
      </c>
      <c r="N151" s="2" t="str" cm="1">
        <f t="array" ref="N151">IF(SUMPRODUCT((Upload_Indiv_Player=$A149)*(Upload_Indiv_Date=N$2)*(Upload_Indiv_PointsTot))=0,"",SUMPRODUCT((Upload_Indiv_Player=$A149)*(Upload_Indiv_Date=N$2)*(Upload_Indiv_PointsTot)))</f>
        <v/>
      </c>
      <c r="O151" s="2" t="str" cm="1">
        <f t="array" ref="O151">IF(SUMPRODUCT((Upload_Indiv_Player=$A149)*(Upload_Indiv_Date=O$2)*(Upload_Indiv_PointsTot))=0,"",SUMPRODUCT((Upload_Indiv_Player=$A149)*(Upload_Indiv_Date=O$2)*(Upload_Indiv_PointsTot)))</f>
        <v/>
      </c>
      <c r="P151" s="2" t="str" cm="1">
        <f t="array" ref="P151">IF(SUMPRODUCT((Upload_Indiv_Player=$A149)*(Upload_Indiv_Date=P$2)*(Upload_Indiv_PointsTot))=0,"",SUMPRODUCT((Upload_Indiv_Player=$A149)*(Upload_Indiv_Date=P$2)*(Upload_Indiv_PointsTot)))</f>
        <v/>
      </c>
      <c r="Q151" s="2" cm="1">
        <f t="array" ref="Q151">IF(SUMPRODUCT((Upload_Indiv_Player=$A149)*(Upload_Indiv_Date=Q$2)*(Upload_Indiv_PointsTot))=0,"",SUMPRODUCT((Upload_Indiv_Player=$A149)*(Upload_Indiv_Date=Q$2)*(Upload_Indiv_PointsTot)))</f>
        <v>10</v>
      </c>
      <c r="R151" s="2" t="str" cm="1">
        <f t="array" ref="R151">IF(SUMPRODUCT((Upload_Indiv_Player=$A149)*(Upload_Indiv_Date=R$2)*(Upload_Indiv_PointsTot))=0,"",SUMPRODUCT((Upload_Indiv_Player=$A149)*(Upload_Indiv_Date=R$2)*(Upload_Indiv_PointsTot)))</f>
        <v/>
      </c>
      <c r="S151" s="2" t="str" cm="1">
        <f t="array" ref="S151">IF(SUMPRODUCT((Upload_Indiv_Player=$A149)*(Upload_Indiv_Date=S$2)*(Upload_Indiv_PointsTot))=0,"",SUMPRODUCT((Upload_Indiv_Player=$A149)*(Upload_Indiv_Date=S$2)*(Upload_Indiv_PointsTot)))</f>
        <v/>
      </c>
      <c r="T151" s="2" cm="1">
        <f t="array" ref="T151">IF(SUMPRODUCT((Upload_Indiv_Player=$A149)*(Upload_Indiv_Date=T$2)*(Upload_Indiv_PointsTot))=0,"",SUMPRODUCT((Upload_Indiv_Player=$A149)*(Upload_Indiv_Date=T$2)*(Upload_Indiv_PointsTot)))</f>
        <v>6</v>
      </c>
      <c r="U151" s="2" t="str" cm="1">
        <f t="array" ref="U151">IF(SUMPRODUCT((Upload_Indiv_Player=$A149)*(Upload_Indiv_Date=U$2)*(Upload_Indiv_PointsTot))=0,"",SUMPRODUCT((Upload_Indiv_Player=$A149)*(Upload_Indiv_Date=U$2)*(Upload_Indiv_PointsTot)))</f>
        <v/>
      </c>
      <c r="V151" s="276"/>
      <c r="W151" s="276"/>
      <c r="X151" s="276"/>
      <c r="Y151" s="277"/>
      <c r="Z151" s="277"/>
      <c r="AA151" s="277"/>
    </row>
    <row r="152" spans="1:27" x14ac:dyDescent="0.25">
      <c r="A152" s="14" t="s">
        <v>160</v>
      </c>
      <c r="B152" s="8" t="s">
        <v>174</v>
      </c>
      <c r="C152" s="2" t="str" cm="1">
        <f t="array" ref="C152">IF(SUMPRODUCT((Upload_Indiv_Player=$A149)*(Upload_Indiv_Date=C$2)*(Upload_Indiv_Tot_Birds))=0,"",SUMPRODUCT((Upload_Indiv_Player=$A149)*(Upload_Indiv_Date=C$2)*(Upload_Indiv_Tot_Birds)))</f>
        <v/>
      </c>
      <c r="D152" s="2" t="str" cm="1">
        <f t="array" ref="D152">IF(SUMPRODUCT((Upload_Indiv_Player=$A149)*(Upload_Indiv_Date=D$2)*(Upload_Indiv_Tot_Birds))=0,"",SUMPRODUCT((Upload_Indiv_Player=$A149)*(Upload_Indiv_Date=D$2)*(Upload_Indiv_Tot_Birds)))</f>
        <v/>
      </c>
      <c r="E152" s="2" t="str" cm="1">
        <f t="array" ref="E152">IF(SUMPRODUCT((Upload_Indiv_Player=$A149)*(Upload_Indiv_Date=E$2)*(Upload_Indiv_Tot_Birds))=0,"",SUMPRODUCT((Upload_Indiv_Player=$A149)*(Upload_Indiv_Date=E$2)*(Upload_Indiv_Tot_Birds)))</f>
        <v/>
      </c>
      <c r="F152" s="2" t="str" cm="1">
        <f t="array" ref="F152">IF(SUMPRODUCT((Upload_Indiv_Player=$A149)*(Upload_Indiv_Date=F$2)*(Upload_Indiv_Tot_Birds))=0,"",SUMPRODUCT((Upload_Indiv_Player=$A149)*(Upload_Indiv_Date=F$2)*(Upload_Indiv_Tot_Birds)))</f>
        <v/>
      </c>
      <c r="G152" s="2" t="str" cm="1">
        <f t="array" ref="G152">IF(SUMPRODUCT((Upload_Indiv_Player=$A149)*(Upload_Indiv_Date=G$2)*(Upload_Indiv_Tot_Birds))=0,"",SUMPRODUCT((Upload_Indiv_Player=$A149)*(Upload_Indiv_Date=G$2)*(Upload_Indiv_Tot_Birds)))</f>
        <v/>
      </c>
      <c r="H152" s="2" t="str" cm="1">
        <f t="array" ref="H152">IF(SUMPRODUCT((Upload_Indiv_Player=$A149)*(Upload_Indiv_Date=H$2)*(Upload_Indiv_Tot_Birds))=0,"",SUMPRODUCT((Upload_Indiv_Player=$A149)*(Upload_Indiv_Date=H$2)*(Upload_Indiv_Tot_Birds)))</f>
        <v/>
      </c>
      <c r="I152" s="2" t="str" cm="1">
        <f t="array" ref="I152">IF(SUMPRODUCT((Upload_Indiv_Player=$A149)*(Upload_Indiv_Date=I$2)*(Upload_Indiv_Tot_Birds))=0,"",SUMPRODUCT((Upload_Indiv_Player=$A149)*(Upload_Indiv_Date=I$2)*(Upload_Indiv_Tot_Birds)))</f>
        <v/>
      </c>
      <c r="J152" s="2" t="str" cm="1">
        <f t="array" ref="J152">IF(SUMPRODUCT((Upload_Indiv_Player=$A149)*(Upload_Indiv_Date=J$2)*(Upload_Indiv_Tot_Birds))=0,"",SUMPRODUCT((Upload_Indiv_Player=$A149)*(Upload_Indiv_Date=J$2)*(Upload_Indiv_Tot_Birds)))</f>
        <v/>
      </c>
      <c r="K152" s="2" t="str" cm="1">
        <f t="array" ref="K152">IF(SUMPRODUCT((Upload_Indiv_Player=$A149)*(Upload_Indiv_Date=K$2)*(Upload_Indiv_Tot_Birds))=0,"",SUMPRODUCT((Upload_Indiv_Player=$A149)*(Upload_Indiv_Date=K$2)*(Upload_Indiv_Tot_Birds)))</f>
        <v/>
      </c>
      <c r="L152" s="2" t="str" cm="1">
        <f t="array" ref="L152">IF(SUMPRODUCT((Upload_Indiv_Player=$A149)*(Upload_Indiv_Date=L$2)*(Upload_Indiv_Tot_Birds))=0,"",SUMPRODUCT((Upload_Indiv_Player=$A149)*(Upload_Indiv_Date=L$2)*(Upload_Indiv_Tot_Birds)))</f>
        <v/>
      </c>
      <c r="M152" s="2" t="str" cm="1">
        <f t="array" ref="M152">IF(SUMPRODUCT((Upload_Indiv_Player=$A149)*(Upload_Indiv_Date=M$2)*(Upload_Indiv_Tot_Birds))=0,"",SUMPRODUCT((Upload_Indiv_Player=$A149)*(Upload_Indiv_Date=M$2)*(Upload_Indiv_Tot_Birds)))</f>
        <v/>
      </c>
      <c r="N152" s="2" t="str" cm="1">
        <f t="array" ref="N152">IF(SUMPRODUCT((Upload_Indiv_Player=$A149)*(Upload_Indiv_Date=N$2)*(Upload_Indiv_Tot_Birds))=0,"",SUMPRODUCT((Upload_Indiv_Player=$A149)*(Upload_Indiv_Date=N$2)*(Upload_Indiv_Tot_Birds)))</f>
        <v/>
      </c>
      <c r="O152" s="2" t="str" cm="1">
        <f t="array" ref="O152">IF(SUMPRODUCT((Upload_Indiv_Player=$A149)*(Upload_Indiv_Date=O$2)*(Upload_Indiv_Tot_Birds))=0,"",SUMPRODUCT((Upload_Indiv_Player=$A149)*(Upload_Indiv_Date=O$2)*(Upload_Indiv_Tot_Birds)))</f>
        <v/>
      </c>
      <c r="P152" s="2" t="str" cm="1">
        <f t="array" ref="P152">IF(SUMPRODUCT((Upload_Indiv_Player=$A149)*(Upload_Indiv_Date=P$2)*(Upload_Indiv_Tot_Birds))=0,"",SUMPRODUCT((Upload_Indiv_Player=$A149)*(Upload_Indiv_Date=P$2)*(Upload_Indiv_Tot_Birds)))</f>
        <v/>
      </c>
      <c r="Q152" s="2" t="str" cm="1">
        <f t="array" ref="Q152">IF(SUMPRODUCT((Upload_Indiv_Player=$A149)*(Upload_Indiv_Date=Q$2)*(Upload_Indiv_Tot_Birds))=0,"",SUMPRODUCT((Upload_Indiv_Player=$A149)*(Upload_Indiv_Date=Q$2)*(Upload_Indiv_Tot_Birds)))</f>
        <v/>
      </c>
      <c r="R152" s="2" t="str" cm="1">
        <f t="array" ref="R152">IF(SUMPRODUCT((Upload_Indiv_Player=$A149)*(Upload_Indiv_Date=R$2)*(Upload_Indiv_Tot_Birds))=0,"",SUMPRODUCT((Upload_Indiv_Player=$A149)*(Upload_Indiv_Date=R$2)*(Upload_Indiv_Tot_Birds)))</f>
        <v/>
      </c>
      <c r="S152" s="2" t="str" cm="1">
        <f t="array" ref="S152">IF(SUMPRODUCT((Upload_Indiv_Player=$A149)*(Upload_Indiv_Date=S$2)*(Upload_Indiv_Tot_Birds))=0,"",SUMPRODUCT((Upload_Indiv_Player=$A149)*(Upload_Indiv_Date=S$2)*(Upload_Indiv_Tot_Birds)))</f>
        <v/>
      </c>
      <c r="T152" s="2" t="str" cm="1">
        <f t="array" ref="T152">IF(SUMPRODUCT((Upload_Indiv_Player=$A149)*(Upload_Indiv_Date=T$2)*(Upload_Indiv_Tot_Birds))=0,"",SUMPRODUCT((Upload_Indiv_Player=$A149)*(Upload_Indiv_Date=T$2)*(Upload_Indiv_Tot_Birds)))</f>
        <v/>
      </c>
      <c r="U152" s="2" t="str" cm="1">
        <f t="array" ref="U152">IF(SUMPRODUCT((Upload_Indiv_Player=$A149)*(Upload_Indiv_Date=U$2)*(Upload_Indiv_Tot_Birds))=0,"",SUMPRODUCT((Upload_Indiv_Player=$A149)*(Upload_Indiv_Date=U$2)*(Upload_Indiv_Tot_Birds)))</f>
        <v/>
      </c>
      <c r="V152" s="276"/>
      <c r="W152" s="276"/>
      <c r="X152" s="276"/>
      <c r="Y152" s="277"/>
      <c r="Z152" s="277"/>
      <c r="AA152" s="277"/>
    </row>
    <row r="153" spans="1:27" x14ac:dyDescent="0.25">
      <c r="A153" s="14"/>
      <c r="B153" s="8" t="s">
        <v>175</v>
      </c>
      <c r="C153" s="2" t="str" cm="1">
        <f t="array" ref="C153">IF(SUMPRODUCT((Upload_Indiv_Player=$A149)*(Upload_Indiv_Date=C$2)*(Upload_Indiv_Tot_Eagles))=0,"",SUMPRODUCT((Upload_Indiv_Player=$A149)*(Upload_Indiv_Date=C$2)*(Upload_Indiv_Tot_Eagles)))</f>
        <v/>
      </c>
      <c r="D153" s="2" t="str" cm="1">
        <f t="array" ref="D153">IF(SUMPRODUCT((Upload_Indiv_Player=$A149)*(Upload_Indiv_Date=D$2)*(Upload_Indiv_Tot_Eagles))=0,"",SUMPRODUCT((Upload_Indiv_Player=$A149)*(Upload_Indiv_Date=D$2)*(Upload_Indiv_Tot_Eagles)))</f>
        <v/>
      </c>
      <c r="E153" s="2" t="str" cm="1">
        <f t="array" ref="E153">IF(SUMPRODUCT((Upload_Indiv_Player=$A149)*(Upload_Indiv_Date=E$2)*(Upload_Indiv_Tot_Eagles))=0,"",SUMPRODUCT((Upload_Indiv_Player=$A149)*(Upload_Indiv_Date=E$2)*(Upload_Indiv_Tot_Eagles)))</f>
        <v/>
      </c>
      <c r="F153" s="2" t="str" cm="1">
        <f t="array" ref="F153">IF(SUMPRODUCT((Upload_Indiv_Player=$A149)*(Upload_Indiv_Date=F$2)*(Upload_Indiv_Tot_Eagles))=0,"",SUMPRODUCT((Upload_Indiv_Player=$A149)*(Upload_Indiv_Date=F$2)*(Upload_Indiv_Tot_Eagles)))</f>
        <v/>
      </c>
      <c r="G153" s="2" t="str" cm="1">
        <f t="array" ref="G153">IF(SUMPRODUCT((Upload_Indiv_Player=$A149)*(Upload_Indiv_Date=G$2)*(Upload_Indiv_Tot_Eagles))=0,"",SUMPRODUCT((Upload_Indiv_Player=$A149)*(Upload_Indiv_Date=G$2)*(Upload_Indiv_Tot_Eagles)))</f>
        <v/>
      </c>
      <c r="H153" s="2" t="str" cm="1">
        <f t="array" ref="H153">IF(SUMPRODUCT((Upload_Indiv_Player=$A149)*(Upload_Indiv_Date=H$2)*(Upload_Indiv_Tot_Eagles))=0,"",SUMPRODUCT((Upload_Indiv_Player=$A149)*(Upload_Indiv_Date=H$2)*(Upload_Indiv_Tot_Eagles)))</f>
        <v/>
      </c>
      <c r="I153" s="2" t="str" cm="1">
        <f t="array" ref="I153">IF(SUMPRODUCT((Upload_Indiv_Player=$A149)*(Upload_Indiv_Date=I$2)*(Upload_Indiv_Tot_Eagles))=0,"",SUMPRODUCT((Upload_Indiv_Player=$A149)*(Upload_Indiv_Date=I$2)*(Upload_Indiv_Tot_Eagles)))</f>
        <v/>
      </c>
      <c r="J153" s="2" t="str" cm="1">
        <f t="array" ref="J153">IF(SUMPRODUCT((Upload_Indiv_Player=$A149)*(Upload_Indiv_Date=J$2)*(Upload_Indiv_Tot_Eagles))=0,"",SUMPRODUCT((Upload_Indiv_Player=$A149)*(Upload_Indiv_Date=J$2)*(Upload_Indiv_Tot_Eagles)))</f>
        <v/>
      </c>
      <c r="K153" s="2" t="str" cm="1">
        <f t="array" ref="K153">IF(SUMPRODUCT((Upload_Indiv_Player=$A149)*(Upload_Indiv_Date=K$2)*(Upload_Indiv_Tot_Eagles))=0,"",SUMPRODUCT((Upload_Indiv_Player=$A149)*(Upload_Indiv_Date=K$2)*(Upload_Indiv_Tot_Eagles)))</f>
        <v/>
      </c>
      <c r="L153" s="2" t="str" cm="1">
        <f t="array" ref="L153">IF(SUMPRODUCT((Upload_Indiv_Player=$A149)*(Upload_Indiv_Date=L$2)*(Upload_Indiv_Tot_Eagles))=0,"",SUMPRODUCT((Upload_Indiv_Player=$A149)*(Upload_Indiv_Date=L$2)*(Upload_Indiv_Tot_Eagles)))</f>
        <v/>
      </c>
      <c r="M153" s="2" t="str" cm="1">
        <f t="array" ref="M153">IF(SUMPRODUCT((Upload_Indiv_Player=$A149)*(Upload_Indiv_Date=M$2)*(Upload_Indiv_Tot_Eagles))=0,"",SUMPRODUCT((Upload_Indiv_Player=$A149)*(Upload_Indiv_Date=M$2)*(Upload_Indiv_Tot_Eagles)))</f>
        <v/>
      </c>
      <c r="N153" s="2" t="str" cm="1">
        <f t="array" ref="N153">IF(SUMPRODUCT((Upload_Indiv_Player=$A149)*(Upload_Indiv_Date=N$2)*(Upload_Indiv_Tot_Eagles))=0,"",SUMPRODUCT((Upload_Indiv_Player=$A149)*(Upload_Indiv_Date=N$2)*(Upload_Indiv_Tot_Eagles)))</f>
        <v/>
      </c>
      <c r="O153" s="2" t="str" cm="1">
        <f t="array" ref="O153">IF(SUMPRODUCT((Upload_Indiv_Player=$A149)*(Upload_Indiv_Date=O$2)*(Upload_Indiv_Tot_Eagles))=0,"",SUMPRODUCT((Upload_Indiv_Player=$A149)*(Upload_Indiv_Date=O$2)*(Upload_Indiv_Tot_Eagles)))</f>
        <v/>
      </c>
      <c r="P153" s="2" t="str" cm="1">
        <f t="array" ref="P153">IF(SUMPRODUCT((Upload_Indiv_Player=$A149)*(Upload_Indiv_Date=P$2)*(Upload_Indiv_Tot_Eagles))=0,"",SUMPRODUCT((Upload_Indiv_Player=$A149)*(Upload_Indiv_Date=P$2)*(Upload_Indiv_Tot_Eagles)))</f>
        <v/>
      </c>
      <c r="Q153" s="2" t="str" cm="1">
        <f t="array" ref="Q153">IF(SUMPRODUCT((Upload_Indiv_Player=$A149)*(Upload_Indiv_Date=Q$2)*(Upload_Indiv_Tot_Eagles))=0,"",SUMPRODUCT((Upload_Indiv_Player=$A149)*(Upload_Indiv_Date=Q$2)*(Upload_Indiv_Tot_Eagles)))</f>
        <v/>
      </c>
      <c r="R153" s="2" t="str" cm="1">
        <f t="array" ref="R153">IF(SUMPRODUCT((Upload_Indiv_Player=$A149)*(Upload_Indiv_Date=R$2)*(Upload_Indiv_Tot_Eagles))=0,"",SUMPRODUCT((Upload_Indiv_Player=$A149)*(Upload_Indiv_Date=R$2)*(Upload_Indiv_Tot_Eagles)))</f>
        <v/>
      </c>
      <c r="S153" s="2" t="str" cm="1">
        <f t="array" ref="S153">IF(SUMPRODUCT((Upload_Indiv_Player=$A149)*(Upload_Indiv_Date=S$2)*(Upload_Indiv_Tot_Eagles))=0,"",SUMPRODUCT((Upload_Indiv_Player=$A149)*(Upload_Indiv_Date=S$2)*(Upload_Indiv_Tot_Eagles)))</f>
        <v/>
      </c>
      <c r="T153" s="2" t="str" cm="1">
        <f t="array" ref="T153">IF(SUMPRODUCT((Upload_Indiv_Player=$A149)*(Upload_Indiv_Date=T$2)*(Upload_Indiv_Tot_Eagles))=0,"",SUMPRODUCT((Upload_Indiv_Player=$A149)*(Upload_Indiv_Date=T$2)*(Upload_Indiv_Tot_Eagles)))</f>
        <v/>
      </c>
      <c r="U153" s="2" t="str" cm="1">
        <f t="array" ref="U153">IF(SUMPRODUCT((Upload_Indiv_Player=$A149)*(Upload_Indiv_Date=U$2)*(Upload_Indiv_Tot_Eagles))=0,"",SUMPRODUCT((Upload_Indiv_Player=$A149)*(Upload_Indiv_Date=U$2)*(Upload_Indiv_Tot_Eagles)))</f>
        <v/>
      </c>
      <c r="V153" s="276"/>
      <c r="W153" s="276"/>
      <c r="X153" s="276"/>
      <c r="Y153" s="277"/>
      <c r="Z153" s="278"/>
      <c r="AA153" s="277"/>
    </row>
    <row r="154" spans="1:27" x14ac:dyDescent="0.25">
      <c r="A154" s="14"/>
      <c r="B154" s="2" t="s">
        <v>176</v>
      </c>
      <c r="C154" s="2" t="str" cm="1">
        <f t="array" ref="C154">IF(SUMPRODUCT((Upload_Indiv_Player=$A149)*(Upload_Indiv_Date=C$2)*(Upload_Indiv_Excl_Score))=0,"",SUMPRODUCT((Upload_Indiv_Player=$A149)*(Upload_Indiv_Date=C$2)*(Upload_Indiv_Excl_Score)))</f>
        <v/>
      </c>
      <c r="D154" s="2" t="str" cm="1">
        <f t="array" ref="D154">IF(SUMPRODUCT((Upload_Indiv_Player=$A149)*(Upload_Indiv_Date=D$2)*(Upload_Indiv_Excl_Score))=0,"",SUMPRODUCT((Upload_Indiv_Player=$A149)*(Upload_Indiv_Date=D$2)*(Upload_Indiv_Excl_Score)))</f>
        <v/>
      </c>
      <c r="E154" s="2" t="str" cm="1">
        <f t="array" ref="E154">IF(SUMPRODUCT((Upload_Indiv_Player=$A149)*(Upload_Indiv_Date=E$2)*(Upload_Indiv_Excl_Score))=0,"",SUMPRODUCT((Upload_Indiv_Player=$A149)*(Upload_Indiv_Date=E$2)*(Upload_Indiv_Excl_Score)))</f>
        <v/>
      </c>
      <c r="F154" s="2" t="str" cm="1">
        <f t="array" ref="F154">IF(SUMPRODUCT((Upload_Indiv_Player=$A149)*(Upload_Indiv_Date=F$2)*(Upload_Indiv_Excl_Score))=0,"",SUMPRODUCT((Upload_Indiv_Player=$A149)*(Upload_Indiv_Date=F$2)*(Upload_Indiv_Excl_Score)))</f>
        <v/>
      </c>
      <c r="G154" s="2" t="str" cm="1">
        <f t="array" ref="G154">IF(SUMPRODUCT((Upload_Indiv_Player=$A149)*(Upload_Indiv_Date=G$2)*(Upload_Indiv_Excl_Score))=0,"",SUMPRODUCT((Upload_Indiv_Player=$A149)*(Upload_Indiv_Date=G$2)*(Upload_Indiv_Excl_Score)))</f>
        <v/>
      </c>
      <c r="H154" s="2" t="str" cm="1">
        <f t="array" ref="H154">IF(SUMPRODUCT((Upload_Indiv_Player=$A149)*(Upload_Indiv_Date=H$2)*(Upload_Indiv_Excl_Score))=0,"",SUMPRODUCT((Upload_Indiv_Player=$A149)*(Upload_Indiv_Date=H$2)*(Upload_Indiv_Excl_Score)))</f>
        <v/>
      </c>
      <c r="I154" s="2" t="str" cm="1">
        <f t="array" ref="I154">IF(SUMPRODUCT((Upload_Indiv_Player=$A149)*(Upload_Indiv_Date=I$2)*(Upload_Indiv_Excl_Score))=0,"",SUMPRODUCT((Upload_Indiv_Player=$A149)*(Upload_Indiv_Date=I$2)*(Upload_Indiv_Excl_Score)))</f>
        <v/>
      </c>
      <c r="J154" s="2" t="str" cm="1">
        <f t="array" ref="J154">IF(SUMPRODUCT((Upload_Indiv_Player=$A149)*(Upload_Indiv_Date=J$2)*(Upload_Indiv_Excl_Score))=0,"",SUMPRODUCT((Upload_Indiv_Player=$A149)*(Upload_Indiv_Date=J$2)*(Upload_Indiv_Excl_Score)))</f>
        <v/>
      </c>
      <c r="K154" s="2" t="str" cm="1">
        <f t="array" ref="K154">IF(SUMPRODUCT((Upload_Indiv_Player=$A149)*(Upload_Indiv_Date=K$2)*(Upload_Indiv_Excl_Score))=0,"",SUMPRODUCT((Upload_Indiv_Player=$A149)*(Upload_Indiv_Date=K$2)*(Upload_Indiv_Excl_Score)))</f>
        <v/>
      </c>
      <c r="L154" s="2" t="str" cm="1">
        <f t="array" ref="L154">IF(SUMPRODUCT((Upload_Indiv_Player=$A149)*(Upload_Indiv_Date=L$2)*(Upload_Indiv_Excl_Score))=0,"",SUMPRODUCT((Upload_Indiv_Player=$A149)*(Upload_Indiv_Date=L$2)*(Upload_Indiv_Excl_Score)))</f>
        <v/>
      </c>
      <c r="M154" s="2" t="str" cm="1">
        <f t="array" ref="M154">IF(SUMPRODUCT((Upload_Indiv_Player=$A149)*(Upload_Indiv_Date=M$2)*(Upload_Indiv_Excl_Score))=0,"",SUMPRODUCT((Upload_Indiv_Player=$A149)*(Upload_Indiv_Date=M$2)*(Upload_Indiv_Excl_Score)))</f>
        <v/>
      </c>
      <c r="N154" s="2" t="str" cm="1">
        <f t="array" ref="N154">IF(SUMPRODUCT((Upload_Indiv_Player=$A149)*(Upload_Indiv_Date=N$2)*(Upload_Indiv_Excl_Score))=0,"",SUMPRODUCT((Upload_Indiv_Player=$A149)*(Upload_Indiv_Date=N$2)*(Upload_Indiv_Excl_Score)))</f>
        <v/>
      </c>
      <c r="O154" s="2" t="str" cm="1">
        <f t="array" ref="O154">IF(SUMPRODUCT((Upload_Indiv_Player=$A149)*(Upload_Indiv_Date=O$2)*(Upload_Indiv_Excl_Score))=0,"",SUMPRODUCT((Upload_Indiv_Player=$A149)*(Upload_Indiv_Date=O$2)*(Upload_Indiv_Excl_Score)))</f>
        <v/>
      </c>
      <c r="P154" s="2" t="str" cm="1">
        <f t="array" ref="P154">IF(SUMPRODUCT((Upload_Indiv_Player=$A149)*(Upload_Indiv_Date=P$2)*(Upload_Indiv_Excl_Score))=0,"",SUMPRODUCT((Upload_Indiv_Player=$A149)*(Upload_Indiv_Date=P$2)*(Upload_Indiv_Excl_Score)))</f>
        <v/>
      </c>
      <c r="Q154" s="2" cm="1">
        <f t="array" ref="Q154">IF(SUMPRODUCT((Upload_Indiv_Player=$A149)*(Upload_Indiv_Date=Q$2)*(Upload_Indiv_Excl_Score))=0,"",SUMPRODUCT((Upload_Indiv_Player=$A149)*(Upload_Indiv_Date=Q$2)*(Upload_Indiv_Excl_Score)))</f>
        <v>1</v>
      </c>
      <c r="R154" s="2" t="str" cm="1">
        <f t="array" ref="R154">IF(SUMPRODUCT((Upload_Indiv_Player=$A149)*(Upload_Indiv_Date=R$2)*(Upload_Indiv_Excl_Score))=0,"",SUMPRODUCT((Upload_Indiv_Player=$A149)*(Upload_Indiv_Date=R$2)*(Upload_Indiv_Excl_Score)))</f>
        <v/>
      </c>
      <c r="S154" s="2" t="str" cm="1">
        <f t="array" ref="S154">IF(SUMPRODUCT((Upload_Indiv_Player=$A149)*(Upload_Indiv_Date=S$2)*(Upload_Indiv_Excl_Score))=0,"",SUMPRODUCT((Upload_Indiv_Player=$A149)*(Upload_Indiv_Date=S$2)*(Upload_Indiv_Excl_Score)))</f>
        <v/>
      </c>
      <c r="T154" s="2" cm="1">
        <f t="array" ref="T154">IF(SUMPRODUCT((Upload_Indiv_Player=$A149)*(Upload_Indiv_Date=T$2)*(Upload_Indiv_Excl_Score))=0,"",SUMPRODUCT((Upload_Indiv_Player=$A149)*(Upload_Indiv_Date=T$2)*(Upload_Indiv_Excl_Score)))</f>
        <v>1</v>
      </c>
      <c r="U154" s="2" t="str" cm="1">
        <f t="array" ref="U154">IF(SUMPRODUCT((Upload_Indiv_Player=$A149)*(Upload_Indiv_Date=U$2)*(Upload_Indiv_Excl_Score))=0,"",SUMPRODUCT((Upload_Indiv_Player=$A149)*(Upload_Indiv_Date=U$2)*(Upload_Indiv_Excl_Score)))</f>
        <v/>
      </c>
      <c r="V154" s="276"/>
      <c r="W154" s="276"/>
      <c r="X154" s="276"/>
      <c r="Y154" s="277"/>
      <c r="Z154" s="277"/>
      <c r="AA154" s="277"/>
    </row>
    <row r="155" spans="1:27" x14ac:dyDescent="0.25">
      <c r="A155" s="14"/>
      <c r="B155" s="2" t="s">
        <v>177</v>
      </c>
      <c r="C155" s="2" t="str" cm="1">
        <f t="array" ref="C155">IFERROR(INDEX(Upload_Indiv_Team,MATCH(1,($A149=Upload_Indiv_Player)*(C$2=Upload_Indiv_Date),0)),"")</f>
        <v/>
      </c>
      <c r="D155" s="2" t="str" cm="1">
        <f t="array" ref="D155">IFERROR(INDEX(Upload_Indiv_Team,MATCH(1,($A149=Upload_Indiv_Player)*(D$2=Upload_Indiv_Date),0)),"")</f>
        <v/>
      </c>
      <c r="E155" s="2" t="str" cm="1">
        <f t="array" ref="E155">IFERROR(INDEX(Upload_Indiv_Team,MATCH(1,($A149=Upload_Indiv_Player)*(E$2=Upload_Indiv_Date),0)),"")</f>
        <v/>
      </c>
      <c r="F155" s="2" t="str" cm="1">
        <f t="array" ref="F155">IFERROR(INDEX(Upload_Indiv_Team,MATCH(1,($A149=Upload_Indiv_Player)*(F$2=Upload_Indiv_Date),0)),"")</f>
        <v/>
      </c>
      <c r="G155" s="2" t="str" cm="1">
        <f t="array" ref="G155">IFERROR(INDEX(Upload_Indiv_Team,MATCH(1,($A149=Upload_Indiv_Player)*(G$2=Upload_Indiv_Date),0)),"")</f>
        <v/>
      </c>
      <c r="H155" s="2" t="str" cm="1">
        <f t="array" ref="H155">IFERROR(INDEX(Upload_Indiv_Team,MATCH(1,($A149=Upload_Indiv_Player)*(H$2=Upload_Indiv_Date),0)),"")</f>
        <v/>
      </c>
      <c r="I155" s="2" t="str" cm="1">
        <f t="array" ref="I155">IFERROR(INDEX(Upload_Indiv_Team,MATCH(1,($A149=Upload_Indiv_Player)*(I$2=Upload_Indiv_Date),0)),"")</f>
        <v/>
      </c>
      <c r="J155" s="2" t="str" cm="1">
        <f t="array" ref="J155">IFERROR(INDEX(Upload_Indiv_Team,MATCH(1,($A149=Upload_Indiv_Player)*(J$2=Upload_Indiv_Date),0)),"")</f>
        <v/>
      </c>
      <c r="K155" s="2" t="str" cm="1">
        <f t="array" ref="K155">IFERROR(INDEX(Upload_Indiv_Team,MATCH(1,($A149=Upload_Indiv_Player)*(K$2=Upload_Indiv_Date),0)),"")</f>
        <v/>
      </c>
      <c r="L155" s="2" t="str" cm="1">
        <f t="array" ref="L155">IFERROR(INDEX(Upload_Indiv_Team,MATCH(1,($A149=Upload_Indiv_Player)*(L$2=Upload_Indiv_Date),0)),"")</f>
        <v/>
      </c>
      <c r="M155" s="2" t="str" cm="1">
        <f t="array" ref="M155">IFERROR(INDEX(Upload_Indiv_Team,MATCH(1,($A149=Upload_Indiv_Player)*(M$2=Upload_Indiv_Date),0)),"")</f>
        <v/>
      </c>
      <c r="N155" s="2" t="str" cm="1">
        <f t="array" ref="N155">IFERROR(INDEX(Upload_Indiv_Team,MATCH(1,($A149=Upload_Indiv_Player)*(N$2=Upload_Indiv_Date),0)),"")</f>
        <v/>
      </c>
      <c r="O155" s="2" t="str" cm="1">
        <f t="array" ref="O155">IFERROR(INDEX(Upload_Indiv_Team,MATCH(1,($A149=Upload_Indiv_Player)*(O$2=Upload_Indiv_Date),0)),"")</f>
        <v/>
      </c>
      <c r="P155" s="2" t="str" cm="1">
        <f t="array" ref="P155">IFERROR(INDEX(Upload_Indiv_Team,MATCH(1,($A149=Upload_Indiv_Player)*(P$2=Upload_Indiv_Date),0)),"")</f>
        <v/>
      </c>
      <c r="Q155" s="2" t="str" cm="1">
        <f t="array" ref="Q155">IFERROR(INDEX(Upload_Indiv_Team,MATCH(1,($A149=Upload_Indiv_Player)*(Q$2=Upload_Indiv_Date),0)),"")</f>
        <v>Metheads</v>
      </c>
      <c r="R155" s="2" t="str" cm="1">
        <f t="array" ref="R155">IFERROR(INDEX(Upload_Indiv_Team,MATCH(1,($A149=Upload_Indiv_Player)*(R$2=Upload_Indiv_Date),0)),"")</f>
        <v/>
      </c>
      <c r="S155" s="2" t="str" cm="1">
        <f t="array" ref="S155">IFERROR(INDEX(Upload_Indiv_Team,MATCH(1,($A149=Upload_Indiv_Player)*(S$2=Upload_Indiv_Date),0)),"")</f>
        <v/>
      </c>
      <c r="T155" s="2" t="str" cm="1">
        <f t="array" ref="T155">IFERROR(INDEX(Upload_Indiv_Team,MATCH(1,($A149=Upload_Indiv_Player)*(T$2=Upload_Indiv_Date),0)),"")</f>
        <v>Aceholes</v>
      </c>
      <c r="U155" s="2" t="str" cm="1">
        <f t="array" ref="U155">IFERROR(INDEX(Upload_Indiv_Team,MATCH(1,($A149=Upload_Indiv_Player)*(U$2=Upload_Indiv_Date),0)),"")</f>
        <v/>
      </c>
      <c r="V155" s="276"/>
      <c r="W155" s="276"/>
      <c r="X155" s="276"/>
      <c r="Y155" s="277"/>
      <c r="Z155" s="277"/>
      <c r="AA155" s="277"/>
    </row>
    <row r="156" spans="1:27" ht="13.8" thickBot="1" x14ac:dyDescent="0.3">
      <c r="A156" s="329" t="s">
        <v>160</v>
      </c>
      <c r="B156" s="16" t="s">
        <v>178</v>
      </c>
      <c r="C156" s="58" t="str">
        <f t="shared" ref="C156:U156" si="19">IF(C149="", "", IF(C151&gt;=11, "w", IF(C151&lt;=9, "l", "t")))</f>
        <v/>
      </c>
      <c r="D156" s="58" t="str">
        <f t="shared" si="19"/>
        <v/>
      </c>
      <c r="E156" s="58" t="str">
        <f t="shared" si="19"/>
        <v/>
      </c>
      <c r="F156" s="58" t="str">
        <f t="shared" si="19"/>
        <v/>
      </c>
      <c r="G156" s="58" t="str">
        <f t="shared" si="19"/>
        <v/>
      </c>
      <c r="H156" s="58" t="str">
        <f t="shared" si="19"/>
        <v/>
      </c>
      <c r="I156" s="58" t="str">
        <f t="shared" si="19"/>
        <v/>
      </c>
      <c r="J156" s="58" t="str">
        <f t="shared" si="19"/>
        <v/>
      </c>
      <c r="K156" s="58" t="str">
        <f t="shared" si="19"/>
        <v/>
      </c>
      <c r="L156" s="58" t="str">
        <f t="shared" si="19"/>
        <v/>
      </c>
      <c r="M156" s="87" t="str">
        <f t="shared" si="19"/>
        <v/>
      </c>
      <c r="N156" s="58" t="str">
        <f t="shared" si="19"/>
        <v/>
      </c>
      <c r="O156" s="58" t="str">
        <f t="shared" si="19"/>
        <v/>
      </c>
      <c r="P156" s="58" t="str">
        <f t="shared" si="19"/>
        <v/>
      </c>
      <c r="Q156" s="58" t="str">
        <f t="shared" si="19"/>
        <v>t</v>
      </c>
      <c r="R156" s="58" t="str">
        <f t="shared" si="19"/>
        <v/>
      </c>
      <c r="S156" s="58" t="str">
        <f t="shared" si="19"/>
        <v/>
      </c>
      <c r="T156" s="58" t="str">
        <f t="shared" si="19"/>
        <v>l</v>
      </c>
      <c r="U156" s="58" t="str">
        <f t="shared" si="19"/>
        <v/>
      </c>
      <c r="V156" s="276"/>
      <c r="W156" s="276"/>
      <c r="X156" s="276"/>
      <c r="Y156" s="277"/>
      <c r="Z156" s="277"/>
      <c r="AA156" s="277"/>
    </row>
    <row r="157" spans="1:27" x14ac:dyDescent="0.25">
      <c r="A157" s="11" t="s">
        <v>234</v>
      </c>
      <c r="B157" s="3" t="s">
        <v>170</v>
      </c>
      <c r="C157" s="3" t="str" cm="1">
        <f t="array" ref="C157">IF(SUMPRODUCT((Upload_Indiv_Player=$A157)*(Upload_Indiv_Date=C$2)*(Upload_Indiv_Gross))=0,"",SUMPRODUCT((Upload_Indiv_Player=$A157)*(Upload_Indiv_Date=C$2)*(Upload_Indiv_Gross)))</f>
        <v/>
      </c>
      <c r="D157" s="3" cm="1">
        <f t="array" ref="D157">IF(SUMPRODUCT((Upload_Indiv_Player=$A157)*(Upload_Indiv_Date=D$2)*(Upload_Indiv_Gross))=0,"",SUMPRODUCT((Upload_Indiv_Player=$A157)*(Upload_Indiv_Date=D$2)*(Upload_Indiv_Gross)))</f>
        <v>52</v>
      </c>
      <c r="E157" s="3" t="str" cm="1">
        <f t="array" ref="E157">IF(SUMPRODUCT((Upload_Indiv_Player=$A157)*(Upload_Indiv_Date=E$2)*(Upload_Indiv_Gross))=0,"",SUMPRODUCT((Upload_Indiv_Player=$A157)*(Upload_Indiv_Date=E$2)*(Upload_Indiv_Gross)))</f>
        <v/>
      </c>
      <c r="F157" s="3" t="str" cm="1">
        <f t="array" ref="F157">IF(SUMPRODUCT((Upload_Indiv_Player=$A157)*(Upload_Indiv_Date=F$2)*(Upload_Indiv_Gross))=0,"",SUMPRODUCT((Upload_Indiv_Player=$A157)*(Upload_Indiv_Date=F$2)*(Upload_Indiv_Gross)))</f>
        <v/>
      </c>
      <c r="G157" s="3" t="str" cm="1">
        <f t="array" ref="G157">IF(SUMPRODUCT((Upload_Indiv_Player=$A157)*(Upload_Indiv_Date=G$2)*(Upload_Indiv_Gross))=0,"",SUMPRODUCT((Upload_Indiv_Player=$A157)*(Upload_Indiv_Date=G$2)*(Upload_Indiv_Gross)))</f>
        <v/>
      </c>
      <c r="H157" s="3" t="str" cm="1">
        <f t="array" ref="H157">IF(SUMPRODUCT((Upload_Indiv_Player=$A157)*(Upload_Indiv_Date=H$2)*(Upload_Indiv_Gross))=0,"",SUMPRODUCT((Upload_Indiv_Player=$A157)*(Upload_Indiv_Date=H$2)*(Upload_Indiv_Gross)))</f>
        <v/>
      </c>
      <c r="I157" s="3" cm="1">
        <f t="array" ref="I157">IF(SUMPRODUCT((Upload_Indiv_Player=$A157)*(Upload_Indiv_Date=I$2)*(Upload_Indiv_Gross))=0,"",SUMPRODUCT((Upload_Indiv_Player=$A157)*(Upload_Indiv_Date=I$2)*(Upload_Indiv_Gross)))</f>
        <v>54</v>
      </c>
      <c r="J157" s="3" t="str" cm="1">
        <f t="array" ref="J157">IF(SUMPRODUCT((Upload_Indiv_Player=$A157)*(Upload_Indiv_Date=J$2)*(Upload_Indiv_Gross))=0,"",SUMPRODUCT((Upload_Indiv_Player=$A157)*(Upload_Indiv_Date=J$2)*(Upload_Indiv_Gross)))</f>
        <v/>
      </c>
      <c r="K157" s="3" t="str" cm="1">
        <f t="array" ref="K157">IF(SUMPRODUCT((Upload_Indiv_Player=$A157)*(Upload_Indiv_Date=K$2)*(Upload_Indiv_Gross))=0,"",SUMPRODUCT((Upload_Indiv_Player=$A157)*(Upload_Indiv_Date=K$2)*(Upload_Indiv_Gross)))</f>
        <v/>
      </c>
      <c r="L157" s="3" t="str" cm="1">
        <f t="array" ref="L157">IF(SUMPRODUCT((Upload_Indiv_Player=$A157)*(Upload_Indiv_Date=L$2)*(Upload_Indiv_Gross))=0,"",SUMPRODUCT((Upload_Indiv_Player=$A157)*(Upload_Indiv_Date=L$2)*(Upload_Indiv_Gross)))</f>
        <v/>
      </c>
      <c r="M157" s="3" t="str" cm="1">
        <f t="array" ref="M157">IF(SUMPRODUCT((Upload_Indiv_Player=$A157)*(Upload_Indiv_Date=M$2)*(Upload_Indiv_Gross))=0,"",SUMPRODUCT((Upload_Indiv_Player=$A157)*(Upload_Indiv_Date=M$2)*(Upload_Indiv_Gross)))</f>
        <v/>
      </c>
      <c r="N157" s="3" t="str" cm="1">
        <f t="array" ref="N157">IF(SUMPRODUCT((Upload_Indiv_Player=$A157)*(Upload_Indiv_Date=N$2)*(Upload_Indiv_Gross))=0,"",SUMPRODUCT((Upload_Indiv_Player=$A157)*(Upload_Indiv_Date=N$2)*(Upload_Indiv_Gross)))</f>
        <v/>
      </c>
      <c r="O157" s="3" t="str" cm="1">
        <f t="array" ref="O157">IF(SUMPRODUCT((Upload_Indiv_Player=$A157)*(Upload_Indiv_Date=O$2)*(Upload_Indiv_Gross))=0,"",SUMPRODUCT((Upload_Indiv_Player=$A157)*(Upload_Indiv_Date=O$2)*(Upload_Indiv_Gross)))</f>
        <v/>
      </c>
      <c r="P157" s="3" t="str" cm="1">
        <f t="array" ref="P157">IF(SUMPRODUCT((Upload_Indiv_Player=$A157)*(Upload_Indiv_Date=P$2)*(Upload_Indiv_Gross))=0,"",SUMPRODUCT((Upload_Indiv_Player=$A157)*(Upload_Indiv_Date=P$2)*(Upload_Indiv_Gross)))</f>
        <v/>
      </c>
      <c r="Q157" s="2" t="str" cm="1">
        <f t="array" ref="Q157">IF(SUMPRODUCT((Upload_Indiv_Player=$A157)*(Upload_Indiv_Date=Q$2)*(Upload_Indiv_Gross))=0,"",SUMPRODUCT((Upload_Indiv_Player=$A157)*(Upload_Indiv_Date=Q$2)*(Upload_Indiv_Gross)))</f>
        <v/>
      </c>
      <c r="R157" s="2" t="str" cm="1">
        <f t="array" ref="R157">IF(SUMPRODUCT((Upload_Indiv_Player=$A157)*(Upload_Indiv_Date=R$2)*(Upload_Indiv_Gross))=0,"",SUMPRODUCT((Upload_Indiv_Player=$A157)*(Upload_Indiv_Date=R$2)*(Upload_Indiv_Gross)))</f>
        <v/>
      </c>
      <c r="S157" s="2" t="str" cm="1">
        <f t="array" ref="S157">IF(SUMPRODUCT((Upload_Indiv_Player=$A157)*(Upload_Indiv_Date=S$2)*(Upload_Indiv_Gross))=0,"",SUMPRODUCT((Upload_Indiv_Player=$A157)*(Upload_Indiv_Date=S$2)*(Upload_Indiv_Gross)))</f>
        <v/>
      </c>
      <c r="T157" s="2" t="str" cm="1">
        <f t="array" ref="T157">IF(SUMPRODUCT((Upload_Indiv_Player=$A157)*(Upload_Indiv_Date=T$2)*(Upload_Indiv_Gross))=0,"",SUMPRODUCT((Upload_Indiv_Player=$A157)*(Upload_Indiv_Date=T$2)*(Upload_Indiv_Gross)))</f>
        <v/>
      </c>
      <c r="U157" s="2" t="str" cm="1">
        <f t="array" ref="U157">IF(SUMPRODUCT((Upload_Indiv_Player=$A157)*(Upload_Indiv_Date=U$2)*(Upload_Indiv_Gross))=0,"",SUMPRODUCT((Upload_Indiv_Player=$A157)*(Upload_Indiv_Date=U$2)*(Upload_Indiv_Gross)))</f>
        <v/>
      </c>
      <c r="V157" s="273">
        <v>3</v>
      </c>
      <c r="W157" s="273">
        <v>4</v>
      </c>
      <c r="X157" s="273">
        <v>1</v>
      </c>
      <c r="Y157" s="277">
        <v>0</v>
      </c>
      <c r="Z157" s="277">
        <v>0</v>
      </c>
      <c r="AA157" s="277">
        <v>0</v>
      </c>
    </row>
    <row r="158" spans="1:27" x14ac:dyDescent="0.25">
      <c r="A158" s="216"/>
      <c r="B158" s="2" t="s">
        <v>171</v>
      </c>
      <c r="C158" s="2" t="str" cm="1">
        <f t="array" ref="C158">IF(SUMPRODUCT((Upload_Indiv_Player=$A157)*(Upload_Indiv_Date=C$2)*(Upload_Indiv_Net))=0,"",SUMPRODUCT((Upload_Indiv_Player=$A157)*(Upload_Indiv_Date=C$2)*(Upload_Indiv_Net)))</f>
        <v/>
      </c>
      <c r="D158" s="2" cm="1">
        <f t="array" ref="D158">IF(SUMPRODUCT((Upload_Indiv_Player=$A157)*(Upload_Indiv_Date=D$2)*(Upload_Indiv_Net))=0,"",SUMPRODUCT((Upload_Indiv_Player=$A157)*(Upload_Indiv_Date=D$2)*(Upload_Indiv_Net)))</f>
        <v>40</v>
      </c>
      <c r="E158" s="2" t="str" cm="1">
        <f t="array" ref="E158">IF(SUMPRODUCT((Upload_Indiv_Player=$A157)*(Upload_Indiv_Date=E$2)*(Upload_Indiv_Net))=0,"",SUMPRODUCT((Upload_Indiv_Player=$A157)*(Upload_Indiv_Date=E$2)*(Upload_Indiv_Net)))</f>
        <v/>
      </c>
      <c r="F158" s="2" t="str" cm="1">
        <f t="array" ref="F158">IF(SUMPRODUCT((Upload_Indiv_Player=$A157)*(Upload_Indiv_Date=F$2)*(Upload_Indiv_Net))=0,"",SUMPRODUCT((Upload_Indiv_Player=$A157)*(Upload_Indiv_Date=F$2)*(Upload_Indiv_Net)))</f>
        <v/>
      </c>
      <c r="G158" s="2" t="str" cm="1">
        <f t="array" ref="G158">IF(SUMPRODUCT((Upload_Indiv_Player=$A157)*(Upload_Indiv_Date=G$2)*(Upload_Indiv_Net))=0,"",SUMPRODUCT((Upload_Indiv_Player=$A157)*(Upload_Indiv_Date=G$2)*(Upload_Indiv_Net)))</f>
        <v/>
      </c>
      <c r="H158" s="2" t="str" cm="1">
        <f t="array" ref="H158">IF(SUMPRODUCT((Upload_Indiv_Player=$A157)*(Upload_Indiv_Date=H$2)*(Upload_Indiv_Net))=0,"",SUMPRODUCT((Upload_Indiv_Player=$A157)*(Upload_Indiv_Date=H$2)*(Upload_Indiv_Net)))</f>
        <v/>
      </c>
      <c r="I158" s="2" cm="1">
        <f t="array" ref="I158">IF(SUMPRODUCT((Upload_Indiv_Player=$A157)*(Upload_Indiv_Date=I$2)*(Upload_Indiv_Net))=0,"",SUMPRODUCT((Upload_Indiv_Player=$A157)*(Upload_Indiv_Date=I$2)*(Upload_Indiv_Net)))</f>
        <v>42</v>
      </c>
      <c r="J158" s="2" t="str" cm="1">
        <f t="array" ref="J158">IF(SUMPRODUCT((Upload_Indiv_Player=$A157)*(Upload_Indiv_Date=J$2)*(Upload_Indiv_Net))=0,"",SUMPRODUCT((Upload_Indiv_Player=$A157)*(Upload_Indiv_Date=J$2)*(Upload_Indiv_Net)))</f>
        <v/>
      </c>
      <c r="K158" s="2" t="str" cm="1">
        <f t="array" ref="K158">IF(SUMPRODUCT((Upload_Indiv_Player=$A157)*(Upload_Indiv_Date=K$2)*(Upload_Indiv_Net))=0,"",SUMPRODUCT((Upload_Indiv_Player=$A157)*(Upload_Indiv_Date=K$2)*(Upload_Indiv_Net)))</f>
        <v/>
      </c>
      <c r="L158" s="2" t="str" cm="1">
        <f t="array" ref="L158">IF(SUMPRODUCT((Upload_Indiv_Player=$A157)*(Upload_Indiv_Date=L$2)*(Upload_Indiv_Net))=0,"",SUMPRODUCT((Upload_Indiv_Player=$A157)*(Upload_Indiv_Date=L$2)*(Upload_Indiv_Net)))</f>
        <v/>
      </c>
      <c r="M158" s="2" t="str" cm="1">
        <f t="array" ref="M158">IF(SUMPRODUCT((Upload_Indiv_Player=$A157)*(Upload_Indiv_Date=M$2)*(Upload_Indiv_Net))=0,"",SUMPRODUCT((Upload_Indiv_Player=$A157)*(Upload_Indiv_Date=M$2)*(Upload_Indiv_Net)))</f>
        <v/>
      </c>
      <c r="N158" s="2" t="str" cm="1">
        <f t="array" ref="N158">IF(SUMPRODUCT((Upload_Indiv_Player=$A157)*(Upload_Indiv_Date=N$2)*(Upload_Indiv_Net))=0,"",SUMPRODUCT((Upload_Indiv_Player=$A157)*(Upload_Indiv_Date=N$2)*(Upload_Indiv_Net)))</f>
        <v/>
      </c>
      <c r="O158" s="2" t="str" cm="1">
        <f t="array" ref="O158">IF(SUMPRODUCT((Upload_Indiv_Player=$A157)*(Upload_Indiv_Date=O$2)*(Upload_Indiv_Net))=0,"",SUMPRODUCT((Upload_Indiv_Player=$A157)*(Upload_Indiv_Date=O$2)*(Upload_Indiv_Net)))</f>
        <v/>
      </c>
      <c r="P158" s="2" t="str" cm="1">
        <f t="array" ref="P158">IF(SUMPRODUCT((Upload_Indiv_Player=$A157)*(Upload_Indiv_Date=P$2)*(Upload_Indiv_Net))=0,"",SUMPRODUCT((Upload_Indiv_Player=$A157)*(Upload_Indiv_Date=P$2)*(Upload_Indiv_Net)))</f>
        <v/>
      </c>
      <c r="Q158" s="2" t="str" cm="1">
        <f t="array" ref="Q158">IF(SUMPRODUCT((Upload_Indiv_Player=$A157)*(Upload_Indiv_Date=Q$2)*(Upload_Indiv_Net))=0,"",SUMPRODUCT((Upload_Indiv_Player=$A157)*(Upload_Indiv_Date=Q$2)*(Upload_Indiv_Net)))</f>
        <v/>
      </c>
      <c r="R158" s="2" t="str" cm="1">
        <f t="array" ref="R158">IF(SUMPRODUCT((Upload_Indiv_Player=$A157)*(Upload_Indiv_Date=R$2)*(Upload_Indiv_Net))=0,"",SUMPRODUCT((Upload_Indiv_Player=$A157)*(Upload_Indiv_Date=R$2)*(Upload_Indiv_Net)))</f>
        <v/>
      </c>
      <c r="S158" s="2" t="str" cm="1">
        <f t="array" ref="S158">IF(SUMPRODUCT((Upload_Indiv_Player=$A157)*(Upload_Indiv_Date=S$2)*(Upload_Indiv_Net))=0,"",SUMPRODUCT((Upload_Indiv_Player=$A157)*(Upload_Indiv_Date=S$2)*(Upload_Indiv_Net)))</f>
        <v/>
      </c>
      <c r="T158" s="2" t="str" cm="1">
        <f t="array" ref="T158">IF(SUMPRODUCT((Upload_Indiv_Player=$A157)*(Upload_Indiv_Date=T$2)*(Upload_Indiv_Net))=0,"",SUMPRODUCT((Upload_Indiv_Player=$A157)*(Upload_Indiv_Date=T$2)*(Upload_Indiv_Net)))</f>
        <v/>
      </c>
      <c r="U158" s="2" t="str" cm="1">
        <f t="array" ref="U158">IF(SUMPRODUCT((Upload_Indiv_Player=$A157)*(Upload_Indiv_Date=U$2)*(Upload_Indiv_Net))=0,"",SUMPRODUCT((Upload_Indiv_Player=$A157)*(Upload_Indiv_Date=U$2)*(Upload_Indiv_Net)))</f>
        <v/>
      </c>
      <c r="V158" s="279">
        <v>50</v>
      </c>
      <c r="W158" s="276"/>
      <c r="X158" s="276"/>
      <c r="Y158" s="277"/>
      <c r="Z158" s="277"/>
      <c r="AA158" s="277"/>
    </row>
    <row r="159" spans="1:27" x14ac:dyDescent="0.25">
      <c r="A159" s="65" t="s">
        <v>235</v>
      </c>
      <c r="B159" s="2" t="s">
        <v>173</v>
      </c>
      <c r="C159" s="2" t="str" cm="1">
        <f t="array" ref="C159">IF(SUMPRODUCT((Upload_Indiv_Player=$A157)*(Upload_Indiv_Date=C$2)*(Upload_Indiv_PointsTot))=0,"",SUMPRODUCT((Upload_Indiv_Player=$A157)*(Upload_Indiv_Date=C$2)*(Upload_Indiv_PointsTot)))</f>
        <v/>
      </c>
      <c r="D159" s="2" cm="1">
        <f t="array" ref="D159">IF(SUMPRODUCT((Upload_Indiv_Player=$A157)*(Upload_Indiv_Date=D$2)*(Upload_Indiv_PointsTot))=0,"",SUMPRODUCT((Upload_Indiv_Player=$A157)*(Upload_Indiv_Date=D$2)*(Upload_Indiv_PointsTot)))</f>
        <v>14</v>
      </c>
      <c r="E159" s="2" t="str" cm="1">
        <f t="array" ref="E159">IF(SUMPRODUCT((Upload_Indiv_Player=$A157)*(Upload_Indiv_Date=E$2)*(Upload_Indiv_PointsTot))=0,"",SUMPRODUCT((Upload_Indiv_Player=$A157)*(Upload_Indiv_Date=E$2)*(Upload_Indiv_PointsTot)))</f>
        <v/>
      </c>
      <c r="F159" s="2" t="str" cm="1">
        <f t="array" ref="F159">IF(SUMPRODUCT((Upload_Indiv_Player=$A157)*(Upload_Indiv_Date=F$2)*(Upload_Indiv_PointsTot))=0,"",SUMPRODUCT((Upload_Indiv_Player=$A157)*(Upload_Indiv_Date=F$2)*(Upload_Indiv_PointsTot)))</f>
        <v/>
      </c>
      <c r="G159" s="2" t="str" cm="1">
        <f t="array" ref="G159">IF(SUMPRODUCT((Upload_Indiv_Player=$A157)*(Upload_Indiv_Date=G$2)*(Upload_Indiv_PointsTot))=0,"",SUMPRODUCT((Upload_Indiv_Player=$A157)*(Upload_Indiv_Date=G$2)*(Upload_Indiv_PointsTot)))</f>
        <v/>
      </c>
      <c r="H159" s="2" t="str" cm="1">
        <f t="array" ref="H159">IF(SUMPRODUCT((Upload_Indiv_Player=$A157)*(Upload_Indiv_Date=H$2)*(Upload_Indiv_PointsTot))=0,"",SUMPRODUCT((Upload_Indiv_Player=$A157)*(Upload_Indiv_Date=H$2)*(Upload_Indiv_PointsTot)))</f>
        <v/>
      </c>
      <c r="I159" s="2" cm="1">
        <f t="array" ref="I159">IF(SUMPRODUCT((Upload_Indiv_Player=$A157)*(Upload_Indiv_Date=I$2)*(Upload_Indiv_PointsTot))=0,"",SUMPRODUCT((Upload_Indiv_Player=$A157)*(Upload_Indiv_Date=I$2)*(Upload_Indiv_PointsTot)))</f>
        <v>13</v>
      </c>
      <c r="J159" s="2" t="str" cm="1">
        <f t="array" ref="J159">IF(SUMPRODUCT((Upload_Indiv_Player=$A157)*(Upload_Indiv_Date=J$2)*(Upload_Indiv_PointsTot))=0,"",SUMPRODUCT((Upload_Indiv_Player=$A157)*(Upload_Indiv_Date=J$2)*(Upload_Indiv_PointsTot)))</f>
        <v/>
      </c>
      <c r="K159" s="2" t="str" cm="1">
        <f t="array" ref="K159">IF(SUMPRODUCT((Upload_Indiv_Player=$A157)*(Upload_Indiv_Date=K$2)*(Upload_Indiv_PointsTot))=0,"",SUMPRODUCT((Upload_Indiv_Player=$A157)*(Upload_Indiv_Date=K$2)*(Upload_Indiv_PointsTot)))</f>
        <v/>
      </c>
      <c r="L159" s="2" t="str" cm="1">
        <f t="array" ref="L159">IF(SUMPRODUCT((Upload_Indiv_Player=$A157)*(Upload_Indiv_Date=L$2)*(Upload_Indiv_PointsTot))=0,"",SUMPRODUCT((Upload_Indiv_Player=$A157)*(Upload_Indiv_Date=L$2)*(Upload_Indiv_PointsTot)))</f>
        <v/>
      </c>
      <c r="M159" s="2" t="str" cm="1">
        <f t="array" ref="M159">IF(SUMPRODUCT((Upload_Indiv_Player=$A157)*(Upload_Indiv_Date=M$2)*(Upload_Indiv_PointsTot))=0,"",SUMPRODUCT((Upload_Indiv_Player=$A157)*(Upload_Indiv_Date=M$2)*(Upload_Indiv_PointsTot)))</f>
        <v/>
      </c>
      <c r="N159" s="2" t="str" cm="1">
        <f t="array" ref="N159">IF(SUMPRODUCT((Upload_Indiv_Player=$A157)*(Upload_Indiv_Date=N$2)*(Upload_Indiv_PointsTot))=0,"",SUMPRODUCT((Upload_Indiv_Player=$A157)*(Upload_Indiv_Date=N$2)*(Upload_Indiv_PointsTot)))</f>
        <v/>
      </c>
      <c r="O159" s="2" t="str" cm="1">
        <f t="array" ref="O159">IF(SUMPRODUCT((Upload_Indiv_Player=$A157)*(Upload_Indiv_Date=O$2)*(Upload_Indiv_PointsTot))=0,"",SUMPRODUCT((Upload_Indiv_Player=$A157)*(Upload_Indiv_Date=O$2)*(Upload_Indiv_PointsTot)))</f>
        <v/>
      </c>
      <c r="P159" s="2" t="str" cm="1">
        <f t="array" ref="P159">IF(SUMPRODUCT((Upload_Indiv_Player=$A157)*(Upload_Indiv_Date=P$2)*(Upload_Indiv_PointsTot))=0,"",SUMPRODUCT((Upload_Indiv_Player=$A157)*(Upload_Indiv_Date=P$2)*(Upload_Indiv_PointsTot)))</f>
        <v/>
      </c>
      <c r="Q159" s="2" t="str" cm="1">
        <f t="array" ref="Q159">IF(SUMPRODUCT((Upload_Indiv_Player=$A157)*(Upload_Indiv_Date=Q$2)*(Upload_Indiv_PointsTot))=0,"",SUMPRODUCT((Upload_Indiv_Player=$A157)*(Upload_Indiv_Date=Q$2)*(Upload_Indiv_PointsTot)))</f>
        <v/>
      </c>
      <c r="R159" s="2" t="str" cm="1">
        <f t="array" ref="R159">IF(SUMPRODUCT((Upload_Indiv_Player=$A157)*(Upload_Indiv_Date=R$2)*(Upload_Indiv_PointsTot))=0,"",SUMPRODUCT((Upload_Indiv_Player=$A157)*(Upload_Indiv_Date=R$2)*(Upload_Indiv_PointsTot)))</f>
        <v/>
      </c>
      <c r="S159" s="2" t="str" cm="1">
        <f t="array" ref="S159">IF(SUMPRODUCT((Upload_Indiv_Player=$A157)*(Upload_Indiv_Date=S$2)*(Upload_Indiv_PointsTot))=0,"",SUMPRODUCT((Upload_Indiv_Player=$A157)*(Upload_Indiv_Date=S$2)*(Upload_Indiv_PointsTot)))</f>
        <v/>
      </c>
      <c r="T159" s="2" t="str" cm="1">
        <f t="array" ref="T159">IF(SUMPRODUCT((Upload_Indiv_Player=$A157)*(Upload_Indiv_Date=T$2)*(Upload_Indiv_PointsTot))=0,"",SUMPRODUCT((Upload_Indiv_Player=$A157)*(Upload_Indiv_Date=T$2)*(Upload_Indiv_PointsTot)))</f>
        <v/>
      </c>
      <c r="U159" s="2" t="str" cm="1">
        <f t="array" ref="U159">IF(SUMPRODUCT((Upload_Indiv_Player=$A157)*(Upload_Indiv_Date=U$2)*(Upload_Indiv_PointsTot))=0,"",SUMPRODUCT((Upload_Indiv_Player=$A157)*(Upload_Indiv_Date=U$2)*(Upload_Indiv_PointsTot)))</f>
        <v/>
      </c>
      <c r="V159" s="276"/>
      <c r="W159" s="276"/>
      <c r="X159" s="276"/>
      <c r="Y159" s="277"/>
      <c r="Z159" s="277"/>
      <c r="AA159" s="277"/>
    </row>
    <row r="160" spans="1:27" x14ac:dyDescent="0.25">
      <c r="A160" s="14" t="s">
        <v>160</v>
      </c>
      <c r="B160" s="8" t="s">
        <v>174</v>
      </c>
      <c r="C160" s="2" t="str" cm="1">
        <f t="array" ref="C160">IF(SUMPRODUCT((Upload_Indiv_Player=$A157)*(Upload_Indiv_Date=C$2)*(Upload_Indiv_Tot_Birds))=0,"",SUMPRODUCT((Upload_Indiv_Player=$A157)*(Upload_Indiv_Date=C$2)*(Upload_Indiv_Tot_Birds)))</f>
        <v/>
      </c>
      <c r="D160" s="2" t="str" cm="1">
        <f t="array" ref="D160">IF(SUMPRODUCT((Upload_Indiv_Player=$A157)*(Upload_Indiv_Date=D$2)*(Upload_Indiv_Tot_Birds))=0,"",SUMPRODUCT((Upload_Indiv_Player=$A157)*(Upload_Indiv_Date=D$2)*(Upload_Indiv_Tot_Birds)))</f>
        <v/>
      </c>
      <c r="E160" s="2" t="str" cm="1">
        <f t="array" ref="E160">IF(SUMPRODUCT((Upload_Indiv_Player=$A157)*(Upload_Indiv_Date=E$2)*(Upload_Indiv_Tot_Birds))=0,"",SUMPRODUCT((Upload_Indiv_Player=$A157)*(Upload_Indiv_Date=E$2)*(Upload_Indiv_Tot_Birds)))</f>
        <v/>
      </c>
      <c r="F160" s="2" t="str" cm="1">
        <f t="array" ref="F160">IF(SUMPRODUCT((Upload_Indiv_Player=$A157)*(Upload_Indiv_Date=F$2)*(Upload_Indiv_Tot_Birds))=0,"",SUMPRODUCT((Upload_Indiv_Player=$A157)*(Upload_Indiv_Date=F$2)*(Upload_Indiv_Tot_Birds)))</f>
        <v/>
      </c>
      <c r="G160" s="2" t="str" cm="1">
        <f t="array" ref="G160">IF(SUMPRODUCT((Upload_Indiv_Player=$A157)*(Upload_Indiv_Date=G$2)*(Upload_Indiv_Tot_Birds))=0,"",SUMPRODUCT((Upload_Indiv_Player=$A157)*(Upload_Indiv_Date=G$2)*(Upload_Indiv_Tot_Birds)))</f>
        <v/>
      </c>
      <c r="H160" s="2" t="str" cm="1">
        <f t="array" ref="H160">IF(SUMPRODUCT((Upload_Indiv_Player=$A157)*(Upload_Indiv_Date=H$2)*(Upload_Indiv_Tot_Birds))=0,"",SUMPRODUCT((Upload_Indiv_Player=$A157)*(Upload_Indiv_Date=H$2)*(Upload_Indiv_Tot_Birds)))</f>
        <v/>
      </c>
      <c r="I160" s="2" t="str" cm="1">
        <f t="array" ref="I160">IF(SUMPRODUCT((Upload_Indiv_Player=$A157)*(Upload_Indiv_Date=I$2)*(Upload_Indiv_Tot_Birds))=0,"",SUMPRODUCT((Upload_Indiv_Player=$A157)*(Upload_Indiv_Date=I$2)*(Upload_Indiv_Tot_Birds)))</f>
        <v/>
      </c>
      <c r="J160" s="2" t="str" cm="1">
        <f t="array" ref="J160">IF(SUMPRODUCT((Upload_Indiv_Player=$A157)*(Upload_Indiv_Date=J$2)*(Upload_Indiv_Tot_Birds))=0,"",SUMPRODUCT((Upload_Indiv_Player=$A157)*(Upload_Indiv_Date=J$2)*(Upload_Indiv_Tot_Birds)))</f>
        <v/>
      </c>
      <c r="K160" s="2" t="str" cm="1">
        <f t="array" ref="K160">IF(SUMPRODUCT((Upload_Indiv_Player=$A157)*(Upload_Indiv_Date=K$2)*(Upload_Indiv_Tot_Birds))=0,"",SUMPRODUCT((Upload_Indiv_Player=$A157)*(Upload_Indiv_Date=K$2)*(Upload_Indiv_Tot_Birds)))</f>
        <v/>
      </c>
      <c r="L160" s="2" t="str" cm="1">
        <f t="array" ref="L160">IF(SUMPRODUCT((Upload_Indiv_Player=$A157)*(Upload_Indiv_Date=L$2)*(Upload_Indiv_Tot_Birds))=0,"",SUMPRODUCT((Upload_Indiv_Player=$A157)*(Upload_Indiv_Date=L$2)*(Upload_Indiv_Tot_Birds)))</f>
        <v/>
      </c>
      <c r="M160" s="2" t="str" cm="1">
        <f t="array" ref="M160">IF(SUMPRODUCT((Upload_Indiv_Player=$A157)*(Upload_Indiv_Date=M$2)*(Upload_Indiv_Tot_Birds))=0,"",SUMPRODUCT((Upload_Indiv_Player=$A157)*(Upload_Indiv_Date=M$2)*(Upload_Indiv_Tot_Birds)))</f>
        <v/>
      </c>
      <c r="N160" s="2" t="str" cm="1">
        <f t="array" ref="N160">IF(SUMPRODUCT((Upload_Indiv_Player=$A157)*(Upload_Indiv_Date=N$2)*(Upload_Indiv_Tot_Birds))=0,"",SUMPRODUCT((Upload_Indiv_Player=$A157)*(Upload_Indiv_Date=N$2)*(Upload_Indiv_Tot_Birds)))</f>
        <v/>
      </c>
      <c r="O160" s="2" t="str" cm="1">
        <f t="array" ref="O160">IF(SUMPRODUCT((Upload_Indiv_Player=$A157)*(Upload_Indiv_Date=O$2)*(Upload_Indiv_Tot_Birds))=0,"",SUMPRODUCT((Upload_Indiv_Player=$A157)*(Upload_Indiv_Date=O$2)*(Upload_Indiv_Tot_Birds)))</f>
        <v/>
      </c>
      <c r="P160" s="2" t="str" cm="1">
        <f t="array" ref="P160">IF(SUMPRODUCT((Upload_Indiv_Player=$A157)*(Upload_Indiv_Date=P$2)*(Upload_Indiv_Tot_Birds))=0,"",SUMPRODUCT((Upload_Indiv_Player=$A157)*(Upload_Indiv_Date=P$2)*(Upload_Indiv_Tot_Birds)))</f>
        <v/>
      </c>
      <c r="Q160" s="2" t="str" cm="1">
        <f t="array" ref="Q160">IF(SUMPRODUCT((Upload_Indiv_Player=$A157)*(Upload_Indiv_Date=Q$2)*(Upload_Indiv_Tot_Birds))=0,"",SUMPRODUCT((Upload_Indiv_Player=$A157)*(Upload_Indiv_Date=Q$2)*(Upload_Indiv_Tot_Birds)))</f>
        <v/>
      </c>
      <c r="R160" s="2" t="str" cm="1">
        <f t="array" ref="R160">IF(SUMPRODUCT((Upload_Indiv_Player=$A157)*(Upload_Indiv_Date=R$2)*(Upload_Indiv_Tot_Birds))=0,"",SUMPRODUCT((Upload_Indiv_Player=$A157)*(Upload_Indiv_Date=R$2)*(Upload_Indiv_Tot_Birds)))</f>
        <v/>
      </c>
      <c r="S160" s="2" t="str" cm="1">
        <f t="array" ref="S160">IF(SUMPRODUCT((Upload_Indiv_Player=$A157)*(Upload_Indiv_Date=S$2)*(Upload_Indiv_Tot_Birds))=0,"",SUMPRODUCT((Upload_Indiv_Player=$A157)*(Upload_Indiv_Date=S$2)*(Upload_Indiv_Tot_Birds)))</f>
        <v/>
      </c>
      <c r="T160" s="2" t="str" cm="1">
        <f t="array" ref="T160">IF(SUMPRODUCT((Upload_Indiv_Player=$A157)*(Upload_Indiv_Date=T$2)*(Upload_Indiv_Tot_Birds))=0,"",SUMPRODUCT((Upload_Indiv_Player=$A157)*(Upload_Indiv_Date=T$2)*(Upload_Indiv_Tot_Birds)))</f>
        <v/>
      </c>
      <c r="U160" s="2" t="str" cm="1">
        <f t="array" ref="U160">IF(SUMPRODUCT((Upload_Indiv_Player=$A157)*(Upload_Indiv_Date=U$2)*(Upload_Indiv_Tot_Birds))=0,"",SUMPRODUCT((Upload_Indiv_Player=$A157)*(Upload_Indiv_Date=U$2)*(Upload_Indiv_Tot_Birds)))</f>
        <v/>
      </c>
      <c r="V160" s="276"/>
      <c r="W160" s="276"/>
      <c r="X160" s="276"/>
      <c r="Y160" s="277"/>
      <c r="Z160" s="277"/>
      <c r="AA160" s="277"/>
    </row>
    <row r="161" spans="1:27" x14ac:dyDescent="0.25">
      <c r="A161" s="14"/>
      <c r="B161" s="8" t="s">
        <v>175</v>
      </c>
      <c r="C161" s="2" t="str" cm="1">
        <f t="array" ref="C161">IF(SUMPRODUCT((Upload_Indiv_Player=$A157)*(Upload_Indiv_Date=C$2)*(Upload_Indiv_Tot_Eagles))=0,"",SUMPRODUCT((Upload_Indiv_Player=$A157)*(Upload_Indiv_Date=C$2)*(Upload_Indiv_Tot_Eagles)))</f>
        <v/>
      </c>
      <c r="D161" s="2" t="str" cm="1">
        <f t="array" ref="D161">IF(SUMPRODUCT((Upload_Indiv_Player=$A157)*(Upload_Indiv_Date=D$2)*(Upload_Indiv_Tot_Eagles))=0,"",SUMPRODUCT((Upload_Indiv_Player=$A157)*(Upload_Indiv_Date=D$2)*(Upload_Indiv_Tot_Eagles)))</f>
        <v/>
      </c>
      <c r="E161" s="2" t="str" cm="1">
        <f t="array" ref="E161">IF(SUMPRODUCT((Upload_Indiv_Player=$A157)*(Upload_Indiv_Date=E$2)*(Upload_Indiv_Tot_Eagles))=0,"",SUMPRODUCT((Upload_Indiv_Player=$A157)*(Upload_Indiv_Date=E$2)*(Upload_Indiv_Tot_Eagles)))</f>
        <v/>
      </c>
      <c r="F161" s="2" t="str" cm="1">
        <f t="array" ref="F161">IF(SUMPRODUCT((Upload_Indiv_Player=$A157)*(Upload_Indiv_Date=F$2)*(Upload_Indiv_Tot_Eagles))=0,"",SUMPRODUCT((Upload_Indiv_Player=$A157)*(Upload_Indiv_Date=F$2)*(Upload_Indiv_Tot_Eagles)))</f>
        <v/>
      </c>
      <c r="G161" s="2" t="str" cm="1">
        <f t="array" ref="G161">IF(SUMPRODUCT((Upload_Indiv_Player=$A157)*(Upload_Indiv_Date=G$2)*(Upload_Indiv_Tot_Eagles))=0,"",SUMPRODUCT((Upload_Indiv_Player=$A157)*(Upload_Indiv_Date=G$2)*(Upload_Indiv_Tot_Eagles)))</f>
        <v/>
      </c>
      <c r="H161" s="2" t="str" cm="1">
        <f t="array" ref="H161">IF(SUMPRODUCT((Upload_Indiv_Player=$A157)*(Upload_Indiv_Date=H$2)*(Upload_Indiv_Tot_Eagles))=0,"",SUMPRODUCT((Upload_Indiv_Player=$A157)*(Upload_Indiv_Date=H$2)*(Upload_Indiv_Tot_Eagles)))</f>
        <v/>
      </c>
      <c r="I161" s="2" t="str" cm="1">
        <f t="array" ref="I161">IF(SUMPRODUCT((Upload_Indiv_Player=$A157)*(Upload_Indiv_Date=I$2)*(Upload_Indiv_Tot_Eagles))=0,"",SUMPRODUCT((Upload_Indiv_Player=$A157)*(Upload_Indiv_Date=I$2)*(Upload_Indiv_Tot_Eagles)))</f>
        <v/>
      </c>
      <c r="J161" s="2" t="str" cm="1">
        <f t="array" ref="J161">IF(SUMPRODUCT((Upload_Indiv_Player=$A157)*(Upload_Indiv_Date=J$2)*(Upload_Indiv_Tot_Eagles))=0,"",SUMPRODUCT((Upload_Indiv_Player=$A157)*(Upload_Indiv_Date=J$2)*(Upload_Indiv_Tot_Eagles)))</f>
        <v/>
      </c>
      <c r="K161" s="2" t="str" cm="1">
        <f t="array" ref="K161">IF(SUMPRODUCT((Upload_Indiv_Player=$A157)*(Upload_Indiv_Date=K$2)*(Upload_Indiv_Tot_Eagles))=0,"",SUMPRODUCT((Upload_Indiv_Player=$A157)*(Upload_Indiv_Date=K$2)*(Upload_Indiv_Tot_Eagles)))</f>
        <v/>
      </c>
      <c r="L161" s="2" t="str" cm="1">
        <f t="array" ref="L161">IF(SUMPRODUCT((Upload_Indiv_Player=$A157)*(Upload_Indiv_Date=L$2)*(Upload_Indiv_Tot_Eagles))=0,"",SUMPRODUCT((Upload_Indiv_Player=$A157)*(Upload_Indiv_Date=L$2)*(Upload_Indiv_Tot_Eagles)))</f>
        <v/>
      </c>
      <c r="M161" s="2" t="str" cm="1">
        <f t="array" ref="M161">IF(SUMPRODUCT((Upload_Indiv_Player=$A157)*(Upload_Indiv_Date=M$2)*(Upload_Indiv_Tot_Eagles))=0,"",SUMPRODUCT((Upload_Indiv_Player=$A157)*(Upload_Indiv_Date=M$2)*(Upload_Indiv_Tot_Eagles)))</f>
        <v/>
      </c>
      <c r="N161" s="2" t="str" cm="1">
        <f t="array" ref="N161">IF(SUMPRODUCT((Upload_Indiv_Player=$A157)*(Upload_Indiv_Date=N$2)*(Upload_Indiv_Tot_Eagles))=0,"",SUMPRODUCT((Upload_Indiv_Player=$A157)*(Upload_Indiv_Date=N$2)*(Upload_Indiv_Tot_Eagles)))</f>
        <v/>
      </c>
      <c r="O161" s="2" t="str" cm="1">
        <f t="array" ref="O161">IF(SUMPRODUCT((Upload_Indiv_Player=$A157)*(Upload_Indiv_Date=O$2)*(Upload_Indiv_Tot_Eagles))=0,"",SUMPRODUCT((Upload_Indiv_Player=$A157)*(Upload_Indiv_Date=O$2)*(Upload_Indiv_Tot_Eagles)))</f>
        <v/>
      </c>
      <c r="P161" s="2" t="str" cm="1">
        <f t="array" ref="P161">IF(SUMPRODUCT((Upload_Indiv_Player=$A157)*(Upload_Indiv_Date=P$2)*(Upload_Indiv_Tot_Eagles))=0,"",SUMPRODUCT((Upload_Indiv_Player=$A157)*(Upload_Indiv_Date=P$2)*(Upload_Indiv_Tot_Eagles)))</f>
        <v/>
      </c>
      <c r="Q161" s="2" t="str" cm="1">
        <f t="array" ref="Q161">IF(SUMPRODUCT((Upload_Indiv_Player=$A157)*(Upload_Indiv_Date=Q$2)*(Upload_Indiv_Tot_Eagles))=0,"",SUMPRODUCT((Upload_Indiv_Player=$A157)*(Upload_Indiv_Date=Q$2)*(Upload_Indiv_Tot_Eagles)))</f>
        <v/>
      </c>
      <c r="R161" s="2" t="str" cm="1">
        <f t="array" ref="R161">IF(SUMPRODUCT((Upload_Indiv_Player=$A157)*(Upload_Indiv_Date=R$2)*(Upload_Indiv_Tot_Eagles))=0,"",SUMPRODUCT((Upload_Indiv_Player=$A157)*(Upload_Indiv_Date=R$2)*(Upload_Indiv_Tot_Eagles)))</f>
        <v/>
      </c>
      <c r="S161" s="2" t="str" cm="1">
        <f t="array" ref="S161">IF(SUMPRODUCT((Upload_Indiv_Player=$A157)*(Upload_Indiv_Date=S$2)*(Upload_Indiv_Tot_Eagles))=0,"",SUMPRODUCT((Upload_Indiv_Player=$A157)*(Upload_Indiv_Date=S$2)*(Upload_Indiv_Tot_Eagles)))</f>
        <v/>
      </c>
      <c r="T161" s="2" t="str" cm="1">
        <f t="array" ref="T161">IF(SUMPRODUCT((Upload_Indiv_Player=$A157)*(Upload_Indiv_Date=T$2)*(Upload_Indiv_Tot_Eagles))=0,"",SUMPRODUCT((Upload_Indiv_Player=$A157)*(Upload_Indiv_Date=T$2)*(Upload_Indiv_Tot_Eagles)))</f>
        <v/>
      </c>
      <c r="U161" s="2" t="str" cm="1">
        <f t="array" ref="U161">IF(SUMPRODUCT((Upload_Indiv_Player=$A157)*(Upload_Indiv_Date=U$2)*(Upload_Indiv_Tot_Eagles))=0,"",SUMPRODUCT((Upload_Indiv_Player=$A157)*(Upload_Indiv_Date=U$2)*(Upload_Indiv_Tot_Eagles)))</f>
        <v/>
      </c>
      <c r="V161" s="276"/>
      <c r="W161" s="276"/>
      <c r="X161" s="276"/>
      <c r="Y161" s="277"/>
      <c r="Z161" s="278"/>
      <c r="AA161" s="277"/>
    </row>
    <row r="162" spans="1:27" x14ac:dyDescent="0.25">
      <c r="A162" s="14"/>
      <c r="B162" s="2" t="s">
        <v>176</v>
      </c>
      <c r="C162" s="2" t="str" cm="1">
        <f t="array" ref="C162">IF(SUMPRODUCT((Upload_Indiv_Player=$A157)*(Upload_Indiv_Date=C$2)*(Upload_Indiv_Excl_Score))=0,"",SUMPRODUCT((Upload_Indiv_Player=$A157)*(Upload_Indiv_Date=C$2)*(Upload_Indiv_Excl_Score)))</f>
        <v/>
      </c>
      <c r="D162" s="2" t="str" cm="1">
        <f t="array" ref="D162">IF(SUMPRODUCT((Upload_Indiv_Player=$A157)*(Upload_Indiv_Date=D$2)*(Upload_Indiv_Excl_Score))=0,"",SUMPRODUCT((Upload_Indiv_Player=$A157)*(Upload_Indiv_Date=D$2)*(Upload_Indiv_Excl_Score)))</f>
        <v/>
      </c>
      <c r="E162" s="2" t="str" cm="1">
        <f t="array" ref="E162">IF(SUMPRODUCT((Upload_Indiv_Player=$A157)*(Upload_Indiv_Date=E$2)*(Upload_Indiv_Excl_Score))=0,"",SUMPRODUCT((Upload_Indiv_Player=$A157)*(Upload_Indiv_Date=E$2)*(Upload_Indiv_Excl_Score)))</f>
        <v/>
      </c>
      <c r="F162" s="2" t="str" cm="1">
        <f t="array" ref="F162">IF(SUMPRODUCT((Upload_Indiv_Player=$A157)*(Upload_Indiv_Date=F$2)*(Upload_Indiv_Excl_Score))=0,"",SUMPRODUCT((Upload_Indiv_Player=$A157)*(Upload_Indiv_Date=F$2)*(Upload_Indiv_Excl_Score)))</f>
        <v/>
      </c>
      <c r="G162" s="2" t="str" cm="1">
        <f t="array" ref="G162">IF(SUMPRODUCT((Upload_Indiv_Player=$A157)*(Upload_Indiv_Date=G$2)*(Upload_Indiv_Excl_Score))=0,"",SUMPRODUCT((Upload_Indiv_Player=$A157)*(Upload_Indiv_Date=G$2)*(Upload_Indiv_Excl_Score)))</f>
        <v/>
      </c>
      <c r="H162" s="2" t="str" cm="1">
        <f t="array" ref="H162">IF(SUMPRODUCT((Upload_Indiv_Player=$A157)*(Upload_Indiv_Date=H$2)*(Upload_Indiv_Excl_Score))=0,"",SUMPRODUCT((Upload_Indiv_Player=$A157)*(Upload_Indiv_Date=H$2)*(Upload_Indiv_Excl_Score)))</f>
        <v/>
      </c>
      <c r="I162" s="2" t="str" cm="1">
        <f t="array" ref="I162">IF(SUMPRODUCT((Upload_Indiv_Player=$A157)*(Upload_Indiv_Date=I$2)*(Upload_Indiv_Excl_Score))=0,"",SUMPRODUCT((Upload_Indiv_Player=$A157)*(Upload_Indiv_Date=I$2)*(Upload_Indiv_Excl_Score)))</f>
        <v/>
      </c>
      <c r="J162" s="2" t="str" cm="1">
        <f t="array" ref="J162">IF(SUMPRODUCT((Upload_Indiv_Player=$A157)*(Upload_Indiv_Date=J$2)*(Upload_Indiv_Excl_Score))=0,"",SUMPRODUCT((Upload_Indiv_Player=$A157)*(Upload_Indiv_Date=J$2)*(Upload_Indiv_Excl_Score)))</f>
        <v/>
      </c>
      <c r="K162" s="2" t="str" cm="1">
        <f t="array" ref="K162">IF(SUMPRODUCT((Upload_Indiv_Player=$A157)*(Upload_Indiv_Date=K$2)*(Upload_Indiv_Excl_Score))=0,"",SUMPRODUCT((Upload_Indiv_Player=$A157)*(Upload_Indiv_Date=K$2)*(Upload_Indiv_Excl_Score)))</f>
        <v/>
      </c>
      <c r="L162" s="2" t="str" cm="1">
        <f t="array" ref="L162">IF(SUMPRODUCT((Upload_Indiv_Player=$A157)*(Upload_Indiv_Date=L$2)*(Upload_Indiv_Excl_Score))=0,"",SUMPRODUCT((Upload_Indiv_Player=$A157)*(Upload_Indiv_Date=L$2)*(Upload_Indiv_Excl_Score)))</f>
        <v/>
      </c>
      <c r="M162" s="2" t="str" cm="1">
        <f t="array" ref="M162">IF(SUMPRODUCT((Upload_Indiv_Player=$A157)*(Upload_Indiv_Date=M$2)*(Upload_Indiv_Excl_Score))=0,"",SUMPRODUCT((Upload_Indiv_Player=$A157)*(Upload_Indiv_Date=M$2)*(Upload_Indiv_Excl_Score)))</f>
        <v/>
      </c>
      <c r="N162" s="2" t="str" cm="1">
        <f t="array" ref="N162">IF(SUMPRODUCT((Upload_Indiv_Player=$A157)*(Upload_Indiv_Date=N$2)*(Upload_Indiv_Excl_Score))=0,"",SUMPRODUCT((Upload_Indiv_Player=$A157)*(Upload_Indiv_Date=N$2)*(Upload_Indiv_Excl_Score)))</f>
        <v/>
      </c>
      <c r="O162" s="2" t="str" cm="1">
        <f t="array" ref="O162">IF(SUMPRODUCT((Upload_Indiv_Player=$A157)*(Upload_Indiv_Date=O$2)*(Upload_Indiv_Excl_Score))=0,"",SUMPRODUCT((Upload_Indiv_Player=$A157)*(Upload_Indiv_Date=O$2)*(Upload_Indiv_Excl_Score)))</f>
        <v/>
      </c>
      <c r="P162" s="2" t="str" cm="1">
        <f t="array" ref="P162">IF(SUMPRODUCT((Upload_Indiv_Player=$A157)*(Upload_Indiv_Date=P$2)*(Upload_Indiv_Excl_Score))=0,"",SUMPRODUCT((Upload_Indiv_Player=$A157)*(Upload_Indiv_Date=P$2)*(Upload_Indiv_Excl_Score)))</f>
        <v/>
      </c>
      <c r="Q162" s="2" t="str" cm="1">
        <f t="array" ref="Q162">IF(SUMPRODUCT((Upload_Indiv_Player=$A157)*(Upload_Indiv_Date=Q$2)*(Upload_Indiv_Excl_Score))=0,"",SUMPRODUCT((Upload_Indiv_Player=$A157)*(Upload_Indiv_Date=Q$2)*(Upload_Indiv_Excl_Score)))</f>
        <v/>
      </c>
      <c r="R162" s="2" t="str" cm="1">
        <f t="array" ref="R162">IF(SUMPRODUCT((Upload_Indiv_Player=$A157)*(Upload_Indiv_Date=R$2)*(Upload_Indiv_Excl_Score))=0,"",SUMPRODUCT((Upload_Indiv_Player=$A157)*(Upload_Indiv_Date=R$2)*(Upload_Indiv_Excl_Score)))</f>
        <v/>
      </c>
      <c r="S162" s="2" t="str" cm="1">
        <f t="array" ref="S162">IF(SUMPRODUCT((Upload_Indiv_Player=$A157)*(Upload_Indiv_Date=S$2)*(Upload_Indiv_Excl_Score))=0,"",SUMPRODUCT((Upload_Indiv_Player=$A157)*(Upload_Indiv_Date=S$2)*(Upload_Indiv_Excl_Score)))</f>
        <v/>
      </c>
      <c r="T162" s="2" t="str" cm="1">
        <f t="array" ref="T162">IF(SUMPRODUCT((Upload_Indiv_Player=$A157)*(Upload_Indiv_Date=T$2)*(Upload_Indiv_Excl_Score))=0,"",SUMPRODUCT((Upload_Indiv_Player=$A157)*(Upload_Indiv_Date=T$2)*(Upload_Indiv_Excl_Score)))</f>
        <v/>
      </c>
      <c r="U162" s="2" t="str" cm="1">
        <f t="array" ref="U162">IF(SUMPRODUCT((Upload_Indiv_Player=$A157)*(Upload_Indiv_Date=U$2)*(Upload_Indiv_Excl_Score))=0,"",SUMPRODUCT((Upload_Indiv_Player=$A157)*(Upload_Indiv_Date=U$2)*(Upload_Indiv_Excl_Score)))</f>
        <v/>
      </c>
      <c r="V162" s="276"/>
      <c r="W162" s="276"/>
      <c r="X162" s="276"/>
      <c r="Y162" s="277"/>
      <c r="Z162" s="277"/>
      <c r="AA162" s="277"/>
    </row>
    <row r="163" spans="1:27" x14ac:dyDescent="0.25">
      <c r="A163" s="14"/>
      <c r="B163" s="2" t="s">
        <v>177</v>
      </c>
      <c r="C163" s="2" t="str" cm="1">
        <f t="array" ref="C163">IFERROR(INDEX(Upload_Indiv_Team,MATCH(1,($A157=Upload_Indiv_Player)*(C$2=Upload_Indiv_Date),0)),"")</f>
        <v/>
      </c>
      <c r="D163" s="2" t="str" cm="1">
        <f t="array" ref="D163">IFERROR(INDEX(Upload_Indiv_Team,MATCH(1,($A157=Upload_Indiv_Player)*(D$2=Upload_Indiv_Date),0)),"")</f>
        <v>Hack Squad</v>
      </c>
      <c r="E163" s="2" t="str" cm="1">
        <f t="array" ref="E163">IFERROR(INDEX(Upload_Indiv_Team,MATCH(1,($A157=Upload_Indiv_Player)*(E$2=Upload_Indiv_Date),0)),"")</f>
        <v/>
      </c>
      <c r="F163" s="2" t="str" cm="1">
        <f t="array" ref="F163">IFERROR(INDEX(Upload_Indiv_Team,MATCH(1,($A157=Upload_Indiv_Player)*(F$2=Upload_Indiv_Date),0)),"")</f>
        <v/>
      </c>
      <c r="G163" s="2" t="str" cm="1">
        <f t="array" ref="G163">IFERROR(INDEX(Upload_Indiv_Team,MATCH(1,($A157=Upload_Indiv_Player)*(G$2=Upload_Indiv_Date),0)),"")</f>
        <v/>
      </c>
      <c r="H163" s="2" t="str" cm="1">
        <f t="array" ref="H163">IFERROR(INDEX(Upload_Indiv_Team,MATCH(1,($A157=Upload_Indiv_Player)*(H$2=Upload_Indiv_Date),0)),"")</f>
        <v/>
      </c>
      <c r="I163" s="2" t="str" cm="1">
        <f t="array" ref="I163">IFERROR(INDEX(Upload_Indiv_Team,MATCH(1,($A157=Upload_Indiv_Player)*(I$2=Upload_Indiv_Date),0)),"")</f>
        <v>Hack Squad</v>
      </c>
      <c r="J163" s="2" t="str" cm="1">
        <f t="array" ref="J163">IFERROR(INDEX(Upload_Indiv_Team,MATCH(1,($A157=Upload_Indiv_Player)*(J$2=Upload_Indiv_Date),0)),"")</f>
        <v/>
      </c>
      <c r="K163" s="2" t="str" cm="1">
        <f t="array" ref="K163">IFERROR(INDEX(Upload_Indiv_Team,MATCH(1,($A157=Upload_Indiv_Player)*(K$2=Upload_Indiv_Date),0)),"")</f>
        <v/>
      </c>
      <c r="L163" s="2" t="str" cm="1">
        <f t="array" ref="L163">IFERROR(INDEX(Upload_Indiv_Team,MATCH(1,($A157=Upload_Indiv_Player)*(L$2=Upload_Indiv_Date),0)),"")</f>
        <v/>
      </c>
      <c r="M163" s="2" t="str" cm="1">
        <f t="array" ref="M163">IFERROR(INDEX(Upload_Indiv_Team,MATCH(1,($A157=Upload_Indiv_Player)*(M$2=Upload_Indiv_Date),0)),"")</f>
        <v/>
      </c>
      <c r="N163" s="2" t="str" cm="1">
        <f t="array" ref="N163">IFERROR(INDEX(Upload_Indiv_Team,MATCH(1,($A157=Upload_Indiv_Player)*(N$2=Upload_Indiv_Date),0)),"")</f>
        <v/>
      </c>
      <c r="O163" s="2" t="str" cm="1">
        <f t="array" ref="O163">IFERROR(INDEX(Upload_Indiv_Team,MATCH(1,($A157=Upload_Indiv_Player)*(O$2=Upload_Indiv_Date),0)),"")</f>
        <v/>
      </c>
      <c r="P163" s="2" t="str" cm="1">
        <f t="array" ref="P163">IFERROR(INDEX(Upload_Indiv_Team,MATCH(1,($A157=Upload_Indiv_Player)*(P$2=Upload_Indiv_Date),0)),"")</f>
        <v/>
      </c>
      <c r="Q163" s="2" t="str" cm="1">
        <f t="array" ref="Q163">IFERROR(INDEX(Upload_Indiv_Team,MATCH(1,($A157=Upload_Indiv_Player)*(Q$2=Upload_Indiv_Date),0)),"")</f>
        <v/>
      </c>
      <c r="R163" s="2" t="str" cm="1">
        <f t="array" ref="R163">IFERROR(INDEX(Upload_Indiv_Team,MATCH(1,($A157=Upload_Indiv_Player)*(R$2=Upload_Indiv_Date),0)),"")</f>
        <v/>
      </c>
      <c r="S163" s="2" t="str" cm="1">
        <f t="array" ref="S163">IFERROR(INDEX(Upload_Indiv_Team,MATCH(1,($A157=Upload_Indiv_Player)*(S$2=Upload_Indiv_Date),0)),"")</f>
        <v/>
      </c>
      <c r="T163" s="2" t="str" cm="1">
        <f t="array" ref="T163">IFERROR(INDEX(Upload_Indiv_Team,MATCH(1,($A157=Upload_Indiv_Player)*(T$2=Upload_Indiv_Date),0)),"")</f>
        <v/>
      </c>
      <c r="U163" s="2" t="str" cm="1">
        <f t="array" ref="U163">IFERROR(INDEX(Upload_Indiv_Team,MATCH(1,($A157=Upload_Indiv_Player)*(U$2=Upload_Indiv_Date),0)),"")</f>
        <v/>
      </c>
      <c r="V163" s="276"/>
      <c r="W163" s="276"/>
      <c r="X163" s="276"/>
      <c r="Y163" s="277"/>
      <c r="Z163" s="277"/>
      <c r="AA163" s="277"/>
    </row>
    <row r="164" spans="1:27" ht="13.8" thickBot="1" x14ac:dyDescent="0.3">
      <c r="A164" s="329" t="s">
        <v>160</v>
      </c>
      <c r="B164" s="16" t="s">
        <v>178</v>
      </c>
      <c r="C164" s="58" t="str">
        <f t="shared" ref="C164:U164" si="20">IF(C157="", "", IF(C159&gt;=11, "w", IF(C159&lt;=9, "l", "t")))</f>
        <v/>
      </c>
      <c r="D164" s="58" t="str">
        <f t="shared" si="20"/>
        <v>w</v>
      </c>
      <c r="E164" s="58" t="str">
        <f t="shared" si="20"/>
        <v/>
      </c>
      <c r="F164" s="58" t="str">
        <f t="shared" si="20"/>
        <v/>
      </c>
      <c r="G164" s="58" t="str">
        <f t="shared" si="20"/>
        <v/>
      </c>
      <c r="H164" s="58" t="str">
        <f t="shared" si="20"/>
        <v/>
      </c>
      <c r="I164" s="58" t="str">
        <f t="shared" si="20"/>
        <v>w</v>
      </c>
      <c r="J164" s="58" t="str">
        <f t="shared" si="20"/>
        <v/>
      </c>
      <c r="K164" s="58" t="str">
        <f t="shared" si="20"/>
        <v/>
      </c>
      <c r="L164" s="58" t="str">
        <f t="shared" si="20"/>
        <v/>
      </c>
      <c r="M164" s="87" t="str">
        <f t="shared" si="20"/>
        <v/>
      </c>
      <c r="N164" s="58" t="str">
        <f t="shared" si="20"/>
        <v/>
      </c>
      <c r="O164" s="58" t="str">
        <f t="shared" si="20"/>
        <v/>
      </c>
      <c r="P164" s="58" t="str">
        <f t="shared" si="20"/>
        <v/>
      </c>
      <c r="Q164" s="58" t="str">
        <f t="shared" si="20"/>
        <v/>
      </c>
      <c r="R164" s="58" t="str">
        <f t="shared" si="20"/>
        <v/>
      </c>
      <c r="S164" s="58" t="str">
        <f t="shared" si="20"/>
        <v/>
      </c>
      <c r="T164" s="58" t="str">
        <f t="shared" si="20"/>
        <v/>
      </c>
      <c r="U164" s="58" t="str">
        <f t="shared" si="20"/>
        <v/>
      </c>
      <c r="V164" s="276"/>
      <c r="W164" s="276"/>
      <c r="X164" s="276"/>
      <c r="Y164" s="277"/>
      <c r="Z164" s="277"/>
      <c r="AA164" s="277"/>
    </row>
    <row r="165" spans="1:27" x14ac:dyDescent="0.25">
      <c r="A165" s="11" t="s">
        <v>431</v>
      </c>
      <c r="B165" s="3" t="s">
        <v>170</v>
      </c>
      <c r="C165" s="3" t="str" cm="1">
        <f t="array" ref="C165">IF(SUMPRODUCT((Upload_Indiv_Player=$A165)*(Upload_Indiv_Date=C$2)*(Upload_Indiv_Gross))=0,"",SUMPRODUCT((Upload_Indiv_Player=$A165)*(Upload_Indiv_Date=C$2)*(Upload_Indiv_Gross)))</f>
        <v/>
      </c>
      <c r="D165" s="3" t="str" cm="1">
        <f t="array" ref="D165">IF(SUMPRODUCT((Upload_Indiv_Player=$A165)*(Upload_Indiv_Date=D$2)*(Upload_Indiv_Gross))=0,"",SUMPRODUCT((Upload_Indiv_Player=$A165)*(Upload_Indiv_Date=D$2)*(Upload_Indiv_Gross)))</f>
        <v/>
      </c>
      <c r="E165" s="3" t="str" cm="1">
        <f t="array" ref="E165">IF(SUMPRODUCT((Upload_Indiv_Player=$A165)*(Upload_Indiv_Date=E$2)*(Upload_Indiv_Gross))=0,"",SUMPRODUCT((Upload_Indiv_Player=$A165)*(Upload_Indiv_Date=E$2)*(Upload_Indiv_Gross)))</f>
        <v/>
      </c>
      <c r="F165" s="3" t="str" cm="1">
        <f t="array" ref="F165">IF(SUMPRODUCT((Upload_Indiv_Player=$A165)*(Upload_Indiv_Date=F$2)*(Upload_Indiv_Gross))=0,"",SUMPRODUCT((Upload_Indiv_Player=$A165)*(Upload_Indiv_Date=F$2)*(Upload_Indiv_Gross)))</f>
        <v/>
      </c>
      <c r="G165" s="3" t="str" cm="1">
        <f t="array" ref="G165">IF(SUMPRODUCT((Upload_Indiv_Player=$A165)*(Upload_Indiv_Date=G$2)*(Upload_Indiv_Gross))=0,"",SUMPRODUCT((Upload_Indiv_Player=$A165)*(Upload_Indiv_Date=G$2)*(Upload_Indiv_Gross)))</f>
        <v/>
      </c>
      <c r="H165" s="3" t="str" cm="1">
        <f t="array" ref="H165">IF(SUMPRODUCT((Upload_Indiv_Player=$A165)*(Upload_Indiv_Date=H$2)*(Upload_Indiv_Gross))=0,"",SUMPRODUCT((Upload_Indiv_Player=$A165)*(Upload_Indiv_Date=H$2)*(Upload_Indiv_Gross)))</f>
        <v/>
      </c>
      <c r="I165" s="3" t="str" cm="1">
        <f t="array" ref="I165">IF(SUMPRODUCT((Upload_Indiv_Player=$A165)*(Upload_Indiv_Date=I$2)*(Upload_Indiv_Gross))=0,"",SUMPRODUCT((Upload_Indiv_Player=$A165)*(Upload_Indiv_Date=I$2)*(Upload_Indiv_Gross)))</f>
        <v/>
      </c>
      <c r="J165" s="3" t="str" cm="1">
        <f t="array" ref="J165">IF(SUMPRODUCT((Upload_Indiv_Player=$A165)*(Upload_Indiv_Date=J$2)*(Upload_Indiv_Gross))=0,"",SUMPRODUCT((Upload_Indiv_Player=$A165)*(Upload_Indiv_Date=J$2)*(Upload_Indiv_Gross)))</f>
        <v/>
      </c>
      <c r="K165" s="3" t="str" cm="1">
        <f t="array" ref="K165">IF(SUMPRODUCT((Upload_Indiv_Player=$A165)*(Upload_Indiv_Date=K$2)*(Upload_Indiv_Gross))=0,"",SUMPRODUCT((Upload_Indiv_Player=$A165)*(Upload_Indiv_Date=K$2)*(Upload_Indiv_Gross)))</f>
        <v/>
      </c>
      <c r="L165" s="3" cm="1">
        <f t="array" ref="L165">IF(SUMPRODUCT((Upload_Indiv_Player=$A165)*(Upload_Indiv_Date=L$2)*(Upload_Indiv_Gross))=0,"",SUMPRODUCT((Upload_Indiv_Player=$A165)*(Upload_Indiv_Date=L$2)*(Upload_Indiv_Gross)))</f>
        <v>41</v>
      </c>
      <c r="M165" s="3" t="str" cm="1">
        <f t="array" ref="M165">IF(SUMPRODUCT((Upload_Indiv_Player=$A165)*(Upload_Indiv_Date=M$2)*(Upload_Indiv_Gross))=0,"",SUMPRODUCT((Upload_Indiv_Player=$A165)*(Upload_Indiv_Date=M$2)*(Upload_Indiv_Gross)))</f>
        <v/>
      </c>
      <c r="N165" s="3" t="str" cm="1">
        <f t="array" ref="N165">IF(SUMPRODUCT((Upload_Indiv_Player=$A165)*(Upload_Indiv_Date=N$2)*(Upload_Indiv_Gross))=0,"",SUMPRODUCT((Upload_Indiv_Player=$A165)*(Upload_Indiv_Date=N$2)*(Upload_Indiv_Gross)))</f>
        <v/>
      </c>
      <c r="O165" s="3" t="str" cm="1">
        <f t="array" ref="O165">IF(SUMPRODUCT((Upload_Indiv_Player=$A165)*(Upload_Indiv_Date=O$2)*(Upload_Indiv_Gross))=0,"",SUMPRODUCT((Upload_Indiv_Player=$A165)*(Upload_Indiv_Date=O$2)*(Upload_Indiv_Gross)))</f>
        <v/>
      </c>
      <c r="P165" s="3" t="str" cm="1">
        <f t="array" ref="P165">IF(SUMPRODUCT((Upload_Indiv_Player=$A165)*(Upload_Indiv_Date=P$2)*(Upload_Indiv_Gross))=0,"",SUMPRODUCT((Upload_Indiv_Player=$A165)*(Upload_Indiv_Date=P$2)*(Upload_Indiv_Gross)))</f>
        <v/>
      </c>
      <c r="Q165" s="2" t="str" cm="1">
        <f t="array" ref="Q165">IF(SUMPRODUCT((Upload_Indiv_Player=$A165)*(Upload_Indiv_Date=Q$2)*(Upload_Indiv_Gross))=0,"",SUMPRODUCT((Upload_Indiv_Player=$A165)*(Upload_Indiv_Date=Q$2)*(Upload_Indiv_Gross)))</f>
        <v/>
      </c>
      <c r="R165" s="2" t="str" cm="1">
        <f t="array" ref="R165">IF(SUMPRODUCT((Upload_Indiv_Player=$A165)*(Upload_Indiv_Date=R$2)*(Upload_Indiv_Gross))=0,"",SUMPRODUCT((Upload_Indiv_Player=$A165)*(Upload_Indiv_Date=R$2)*(Upload_Indiv_Gross)))</f>
        <v/>
      </c>
      <c r="S165" s="2" t="str" cm="1">
        <f t="array" ref="S165">IF(SUMPRODUCT((Upload_Indiv_Player=$A165)*(Upload_Indiv_Date=S$2)*(Upload_Indiv_Gross))=0,"",SUMPRODUCT((Upload_Indiv_Player=$A165)*(Upload_Indiv_Date=S$2)*(Upload_Indiv_Gross)))</f>
        <v/>
      </c>
      <c r="T165" s="2" t="str" cm="1">
        <f t="array" ref="T165">IF(SUMPRODUCT((Upload_Indiv_Player=$A165)*(Upload_Indiv_Date=T$2)*(Upload_Indiv_Gross))=0,"",SUMPRODUCT((Upload_Indiv_Player=$A165)*(Upload_Indiv_Date=T$2)*(Upload_Indiv_Gross)))</f>
        <v/>
      </c>
      <c r="U165" s="2" t="str" cm="1">
        <f t="array" ref="U165">IF(SUMPRODUCT((Upload_Indiv_Player=$A165)*(Upload_Indiv_Date=U$2)*(Upload_Indiv_Gross))=0,"",SUMPRODUCT((Upload_Indiv_Player=$A165)*(Upload_Indiv_Date=U$2)*(Upload_Indiv_Gross)))</f>
        <v/>
      </c>
      <c r="V165" s="273">
        <v>1</v>
      </c>
      <c r="W165" s="273">
        <v>0</v>
      </c>
      <c r="X165" s="273">
        <v>2</v>
      </c>
      <c r="Y165" s="277">
        <v>12</v>
      </c>
      <c r="Z165" s="277">
        <v>0</v>
      </c>
      <c r="AA165" s="277">
        <v>0</v>
      </c>
    </row>
    <row r="166" spans="1:27" x14ac:dyDescent="0.25">
      <c r="A166" s="216">
        <v>3307050477</v>
      </c>
      <c r="B166" s="2" t="s">
        <v>171</v>
      </c>
      <c r="C166" s="2" t="str" cm="1">
        <f t="array" ref="C166">IF(SUMPRODUCT((Upload_Indiv_Player=$A165)*(Upload_Indiv_Date=C$2)*(Upload_Indiv_Net))=0,"",SUMPRODUCT((Upload_Indiv_Player=$A165)*(Upload_Indiv_Date=C$2)*(Upload_Indiv_Net)))</f>
        <v/>
      </c>
      <c r="D166" s="2" t="str" cm="1">
        <f t="array" ref="D166">IF(SUMPRODUCT((Upload_Indiv_Player=$A165)*(Upload_Indiv_Date=D$2)*(Upload_Indiv_Net))=0,"",SUMPRODUCT((Upload_Indiv_Player=$A165)*(Upload_Indiv_Date=D$2)*(Upload_Indiv_Net)))</f>
        <v/>
      </c>
      <c r="E166" s="2" t="str" cm="1">
        <f t="array" ref="E166">IF(SUMPRODUCT((Upload_Indiv_Player=$A165)*(Upload_Indiv_Date=E$2)*(Upload_Indiv_Net))=0,"",SUMPRODUCT((Upload_Indiv_Player=$A165)*(Upload_Indiv_Date=E$2)*(Upload_Indiv_Net)))</f>
        <v/>
      </c>
      <c r="F166" s="2" t="str" cm="1">
        <f t="array" ref="F166">IF(SUMPRODUCT((Upload_Indiv_Player=$A165)*(Upload_Indiv_Date=F$2)*(Upload_Indiv_Net))=0,"",SUMPRODUCT((Upload_Indiv_Player=$A165)*(Upload_Indiv_Date=F$2)*(Upload_Indiv_Net)))</f>
        <v/>
      </c>
      <c r="G166" s="2" t="str" cm="1">
        <f t="array" ref="G166">IF(SUMPRODUCT((Upload_Indiv_Player=$A165)*(Upload_Indiv_Date=G$2)*(Upload_Indiv_Net))=0,"",SUMPRODUCT((Upload_Indiv_Player=$A165)*(Upload_Indiv_Date=G$2)*(Upload_Indiv_Net)))</f>
        <v/>
      </c>
      <c r="H166" s="2" t="str" cm="1">
        <f t="array" ref="H166">IF(SUMPRODUCT((Upload_Indiv_Player=$A165)*(Upload_Indiv_Date=H$2)*(Upload_Indiv_Net))=0,"",SUMPRODUCT((Upload_Indiv_Player=$A165)*(Upload_Indiv_Date=H$2)*(Upload_Indiv_Net)))</f>
        <v/>
      </c>
      <c r="I166" s="2" t="str" cm="1">
        <f t="array" ref="I166">IF(SUMPRODUCT((Upload_Indiv_Player=$A165)*(Upload_Indiv_Date=I$2)*(Upload_Indiv_Net))=0,"",SUMPRODUCT((Upload_Indiv_Player=$A165)*(Upload_Indiv_Date=I$2)*(Upload_Indiv_Net)))</f>
        <v/>
      </c>
      <c r="J166" s="2" t="str" cm="1">
        <f t="array" ref="J166">IF(SUMPRODUCT((Upload_Indiv_Player=$A165)*(Upload_Indiv_Date=J$2)*(Upload_Indiv_Net))=0,"",SUMPRODUCT((Upload_Indiv_Player=$A165)*(Upload_Indiv_Date=J$2)*(Upload_Indiv_Net)))</f>
        <v/>
      </c>
      <c r="K166" s="2" t="str" cm="1">
        <f t="array" ref="K166">IF(SUMPRODUCT((Upload_Indiv_Player=$A165)*(Upload_Indiv_Date=K$2)*(Upload_Indiv_Net))=0,"",SUMPRODUCT((Upload_Indiv_Player=$A165)*(Upload_Indiv_Date=K$2)*(Upload_Indiv_Net)))</f>
        <v/>
      </c>
      <c r="L166" s="2" cm="1">
        <f t="array" ref="L166">IF(SUMPRODUCT((Upload_Indiv_Player=$A165)*(Upload_Indiv_Date=L$2)*(Upload_Indiv_Net))=0,"",SUMPRODUCT((Upload_Indiv_Player=$A165)*(Upload_Indiv_Date=L$2)*(Upload_Indiv_Net)))</f>
        <v>37</v>
      </c>
      <c r="M166" s="2" t="str" cm="1">
        <f t="array" ref="M166">IF(SUMPRODUCT((Upload_Indiv_Player=$A165)*(Upload_Indiv_Date=M$2)*(Upload_Indiv_Net))=0,"",SUMPRODUCT((Upload_Indiv_Player=$A165)*(Upload_Indiv_Date=M$2)*(Upload_Indiv_Net)))</f>
        <v/>
      </c>
      <c r="N166" s="2" t="str" cm="1">
        <f t="array" ref="N166">IF(SUMPRODUCT((Upload_Indiv_Player=$A165)*(Upload_Indiv_Date=N$2)*(Upload_Indiv_Net))=0,"",SUMPRODUCT((Upload_Indiv_Player=$A165)*(Upload_Indiv_Date=N$2)*(Upload_Indiv_Net)))</f>
        <v/>
      </c>
      <c r="O166" s="2" t="str" cm="1">
        <f t="array" ref="O166">IF(SUMPRODUCT((Upload_Indiv_Player=$A165)*(Upload_Indiv_Date=O$2)*(Upload_Indiv_Net))=0,"",SUMPRODUCT((Upload_Indiv_Player=$A165)*(Upload_Indiv_Date=O$2)*(Upload_Indiv_Net)))</f>
        <v/>
      </c>
      <c r="P166" s="2" t="str" cm="1">
        <f t="array" ref="P166">IF(SUMPRODUCT((Upload_Indiv_Player=$A165)*(Upload_Indiv_Date=P$2)*(Upload_Indiv_Net))=0,"",SUMPRODUCT((Upload_Indiv_Player=$A165)*(Upload_Indiv_Date=P$2)*(Upload_Indiv_Net)))</f>
        <v/>
      </c>
      <c r="Q166" s="2" t="str" cm="1">
        <f t="array" ref="Q166">IF(SUMPRODUCT((Upload_Indiv_Player=$A165)*(Upload_Indiv_Date=Q$2)*(Upload_Indiv_Net))=0,"",SUMPRODUCT((Upload_Indiv_Player=$A165)*(Upload_Indiv_Date=Q$2)*(Upload_Indiv_Net)))</f>
        <v/>
      </c>
      <c r="R166" s="2" t="str" cm="1">
        <f t="array" ref="R166">IF(SUMPRODUCT((Upload_Indiv_Player=$A165)*(Upload_Indiv_Date=R$2)*(Upload_Indiv_Net))=0,"",SUMPRODUCT((Upload_Indiv_Player=$A165)*(Upload_Indiv_Date=R$2)*(Upload_Indiv_Net)))</f>
        <v/>
      </c>
      <c r="S166" s="2" t="str" cm="1">
        <f t="array" ref="S166">IF(SUMPRODUCT((Upload_Indiv_Player=$A165)*(Upload_Indiv_Date=S$2)*(Upload_Indiv_Net))=0,"",SUMPRODUCT((Upload_Indiv_Player=$A165)*(Upload_Indiv_Date=S$2)*(Upload_Indiv_Net)))</f>
        <v/>
      </c>
      <c r="T166" s="2" t="str" cm="1">
        <f t="array" ref="T166">IF(SUMPRODUCT((Upload_Indiv_Player=$A165)*(Upload_Indiv_Date=T$2)*(Upload_Indiv_Net))=0,"",SUMPRODUCT((Upload_Indiv_Player=$A165)*(Upload_Indiv_Date=T$2)*(Upload_Indiv_Net)))</f>
        <v/>
      </c>
      <c r="U166" s="2" t="str" cm="1">
        <f t="array" ref="U166">IF(SUMPRODUCT((Upload_Indiv_Player=$A165)*(Upload_Indiv_Date=U$2)*(Upload_Indiv_Net))=0,"",SUMPRODUCT((Upload_Indiv_Player=$A165)*(Upload_Indiv_Date=U$2)*(Upload_Indiv_Net)))</f>
        <v/>
      </c>
      <c r="V166" s="279">
        <v>45</v>
      </c>
      <c r="W166" s="276"/>
      <c r="X166" s="276"/>
      <c r="Y166" s="277"/>
      <c r="Z166" s="277"/>
      <c r="AA166" s="277"/>
    </row>
    <row r="167" spans="1:27" x14ac:dyDescent="0.25">
      <c r="A167" s="65" t="s">
        <v>432</v>
      </c>
      <c r="B167" s="2" t="s">
        <v>173</v>
      </c>
      <c r="C167" s="2" t="str" cm="1">
        <f t="array" ref="C167">IF(SUMPRODUCT((Upload_Indiv_Player=$A165)*(Upload_Indiv_Date=C$2)*(Upload_Indiv_PointsTot))=0,"",SUMPRODUCT((Upload_Indiv_Player=$A165)*(Upload_Indiv_Date=C$2)*(Upload_Indiv_PointsTot)))</f>
        <v/>
      </c>
      <c r="D167" s="2" t="str" cm="1">
        <f t="array" ref="D167">IF(SUMPRODUCT((Upload_Indiv_Player=$A165)*(Upload_Indiv_Date=D$2)*(Upload_Indiv_PointsTot))=0,"",SUMPRODUCT((Upload_Indiv_Player=$A165)*(Upload_Indiv_Date=D$2)*(Upload_Indiv_PointsTot)))</f>
        <v/>
      </c>
      <c r="E167" s="2" t="str" cm="1">
        <f t="array" ref="E167">IF(SUMPRODUCT((Upload_Indiv_Player=$A165)*(Upload_Indiv_Date=E$2)*(Upload_Indiv_PointsTot))=0,"",SUMPRODUCT((Upload_Indiv_Player=$A165)*(Upload_Indiv_Date=E$2)*(Upload_Indiv_PointsTot)))</f>
        <v/>
      </c>
      <c r="F167" s="2" t="str" cm="1">
        <f t="array" ref="F167">IF(SUMPRODUCT((Upload_Indiv_Player=$A165)*(Upload_Indiv_Date=F$2)*(Upload_Indiv_PointsTot))=0,"",SUMPRODUCT((Upload_Indiv_Player=$A165)*(Upload_Indiv_Date=F$2)*(Upload_Indiv_PointsTot)))</f>
        <v/>
      </c>
      <c r="G167" s="2" t="str" cm="1">
        <f t="array" ref="G167">IF(SUMPRODUCT((Upload_Indiv_Player=$A165)*(Upload_Indiv_Date=G$2)*(Upload_Indiv_PointsTot))=0,"",SUMPRODUCT((Upload_Indiv_Player=$A165)*(Upload_Indiv_Date=G$2)*(Upload_Indiv_PointsTot)))</f>
        <v/>
      </c>
      <c r="H167" s="2" t="str" cm="1">
        <f t="array" ref="H167">IF(SUMPRODUCT((Upload_Indiv_Player=$A165)*(Upload_Indiv_Date=H$2)*(Upload_Indiv_PointsTot))=0,"",SUMPRODUCT((Upload_Indiv_Player=$A165)*(Upload_Indiv_Date=H$2)*(Upload_Indiv_PointsTot)))</f>
        <v/>
      </c>
      <c r="I167" s="2" t="str" cm="1">
        <f t="array" ref="I167">IF(SUMPRODUCT((Upload_Indiv_Player=$A165)*(Upload_Indiv_Date=I$2)*(Upload_Indiv_PointsTot))=0,"",SUMPRODUCT((Upload_Indiv_Player=$A165)*(Upload_Indiv_Date=I$2)*(Upload_Indiv_PointsTot)))</f>
        <v/>
      </c>
      <c r="J167" s="2" t="str" cm="1">
        <f t="array" ref="J167">IF(SUMPRODUCT((Upload_Indiv_Player=$A165)*(Upload_Indiv_Date=J$2)*(Upload_Indiv_PointsTot))=0,"",SUMPRODUCT((Upload_Indiv_Player=$A165)*(Upload_Indiv_Date=J$2)*(Upload_Indiv_PointsTot)))</f>
        <v/>
      </c>
      <c r="K167" s="2" t="str" cm="1">
        <f t="array" ref="K167">IF(SUMPRODUCT((Upload_Indiv_Player=$A165)*(Upload_Indiv_Date=K$2)*(Upload_Indiv_PointsTot))=0,"",SUMPRODUCT((Upload_Indiv_Player=$A165)*(Upload_Indiv_Date=K$2)*(Upload_Indiv_PointsTot)))</f>
        <v/>
      </c>
      <c r="L167" s="2" cm="1">
        <f t="array" ref="L167">IF(SUMPRODUCT((Upload_Indiv_Player=$A165)*(Upload_Indiv_Date=L$2)*(Upload_Indiv_PointsTot))=0,"",SUMPRODUCT((Upload_Indiv_Player=$A165)*(Upload_Indiv_Date=L$2)*(Upload_Indiv_PointsTot)))</f>
        <v>10</v>
      </c>
      <c r="M167" s="2" t="str" cm="1">
        <f t="array" ref="M167">IF(SUMPRODUCT((Upload_Indiv_Player=$A165)*(Upload_Indiv_Date=M$2)*(Upload_Indiv_PointsTot))=0,"",SUMPRODUCT((Upload_Indiv_Player=$A165)*(Upload_Indiv_Date=M$2)*(Upload_Indiv_PointsTot)))</f>
        <v/>
      </c>
      <c r="N167" s="2" t="str" cm="1">
        <f t="array" ref="N167">IF(SUMPRODUCT((Upload_Indiv_Player=$A165)*(Upload_Indiv_Date=N$2)*(Upload_Indiv_PointsTot))=0,"",SUMPRODUCT((Upload_Indiv_Player=$A165)*(Upload_Indiv_Date=N$2)*(Upload_Indiv_PointsTot)))</f>
        <v/>
      </c>
      <c r="O167" s="2" t="str" cm="1">
        <f t="array" ref="O167">IF(SUMPRODUCT((Upload_Indiv_Player=$A165)*(Upload_Indiv_Date=O$2)*(Upload_Indiv_PointsTot))=0,"",SUMPRODUCT((Upload_Indiv_Player=$A165)*(Upload_Indiv_Date=O$2)*(Upload_Indiv_PointsTot)))</f>
        <v/>
      </c>
      <c r="P167" s="2" t="str" cm="1">
        <f t="array" ref="P167">IF(SUMPRODUCT((Upload_Indiv_Player=$A165)*(Upload_Indiv_Date=P$2)*(Upload_Indiv_PointsTot))=0,"",SUMPRODUCT((Upload_Indiv_Player=$A165)*(Upload_Indiv_Date=P$2)*(Upload_Indiv_PointsTot)))</f>
        <v/>
      </c>
      <c r="Q167" s="2" t="str" cm="1">
        <f t="array" ref="Q167">IF(SUMPRODUCT((Upload_Indiv_Player=$A165)*(Upload_Indiv_Date=Q$2)*(Upload_Indiv_PointsTot))=0,"",SUMPRODUCT((Upload_Indiv_Player=$A165)*(Upload_Indiv_Date=Q$2)*(Upload_Indiv_PointsTot)))</f>
        <v/>
      </c>
      <c r="R167" s="2" t="str" cm="1">
        <f t="array" ref="R167">IF(SUMPRODUCT((Upload_Indiv_Player=$A165)*(Upload_Indiv_Date=R$2)*(Upload_Indiv_PointsTot))=0,"",SUMPRODUCT((Upload_Indiv_Player=$A165)*(Upload_Indiv_Date=R$2)*(Upload_Indiv_PointsTot)))</f>
        <v/>
      </c>
      <c r="S167" s="2" t="str" cm="1">
        <f t="array" ref="S167">IF(SUMPRODUCT((Upload_Indiv_Player=$A165)*(Upload_Indiv_Date=S$2)*(Upload_Indiv_PointsTot))=0,"",SUMPRODUCT((Upload_Indiv_Player=$A165)*(Upload_Indiv_Date=S$2)*(Upload_Indiv_PointsTot)))</f>
        <v/>
      </c>
      <c r="T167" s="2" t="str" cm="1">
        <f t="array" ref="T167">IF(SUMPRODUCT((Upload_Indiv_Player=$A165)*(Upload_Indiv_Date=T$2)*(Upload_Indiv_PointsTot))=0,"",SUMPRODUCT((Upload_Indiv_Player=$A165)*(Upload_Indiv_Date=T$2)*(Upload_Indiv_PointsTot)))</f>
        <v/>
      </c>
      <c r="U167" s="2" t="str" cm="1">
        <f t="array" ref="U167">IF(SUMPRODUCT((Upload_Indiv_Player=$A165)*(Upload_Indiv_Date=U$2)*(Upload_Indiv_PointsTot))=0,"",SUMPRODUCT((Upload_Indiv_Player=$A165)*(Upload_Indiv_Date=U$2)*(Upload_Indiv_PointsTot)))</f>
        <v/>
      </c>
      <c r="V167" s="276"/>
      <c r="W167" s="276"/>
      <c r="X167" s="276"/>
      <c r="Y167" s="277"/>
      <c r="Z167" s="277"/>
      <c r="AA167" s="277"/>
    </row>
    <row r="168" spans="1:27" x14ac:dyDescent="0.25">
      <c r="A168" s="14" t="s">
        <v>160</v>
      </c>
      <c r="B168" s="8" t="s">
        <v>174</v>
      </c>
      <c r="C168" s="2" t="str" cm="1">
        <f t="array" ref="C168">IF(SUMPRODUCT((Upload_Indiv_Player=$A165)*(Upload_Indiv_Date=C$2)*(Upload_Indiv_Tot_Birds))=0,"",SUMPRODUCT((Upload_Indiv_Player=$A165)*(Upload_Indiv_Date=C$2)*(Upload_Indiv_Tot_Birds)))</f>
        <v/>
      </c>
      <c r="D168" s="2" t="str" cm="1">
        <f t="array" ref="D168">IF(SUMPRODUCT((Upload_Indiv_Player=$A165)*(Upload_Indiv_Date=D$2)*(Upload_Indiv_Tot_Birds))=0,"",SUMPRODUCT((Upload_Indiv_Player=$A165)*(Upload_Indiv_Date=D$2)*(Upload_Indiv_Tot_Birds)))</f>
        <v/>
      </c>
      <c r="E168" s="2" t="str" cm="1">
        <f t="array" ref="E168">IF(SUMPRODUCT((Upload_Indiv_Player=$A165)*(Upload_Indiv_Date=E$2)*(Upload_Indiv_Tot_Birds))=0,"",SUMPRODUCT((Upload_Indiv_Player=$A165)*(Upload_Indiv_Date=E$2)*(Upload_Indiv_Tot_Birds)))</f>
        <v/>
      </c>
      <c r="F168" s="2" t="str" cm="1">
        <f t="array" ref="F168">IF(SUMPRODUCT((Upload_Indiv_Player=$A165)*(Upload_Indiv_Date=F$2)*(Upload_Indiv_Tot_Birds))=0,"",SUMPRODUCT((Upload_Indiv_Player=$A165)*(Upload_Indiv_Date=F$2)*(Upload_Indiv_Tot_Birds)))</f>
        <v/>
      </c>
      <c r="G168" s="2" t="str" cm="1">
        <f t="array" ref="G168">IF(SUMPRODUCT((Upload_Indiv_Player=$A165)*(Upload_Indiv_Date=G$2)*(Upload_Indiv_Tot_Birds))=0,"",SUMPRODUCT((Upload_Indiv_Player=$A165)*(Upload_Indiv_Date=G$2)*(Upload_Indiv_Tot_Birds)))</f>
        <v/>
      </c>
      <c r="H168" s="2" t="str" cm="1">
        <f t="array" ref="H168">IF(SUMPRODUCT((Upload_Indiv_Player=$A165)*(Upload_Indiv_Date=H$2)*(Upload_Indiv_Tot_Birds))=0,"",SUMPRODUCT((Upload_Indiv_Player=$A165)*(Upload_Indiv_Date=H$2)*(Upload_Indiv_Tot_Birds)))</f>
        <v/>
      </c>
      <c r="I168" s="2" t="str" cm="1">
        <f t="array" ref="I168">IF(SUMPRODUCT((Upload_Indiv_Player=$A165)*(Upload_Indiv_Date=I$2)*(Upload_Indiv_Tot_Birds))=0,"",SUMPRODUCT((Upload_Indiv_Player=$A165)*(Upload_Indiv_Date=I$2)*(Upload_Indiv_Tot_Birds)))</f>
        <v/>
      </c>
      <c r="J168" s="2" t="str" cm="1">
        <f t="array" ref="J168">IF(SUMPRODUCT((Upload_Indiv_Player=$A165)*(Upload_Indiv_Date=J$2)*(Upload_Indiv_Tot_Birds))=0,"",SUMPRODUCT((Upload_Indiv_Player=$A165)*(Upload_Indiv_Date=J$2)*(Upload_Indiv_Tot_Birds)))</f>
        <v/>
      </c>
      <c r="K168" s="2" t="str" cm="1">
        <f t="array" ref="K168">IF(SUMPRODUCT((Upload_Indiv_Player=$A165)*(Upload_Indiv_Date=K$2)*(Upload_Indiv_Tot_Birds))=0,"",SUMPRODUCT((Upload_Indiv_Player=$A165)*(Upload_Indiv_Date=K$2)*(Upload_Indiv_Tot_Birds)))</f>
        <v/>
      </c>
      <c r="L168" s="2" t="str" cm="1">
        <f t="array" ref="L168">IF(SUMPRODUCT((Upload_Indiv_Player=$A165)*(Upload_Indiv_Date=L$2)*(Upload_Indiv_Tot_Birds))=0,"",SUMPRODUCT((Upload_Indiv_Player=$A165)*(Upload_Indiv_Date=L$2)*(Upload_Indiv_Tot_Birds)))</f>
        <v/>
      </c>
      <c r="M168" s="2" t="str" cm="1">
        <f t="array" ref="M168">IF(SUMPRODUCT((Upload_Indiv_Player=$A165)*(Upload_Indiv_Date=M$2)*(Upload_Indiv_Tot_Birds))=0,"",SUMPRODUCT((Upload_Indiv_Player=$A165)*(Upload_Indiv_Date=M$2)*(Upload_Indiv_Tot_Birds)))</f>
        <v/>
      </c>
      <c r="N168" s="2" t="str" cm="1">
        <f t="array" ref="N168">IF(SUMPRODUCT((Upload_Indiv_Player=$A165)*(Upload_Indiv_Date=N$2)*(Upload_Indiv_Tot_Birds))=0,"",SUMPRODUCT((Upload_Indiv_Player=$A165)*(Upload_Indiv_Date=N$2)*(Upload_Indiv_Tot_Birds)))</f>
        <v/>
      </c>
      <c r="O168" s="2" t="str" cm="1">
        <f t="array" ref="O168">IF(SUMPRODUCT((Upload_Indiv_Player=$A165)*(Upload_Indiv_Date=O$2)*(Upload_Indiv_Tot_Birds))=0,"",SUMPRODUCT((Upload_Indiv_Player=$A165)*(Upload_Indiv_Date=O$2)*(Upload_Indiv_Tot_Birds)))</f>
        <v/>
      </c>
      <c r="P168" s="2" t="str" cm="1">
        <f t="array" ref="P168">IF(SUMPRODUCT((Upload_Indiv_Player=$A165)*(Upload_Indiv_Date=P$2)*(Upload_Indiv_Tot_Birds))=0,"",SUMPRODUCT((Upload_Indiv_Player=$A165)*(Upload_Indiv_Date=P$2)*(Upload_Indiv_Tot_Birds)))</f>
        <v/>
      </c>
      <c r="Q168" s="2" t="str" cm="1">
        <f t="array" ref="Q168">IF(SUMPRODUCT((Upload_Indiv_Player=$A165)*(Upload_Indiv_Date=Q$2)*(Upload_Indiv_Tot_Birds))=0,"",SUMPRODUCT((Upload_Indiv_Player=$A165)*(Upload_Indiv_Date=Q$2)*(Upload_Indiv_Tot_Birds)))</f>
        <v/>
      </c>
      <c r="R168" s="2" t="str" cm="1">
        <f t="array" ref="R168">IF(SUMPRODUCT((Upload_Indiv_Player=$A165)*(Upload_Indiv_Date=R$2)*(Upload_Indiv_Tot_Birds))=0,"",SUMPRODUCT((Upload_Indiv_Player=$A165)*(Upload_Indiv_Date=R$2)*(Upload_Indiv_Tot_Birds)))</f>
        <v/>
      </c>
      <c r="S168" s="2" t="str" cm="1">
        <f t="array" ref="S168">IF(SUMPRODUCT((Upload_Indiv_Player=$A165)*(Upload_Indiv_Date=S$2)*(Upload_Indiv_Tot_Birds))=0,"",SUMPRODUCT((Upload_Indiv_Player=$A165)*(Upload_Indiv_Date=S$2)*(Upload_Indiv_Tot_Birds)))</f>
        <v/>
      </c>
      <c r="T168" s="2" t="str" cm="1">
        <f t="array" ref="T168">IF(SUMPRODUCT((Upload_Indiv_Player=$A165)*(Upload_Indiv_Date=T$2)*(Upload_Indiv_Tot_Birds))=0,"",SUMPRODUCT((Upload_Indiv_Player=$A165)*(Upload_Indiv_Date=T$2)*(Upload_Indiv_Tot_Birds)))</f>
        <v/>
      </c>
      <c r="U168" s="2" t="str" cm="1">
        <f t="array" ref="U168">IF(SUMPRODUCT((Upload_Indiv_Player=$A165)*(Upload_Indiv_Date=U$2)*(Upload_Indiv_Tot_Birds))=0,"",SUMPRODUCT((Upload_Indiv_Player=$A165)*(Upload_Indiv_Date=U$2)*(Upload_Indiv_Tot_Birds)))</f>
        <v/>
      </c>
      <c r="V168" s="276"/>
      <c r="W168" s="276"/>
      <c r="X168" s="276"/>
      <c r="Y168" s="277"/>
      <c r="Z168" s="277"/>
      <c r="AA168" s="277"/>
    </row>
    <row r="169" spans="1:27" x14ac:dyDescent="0.25">
      <c r="A169" s="14"/>
      <c r="B169" s="8" t="s">
        <v>175</v>
      </c>
      <c r="C169" s="2" t="str" cm="1">
        <f t="array" ref="C169">IF(SUMPRODUCT((Upload_Indiv_Player=$A165)*(Upload_Indiv_Date=C$2)*(Upload_Indiv_Tot_Eagles))=0,"",SUMPRODUCT((Upload_Indiv_Player=$A165)*(Upload_Indiv_Date=C$2)*(Upload_Indiv_Tot_Eagles)))</f>
        <v/>
      </c>
      <c r="D169" s="2" t="str" cm="1">
        <f t="array" ref="D169">IF(SUMPRODUCT((Upload_Indiv_Player=$A165)*(Upload_Indiv_Date=D$2)*(Upload_Indiv_Tot_Eagles))=0,"",SUMPRODUCT((Upload_Indiv_Player=$A165)*(Upload_Indiv_Date=D$2)*(Upload_Indiv_Tot_Eagles)))</f>
        <v/>
      </c>
      <c r="E169" s="2" t="str" cm="1">
        <f t="array" ref="E169">IF(SUMPRODUCT((Upload_Indiv_Player=$A165)*(Upload_Indiv_Date=E$2)*(Upload_Indiv_Tot_Eagles))=0,"",SUMPRODUCT((Upload_Indiv_Player=$A165)*(Upload_Indiv_Date=E$2)*(Upload_Indiv_Tot_Eagles)))</f>
        <v/>
      </c>
      <c r="F169" s="2" t="str" cm="1">
        <f t="array" ref="F169">IF(SUMPRODUCT((Upload_Indiv_Player=$A165)*(Upload_Indiv_Date=F$2)*(Upload_Indiv_Tot_Eagles))=0,"",SUMPRODUCT((Upload_Indiv_Player=$A165)*(Upload_Indiv_Date=F$2)*(Upload_Indiv_Tot_Eagles)))</f>
        <v/>
      </c>
      <c r="G169" s="2" t="str" cm="1">
        <f t="array" ref="G169">IF(SUMPRODUCT((Upload_Indiv_Player=$A165)*(Upload_Indiv_Date=G$2)*(Upload_Indiv_Tot_Eagles))=0,"",SUMPRODUCT((Upload_Indiv_Player=$A165)*(Upload_Indiv_Date=G$2)*(Upload_Indiv_Tot_Eagles)))</f>
        <v/>
      </c>
      <c r="H169" s="2" t="str" cm="1">
        <f t="array" ref="H169">IF(SUMPRODUCT((Upload_Indiv_Player=$A165)*(Upload_Indiv_Date=H$2)*(Upload_Indiv_Tot_Eagles))=0,"",SUMPRODUCT((Upload_Indiv_Player=$A165)*(Upload_Indiv_Date=H$2)*(Upload_Indiv_Tot_Eagles)))</f>
        <v/>
      </c>
      <c r="I169" s="2" t="str" cm="1">
        <f t="array" ref="I169">IF(SUMPRODUCT((Upload_Indiv_Player=$A165)*(Upload_Indiv_Date=I$2)*(Upload_Indiv_Tot_Eagles))=0,"",SUMPRODUCT((Upload_Indiv_Player=$A165)*(Upload_Indiv_Date=I$2)*(Upload_Indiv_Tot_Eagles)))</f>
        <v/>
      </c>
      <c r="J169" s="2" t="str" cm="1">
        <f t="array" ref="J169">IF(SUMPRODUCT((Upload_Indiv_Player=$A165)*(Upload_Indiv_Date=J$2)*(Upload_Indiv_Tot_Eagles))=0,"",SUMPRODUCT((Upload_Indiv_Player=$A165)*(Upload_Indiv_Date=J$2)*(Upload_Indiv_Tot_Eagles)))</f>
        <v/>
      </c>
      <c r="K169" s="2" t="str" cm="1">
        <f t="array" ref="K169">IF(SUMPRODUCT((Upload_Indiv_Player=$A165)*(Upload_Indiv_Date=K$2)*(Upload_Indiv_Tot_Eagles))=0,"",SUMPRODUCT((Upload_Indiv_Player=$A165)*(Upload_Indiv_Date=K$2)*(Upload_Indiv_Tot_Eagles)))</f>
        <v/>
      </c>
      <c r="L169" s="2" t="str" cm="1">
        <f t="array" ref="L169">IF(SUMPRODUCT((Upload_Indiv_Player=$A165)*(Upload_Indiv_Date=L$2)*(Upload_Indiv_Tot_Eagles))=0,"",SUMPRODUCT((Upload_Indiv_Player=$A165)*(Upload_Indiv_Date=L$2)*(Upload_Indiv_Tot_Eagles)))</f>
        <v/>
      </c>
      <c r="M169" s="2" t="str" cm="1">
        <f t="array" ref="M169">IF(SUMPRODUCT((Upload_Indiv_Player=$A165)*(Upload_Indiv_Date=M$2)*(Upload_Indiv_Tot_Eagles))=0,"",SUMPRODUCT((Upload_Indiv_Player=$A165)*(Upload_Indiv_Date=M$2)*(Upload_Indiv_Tot_Eagles)))</f>
        <v/>
      </c>
      <c r="N169" s="2" t="str" cm="1">
        <f t="array" ref="N169">IF(SUMPRODUCT((Upload_Indiv_Player=$A165)*(Upload_Indiv_Date=N$2)*(Upload_Indiv_Tot_Eagles))=0,"",SUMPRODUCT((Upload_Indiv_Player=$A165)*(Upload_Indiv_Date=N$2)*(Upload_Indiv_Tot_Eagles)))</f>
        <v/>
      </c>
      <c r="O169" s="2" t="str" cm="1">
        <f t="array" ref="O169">IF(SUMPRODUCT((Upload_Indiv_Player=$A165)*(Upload_Indiv_Date=O$2)*(Upload_Indiv_Tot_Eagles))=0,"",SUMPRODUCT((Upload_Indiv_Player=$A165)*(Upload_Indiv_Date=O$2)*(Upload_Indiv_Tot_Eagles)))</f>
        <v/>
      </c>
      <c r="P169" s="2" t="str" cm="1">
        <f t="array" ref="P169">IF(SUMPRODUCT((Upload_Indiv_Player=$A165)*(Upload_Indiv_Date=P$2)*(Upload_Indiv_Tot_Eagles))=0,"",SUMPRODUCT((Upload_Indiv_Player=$A165)*(Upload_Indiv_Date=P$2)*(Upload_Indiv_Tot_Eagles)))</f>
        <v/>
      </c>
      <c r="Q169" s="2" t="str" cm="1">
        <f t="array" ref="Q169">IF(SUMPRODUCT((Upload_Indiv_Player=$A165)*(Upload_Indiv_Date=Q$2)*(Upload_Indiv_Tot_Eagles))=0,"",SUMPRODUCT((Upload_Indiv_Player=$A165)*(Upload_Indiv_Date=Q$2)*(Upload_Indiv_Tot_Eagles)))</f>
        <v/>
      </c>
      <c r="R169" s="2" t="str" cm="1">
        <f t="array" ref="R169">IF(SUMPRODUCT((Upload_Indiv_Player=$A165)*(Upload_Indiv_Date=R$2)*(Upload_Indiv_Tot_Eagles))=0,"",SUMPRODUCT((Upload_Indiv_Player=$A165)*(Upload_Indiv_Date=R$2)*(Upload_Indiv_Tot_Eagles)))</f>
        <v/>
      </c>
      <c r="S169" s="2" t="str" cm="1">
        <f t="array" ref="S169">IF(SUMPRODUCT((Upload_Indiv_Player=$A165)*(Upload_Indiv_Date=S$2)*(Upload_Indiv_Tot_Eagles))=0,"",SUMPRODUCT((Upload_Indiv_Player=$A165)*(Upload_Indiv_Date=S$2)*(Upload_Indiv_Tot_Eagles)))</f>
        <v/>
      </c>
      <c r="T169" s="2" t="str" cm="1">
        <f t="array" ref="T169">IF(SUMPRODUCT((Upload_Indiv_Player=$A165)*(Upload_Indiv_Date=T$2)*(Upload_Indiv_Tot_Eagles))=0,"",SUMPRODUCT((Upload_Indiv_Player=$A165)*(Upload_Indiv_Date=T$2)*(Upload_Indiv_Tot_Eagles)))</f>
        <v/>
      </c>
      <c r="U169" s="2" t="str" cm="1">
        <f t="array" ref="U169">IF(SUMPRODUCT((Upload_Indiv_Player=$A165)*(Upload_Indiv_Date=U$2)*(Upload_Indiv_Tot_Eagles))=0,"",SUMPRODUCT((Upload_Indiv_Player=$A165)*(Upload_Indiv_Date=U$2)*(Upload_Indiv_Tot_Eagles)))</f>
        <v/>
      </c>
      <c r="V169" s="276"/>
      <c r="W169" s="276"/>
      <c r="X169" s="276"/>
      <c r="Y169" s="277"/>
      <c r="Z169" s="278"/>
      <c r="AA169" s="277"/>
    </row>
    <row r="170" spans="1:27" x14ac:dyDescent="0.25">
      <c r="A170" s="14"/>
      <c r="B170" s="2" t="s">
        <v>176</v>
      </c>
      <c r="C170" s="2" t="str" cm="1">
        <f t="array" ref="C170">IF(SUMPRODUCT((Upload_Indiv_Player=$A165)*(Upload_Indiv_Date=C$2)*(Upload_Indiv_Excl_Score))=0,"",SUMPRODUCT((Upload_Indiv_Player=$A165)*(Upload_Indiv_Date=C$2)*(Upload_Indiv_Excl_Score)))</f>
        <v/>
      </c>
      <c r="D170" s="2" t="str" cm="1">
        <f t="array" ref="D170">IF(SUMPRODUCT((Upload_Indiv_Player=$A165)*(Upload_Indiv_Date=D$2)*(Upload_Indiv_Excl_Score))=0,"",SUMPRODUCT((Upload_Indiv_Player=$A165)*(Upload_Indiv_Date=D$2)*(Upload_Indiv_Excl_Score)))</f>
        <v/>
      </c>
      <c r="E170" s="2" t="str" cm="1">
        <f t="array" ref="E170">IF(SUMPRODUCT((Upload_Indiv_Player=$A165)*(Upload_Indiv_Date=E$2)*(Upload_Indiv_Excl_Score))=0,"",SUMPRODUCT((Upload_Indiv_Player=$A165)*(Upload_Indiv_Date=E$2)*(Upload_Indiv_Excl_Score)))</f>
        <v/>
      </c>
      <c r="F170" s="2" t="str" cm="1">
        <f t="array" ref="F170">IF(SUMPRODUCT((Upload_Indiv_Player=$A165)*(Upload_Indiv_Date=F$2)*(Upload_Indiv_Excl_Score))=0,"",SUMPRODUCT((Upload_Indiv_Player=$A165)*(Upload_Indiv_Date=F$2)*(Upload_Indiv_Excl_Score)))</f>
        <v/>
      </c>
      <c r="G170" s="2" t="str" cm="1">
        <f t="array" ref="G170">IF(SUMPRODUCT((Upload_Indiv_Player=$A165)*(Upload_Indiv_Date=G$2)*(Upload_Indiv_Excl_Score))=0,"",SUMPRODUCT((Upload_Indiv_Player=$A165)*(Upload_Indiv_Date=G$2)*(Upload_Indiv_Excl_Score)))</f>
        <v/>
      </c>
      <c r="H170" s="2" t="str" cm="1">
        <f t="array" ref="H170">IF(SUMPRODUCT((Upload_Indiv_Player=$A165)*(Upload_Indiv_Date=H$2)*(Upload_Indiv_Excl_Score))=0,"",SUMPRODUCT((Upload_Indiv_Player=$A165)*(Upload_Indiv_Date=H$2)*(Upload_Indiv_Excl_Score)))</f>
        <v/>
      </c>
      <c r="I170" s="2" t="str" cm="1">
        <f t="array" ref="I170">IF(SUMPRODUCT((Upload_Indiv_Player=$A165)*(Upload_Indiv_Date=I$2)*(Upload_Indiv_Excl_Score))=0,"",SUMPRODUCT((Upload_Indiv_Player=$A165)*(Upload_Indiv_Date=I$2)*(Upload_Indiv_Excl_Score)))</f>
        <v/>
      </c>
      <c r="J170" s="2" t="str" cm="1">
        <f t="array" ref="J170">IF(SUMPRODUCT((Upload_Indiv_Player=$A165)*(Upload_Indiv_Date=J$2)*(Upload_Indiv_Excl_Score))=0,"",SUMPRODUCT((Upload_Indiv_Player=$A165)*(Upload_Indiv_Date=J$2)*(Upload_Indiv_Excl_Score)))</f>
        <v/>
      </c>
      <c r="K170" s="2" t="str" cm="1">
        <f t="array" ref="K170">IF(SUMPRODUCT((Upload_Indiv_Player=$A165)*(Upload_Indiv_Date=K$2)*(Upload_Indiv_Excl_Score))=0,"",SUMPRODUCT((Upload_Indiv_Player=$A165)*(Upload_Indiv_Date=K$2)*(Upload_Indiv_Excl_Score)))</f>
        <v/>
      </c>
      <c r="L170" s="2" t="str" cm="1">
        <f t="array" ref="L170">IF(SUMPRODUCT((Upload_Indiv_Player=$A165)*(Upload_Indiv_Date=L$2)*(Upload_Indiv_Excl_Score))=0,"",SUMPRODUCT((Upload_Indiv_Player=$A165)*(Upload_Indiv_Date=L$2)*(Upload_Indiv_Excl_Score)))</f>
        <v/>
      </c>
      <c r="M170" s="2" t="str" cm="1">
        <f t="array" ref="M170">IF(SUMPRODUCT((Upload_Indiv_Player=$A165)*(Upload_Indiv_Date=M$2)*(Upload_Indiv_Excl_Score))=0,"",SUMPRODUCT((Upload_Indiv_Player=$A165)*(Upload_Indiv_Date=M$2)*(Upload_Indiv_Excl_Score)))</f>
        <v/>
      </c>
      <c r="N170" s="2" t="str" cm="1">
        <f t="array" ref="N170">IF(SUMPRODUCT((Upload_Indiv_Player=$A165)*(Upload_Indiv_Date=N$2)*(Upload_Indiv_Excl_Score))=0,"",SUMPRODUCT((Upload_Indiv_Player=$A165)*(Upload_Indiv_Date=N$2)*(Upload_Indiv_Excl_Score)))</f>
        <v/>
      </c>
      <c r="O170" s="2" t="str" cm="1">
        <f t="array" ref="O170">IF(SUMPRODUCT((Upload_Indiv_Player=$A165)*(Upload_Indiv_Date=O$2)*(Upload_Indiv_Excl_Score))=0,"",SUMPRODUCT((Upload_Indiv_Player=$A165)*(Upload_Indiv_Date=O$2)*(Upload_Indiv_Excl_Score)))</f>
        <v/>
      </c>
      <c r="P170" s="2" t="str" cm="1">
        <f t="array" ref="P170">IF(SUMPRODUCT((Upload_Indiv_Player=$A165)*(Upload_Indiv_Date=P$2)*(Upload_Indiv_Excl_Score))=0,"",SUMPRODUCT((Upload_Indiv_Player=$A165)*(Upload_Indiv_Date=P$2)*(Upload_Indiv_Excl_Score)))</f>
        <v/>
      </c>
      <c r="Q170" s="2" t="str" cm="1">
        <f t="array" ref="Q170">IF(SUMPRODUCT((Upload_Indiv_Player=$A165)*(Upload_Indiv_Date=Q$2)*(Upload_Indiv_Excl_Score))=0,"",SUMPRODUCT((Upload_Indiv_Player=$A165)*(Upload_Indiv_Date=Q$2)*(Upload_Indiv_Excl_Score)))</f>
        <v/>
      </c>
      <c r="R170" s="2" t="str" cm="1">
        <f t="array" ref="R170">IF(SUMPRODUCT((Upload_Indiv_Player=$A165)*(Upload_Indiv_Date=R$2)*(Upload_Indiv_Excl_Score))=0,"",SUMPRODUCT((Upload_Indiv_Player=$A165)*(Upload_Indiv_Date=R$2)*(Upload_Indiv_Excl_Score)))</f>
        <v/>
      </c>
      <c r="S170" s="2" t="str" cm="1">
        <f t="array" ref="S170">IF(SUMPRODUCT((Upload_Indiv_Player=$A165)*(Upload_Indiv_Date=S$2)*(Upload_Indiv_Excl_Score))=0,"",SUMPRODUCT((Upload_Indiv_Player=$A165)*(Upload_Indiv_Date=S$2)*(Upload_Indiv_Excl_Score)))</f>
        <v/>
      </c>
      <c r="T170" s="2" t="str" cm="1">
        <f t="array" ref="T170">IF(SUMPRODUCT((Upload_Indiv_Player=$A165)*(Upload_Indiv_Date=T$2)*(Upload_Indiv_Excl_Score))=0,"",SUMPRODUCT((Upload_Indiv_Player=$A165)*(Upload_Indiv_Date=T$2)*(Upload_Indiv_Excl_Score)))</f>
        <v/>
      </c>
      <c r="U170" s="2" t="str" cm="1">
        <f t="array" ref="U170">IF(SUMPRODUCT((Upload_Indiv_Player=$A165)*(Upload_Indiv_Date=U$2)*(Upload_Indiv_Excl_Score))=0,"",SUMPRODUCT((Upload_Indiv_Player=$A165)*(Upload_Indiv_Date=U$2)*(Upload_Indiv_Excl_Score)))</f>
        <v/>
      </c>
      <c r="V170" s="276"/>
      <c r="W170" s="276"/>
      <c r="X170" s="276"/>
      <c r="Y170" s="277"/>
      <c r="Z170" s="277"/>
      <c r="AA170" s="277"/>
    </row>
    <row r="171" spans="1:27" x14ac:dyDescent="0.25">
      <c r="A171" s="14"/>
      <c r="B171" s="2" t="s">
        <v>177</v>
      </c>
      <c r="C171" s="2" t="str" cm="1">
        <f t="array" ref="C171">IFERROR(INDEX(Upload_Indiv_Team,MATCH(1,($A165=Upload_Indiv_Player)*(C$2=Upload_Indiv_Date),0)),"")</f>
        <v/>
      </c>
      <c r="D171" s="2" t="str" cm="1">
        <f t="array" ref="D171">IFERROR(INDEX(Upload_Indiv_Team,MATCH(1,($A165=Upload_Indiv_Player)*(D$2=Upload_Indiv_Date),0)),"")</f>
        <v/>
      </c>
      <c r="E171" s="2" t="str" cm="1">
        <f t="array" ref="E171">IFERROR(INDEX(Upload_Indiv_Team,MATCH(1,($A165=Upload_Indiv_Player)*(E$2=Upload_Indiv_Date),0)),"")</f>
        <v/>
      </c>
      <c r="F171" s="2" t="str" cm="1">
        <f t="array" ref="F171">IFERROR(INDEX(Upload_Indiv_Team,MATCH(1,($A165=Upload_Indiv_Player)*(F$2=Upload_Indiv_Date),0)),"")</f>
        <v/>
      </c>
      <c r="G171" s="2" t="str" cm="1">
        <f t="array" ref="G171">IFERROR(INDEX(Upload_Indiv_Team,MATCH(1,($A165=Upload_Indiv_Player)*(G$2=Upload_Indiv_Date),0)),"")</f>
        <v/>
      </c>
      <c r="H171" s="2" t="str" cm="1">
        <f t="array" ref="H171">IFERROR(INDEX(Upload_Indiv_Team,MATCH(1,($A165=Upload_Indiv_Player)*(H$2=Upload_Indiv_Date),0)),"")</f>
        <v/>
      </c>
      <c r="I171" s="2" t="str" cm="1">
        <f t="array" ref="I171">IFERROR(INDEX(Upload_Indiv_Team,MATCH(1,($A165=Upload_Indiv_Player)*(I$2=Upload_Indiv_Date),0)),"")</f>
        <v/>
      </c>
      <c r="J171" s="2" t="str" cm="1">
        <f t="array" ref="J171">IFERROR(INDEX(Upload_Indiv_Team,MATCH(1,($A165=Upload_Indiv_Player)*(J$2=Upload_Indiv_Date),0)),"")</f>
        <v/>
      </c>
      <c r="K171" s="2" t="str" cm="1">
        <f t="array" ref="K171">IFERROR(INDEX(Upload_Indiv_Team,MATCH(1,($A165=Upload_Indiv_Player)*(K$2=Upload_Indiv_Date),0)),"")</f>
        <v/>
      </c>
      <c r="L171" s="2" t="str" cm="1">
        <f t="array" ref="L171">IFERROR(INDEX(Upload_Indiv_Team,MATCH(1,($A165=Upload_Indiv_Player)*(L$2=Upload_Indiv_Date),0)),"")</f>
        <v>Metheads</v>
      </c>
      <c r="M171" s="2" t="str" cm="1">
        <f t="array" ref="M171">IFERROR(INDEX(Upload_Indiv_Team,MATCH(1,($A165=Upload_Indiv_Player)*(M$2=Upload_Indiv_Date),0)),"")</f>
        <v/>
      </c>
      <c r="N171" s="2" t="str" cm="1">
        <f t="array" ref="N171">IFERROR(INDEX(Upload_Indiv_Team,MATCH(1,($A165=Upload_Indiv_Player)*(N$2=Upload_Indiv_Date),0)),"")</f>
        <v/>
      </c>
      <c r="O171" s="2" t="str" cm="1">
        <f t="array" ref="O171">IFERROR(INDEX(Upload_Indiv_Team,MATCH(1,($A165=Upload_Indiv_Player)*(O$2=Upload_Indiv_Date),0)),"")</f>
        <v/>
      </c>
      <c r="P171" s="2" t="str" cm="1">
        <f t="array" ref="P171">IFERROR(INDEX(Upload_Indiv_Team,MATCH(1,($A165=Upload_Indiv_Player)*(P$2=Upload_Indiv_Date),0)),"")</f>
        <v/>
      </c>
      <c r="Q171" s="2" t="str" cm="1">
        <f t="array" ref="Q171">IFERROR(INDEX(Upload_Indiv_Team,MATCH(1,($A165=Upload_Indiv_Player)*(Q$2=Upload_Indiv_Date),0)),"")</f>
        <v/>
      </c>
      <c r="R171" s="2" t="str" cm="1">
        <f t="array" ref="R171">IFERROR(INDEX(Upload_Indiv_Team,MATCH(1,($A165=Upload_Indiv_Player)*(R$2=Upload_Indiv_Date),0)),"")</f>
        <v/>
      </c>
      <c r="S171" s="2" t="str" cm="1">
        <f t="array" ref="S171">IFERROR(INDEX(Upload_Indiv_Team,MATCH(1,($A165=Upload_Indiv_Player)*(S$2=Upload_Indiv_Date),0)),"")</f>
        <v/>
      </c>
      <c r="T171" s="2" t="str" cm="1">
        <f t="array" ref="T171">IFERROR(INDEX(Upload_Indiv_Team,MATCH(1,($A165=Upload_Indiv_Player)*(T$2=Upload_Indiv_Date),0)),"")</f>
        <v/>
      </c>
      <c r="U171" s="2" t="str" cm="1">
        <f t="array" ref="U171">IFERROR(INDEX(Upload_Indiv_Team,MATCH(1,($A165=Upload_Indiv_Player)*(U$2=Upload_Indiv_Date),0)),"")</f>
        <v/>
      </c>
      <c r="V171" s="276"/>
      <c r="W171" s="276"/>
      <c r="X171" s="276"/>
      <c r="Y171" s="277"/>
      <c r="Z171" s="277"/>
      <c r="AA171" s="277"/>
    </row>
    <row r="172" spans="1:27" ht="13.8" thickBot="1" x14ac:dyDescent="0.3">
      <c r="A172" s="329" t="s">
        <v>160</v>
      </c>
      <c r="B172" s="16" t="s">
        <v>178</v>
      </c>
      <c r="C172" s="58" t="str">
        <f t="shared" ref="C172:U172" si="21">IF(C165="", "", IF(C167&gt;=11, "w", IF(C167&lt;=9, "l", "t")))</f>
        <v/>
      </c>
      <c r="D172" s="58" t="str">
        <f t="shared" si="21"/>
        <v/>
      </c>
      <c r="E172" s="58" t="str">
        <f t="shared" si="21"/>
        <v/>
      </c>
      <c r="F172" s="58" t="str">
        <f t="shared" si="21"/>
        <v/>
      </c>
      <c r="G172" s="58" t="str">
        <f t="shared" si="21"/>
        <v/>
      </c>
      <c r="H172" s="58" t="str">
        <f t="shared" si="21"/>
        <v/>
      </c>
      <c r="I172" s="58" t="str">
        <f t="shared" si="21"/>
        <v/>
      </c>
      <c r="J172" s="58" t="str">
        <f t="shared" si="21"/>
        <v/>
      </c>
      <c r="K172" s="58" t="str">
        <f t="shared" si="21"/>
        <v/>
      </c>
      <c r="L172" s="58" t="str">
        <f t="shared" si="21"/>
        <v>t</v>
      </c>
      <c r="M172" s="87" t="str">
        <f t="shared" si="21"/>
        <v/>
      </c>
      <c r="N172" s="58" t="str">
        <f t="shared" si="21"/>
        <v/>
      </c>
      <c r="O172" s="58" t="str">
        <f t="shared" si="21"/>
        <v/>
      </c>
      <c r="P172" s="58" t="str">
        <f t="shared" si="21"/>
        <v/>
      </c>
      <c r="Q172" s="58" t="str">
        <f t="shared" si="21"/>
        <v/>
      </c>
      <c r="R172" s="58" t="str">
        <f t="shared" si="21"/>
        <v/>
      </c>
      <c r="S172" s="58" t="str">
        <f t="shared" si="21"/>
        <v/>
      </c>
      <c r="T172" s="58" t="str">
        <f t="shared" si="21"/>
        <v/>
      </c>
      <c r="U172" s="58" t="str">
        <f t="shared" si="21"/>
        <v/>
      </c>
      <c r="V172" s="276"/>
      <c r="W172" s="276"/>
      <c r="X172" s="276"/>
      <c r="Y172" s="277"/>
      <c r="Z172" s="277"/>
      <c r="AA172" s="277"/>
    </row>
    <row r="173" spans="1:27" x14ac:dyDescent="0.25">
      <c r="A173" s="11" t="s">
        <v>269</v>
      </c>
      <c r="B173" s="3" t="s">
        <v>170</v>
      </c>
      <c r="C173" s="3" t="str" cm="1">
        <f t="array" ref="C173">IF(SUMPRODUCT((Upload_Indiv_Player=$A173)*(Upload_Indiv_Date=C$2)*(Upload_Indiv_Gross))=0,"",SUMPRODUCT((Upload_Indiv_Player=$A173)*(Upload_Indiv_Date=C$2)*(Upload_Indiv_Gross)))</f>
        <v/>
      </c>
      <c r="D173" s="3" t="str" cm="1">
        <f t="array" ref="D173">IF(SUMPRODUCT((Upload_Indiv_Player=$A173)*(Upload_Indiv_Date=D$2)*(Upload_Indiv_Gross))=0,"",SUMPRODUCT((Upload_Indiv_Player=$A173)*(Upload_Indiv_Date=D$2)*(Upload_Indiv_Gross)))</f>
        <v/>
      </c>
      <c r="E173" s="3" t="str" cm="1">
        <f t="array" ref="E173">IF(SUMPRODUCT((Upload_Indiv_Player=$A173)*(Upload_Indiv_Date=E$2)*(Upload_Indiv_Gross))=0,"",SUMPRODUCT((Upload_Indiv_Player=$A173)*(Upload_Indiv_Date=E$2)*(Upload_Indiv_Gross)))</f>
        <v/>
      </c>
      <c r="F173" s="3" t="str" cm="1">
        <f t="array" ref="F173">IF(SUMPRODUCT((Upload_Indiv_Player=$A173)*(Upload_Indiv_Date=F$2)*(Upload_Indiv_Gross))=0,"",SUMPRODUCT((Upload_Indiv_Player=$A173)*(Upload_Indiv_Date=F$2)*(Upload_Indiv_Gross)))</f>
        <v/>
      </c>
      <c r="G173" s="3" t="str" cm="1">
        <f t="array" ref="G173">IF(SUMPRODUCT((Upload_Indiv_Player=$A173)*(Upload_Indiv_Date=G$2)*(Upload_Indiv_Gross))=0,"",SUMPRODUCT((Upload_Indiv_Player=$A173)*(Upload_Indiv_Date=G$2)*(Upload_Indiv_Gross)))</f>
        <v/>
      </c>
      <c r="H173" s="3" t="str" cm="1">
        <f t="array" ref="H173">IF(SUMPRODUCT((Upload_Indiv_Player=$A173)*(Upload_Indiv_Date=H$2)*(Upload_Indiv_Gross))=0,"",SUMPRODUCT((Upload_Indiv_Player=$A173)*(Upload_Indiv_Date=H$2)*(Upload_Indiv_Gross)))</f>
        <v/>
      </c>
      <c r="I173" s="3" t="str" cm="1">
        <f t="array" ref="I173">IF(SUMPRODUCT((Upload_Indiv_Player=$A173)*(Upload_Indiv_Date=I$2)*(Upload_Indiv_Gross))=0,"",SUMPRODUCT((Upload_Indiv_Player=$A173)*(Upload_Indiv_Date=I$2)*(Upload_Indiv_Gross)))</f>
        <v/>
      </c>
      <c r="J173" s="3" t="str" cm="1">
        <f t="array" ref="J173">IF(SUMPRODUCT((Upload_Indiv_Player=$A173)*(Upload_Indiv_Date=J$2)*(Upload_Indiv_Gross))=0,"",SUMPRODUCT((Upload_Indiv_Player=$A173)*(Upload_Indiv_Date=J$2)*(Upload_Indiv_Gross)))</f>
        <v/>
      </c>
      <c r="K173" s="3" t="str" cm="1">
        <f t="array" ref="K173">IF(SUMPRODUCT((Upload_Indiv_Player=$A173)*(Upload_Indiv_Date=K$2)*(Upload_Indiv_Gross))=0,"",SUMPRODUCT((Upload_Indiv_Player=$A173)*(Upload_Indiv_Date=K$2)*(Upload_Indiv_Gross)))</f>
        <v/>
      </c>
      <c r="L173" s="3" t="str" cm="1">
        <f t="array" ref="L173">IF(SUMPRODUCT((Upload_Indiv_Player=$A173)*(Upload_Indiv_Date=L$2)*(Upload_Indiv_Gross))=0,"",SUMPRODUCT((Upload_Indiv_Player=$A173)*(Upload_Indiv_Date=L$2)*(Upload_Indiv_Gross)))</f>
        <v/>
      </c>
      <c r="M173" s="3" t="str" cm="1">
        <f t="array" ref="M173">IF(SUMPRODUCT((Upload_Indiv_Player=$A173)*(Upload_Indiv_Date=M$2)*(Upload_Indiv_Gross))=0,"",SUMPRODUCT((Upload_Indiv_Player=$A173)*(Upload_Indiv_Date=M$2)*(Upload_Indiv_Gross)))</f>
        <v/>
      </c>
      <c r="N173" s="3" t="str" cm="1">
        <f t="array" ref="N173">IF(SUMPRODUCT((Upload_Indiv_Player=$A173)*(Upload_Indiv_Date=N$2)*(Upload_Indiv_Gross))=0,"",SUMPRODUCT((Upload_Indiv_Player=$A173)*(Upload_Indiv_Date=N$2)*(Upload_Indiv_Gross)))</f>
        <v/>
      </c>
      <c r="O173" s="3" t="str" cm="1">
        <f t="array" ref="O173">IF(SUMPRODUCT((Upload_Indiv_Player=$A173)*(Upload_Indiv_Date=O$2)*(Upload_Indiv_Gross))=0,"",SUMPRODUCT((Upload_Indiv_Player=$A173)*(Upload_Indiv_Date=O$2)*(Upload_Indiv_Gross)))</f>
        <v/>
      </c>
      <c r="P173" s="3" t="str" cm="1">
        <f t="array" ref="P173">IF(SUMPRODUCT((Upload_Indiv_Player=$A173)*(Upload_Indiv_Date=P$2)*(Upload_Indiv_Gross))=0,"",SUMPRODUCT((Upload_Indiv_Player=$A173)*(Upload_Indiv_Date=P$2)*(Upload_Indiv_Gross)))</f>
        <v/>
      </c>
      <c r="Q173" s="2" t="str" cm="1">
        <f t="array" ref="Q173">IF(SUMPRODUCT((Upload_Indiv_Player=$A173)*(Upload_Indiv_Date=Q$2)*(Upload_Indiv_Gross))=0,"",SUMPRODUCT((Upload_Indiv_Player=$A173)*(Upload_Indiv_Date=Q$2)*(Upload_Indiv_Gross)))</f>
        <v/>
      </c>
      <c r="R173" s="2" t="str" cm="1">
        <f t="array" ref="R173">IF(SUMPRODUCT((Upload_Indiv_Player=$A173)*(Upload_Indiv_Date=R$2)*(Upload_Indiv_Gross))=0,"",SUMPRODUCT((Upload_Indiv_Player=$A173)*(Upload_Indiv_Date=R$2)*(Upload_Indiv_Gross)))</f>
        <v/>
      </c>
      <c r="S173" s="2" t="str" cm="1">
        <f t="array" ref="S173">IF(SUMPRODUCT((Upload_Indiv_Player=$A173)*(Upload_Indiv_Date=S$2)*(Upload_Indiv_Gross))=0,"",SUMPRODUCT((Upload_Indiv_Player=$A173)*(Upload_Indiv_Date=S$2)*(Upload_Indiv_Gross)))</f>
        <v/>
      </c>
      <c r="T173" s="2" t="str" cm="1">
        <f t="array" ref="T173">IF(SUMPRODUCT((Upload_Indiv_Player=$A173)*(Upload_Indiv_Date=T$2)*(Upload_Indiv_Gross))=0,"",SUMPRODUCT((Upload_Indiv_Player=$A173)*(Upload_Indiv_Date=T$2)*(Upload_Indiv_Gross)))</f>
        <v/>
      </c>
      <c r="U173" s="2" t="str" cm="1">
        <f t="array" ref="U173">IF(SUMPRODUCT((Upload_Indiv_Player=$A173)*(Upload_Indiv_Date=U$2)*(Upload_Indiv_Gross))=0,"",SUMPRODUCT((Upload_Indiv_Player=$A173)*(Upload_Indiv_Date=U$2)*(Upload_Indiv_Gross)))</f>
        <v/>
      </c>
      <c r="V173" s="273">
        <v>6</v>
      </c>
      <c r="W173" s="273">
        <v>2</v>
      </c>
      <c r="X173" s="273">
        <v>6</v>
      </c>
      <c r="Y173" s="277">
        <v>3</v>
      </c>
      <c r="Z173" s="277">
        <v>3</v>
      </c>
      <c r="AA173" s="277">
        <v>7</v>
      </c>
    </row>
    <row r="174" spans="1:27" x14ac:dyDescent="0.25">
      <c r="A174" s="216">
        <v>3304778837</v>
      </c>
      <c r="B174" s="2" t="s">
        <v>171</v>
      </c>
      <c r="C174" s="2" t="str" cm="1">
        <f t="array" ref="C174">IF(SUMPRODUCT((Upload_Indiv_Player=$A173)*(Upload_Indiv_Date=C$2)*(Upload_Indiv_Net))=0,"",SUMPRODUCT((Upload_Indiv_Player=$A173)*(Upload_Indiv_Date=C$2)*(Upload_Indiv_Net)))</f>
        <v/>
      </c>
      <c r="D174" s="2" t="str" cm="1">
        <f t="array" ref="D174">IF(SUMPRODUCT((Upload_Indiv_Player=$A173)*(Upload_Indiv_Date=D$2)*(Upload_Indiv_Net))=0,"",SUMPRODUCT((Upload_Indiv_Player=$A173)*(Upload_Indiv_Date=D$2)*(Upload_Indiv_Net)))</f>
        <v/>
      </c>
      <c r="E174" s="2" t="str" cm="1">
        <f t="array" ref="E174">IF(SUMPRODUCT((Upload_Indiv_Player=$A173)*(Upload_Indiv_Date=E$2)*(Upload_Indiv_Net))=0,"",SUMPRODUCT((Upload_Indiv_Player=$A173)*(Upload_Indiv_Date=E$2)*(Upload_Indiv_Net)))</f>
        <v/>
      </c>
      <c r="F174" s="2" t="str" cm="1">
        <f t="array" ref="F174">IF(SUMPRODUCT((Upload_Indiv_Player=$A173)*(Upload_Indiv_Date=F$2)*(Upload_Indiv_Net))=0,"",SUMPRODUCT((Upload_Indiv_Player=$A173)*(Upload_Indiv_Date=F$2)*(Upload_Indiv_Net)))</f>
        <v/>
      </c>
      <c r="G174" s="2" t="str" cm="1">
        <f t="array" ref="G174">IF(SUMPRODUCT((Upload_Indiv_Player=$A173)*(Upload_Indiv_Date=G$2)*(Upload_Indiv_Net))=0,"",SUMPRODUCT((Upload_Indiv_Player=$A173)*(Upload_Indiv_Date=G$2)*(Upload_Indiv_Net)))</f>
        <v/>
      </c>
      <c r="H174" s="2" t="str" cm="1">
        <f t="array" ref="H174">IF(SUMPRODUCT((Upload_Indiv_Player=$A173)*(Upload_Indiv_Date=H$2)*(Upload_Indiv_Net))=0,"",SUMPRODUCT((Upload_Indiv_Player=$A173)*(Upload_Indiv_Date=H$2)*(Upload_Indiv_Net)))</f>
        <v/>
      </c>
      <c r="I174" s="2" t="str" cm="1">
        <f t="array" ref="I174">IF(SUMPRODUCT((Upload_Indiv_Player=$A173)*(Upload_Indiv_Date=I$2)*(Upload_Indiv_Net))=0,"",SUMPRODUCT((Upload_Indiv_Player=$A173)*(Upload_Indiv_Date=I$2)*(Upload_Indiv_Net)))</f>
        <v/>
      </c>
      <c r="J174" s="2" t="str" cm="1">
        <f t="array" ref="J174">IF(SUMPRODUCT((Upload_Indiv_Player=$A173)*(Upload_Indiv_Date=J$2)*(Upload_Indiv_Net))=0,"",SUMPRODUCT((Upload_Indiv_Player=$A173)*(Upload_Indiv_Date=J$2)*(Upload_Indiv_Net)))</f>
        <v/>
      </c>
      <c r="K174" s="2" t="str" cm="1">
        <f t="array" ref="K174">IF(SUMPRODUCT((Upload_Indiv_Player=$A173)*(Upload_Indiv_Date=K$2)*(Upload_Indiv_Net))=0,"",SUMPRODUCT((Upload_Indiv_Player=$A173)*(Upload_Indiv_Date=K$2)*(Upload_Indiv_Net)))</f>
        <v/>
      </c>
      <c r="L174" s="2" t="str" cm="1">
        <f t="array" ref="L174">IF(SUMPRODUCT((Upload_Indiv_Player=$A173)*(Upload_Indiv_Date=L$2)*(Upload_Indiv_Net))=0,"",SUMPRODUCT((Upload_Indiv_Player=$A173)*(Upload_Indiv_Date=L$2)*(Upload_Indiv_Net)))</f>
        <v/>
      </c>
      <c r="M174" s="2" t="str" cm="1">
        <f t="array" ref="M174">IF(SUMPRODUCT((Upload_Indiv_Player=$A173)*(Upload_Indiv_Date=M$2)*(Upload_Indiv_Net))=0,"",SUMPRODUCT((Upload_Indiv_Player=$A173)*(Upload_Indiv_Date=M$2)*(Upload_Indiv_Net)))</f>
        <v/>
      </c>
      <c r="N174" s="2" t="str" cm="1">
        <f t="array" ref="N174">IF(SUMPRODUCT((Upload_Indiv_Player=$A173)*(Upload_Indiv_Date=N$2)*(Upload_Indiv_Net))=0,"",SUMPRODUCT((Upload_Indiv_Player=$A173)*(Upload_Indiv_Date=N$2)*(Upload_Indiv_Net)))</f>
        <v/>
      </c>
      <c r="O174" s="2" t="str" cm="1">
        <f t="array" ref="O174">IF(SUMPRODUCT((Upload_Indiv_Player=$A173)*(Upload_Indiv_Date=O$2)*(Upload_Indiv_Net))=0,"",SUMPRODUCT((Upload_Indiv_Player=$A173)*(Upload_Indiv_Date=O$2)*(Upload_Indiv_Net)))</f>
        <v/>
      </c>
      <c r="P174" s="2" t="str" cm="1">
        <f t="array" ref="P174">IF(SUMPRODUCT((Upload_Indiv_Player=$A173)*(Upload_Indiv_Date=P$2)*(Upload_Indiv_Net))=0,"",SUMPRODUCT((Upload_Indiv_Player=$A173)*(Upload_Indiv_Date=P$2)*(Upload_Indiv_Net)))</f>
        <v/>
      </c>
      <c r="Q174" s="2" t="str" cm="1">
        <f t="array" ref="Q174">IF(SUMPRODUCT((Upload_Indiv_Player=$A173)*(Upload_Indiv_Date=Q$2)*(Upload_Indiv_Net))=0,"",SUMPRODUCT((Upload_Indiv_Player=$A173)*(Upload_Indiv_Date=Q$2)*(Upload_Indiv_Net)))</f>
        <v/>
      </c>
      <c r="R174" s="2" t="str" cm="1">
        <f t="array" ref="R174">IF(SUMPRODUCT((Upload_Indiv_Player=$A173)*(Upload_Indiv_Date=R$2)*(Upload_Indiv_Net))=0,"",SUMPRODUCT((Upload_Indiv_Player=$A173)*(Upload_Indiv_Date=R$2)*(Upload_Indiv_Net)))</f>
        <v/>
      </c>
      <c r="S174" s="2" t="str" cm="1">
        <f t="array" ref="S174">IF(SUMPRODUCT((Upload_Indiv_Player=$A173)*(Upload_Indiv_Date=S$2)*(Upload_Indiv_Net))=0,"",SUMPRODUCT((Upload_Indiv_Player=$A173)*(Upload_Indiv_Date=S$2)*(Upload_Indiv_Net)))</f>
        <v/>
      </c>
      <c r="T174" s="2" t="str" cm="1">
        <f t="array" ref="T174">IF(SUMPRODUCT((Upload_Indiv_Player=$A173)*(Upload_Indiv_Date=T$2)*(Upload_Indiv_Net))=0,"",SUMPRODUCT((Upload_Indiv_Player=$A173)*(Upload_Indiv_Date=T$2)*(Upload_Indiv_Net)))</f>
        <v/>
      </c>
      <c r="U174" s="2" t="str" cm="1">
        <f t="array" ref="U174">IF(SUMPRODUCT((Upload_Indiv_Player=$A173)*(Upload_Indiv_Date=U$2)*(Upload_Indiv_Net))=0,"",SUMPRODUCT((Upload_Indiv_Player=$A173)*(Upload_Indiv_Date=U$2)*(Upload_Indiv_Net)))</f>
        <v/>
      </c>
      <c r="V174" s="276">
        <v>57.33</v>
      </c>
      <c r="W174" s="276"/>
      <c r="X174" s="276"/>
      <c r="Y174" s="277"/>
      <c r="Z174" s="277"/>
      <c r="AA174" s="277"/>
    </row>
    <row r="175" spans="1:27" x14ac:dyDescent="0.25">
      <c r="A175" s="65" t="s">
        <v>270</v>
      </c>
      <c r="B175" s="2" t="s">
        <v>173</v>
      </c>
      <c r="C175" s="2" t="str" cm="1">
        <f t="array" ref="C175">IF(SUMPRODUCT((Upload_Indiv_Player=$A173)*(Upload_Indiv_Date=C$2)*(Upload_Indiv_PointsTot))=0,"",SUMPRODUCT((Upload_Indiv_Player=$A173)*(Upload_Indiv_Date=C$2)*(Upload_Indiv_PointsTot)))</f>
        <v/>
      </c>
      <c r="D175" s="2" t="str" cm="1">
        <f t="array" ref="D175">IF(SUMPRODUCT((Upload_Indiv_Player=$A173)*(Upload_Indiv_Date=D$2)*(Upload_Indiv_PointsTot))=0,"",SUMPRODUCT((Upload_Indiv_Player=$A173)*(Upload_Indiv_Date=D$2)*(Upload_Indiv_PointsTot)))</f>
        <v/>
      </c>
      <c r="E175" s="2" t="str" cm="1">
        <f t="array" ref="E175">IF(SUMPRODUCT((Upload_Indiv_Player=$A173)*(Upload_Indiv_Date=E$2)*(Upload_Indiv_PointsTot))=0,"",SUMPRODUCT((Upload_Indiv_Player=$A173)*(Upload_Indiv_Date=E$2)*(Upload_Indiv_PointsTot)))</f>
        <v/>
      </c>
      <c r="F175" s="2" t="str" cm="1">
        <f t="array" ref="F175">IF(SUMPRODUCT((Upload_Indiv_Player=$A173)*(Upload_Indiv_Date=F$2)*(Upload_Indiv_PointsTot))=0,"",SUMPRODUCT((Upload_Indiv_Player=$A173)*(Upload_Indiv_Date=F$2)*(Upload_Indiv_PointsTot)))</f>
        <v/>
      </c>
      <c r="G175" s="2" t="str" cm="1">
        <f t="array" ref="G175">IF(SUMPRODUCT((Upload_Indiv_Player=$A173)*(Upload_Indiv_Date=G$2)*(Upload_Indiv_PointsTot))=0,"",SUMPRODUCT((Upload_Indiv_Player=$A173)*(Upload_Indiv_Date=G$2)*(Upload_Indiv_PointsTot)))</f>
        <v/>
      </c>
      <c r="H175" s="2" t="str" cm="1">
        <f t="array" ref="H175">IF(SUMPRODUCT((Upload_Indiv_Player=$A173)*(Upload_Indiv_Date=H$2)*(Upload_Indiv_PointsTot))=0,"",SUMPRODUCT((Upload_Indiv_Player=$A173)*(Upload_Indiv_Date=H$2)*(Upload_Indiv_PointsTot)))</f>
        <v/>
      </c>
      <c r="I175" s="2" t="str" cm="1">
        <f t="array" ref="I175">IF(SUMPRODUCT((Upload_Indiv_Player=$A173)*(Upload_Indiv_Date=I$2)*(Upload_Indiv_PointsTot))=0,"",SUMPRODUCT((Upload_Indiv_Player=$A173)*(Upload_Indiv_Date=I$2)*(Upload_Indiv_PointsTot)))</f>
        <v/>
      </c>
      <c r="J175" s="2" t="str" cm="1">
        <f t="array" ref="J175">IF(SUMPRODUCT((Upload_Indiv_Player=$A173)*(Upload_Indiv_Date=J$2)*(Upload_Indiv_PointsTot))=0,"",SUMPRODUCT((Upload_Indiv_Player=$A173)*(Upload_Indiv_Date=J$2)*(Upload_Indiv_PointsTot)))</f>
        <v/>
      </c>
      <c r="K175" s="2" t="str" cm="1">
        <f t="array" ref="K175">IF(SUMPRODUCT((Upload_Indiv_Player=$A173)*(Upload_Indiv_Date=K$2)*(Upload_Indiv_PointsTot))=0,"",SUMPRODUCT((Upload_Indiv_Player=$A173)*(Upload_Indiv_Date=K$2)*(Upload_Indiv_PointsTot)))</f>
        <v/>
      </c>
      <c r="L175" s="2" t="str" cm="1">
        <f t="array" ref="L175">IF(SUMPRODUCT((Upload_Indiv_Player=$A173)*(Upload_Indiv_Date=L$2)*(Upload_Indiv_PointsTot))=0,"",SUMPRODUCT((Upload_Indiv_Player=$A173)*(Upload_Indiv_Date=L$2)*(Upload_Indiv_PointsTot)))</f>
        <v/>
      </c>
      <c r="M175" s="2" t="str" cm="1">
        <f t="array" ref="M175">IF(SUMPRODUCT((Upload_Indiv_Player=$A173)*(Upload_Indiv_Date=M$2)*(Upload_Indiv_PointsTot))=0,"",SUMPRODUCT((Upload_Indiv_Player=$A173)*(Upload_Indiv_Date=M$2)*(Upload_Indiv_PointsTot)))</f>
        <v/>
      </c>
      <c r="N175" s="2" t="str" cm="1">
        <f t="array" ref="N175">IF(SUMPRODUCT((Upload_Indiv_Player=$A173)*(Upload_Indiv_Date=N$2)*(Upload_Indiv_PointsTot))=0,"",SUMPRODUCT((Upload_Indiv_Player=$A173)*(Upload_Indiv_Date=N$2)*(Upload_Indiv_PointsTot)))</f>
        <v/>
      </c>
      <c r="O175" s="2" t="str" cm="1">
        <f t="array" ref="O175">IF(SUMPRODUCT((Upload_Indiv_Player=$A173)*(Upload_Indiv_Date=O$2)*(Upload_Indiv_PointsTot))=0,"",SUMPRODUCT((Upload_Indiv_Player=$A173)*(Upload_Indiv_Date=O$2)*(Upload_Indiv_PointsTot)))</f>
        <v/>
      </c>
      <c r="P175" s="2" t="str" cm="1">
        <f t="array" ref="P175">IF(SUMPRODUCT((Upload_Indiv_Player=$A173)*(Upload_Indiv_Date=P$2)*(Upload_Indiv_PointsTot))=0,"",SUMPRODUCT((Upload_Indiv_Player=$A173)*(Upload_Indiv_Date=P$2)*(Upload_Indiv_PointsTot)))</f>
        <v/>
      </c>
      <c r="Q175" s="2" t="str" cm="1">
        <f t="array" ref="Q175">IF(SUMPRODUCT((Upload_Indiv_Player=$A173)*(Upload_Indiv_Date=Q$2)*(Upload_Indiv_PointsTot))=0,"",SUMPRODUCT((Upload_Indiv_Player=$A173)*(Upload_Indiv_Date=Q$2)*(Upload_Indiv_PointsTot)))</f>
        <v/>
      </c>
      <c r="R175" s="2" t="str" cm="1">
        <f t="array" ref="R175">IF(SUMPRODUCT((Upload_Indiv_Player=$A173)*(Upload_Indiv_Date=R$2)*(Upload_Indiv_PointsTot))=0,"",SUMPRODUCT((Upload_Indiv_Player=$A173)*(Upload_Indiv_Date=R$2)*(Upload_Indiv_PointsTot)))</f>
        <v/>
      </c>
      <c r="S175" s="2" t="str" cm="1">
        <f t="array" ref="S175">IF(SUMPRODUCT((Upload_Indiv_Player=$A173)*(Upload_Indiv_Date=S$2)*(Upload_Indiv_PointsTot))=0,"",SUMPRODUCT((Upload_Indiv_Player=$A173)*(Upload_Indiv_Date=S$2)*(Upload_Indiv_PointsTot)))</f>
        <v/>
      </c>
      <c r="T175" s="2" t="str" cm="1">
        <f t="array" ref="T175">IF(SUMPRODUCT((Upload_Indiv_Player=$A173)*(Upload_Indiv_Date=T$2)*(Upload_Indiv_PointsTot))=0,"",SUMPRODUCT((Upload_Indiv_Player=$A173)*(Upload_Indiv_Date=T$2)*(Upload_Indiv_PointsTot)))</f>
        <v/>
      </c>
      <c r="U175" s="2" t="str" cm="1">
        <f t="array" ref="U175">IF(SUMPRODUCT((Upload_Indiv_Player=$A173)*(Upload_Indiv_Date=U$2)*(Upload_Indiv_PointsTot))=0,"",SUMPRODUCT((Upload_Indiv_Player=$A173)*(Upload_Indiv_Date=U$2)*(Upload_Indiv_PointsTot)))</f>
        <v/>
      </c>
      <c r="V175" s="276"/>
      <c r="W175" s="276"/>
      <c r="X175" s="276"/>
      <c r="Y175" s="277"/>
      <c r="Z175" s="277"/>
      <c r="AA175" s="277"/>
    </row>
    <row r="176" spans="1:27" x14ac:dyDescent="0.25">
      <c r="A176" s="14" t="s">
        <v>160</v>
      </c>
      <c r="B176" s="2" t="s">
        <v>174</v>
      </c>
      <c r="C176" s="2" t="str" cm="1">
        <f t="array" ref="C176">IF(SUMPRODUCT((Upload_Indiv_Player=$A173)*(Upload_Indiv_Date=C$2)*(Upload_Indiv_Tot_Birds))=0,"",SUMPRODUCT((Upload_Indiv_Player=$A173)*(Upload_Indiv_Date=C$2)*(Upload_Indiv_Tot_Birds)))</f>
        <v/>
      </c>
      <c r="D176" s="2" t="str" cm="1">
        <f t="array" ref="D176">IF(SUMPRODUCT((Upload_Indiv_Player=$A173)*(Upload_Indiv_Date=D$2)*(Upload_Indiv_Tot_Birds))=0,"",SUMPRODUCT((Upload_Indiv_Player=$A173)*(Upload_Indiv_Date=D$2)*(Upload_Indiv_Tot_Birds)))</f>
        <v/>
      </c>
      <c r="E176" s="2" t="str" cm="1">
        <f t="array" ref="E176">IF(SUMPRODUCT((Upload_Indiv_Player=$A173)*(Upload_Indiv_Date=E$2)*(Upload_Indiv_Tot_Birds))=0,"",SUMPRODUCT((Upload_Indiv_Player=$A173)*(Upload_Indiv_Date=E$2)*(Upload_Indiv_Tot_Birds)))</f>
        <v/>
      </c>
      <c r="F176" s="2" t="str" cm="1">
        <f t="array" ref="F176">IF(SUMPRODUCT((Upload_Indiv_Player=$A173)*(Upload_Indiv_Date=F$2)*(Upload_Indiv_Tot_Birds))=0,"",SUMPRODUCT((Upload_Indiv_Player=$A173)*(Upload_Indiv_Date=F$2)*(Upload_Indiv_Tot_Birds)))</f>
        <v/>
      </c>
      <c r="G176" s="2" t="str" cm="1">
        <f t="array" ref="G176">IF(SUMPRODUCT((Upload_Indiv_Player=$A173)*(Upload_Indiv_Date=G$2)*(Upload_Indiv_Tot_Birds))=0,"",SUMPRODUCT((Upload_Indiv_Player=$A173)*(Upload_Indiv_Date=G$2)*(Upload_Indiv_Tot_Birds)))</f>
        <v/>
      </c>
      <c r="H176" s="2" t="str" cm="1">
        <f t="array" ref="H176">IF(SUMPRODUCT((Upload_Indiv_Player=$A173)*(Upload_Indiv_Date=H$2)*(Upload_Indiv_Tot_Birds))=0,"",SUMPRODUCT((Upload_Indiv_Player=$A173)*(Upload_Indiv_Date=H$2)*(Upload_Indiv_Tot_Birds)))</f>
        <v/>
      </c>
      <c r="I176" s="2" t="str" cm="1">
        <f t="array" ref="I176">IF(SUMPRODUCT((Upload_Indiv_Player=$A173)*(Upload_Indiv_Date=I$2)*(Upload_Indiv_Tot_Birds))=0,"",SUMPRODUCT((Upload_Indiv_Player=$A173)*(Upload_Indiv_Date=I$2)*(Upload_Indiv_Tot_Birds)))</f>
        <v/>
      </c>
      <c r="J176" s="2" t="str" cm="1">
        <f t="array" ref="J176">IF(SUMPRODUCT((Upload_Indiv_Player=$A173)*(Upload_Indiv_Date=J$2)*(Upload_Indiv_Tot_Birds))=0,"",SUMPRODUCT((Upload_Indiv_Player=$A173)*(Upload_Indiv_Date=J$2)*(Upload_Indiv_Tot_Birds)))</f>
        <v/>
      </c>
      <c r="K176" s="2" t="str" cm="1">
        <f t="array" ref="K176">IF(SUMPRODUCT((Upload_Indiv_Player=$A173)*(Upload_Indiv_Date=K$2)*(Upload_Indiv_Tot_Birds))=0,"",SUMPRODUCT((Upload_Indiv_Player=$A173)*(Upload_Indiv_Date=K$2)*(Upload_Indiv_Tot_Birds)))</f>
        <v/>
      </c>
      <c r="L176" s="2" t="str" cm="1">
        <f t="array" ref="L176">IF(SUMPRODUCT((Upload_Indiv_Player=$A173)*(Upload_Indiv_Date=L$2)*(Upload_Indiv_Tot_Birds))=0,"",SUMPRODUCT((Upload_Indiv_Player=$A173)*(Upload_Indiv_Date=L$2)*(Upload_Indiv_Tot_Birds)))</f>
        <v/>
      </c>
      <c r="M176" s="2" t="str" cm="1">
        <f t="array" ref="M176">IF(SUMPRODUCT((Upload_Indiv_Player=$A173)*(Upload_Indiv_Date=M$2)*(Upload_Indiv_Tot_Birds))=0,"",SUMPRODUCT((Upload_Indiv_Player=$A173)*(Upload_Indiv_Date=M$2)*(Upload_Indiv_Tot_Birds)))</f>
        <v/>
      </c>
      <c r="N176" s="2" t="str" cm="1">
        <f t="array" ref="N176">IF(SUMPRODUCT((Upload_Indiv_Player=$A173)*(Upload_Indiv_Date=N$2)*(Upload_Indiv_Tot_Birds))=0,"",SUMPRODUCT((Upload_Indiv_Player=$A173)*(Upload_Indiv_Date=N$2)*(Upload_Indiv_Tot_Birds)))</f>
        <v/>
      </c>
      <c r="O176" s="2" t="str" cm="1">
        <f t="array" ref="O176">IF(SUMPRODUCT((Upload_Indiv_Player=$A173)*(Upload_Indiv_Date=O$2)*(Upload_Indiv_Tot_Birds))=0,"",SUMPRODUCT((Upload_Indiv_Player=$A173)*(Upload_Indiv_Date=O$2)*(Upload_Indiv_Tot_Birds)))</f>
        <v/>
      </c>
      <c r="P176" s="2" t="str" cm="1">
        <f t="array" ref="P176">IF(SUMPRODUCT((Upload_Indiv_Player=$A173)*(Upload_Indiv_Date=P$2)*(Upload_Indiv_Tot_Birds))=0,"",SUMPRODUCT((Upload_Indiv_Player=$A173)*(Upload_Indiv_Date=P$2)*(Upload_Indiv_Tot_Birds)))</f>
        <v/>
      </c>
      <c r="Q176" s="2" t="str" cm="1">
        <f t="array" ref="Q176">IF(SUMPRODUCT((Upload_Indiv_Player=$A173)*(Upload_Indiv_Date=Q$2)*(Upload_Indiv_Tot_Birds))=0,"",SUMPRODUCT((Upload_Indiv_Player=$A173)*(Upload_Indiv_Date=Q$2)*(Upload_Indiv_Tot_Birds)))</f>
        <v/>
      </c>
      <c r="R176" s="2" t="str" cm="1">
        <f t="array" ref="R176">IF(SUMPRODUCT((Upload_Indiv_Player=$A173)*(Upload_Indiv_Date=R$2)*(Upload_Indiv_Tot_Birds))=0,"",SUMPRODUCT((Upload_Indiv_Player=$A173)*(Upload_Indiv_Date=R$2)*(Upload_Indiv_Tot_Birds)))</f>
        <v/>
      </c>
      <c r="S176" s="2" t="str" cm="1">
        <f t="array" ref="S176">IF(SUMPRODUCT((Upload_Indiv_Player=$A173)*(Upload_Indiv_Date=S$2)*(Upload_Indiv_Tot_Birds))=0,"",SUMPRODUCT((Upload_Indiv_Player=$A173)*(Upload_Indiv_Date=S$2)*(Upload_Indiv_Tot_Birds)))</f>
        <v/>
      </c>
      <c r="T176" s="2" t="str" cm="1">
        <f t="array" ref="T176">IF(SUMPRODUCT((Upload_Indiv_Player=$A173)*(Upload_Indiv_Date=T$2)*(Upload_Indiv_Tot_Birds))=0,"",SUMPRODUCT((Upload_Indiv_Player=$A173)*(Upload_Indiv_Date=T$2)*(Upload_Indiv_Tot_Birds)))</f>
        <v/>
      </c>
      <c r="U176" s="2" t="str" cm="1">
        <f t="array" ref="U176">IF(SUMPRODUCT((Upload_Indiv_Player=$A173)*(Upload_Indiv_Date=U$2)*(Upload_Indiv_Tot_Birds))=0,"",SUMPRODUCT((Upload_Indiv_Player=$A173)*(Upload_Indiv_Date=U$2)*(Upload_Indiv_Tot_Birds)))</f>
        <v/>
      </c>
      <c r="V176" s="276"/>
      <c r="W176" s="276"/>
      <c r="X176" s="276"/>
      <c r="Y176" s="277"/>
      <c r="Z176" s="277"/>
      <c r="AA176" s="277"/>
    </row>
    <row r="177" spans="1:27" x14ac:dyDescent="0.25">
      <c r="A177" s="14"/>
      <c r="B177" s="8" t="s">
        <v>175</v>
      </c>
      <c r="C177" s="2" t="str" cm="1">
        <f t="array" ref="C177">IF(SUMPRODUCT((Upload_Indiv_Player=$A173)*(Upload_Indiv_Date=C$2)*(Upload_Indiv_Tot_Eagles))=0,"",SUMPRODUCT((Upload_Indiv_Player=$A173)*(Upload_Indiv_Date=C$2)*(Upload_Indiv_Tot_Eagles)))</f>
        <v/>
      </c>
      <c r="D177" s="2" t="str" cm="1">
        <f t="array" ref="D177">IF(SUMPRODUCT((Upload_Indiv_Player=$A173)*(Upload_Indiv_Date=D$2)*(Upload_Indiv_Tot_Eagles))=0,"",SUMPRODUCT((Upload_Indiv_Player=$A173)*(Upload_Indiv_Date=D$2)*(Upload_Indiv_Tot_Eagles)))</f>
        <v/>
      </c>
      <c r="E177" s="2" t="str" cm="1">
        <f t="array" ref="E177">IF(SUMPRODUCT((Upload_Indiv_Player=$A173)*(Upload_Indiv_Date=E$2)*(Upload_Indiv_Tot_Eagles))=0,"",SUMPRODUCT((Upload_Indiv_Player=$A173)*(Upload_Indiv_Date=E$2)*(Upload_Indiv_Tot_Eagles)))</f>
        <v/>
      </c>
      <c r="F177" s="2" t="str" cm="1">
        <f t="array" ref="F177">IF(SUMPRODUCT((Upload_Indiv_Player=$A173)*(Upload_Indiv_Date=F$2)*(Upload_Indiv_Tot_Eagles))=0,"",SUMPRODUCT((Upload_Indiv_Player=$A173)*(Upload_Indiv_Date=F$2)*(Upload_Indiv_Tot_Eagles)))</f>
        <v/>
      </c>
      <c r="G177" s="2" t="str" cm="1">
        <f t="array" ref="G177">IF(SUMPRODUCT((Upload_Indiv_Player=$A173)*(Upload_Indiv_Date=G$2)*(Upload_Indiv_Tot_Eagles))=0,"",SUMPRODUCT((Upload_Indiv_Player=$A173)*(Upload_Indiv_Date=G$2)*(Upload_Indiv_Tot_Eagles)))</f>
        <v/>
      </c>
      <c r="H177" s="2" t="str" cm="1">
        <f t="array" ref="H177">IF(SUMPRODUCT((Upload_Indiv_Player=$A173)*(Upload_Indiv_Date=H$2)*(Upload_Indiv_Tot_Eagles))=0,"",SUMPRODUCT((Upload_Indiv_Player=$A173)*(Upload_Indiv_Date=H$2)*(Upload_Indiv_Tot_Eagles)))</f>
        <v/>
      </c>
      <c r="I177" s="2" t="str" cm="1">
        <f t="array" ref="I177">IF(SUMPRODUCT((Upload_Indiv_Player=$A173)*(Upload_Indiv_Date=I$2)*(Upload_Indiv_Tot_Eagles))=0,"",SUMPRODUCT((Upload_Indiv_Player=$A173)*(Upload_Indiv_Date=I$2)*(Upload_Indiv_Tot_Eagles)))</f>
        <v/>
      </c>
      <c r="J177" s="2" t="str" cm="1">
        <f t="array" ref="J177">IF(SUMPRODUCT((Upload_Indiv_Player=$A173)*(Upload_Indiv_Date=J$2)*(Upload_Indiv_Tot_Eagles))=0,"",SUMPRODUCT((Upload_Indiv_Player=$A173)*(Upload_Indiv_Date=J$2)*(Upload_Indiv_Tot_Eagles)))</f>
        <v/>
      </c>
      <c r="K177" s="2" t="str" cm="1">
        <f t="array" ref="K177">IF(SUMPRODUCT((Upload_Indiv_Player=$A173)*(Upload_Indiv_Date=K$2)*(Upload_Indiv_Tot_Eagles))=0,"",SUMPRODUCT((Upload_Indiv_Player=$A173)*(Upload_Indiv_Date=K$2)*(Upload_Indiv_Tot_Eagles)))</f>
        <v/>
      </c>
      <c r="L177" s="2" t="str" cm="1">
        <f t="array" ref="L177">IF(SUMPRODUCT((Upload_Indiv_Player=$A173)*(Upload_Indiv_Date=L$2)*(Upload_Indiv_Tot_Eagles))=0,"",SUMPRODUCT((Upload_Indiv_Player=$A173)*(Upload_Indiv_Date=L$2)*(Upload_Indiv_Tot_Eagles)))</f>
        <v/>
      </c>
      <c r="M177" s="2" t="str" cm="1">
        <f t="array" ref="M177">IF(SUMPRODUCT((Upload_Indiv_Player=$A173)*(Upload_Indiv_Date=M$2)*(Upload_Indiv_Tot_Eagles))=0,"",SUMPRODUCT((Upload_Indiv_Player=$A173)*(Upload_Indiv_Date=M$2)*(Upload_Indiv_Tot_Eagles)))</f>
        <v/>
      </c>
      <c r="N177" s="2" t="str" cm="1">
        <f t="array" ref="N177">IF(SUMPRODUCT((Upload_Indiv_Player=$A173)*(Upload_Indiv_Date=N$2)*(Upload_Indiv_Tot_Eagles))=0,"",SUMPRODUCT((Upload_Indiv_Player=$A173)*(Upload_Indiv_Date=N$2)*(Upload_Indiv_Tot_Eagles)))</f>
        <v/>
      </c>
      <c r="O177" s="2" t="str" cm="1">
        <f t="array" ref="O177">IF(SUMPRODUCT((Upload_Indiv_Player=$A173)*(Upload_Indiv_Date=O$2)*(Upload_Indiv_Tot_Eagles))=0,"",SUMPRODUCT((Upload_Indiv_Player=$A173)*(Upload_Indiv_Date=O$2)*(Upload_Indiv_Tot_Eagles)))</f>
        <v/>
      </c>
      <c r="P177" s="2" t="str" cm="1">
        <f t="array" ref="P177">IF(SUMPRODUCT((Upload_Indiv_Player=$A173)*(Upload_Indiv_Date=P$2)*(Upload_Indiv_Tot_Eagles))=0,"",SUMPRODUCT((Upload_Indiv_Player=$A173)*(Upload_Indiv_Date=P$2)*(Upload_Indiv_Tot_Eagles)))</f>
        <v/>
      </c>
      <c r="Q177" s="2" t="str" cm="1">
        <f t="array" ref="Q177">IF(SUMPRODUCT((Upload_Indiv_Player=$A173)*(Upload_Indiv_Date=Q$2)*(Upload_Indiv_Tot_Eagles))=0,"",SUMPRODUCT((Upload_Indiv_Player=$A173)*(Upload_Indiv_Date=Q$2)*(Upload_Indiv_Tot_Eagles)))</f>
        <v/>
      </c>
      <c r="R177" s="2" t="str" cm="1">
        <f t="array" ref="R177">IF(SUMPRODUCT((Upload_Indiv_Player=$A173)*(Upload_Indiv_Date=R$2)*(Upload_Indiv_Tot_Eagles))=0,"",SUMPRODUCT((Upload_Indiv_Player=$A173)*(Upload_Indiv_Date=R$2)*(Upload_Indiv_Tot_Eagles)))</f>
        <v/>
      </c>
      <c r="S177" s="2" t="str" cm="1">
        <f t="array" ref="S177">IF(SUMPRODUCT((Upload_Indiv_Player=$A173)*(Upload_Indiv_Date=S$2)*(Upload_Indiv_Tot_Eagles))=0,"",SUMPRODUCT((Upload_Indiv_Player=$A173)*(Upload_Indiv_Date=S$2)*(Upload_Indiv_Tot_Eagles)))</f>
        <v/>
      </c>
      <c r="T177" s="2" t="str" cm="1">
        <f t="array" ref="T177">IF(SUMPRODUCT((Upload_Indiv_Player=$A173)*(Upload_Indiv_Date=T$2)*(Upload_Indiv_Tot_Eagles))=0,"",SUMPRODUCT((Upload_Indiv_Player=$A173)*(Upload_Indiv_Date=T$2)*(Upload_Indiv_Tot_Eagles)))</f>
        <v/>
      </c>
      <c r="U177" s="2" t="str" cm="1">
        <f t="array" ref="U177">IF(SUMPRODUCT((Upload_Indiv_Player=$A173)*(Upload_Indiv_Date=U$2)*(Upload_Indiv_Tot_Eagles))=0,"",SUMPRODUCT((Upload_Indiv_Player=$A173)*(Upload_Indiv_Date=U$2)*(Upload_Indiv_Tot_Eagles)))</f>
        <v/>
      </c>
      <c r="V177" s="276"/>
      <c r="W177" s="276"/>
      <c r="X177" s="276"/>
      <c r="Y177" s="277"/>
      <c r="Z177" s="278"/>
      <c r="AA177" s="277"/>
    </row>
    <row r="178" spans="1:27" x14ac:dyDescent="0.25">
      <c r="A178" s="14"/>
      <c r="B178" s="2" t="s">
        <v>176</v>
      </c>
      <c r="C178" s="2" t="str" cm="1">
        <f t="array" ref="C178">IF(SUMPRODUCT((Upload_Indiv_Player=$A173)*(Upload_Indiv_Date=C$2)*(Upload_Indiv_Excl_Score))=0,"",SUMPRODUCT((Upload_Indiv_Player=$A173)*(Upload_Indiv_Date=C$2)*(Upload_Indiv_Excl_Score)))</f>
        <v/>
      </c>
      <c r="D178" s="2" t="str" cm="1">
        <f t="array" ref="D178">IF(SUMPRODUCT((Upload_Indiv_Player=$A173)*(Upload_Indiv_Date=D$2)*(Upload_Indiv_Excl_Score))=0,"",SUMPRODUCT((Upload_Indiv_Player=$A173)*(Upload_Indiv_Date=D$2)*(Upload_Indiv_Excl_Score)))</f>
        <v/>
      </c>
      <c r="E178" s="2" t="str" cm="1">
        <f t="array" ref="E178">IF(SUMPRODUCT((Upload_Indiv_Player=$A173)*(Upload_Indiv_Date=E$2)*(Upload_Indiv_Excl_Score))=0,"",SUMPRODUCT((Upload_Indiv_Player=$A173)*(Upload_Indiv_Date=E$2)*(Upload_Indiv_Excl_Score)))</f>
        <v/>
      </c>
      <c r="F178" s="2" t="str" cm="1">
        <f t="array" ref="F178">IF(SUMPRODUCT((Upload_Indiv_Player=$A173)*(Upload_Indiv_Date=F$2)*(Upload_Indiv_Excl_Score))=0,"",SUMPRODUCT((Upload_Indiv_Player=$A173)*(Upload_Indiv_Date=F$2)*(Upload_Indiv_Excl_Score)))</f>
        <v/>
      </c>
      <c r="G178" s="2" t="str" cm="1">
        <f t="array" ref="G178">IF(SUMPRODUCT((Upload_Indiv_Player=$A173)*(Upload_Indiv_Date=G$2)*(Upload_Indiv_Excl_Score))=0,"",SUMPRODUCT((Upload_Indiv_Player=$A173)*(Upload_Indiv_Date=G$2)*(Upload_Indiv_Excl_Score)))</f>
        <v/>
      </c>
      <c r="H178" s="2" t="str" cm="1">
        <f t="array" ref="H178">IF(SUMPRODUCT((Upload_Indiv_Player=$A173)*(Upload_Indiv_Date=H$2)*(Upload_Indiv_Excl_Score))=0,"",SUMPRODUCT((Upload_Indiv_Player=$A173)*(Upload_Indiv_Date=H$2)*(Upload_Indiv_Excl_Score)))</f>
        <v/>
      </c>
      <c r="I178" s="2" t="str" cm="1">
        <f t="array" ref="I178">IF(SUMPRODUCT((Upload_Indiv_Player=$A173)*(Upload_Indiv_Date=I$2)*(Upload_Indiv_Excl_Score))=0,"",SUMPRODUCT((Upload_Indiv_Player=$A173)*(Upload_Indiv_Date=I$2)*(Upload_Indiv_Excl_Score)))</f>
        <v/>
      </c>
      <c r="J178" s="2" t="str" cm="1">
        <f t="array" ref="J178">IF(SUMPRODUCT((Upload_Indiv_Player=$A173)*(Upload_Indiv_Date=J$2)*(Upload_Indiv_Excl_Score))=0,"",SUMPRODUCT((Upload_Indiv_Player=$A173)*(Upload_Indiv_Date=J$2)*(Upload_Indiv_Excl_Score)))</f>
        <v/>
      </c>
      <c r="K178" s="2" t="str" cm="1">
        <f t="array" ref="K178">IF(SUMPRODUCT((Upload_Indiv_Player=$A173)*(Upload_Indiv_Date=K$2)*(Upload_Indiv_Excl_Score))=0,"",SUMPRODUCT((Upload_Indiv_Player=$A173)*(Upload_Indiv_Date=K$2)*(Upload_Indiv_Excl_Score)))</f>
        <v/>
      </c>
      <c r="L178" s="2" t="str" cm="1">
        <f t="array" ref="L178">IF(SUMPRODUCT((Upload_Indiv_Player=$A173)*(Upload_Indiv_Date=L$2)*(Upload_Indiv_Excl_Score))=0,"",SUMPRODUCT((Upload_Indiv_Player=$A173)*(Upload_Indiv_Date=L$2)*(Upload_Indiv_Excl_Score)))</f>
        <v/>
      </c>
      <c r="M178" s="2" t="str" cm="1">
        <f t="array" ref="M178">IF(SUMPRODUCT((Upload_Indiv_Player=$A173)*(Upload_Indiv_Date=M$2)*(Upload_Indiv_Excl_Score))=0,"",SUMPRODUCT((Upload_Indiv_Player=$A173)*(Upload_Indiv_Date=M$2)*(Upload_Indiv_Excl_Score)))</f>
        <v/>
      </c>
      <c r="N178" s="2" t="str" cm="1">
        <f t="array" ref="N178">IF(SUMPRODUCT((Upload_Indiv_Player=$A173)*(Upload_Indiv_Date=N$2)*(Upload_Indiv_Excl_Score))=0,"",SUMPRODUCT((Upload_Indiv_Player=$A173)*(Upload_Indiv_Date=N$2)*(Upload_Indiv_Excl_Score)))</f>
        <v/>
      </c>
      <c r="O178" s="2" t="str" cm="1">
        <f t="array" ref="O178">IF(SUMPRODUCT((Upload_Indiv_Player=$A173)*(Upload_Indiv_Date=O$2)*(Upload_Indiv_Excl_Score))=0,"",SUMPRODUCT((Upload_Indiv_Player=$A173)*(Upload_Indiv_Date=O$2)*(Upload_Indiv_Excl_Score)))</f>
        <v/>
      </c>
      <c r="P178" s="2" t="str" cm="1">
        <f t="array" ref="P178">IF(SUMPRODUCT((Upload_Indiv_Player=$A173)*(Upload_Indiv_Date=P$2)*(Upload_Indiv_Excl_Score))=0,"",SUMPRODUCT((Upload_Indiv_Player=$A173)*(Upload_Indiv_Date=P$2)*(Upload_Indiv_Excl_Score)))</f>
        <v/>
      </c>
      <c r="Q178" s="2" t="str" cm="1">
        <f t="array" ref="Q178">IF(SUMPRODUCT((Upload_Indiv_Player=$A173)*(Upload_Indiv_Date=Q$2)*(Upload_Indiv_Excl_Score))=0,"",SUMPRODUCT((Upload_Indiv_Player=$A173)*(Upload_Indiv_Date=Q$2)*(Upload_Indiv_Excl_Score)))</f>
        <v/>
      </c>
      <c r="R178" s="2" t="str" cm="1">
        <f t="array" ref="R178">IF(SUMPRODUCT((Upload_Indiv_Player=$A173)*(Upload_Indiv_Date=R$2)*(Upload_Indiv_Excl_Score))=0,"",SUMPRODUCT((Upload_Indiv_Player=$A173)*(Upload_Indiv_Date=R$2)*(Upload_Indiv_Excl_Score)))</f>
        <v/>
      </c>
      <c r="S178" s="2" t="str" cm="1">
        <f t="array" ref="S178">IF(SUMPRODUCT((Upload_Indiv_Player=$A173)*(Upload_Indiv_Date=S$2)*(Upload_Indiv_Excl_Score))=0,"",SUMPRODUCT((Upload_Indiv_Player=$A173)*(Upload_Indiv_Date=S$2)*(Upload_Indiv_Excl_Score)))</f>
        <v/>
      </c>
      <c r="T178" s="2" t="str" cm="1">
        <f t="array" ref="T178">IF(SUMPRODUCT((Upload_Indiv_Player=$A173)*(Upload_Indiv_Date=T$2)*(Upload_Indiv_Excl_Score))=0,"",SUMPRODUCT((Upload_Indiv_Player=$A173)*(Upload_Indiv_Date=T$2)*(Upload_Indiv_Excl_Score)))</f>
        <v/>
      </c>
      <c r="U178" s="2" t="str" cm="1">
        <f t="array" ref="U178">IF(SUMPRODUCT((Upload_Indiv_Player=$A173)*(Upload_Indiv_Date=U$2)*(Upload_Indiv_Excl_Score))=0,"",SUMPRODUCT((Upload_Indiv_Player=$A173)*(Upload_Indiv_Date=U$2)*(Upload_Indiv_Excl_Score)))</f>
        <v/>
      </c>
      <c r="V178" s="276"/>
      <c r="W178" s="276"/>
      <c r="X178" s="276"/>
      <c r="Y178" s="277"/>
      <c r="Z178" s="277"/>
      <c r="AA178" s="277"/>
    </row>
    <row r="179" spans="1:27" x14ac:dyDescent="0.25">
      <c r="A179" s="14"/>
      <c r="B179" s="2" t="s">
        <v>177</v>
      </c>
      <c r="C179" s="2" t="str" cm="1">
        <f t="array" ref="C179">IFERROR(INDEX(Upload_Indiv_Team,MATCH(1,($A173=Upload_Indiv_Player)*(C$2=Upload_Indiv_Date),0)),"")</f>
        <v/>
      </c>
      <c r="D179" s="2" t="str" cm="1">
        <f t="array" ref="D179">IFERROR(INDEX(Upload_Indiv_Team,MATCH(1,($A173=Upload_Indiv_Player)*(D$2=Upload_Indiv_Date),0)),"")</f>
        <v/>
      </c>
      <c r="E179" s="2" t="str" cm="1">
        <f t="array" ref="E179">IFERROR(INDEX(Upload_Indiv_Team,MATCH(1,($A173=Upload_Indiv_Player)*(E$2=Upload_Indiv_Date),0)),"")</f>
        <v/>
      </c>
      <c r="F179" s="2" t="str" cm="1">
        <f t="array" ref="F179">IFERROR(INDEX(Upload_Indiv_Team,MATCH(1,($A173=Upload_Indiv_Player)*(F$2=Upload_Indiv_Date),0)),"")</f>
        <v/>
      </c>
      <c r="G179" s="2" t="str" cm="1">
        <f t="array" ref="G179">IFERROR(INDEX(Upload_Indiv_Team,MATCH(1,($A173=Upload_Indiv_Player)*(G$2=Upload_Indiv_Date),0)),"")</f>
        <v/>
      </c>
      <c r="H179" s="2" t="str" cm="1">
        <f t="array" ref="H179">IFERROR(INDEX(Upload_Indiv_Team,MATCH(1,($A173=Upload_Indiv_Player)*(H$2=Upload_Indiv_Date),0)),"")</f>
        <v/>
      </c>
      <c r="I179" s="2" t="str" cm="1">
        <f t="array" ref="I179">IFERROR(INDEX(Upload_Indiv_Team,MATCH(1,($A173=Upload_Indiv_Player)*(I$2=Upload_Indiv_Date),0)),"")</f>
        <v/>
      </c>
      <c r="J179" s="2" t="str" cm="1">
        <f t="array" ref="J179">IFERROR(INDEX(Upload_Indiv_Team,MATCH(1,($A173=Upload_Indiv_Player)*(J$2=Upload_Indiv_Date),0)),"")</f>
        <v/>
      </c>
      <c r="K179" s="2" t="str" cm="1">
        <f t="array" ref="K179">IFERROR(INDEX(Upload_Indiv_Team,MATCH(1,($A173=Upload_Indiv_Player)*(K$2=Upload_Indiv_Date),0)),"")</f>
        <v/>
      </c>
      <c r="L179" s="2" t="str" cm="1">
        <f t="array" ref="L179">IFERROR(INDEX(Upload_Indiv_Team,MATCH(1,($A173=Upload_Indiv_Player)*(L$2=Upload_Indiv_Date),0)),"")</f>
        <v/>
      </c>
      <c r="M179" s="2" t="str" cm="1">
        <f t="array" ref="M179">IFERROR(INDEX(Upload_Indiv_Team,MATCH(1,($A173=Upload_Indiv_Player)*(M$2=Upload_Indiv_Date),0)),"")</f>
        <v/>
      </c>
      <c r="N179" s="2" t="str" cm="1">
        <f t="array" ref="N179">IFERROR(INDEX(Upload_Indiv_Team,MATCH(1,($A173=Upload_Indiv_Player)*(N$2=Upload_Indiv_Date),0)),"")</f>
        <v/>
      </c>
      <c r="O179" s="2" t="str" cm="1">
        <f t="array" ref="O179">IFERROR(INDEX(Upload_Indiv_Team,MATCH(1,($A173=Upload_Indiv_Player)*(O$2=Upload_Indiv_Date),0)),"")</f>
        <v/>
      </c>
      <c r="P179" s="2" t="str" cm="1">
        <f t="array" ref="P179">IFERROR(INDEX(Upload_Indiv_Team,MATCH(1,($A173=Upload_Indiv_Player)*(P$2=Upload_Indiv_Date),0)),"")</f>
        <v/>
      </c>
      <c r="Q179" s="2" t="str" cm="1">
        <f t="array" ref="Q179">IFERROR(INDEX(Upload_Indiv_Team,MATCH(1,($A173=Upload_Indiv_Player)*(Q$2=Upload_Indiv_Date),0)),"")</f>
        <v/>
      </c>
      <c r="R179" s="2" t="str" cm="1">
        <f t="array" ref="R179">IFERROR(INDEX(Upload_Indiv_Team,MATCH(1,($A173=Upload_Indiv_Player)*(R$2=Upload_Indiv_Date),0)),"")</f>
        <v/>
      </c>
      <c r="S179" s="2" t="str" cm="1">
        <f t="array" ref="S179">IFERROR(INDEX(Upload_Indiv_Team,MATCH(1,($A173=Upload_Indiv_Player)*(S$2=Upload_Indiv_Date),0)),"")</f>
        <v/>
      </c>
      <c r="T179" s="2" t="str" cm="1">
        <f t="array" ref="T179">IFERROR(INDEX(Upload_Indiv_Team,MATCH(1,($A173=Upload_Indiv_Player)*(T$2=Upload_Indiv_Date),0)),"")</f>
        <v/>
      </c>
      <c r="U179" s="2" t="str" cm="1">
        <f t="array" ref="U179">IFERROR(INDEX(Upload_Indiv_Team,MATCH(1,($A173=Upload_Indiv_Player)*(U$2=Upload_Indiv_Date),0)),"")</f>
        <v/>
      </c>
      <c r="V179" s="276"/>
      <c r="W179" s="276"/>
      <c r="X179" s="276"/>
      <c r="Y179" s="277"/>
      <c r="Z179" s="277"/>
      <c r="AA179" s="277"/>
    </row>
    <row r="180" spans="1:27" ht="13.8" thickBot="1" x14ac:dyDescent="0.3">
      <c r="A180" s="15" t="s">
        <v>160</v>
      </c>
      <c r="B180" s="8" t="s">
        <v>178</v>
      </c>
      <c r="C180" s="58" t="str">
        <f t="shared" ref="C180:U180" si="22">IF(C173="", "", IF(C175&gt;=11, "w", IF(C175&lt;=9, "l", "t")))</f>
        <v/>
      </c>
      <c r="D180" s="58" t="str">
        <f t="shared" si="22"/>
        <v/>
      </c>
      <c r="E180" s="58" t="str">
        <f t="shared" si="22"/>
        <v/>
      </c>
      <c r="F180" s="58" t="str">
        <f t="shared" si="22"/>
        <v/>
      </c>
      <c r="G180" s="58" t="str">
        <f t="shared" si="22"/>
        <v/>
      </c>
      <c r="H180" s="58" t="str">
        <f t="shared" si="22"/>
        <v/>
      </c>
      <c r="I180" s="58" t="str">
        <f t="shared" si="22"/>
        <v/>
      </c>
      <c r="J180" s="58" t="str">
        <f t="shared" si="22"/>
        <v/>
      </c>
      <c r="K180" s="58" t="str">
        <f t="shared" si="22"/>
        <v/>
      </c>
      <c r="L180" s="58" t="str">
        <f t="shared" si="22"/>
        <v/>
      </c>
      <c r="M180" s="58" t="str">
        <f t="shared" si="22"/>
        <v/>
      </c>
      <c r="N180" s="58" t="str">
        <f t="shared" si="22"/>
        <v/>
      </c>
      <c r="O180" s="58" t="str">
        <f t="shared" si="22"/>
        <v/>
      </c>
      <c r="P180" s="58" t="str">
        <f t="shared" si="22"/>
        <v/>
      </c>
      <c r="Q180" s="58" t="str">
        <f t="shared" si="22"/>
        <v/>
      </c>
      <c r="R180" s="58" t="str">
        <f t="shared" si="22"/>
        <v/>
      </c>
      <c r="S180" s="58" t="str">
        <f t="shared" si="22"/>
        <v/>
      </c>
      <c r="T180" s="58" t="str">
        <f t="shared" si="22"/>
        <v/>
      </c>
      <c r="U180" s="58" t="str">
        <f t="shared" si="22"/>
        <v/>
      </c>
      <c r="V180" s="276"/>
      <c r="W180" s="276"/>
      <c r="X180" s="276"/>
      <c r="Y180" s="277"/>
      <c r="Z180" s="277"/>
      <c r="AA180" s="277"/>
    </row>
    <row r="181" spans="1:27" x14ac:dyDescent="0.25">
      <c r="A181" s="11" t="s">
        <v>495</v>
      </c>
      <c r="B181" s="3" t="s">
        <v>170</v>
      </c>
      <c r="C181" s="3" t="str" cm="1">
        <f t="array" ref="C181">IF(SUMPRODUCT((Upload_Indiv_Player=$A181)*(Upload_Indiv_Date=C$2)*(Upload_Indiv_Gross))=0,"",SUMPRODUCT((Upload_Indiv_Player=$A181)*(Upload_Indiv_Date=C$2)*(Upload_Indiv_Gross)))</f>
        <v/>
      </c>
      <c r="D181" s="3" t="str" cm="1">
        <f t="array" ref="D181">IF(SUMPRODUCT((Upload_Indiv_Player=$A181)*(Upload_Indiv_Date=D$2)*(Upload_Indiv_Gross))=0,"",SUMPRODUCT((Upload_Indiv_Player=$A181)*(Upload_Indiv_Date=D$2)*(Upload_Indiv_Gross)))</f>
        <v/>
      </c>
      <c r="E181" s="3" cm="1">
        <f t="array" ref="E181">IF(SUMPRODUCT((Upload_Indiv_Player=$A181)*(Upload_Indiv_Date=E$2)*(Upload_Indiv_Gross))=0,"",SUMPRODUCT((Upload_Indiv_Player=$A181)*(Upload_Indiv_Date=E$2)*(Upload_Indiv_Gross)))</f>
        <v>48</v>
      </c>
      <c r="F181" s="3" t="str" cm="1">
        <f t="array" ref="F181">IF(SUMPRODUCT((Upload_Indiv_Player=$A181)*(Upload_Indiv_Date=F$2)*(Upload_Indiv_Gross))=0,"",SUMPRODUCT((Upload_Indiv_Player=$A181)*(Upload_Indiv_Date=F$2)*(Upload_Indiv_Gross)))</f>
        <v/>
      </c>
      <c r="G181" s="3" t="str" cm="1">
        <f t="array" ref="G181">IF(SUMPRODUCT((Upload_Indiv_Player=$A181)*(Upload_Indiv_Date=G$2)*(Upload_Indiv_Gross))=0,"",SUMPRODUCT((Upload_Indiv_Player=$A181)*(Upload_Indiv_Date=G$2)*(Upload_Indiv_Gross)))</f>
        <v/>
      </c>
      <c r="H181" s="3" t="str" cm="1">
        <f t="array" ref="H181">IF(SUMPRODUCT((Upload_Indiv_Player=$A181)*(Upload_Indiv_Date=H$2)*(Upload_Indiv_Gross))=0,"",SUMPRODUCT((Upload_Indiv_Player=$A181)*(Upload_Indiv_Date=H$2)*(Upload_Indiv_Gross)))</f>
        <v/>
      </c>
      <c r="I181" s="3" t="str" cm="1">
        <f t="array" ref="I181">IF(SUMPRODUCT((Upload_Indiv_Player=$A181)*(Upload_Indiv_Date=I$2)*(Upload_Indiv_Gross))=0,"",SUMPRODUCT((Upload_Indiv_Player=$A181)*(Upload_Indiv_Date=I$2)*(Upload_Indiv_Gross)))</f>
        <v/>
      </c>
      <c r="J181" s="3" t="str" cm="1">
        <f t="array" ref="J181">IF(SUMPRODUCT((Upload_Indiv_Player=$A181)*(Upload_Indiv_Date=J$2)*(Upload_Indiv_Gross))=0,"",SUMPRODUCT((Upload_Indiv_Player=$A181)*(Upload_Indiv_Date=J$2)*(Upload_Indiv_Gross)))</f>
        <v/>
      </c>
      <c r="K181" s="3" t="str" cm="1">
        <f t="array" ref="K181">IF(SUMPRODUCT((Upload_Indiv_Player=$A181)*(Upload_Indiv_Date=K$2)*(Upload_Indiv_Gross))=0,"",SUMPRODUCT((Upload_Indiv_Player=$A181)*(Upload_Indiv_Date=K$2)*(Upload_Indiv_Gross)))</f>
        <v/>
      </c>
      <c r="L181" s="3" t="str" cm="1">
        <f t="array" ref="L181">IF(SUMPRODUCT((Upload_Indiv_Player=$A181)*(Upload_Indiv_Date=L$2)*(Upload_Indiv_Gross))=0,"",SUMPRODUCT((Upload_Indiv_Player=$A181)*(Upload_Indiv_Date=L$2)*(Upload_Indiv_Gross)))</f>
        <v/>
      </c>
      <c r="M181" s="3" t="str" cm="1">
        <f t="array" ref="M181">IF(SUMPRODUCT((Upload_Indiv_Player=$A181)*(Upload_Indiv_Date=M$2)*(Upload_Indiv_Gross))=0,"",SUMPRODUCT((Upload_Indiv_Player=$A181)*(Upload_Indiv_Date=M$2)*(Upload_Indiv_Gross)))</f>
        <v/>
      </c>
      <c r="N181" s="3" t="str" cm="1">
        <f t="array" ref="N181">IF(SUMPRODUCT((Upload_Indiv_Player=$A181)*(Upload_Indiv_Date=N$2)*(Upload_Indiv_Gross))=0,"",SUMPRODUCT((Upload_Indiv_Player=$A181)*(Upload_Indiv_Date=N$2)*(Upload_Indiv_Gross)))</f>
        <v/>
      </c>
      <c r="O181" s="3" t="str" cm="1">
        <f t="array" ref="O181">IF(SUMPRODUCT((Upload_Indiv_Player=$A181)*(Upload_Indiv_Date=O$2)*(Upload_Indiv_Gross))=0,"",SUMPRODUCT((Upload_Indiv_Player=$A181)*(Upload_Indiv_Date=O$2)*(Upload_Indiv_Gross)))</f>
        <v/>
      </c>
      <c r="P181" s="3" t="str" cm="1">
        <f t="array" ref="P181">IF(SUMPRODUCT((Upload_Indiv_Player=$A181)*(Upload_Indiv_Date=P$2)*(Upload_Indiv_Gross))=0,"",SUMPRODUCT((Upload_Indiv_Player=$A181)*(Upload_Indiv_Date=P$2)*(Upload_Indiv_Gross)))</f>
        <v/>
      </c>
      <c r="Q181" s="2" t="str" cm="1">
        <f t="array" ref="Q181">IF(SUMPRODUCT((Upload_Indiv_Player=$A181)*(Upload_Indiv_Date=Q$2)*(Upload_Indiv_Gross))=0,"",SUMPRODUCT((Upload_Indiv_Player=$A181)*(Upload_Indiv_Date=Q$2)*(Upload_Indiv_Gross)))</f>
        <v/>
      </c>
      <c r="R181" s="2" t="str" cm="1">
        <f t="array" ref="R181">IF(SUMPRODUCT((Upload_Indiv_Player=$A181)*(Upload_Indiv_Date=R$2)*(Upload_Indiv_Gross))=0,"",SUMPRODUCT((Upload_Indiv_Player=$A181)*(Upload_Indiv_Date=R$2)*(Upload_Indiv_Gross)))</f>
        <v/>
      </c>
      <c r="S181" s="2" t="str" cm="1">
        <f t="array" ref="S181">IF(SUMPRODUCT((Upload_Indiv_Player=$A181)*(Upload_Indiv_Date=S$2)*(Upload_Indiv_Gross))=0,"",SUMPRODUCT((Upload_Indiv_Player=$A181)*(Upload_Indiv_Date=S$2)*(Upload_Indiv_Gross)))</f>
        <v/>
      </c>
      <c r="T181" s="2" t="str" cm="1">
        <f t="array" ref="T181">IF(SUMPRODUCT((Upload_Indiv_Player=$A181)*(Upload_Indiv_Date=T$2)*(Upload_Indiv_Gross))=0,"",SUMPRODUCT((Upload_Indiv_Player=$A181)*(Upload_Indiv_Date=T$2)*(Upload_Indiv_Gross)))</f>
        <v/>
      </c>
      <c r="U181" s="2" t="str" cm="1">
        <f t="array" ref="U181">IF(SUMPRODUCT((Upload_Indiv_Player=$A181)*(Upload_Indiv_Date=U$2)*(Upload_Indiv_Gross))=0,"",SUMPRODUCT((Upload_Indiv_Player=$A181)*(Upload_Indiv_Date=U$2)*(Upload_Indiv_Gross)))</f>
        <v/>
      </c>
      <c r="V181" s="273">
        <v>0</v>
      </c>
      <c r="W181" s="273">
        <v>0</v>
      </c>
      <c r="X181" s="273">
        <v>0</v>
      </c>
      <c r="Y181" s="273">
        <v>0</v>
      </c>
      <c r="Z181" s="273">
        <v>0</v>
      </c>
      <c r="AA181" s="273">
        <v>0</v>
      </c>
    </row>
    <row r="182" spans="1:27" x14ac:dyDescent="0.25">
      <c r="A182" s="216"/>
      <c r="B182" s="2" t="s">
        <v>171</v>
      </c>
      <c r="C182" s="2" t="str" cm="1">
        <f t="array" ref="C182">IF(SUMPRODUCT((Upload_Indiv_Player=$A181)*(Upload_Indiv_Date=C$2)*(Upload_Indiv_Net))=0,"",SUMPRODUCT((Upload_Indiv_Player=$A181)*(Upload_Indiv_Date=C$2)*(Upload_Indiv_Net)))</f>
        <v/>
      </c>
      <c r="D182" s="2" t="str" cm="1">
        <f t="array" ref="D182">IF(SUMPRODUCT((Upload_Indiv_Player=$A181)*(Upload_Indiv_Date=D$2)*(Upload_Indiv_Net))=0,"",SUMPRODUCT((Upload_Indiv_Player=$A181)*(Upload_Indiv_Date=D$2)*(Upload_Indiv_Net)))</f>
        <v/>
      </c>
      <c r="E182" s="2" cm="1">
        <f t="array" ref="E182">IF(SUMPRODUCT((Upload_Indiv_Player=$A181)*(Upload_Indiv_Date=E$2)*(Upload_Indiv_Net))=0,"",SUMPRODUCT((Upload_Indiv_Player=$A181)*(Upload_Indiv_Date=E$2)*(Upload_Indiv_Net)))</f>
        <v>38</v>
      </c>
      <c r="F182" s="2" t="str" cm="1">
        <f t="array" ref="F182">IF(SUMPRODUCT((Upload_Indiv_Player=$A181)*(Upload_Indiv_Date=F$2)*(Upload_Indiv_Net))=0,"",SUMPRODUCT((Upload_Indiv_Player=$A181)*(Upload_Indiv_Date=F$2)*(Upload_Indiv_Net)))</f>
        <v/>
      </c>
      <c r="G182" s="2" t="str" cm="1">
        <f t="array" ref="G182">IF(SUMPRODUCT((Upload_Indiv_Player=$A181)*(Upload_Indiv_Date=G$2)*(Upload_Indiv_Net))=0,"",SUMPRODUCT((Upload_Indiv_Player=$A181)*(Upload_Indiv_Date=G$2)*(Upload_Indiv_Net)))</f>
        <v/>
      </c>
      <c r="H182" s="2" t="str" cm="1">
        <f t="array" ref="H182">IF(SUMPRODUCT((Upload_Indiv_Player=$A181)*(Upload_Indiv_Date=H$2)*(Upload_Indiv_Net))=0,"",SUMPRODUCT((Upload_Indiv_Player=$A181)*(Upload_Indiv_Date=H$2)*(Upload_Indiv_Net)))</f>
        <v/>
      </c>
      <c r="I182" s="2" t="str" cm="1">
        <f t="array" ref="I182">IF(SUMPRODUCT((Upload_Indiv_Player=$A181)*(Upload_Indiv_Date=I$2)*(Upload_Indiv_Net))=0,"",SUMPRODUCT((Upload_Indiv_Player=$A181)*(Upload_Indiv_Date=I$2)*(Upload_Indiv_Net)))</f>
        <v/>
      </c>
      <c r="J182" s="2" t="str" cm="1">
        <f t="array" ref="J182">IF(SUMPRODUCT((Upload_Indiv_Player=$A181)*(Upload_Indiv_Date=J$2)*(Upload_Indiv_Net))=0,"",SUMPRODUCT((Upload_Indiv_Player=$A181)*(Upload_Indiv_Date=J$2)*(Upload_Indiv_Net)))</f>
        <v/>
      </c>
      <c r="K182" s="2" t="str" cm="1">
        <f t="array" ref="K182">IF(SUMPRODUCT((Upload_Indiv_Player=$A181)*(Upload_Indiv_Date=K$2)*(Upload_Indiv_Net))=0,"",SUMPRODUCT((Upload_Indiv_Player=$A181)*(Upload_Indiv_Date=K$2)*(Upload_Indiv_Net)))</f>
        <v/>
      </c>
      <c r="L182" s="2" t="str" cm="1">
        <f t="array" ref="L182">IF(SUMPRODUCT((Upload_Indiv_Player=$A181)*(Upload_Indiv_Date=L$2)*(Upload_Indiv_Net))=0,"",SUMPRODUCT((Upload_Indiv_Player=$A181)*(Upload_Indiv_Date=L$2)*(Upload_Indiv_Net)))</f>
        <v/>
      </c>
      <c r="M182" s="2" t="str" cm="1">
        <f t="array" ref="M182">IF(SUMPRODUCT((Upload_Indiv_Player=$A181)*(Upload_Indiv_Date=M$2)*(Upload_Indiv_Net))=0,"",SUMPRODUCT((Upload_Indiv_Player=$A181)*(Upload_Indiv_Date=M$2)*(Upload_Indiv_Net)))</f>
        <v/>
      </c>
      <c r="N182" s="2" t="str" cm="1">
        <f t="array" ref="N182">IF(SUMPRODUCT((Upload_Indiv_Player=$A181)*(Upload_Indiv_Date=N$2)*(Upload_Indiv_Net))=0,"",SUMPRODUCT((Upload_Indiv_Player=$A181)*(Upload_Indiv_Date=N$2)*(Upload_Indiv_Net)))</f>
        <v/>
      </c>
      <c r="O182" s="2" t="str" cm="1">
        <f t="array" ref="O182">IF(SUMPRODUCT((Upload_Indiv_Player=$A181)*(Upload_Indiv_Date=O$2)*(Upload_Indiv_Net))=0,"",SUMPRODUCT((Upload_Indiv_Player=$A181)*(Upload_Indiv_Date=O$2)*(Upload_Indiv_Net)))</f>
        <v/>
      </c>
      <c r="P182" s="2" t="str" cm="1">
        <f t="array" ref="P182">IF(SUMPRODUCT((Upload_Indiv_Player=$A181)*(Upload_Indiv_Date=P$2)*(Upload_Indiv_Net))=0,"",SUMPRODUCT((Upload_Indiv_Player=$A181)*(Upload_Indiv_Date=P$2)*(Upload_Indiv_Net)))</f>
        <v/>
      </c>
      <c r="Q182" s="2" t="str" cm="1">
        <f t="array" ref="Q182">IF(SUMPRODUCT((Upload_Indiv_Player=$A181)*(Upload_Indiv_Date=Q$2)*(Upload_Indiv_Net))=0,"",SUMPRODUCT((Upload_Indiv_Player=$A181)*(Upload_Indiv_Date=Q$2)*(Upload_Indiv_Net)))</f>
        <v/>
      </c>
      <c r="R182" s="2" t="str" cm="1">
        <f t="array" ref="R182">IF(SUMPRODUCT((Upload_Indiv_Player=$A181)*(Upload_Indiv_Date=R$2)*(Upload_Indiv_Net))=0,"",SUMPRODUCT((Upload_Indiv_Player=$A181)*(Upload_Indiv_Date=R$2)*(Upload_Indiv_Net)))</f>
        <v/>
      </c>
      <c r="S182" s="2" t="str" cm="1">
        <f t="array" ref="S182">IF(SUMPRODUCT((Upload_Indiv_Player=$A181)*(Upload_Indiv_Date=S$2)*(Upload_Indiv_Net))=0,"",SUMPRODUCT((Upload_Indiv_Player=$A181)*(Upload_Indiv_Date=S$2)*(Upload_Indiv_Net)))</f>
        <v/>
      </c>
      <c r="T182" s="2" t="str" cm="1">
        <f t="array" ref="T182">IF(SUMPRODUCT((Upload_Indiv_Player=$A181)*(Upload_Indiv_Date=T$2)*(Upload_Indiv_Net))=0,"",SUMPRODUCT((Upload_Indiv_Player=$A181)*(Upload_Indiv_Date=T$2)*(Upload_Indiv_Net)))</f>
        <v/>
      </c>
      <c r="U182" s="2" t="str" cm="1">
        <f t="array" ref="U182">IF(SUMPRODUCT((Upload_Indiv_Player=$A181)*(Upload_Indiv_Date=U$2)*(Upload_Indiv_Net))=0,"",SUMPRODUCT((Upload_Indiv_Player=$A181)*(Upload_Indiv_Date=U$2)*(Upload_Indiv_Net)))</f>
        <v/>
      </c>
      <c r="V182" s="276"/>
      <c r="W182" s="276"/>
      <c r="X182" s="276"/>
      <c r="Y182" s="277"/>
      <c r="Z182" s="277"/>
      <c r="AA182" s="277"/>
    </row>
    <row r="183" spans="1:27" x14ac:dyDescent="0.25">
      <c r="A183" s="65"/>
      <c r="B183" s="2" t="s">
        <v>173</v>
      </c>
      <c r="C183" s="2" t="str" cm="1">
        <f t="array" ref="C183">IF(SUMPRODUCT((Upload_Indiv_Player=$A181)*(Upload_Indiv_Date=C$2)*(Upload_Indiv_PointsTot))=0,"",SUMPRODUCT((Upload_Indiv_Player=$A181)*(Upload_Indiv_Date=C$2)*(Upload_Indiv_PointsTot)))</f>
        <v/>
      </c>
      <c r="D183" s="2" t="str" cm="1">
        <f t="array" ref="D183">IF(SUMPRODUCT((Upload_Indiv_Player=$A181)*(Upload_Indiv_Date=D$2)*(Upload_Indiv_PointsTot))=0,"",SUMPRODUCT((Upload_Indiv_Player=$A181)*(Upload_Indiv_Date=D$2)*(Upload_Indiv_PointsTot)))</f>
        <v/>
      </c>
      <c r="E183" s="2" cm="1">
        <f t="array" ref="E183">IF(SUMPRODUCT((Upload_Indiv_Player=$A181)*(Upload_Indiv_Date=E$2)*(Upload_Indiv_PointsTot))=0,"",SUMPRODUCT((Upload_Indiv_Player=$A181)*(Upload_Indiv_Date=E$2)*(Upload_Indiv_PointsTot)))</f>
        <v>8</v>
      </c>
      <c r="F183" s="2" t="str" cm="1">
        <f t="array" ref="F183">IF(SUMPRODUCT((Upload_Indiv_Player=$A181)*(Upload_Indiv_Date=F$2)*(Upload_Indiv_PointsTot))=0,"",SUMPRODUCT((Upload_Indiv_Player=$A181)*(Upload_Indiv_Date=F$2)*(Upload_Indiv_PointsTot)))</f>
        <v/>
      </c>
      <c r="G183" s="2" t="str" cm="1">
        <f t="array" ref="G183">IF(SUMPRODUCT((Upload_Indiv_Player=$A181)*(Upload_Indiv_Date=G$2)*(Upload_Indiv_PointsTot))=0,"",SUMPRODUCT((Upload_Indiv_Player=$A181)*(Upload_Indiv_Date=G$2)*(Upload_Indiv_PointsTot)))</f>
        <v/>
      </c>
      <c r="H183" s="2" t="str" cm="1">
        <f t="array" ref="H183">IF(SUMPRODUCT((Upload_Indiv_Player=$A181)*(Upload_Indiv_Date=H$2)*(Upload_Indiv_PointsTot))=0,"",SUMPRODUCT((Upload_Indiv_Player=$A181)*(Upload_Indiv_Date=H$2)*(Upload_Indiv_PointsTot)))</f>
        <v/>
      </c>
      <c r="I183" s="2" t="str" cm="1">
        <f t="array" ref="I183">IF(SUMPRODUCT((Upload_Indiv_Player=$A181)*(Upload_Indiv_Date=I$2)*(Upload_Indiv_PointsTot))=0,"",SUMPRODUCT((Upload_Indiv_Player=$A181)*(Upload_Indiv_Date=I$2)*(Upload_Indiv_PointsTot)))</f>
        <v/>
      </c>
      <c r="J183" s="2" t="str" cm="1">
        <f t="array" ref="J183">IF(SUMPRODUCT((Upload_Indiv_Player=$A181)*(Upload_Indiv_Date=J$2)*(Upload_Indiv_PointsTot))=0,"",SUMPRODUCT((Upload_Indiv_Player=$A181)*(Upload_Indiv_Date=J$2)*(Upload_Indiv_PointsTot)))</f>
        <v/>
      </c>
      <c r="K183" s="2" t="str" cm="1">
        <f t="array" ref="K183">IF(SUMPRODUCT((Upload_Indiv_Player=$A181)*(Upload_Indiv_Date=K$2)*(Upload_Indiv_PointsTot))=0,"",SUMPRODUCT((Upload_Indiv_Player=$A181)*(Upload_Indiv_Date=K$2)*(Upload_Indiv_PointsTot)))</f>
        <v/>
      </c>
      <c r="L183" s="2" t="str" cm="1">
        <f t="array" ref="L183">IF(SUMPRODUCT((Upload_Indiv_Player=$A181)*(Upload_Indiv_Date=L$2)*(Upload_Indiv_PointsTot))=0,"",SUMPRODUCT((Upload_Indiv_Player=$A181)*(Upload_Indiv_Date=L$2)*(Upload_Indiv_PointsTot)))</f>
        <v/>
      </c>
      <c r="M183" s="2" t="str" cm="1">
        <f t="array" ref="M183">IF(SUMPRODUCT((Upload_Indiv_Player=$A181)*(Upload_Indiv_Date=M$2)*(Upload_Indiv_PointsTot))=0,"",SUMPRODUCT((Upload_Indiv_Player=$A181)*(Upload_Indiv_Date=M$2)*(Upload_Indiv_PointsTot)))</f>
        <v/>
      </c>
      <c r="N183" s="2" t="str" cm="1">
        <f t="array" ref="N183">IF(SUMPRODUCT((Upload_Indiv_Player=$A181)*(Upload_Indiv_Date=N$2)*(Upload_Indiv_PointsTot))=0,"",SUMPRODUCT((Upload_Indiv_Player=$A181)*(Upload_Indiv_Date=N$2)*(Upload_Indiv_PointsTot)))</f>
        <v/>
      </c>
      <c r="O183" s="2" t="str" cm="1">
        <f t="array" ref="O183">IF(SUMPRODUCT((Upload_Indiv_Player=$A181)*(Upload_Indiv_Date=O$2)*(Upload_Indiv_PointsTot))=0,"",SUMPRODUCT((Upload_Indiv_Player=$A181)*(Upload_Indiv_Date=O$2)*(Upload_Indiv_PointsTot)))</f>
        <v/>
      </c>
      <c r="P183" s="2" t="str" cm="1">
        <f t="array" ref="P183">IF(SUMPRODUCT((Upload_Indiv_Player=$A181)*(Upload_Indiv_Date=P$2)*(Upload_Indiv_PointsTot))=0,"",SUMPRODUCT((Upload_Indiv_Player=$A181)*(Upload_Indiv_Date=P$2)*(Upload_Indiv_PointsTot)))</f>
        <v/>
      </c>
      <c r="Q183" s="2" t="str" cm="1">
        <f t="array" ref="Q183">IF(SUMPRODUCT((Upload_Indiv_Player=$A181)*(Upload_Indiv_Date=Q$2)*(Upload_Indiv_PointsTot))=0,"",SUMPRODUCT((Upload_Indiv_Player=$A181)*(Upload_Indiv_Date=Q$2)*(Upload_Indiv_PointsTot)))</f>
        <v/>
      </c>
      <c r="R183" s="2" t="str" cm="1">
        <f t="array" ref="R183">IF(SUMPRODUCT((Upload_Indiv_Player=$A181)*(Upload_Indiv_Date=R$2)*(Upload_Indiv_PointsTot))=0,"",SUMPRODUCT((Upload_Indiv_Player=$A181)*(Upload_Indiv_Date=R$2)*(Upload_Indiv_PointsTot)))</f>
        <v/>
      </c>
      <c r="S183" s="2" t="str" cm="1">
        <f t="array" ref="S183">IF(SUMPRODUCT((Upload_Indiv_Player=$A181)*(Upload_Indiv_Date=S$2)*(Upload_Indiv_PointsTot))=0,"",SUMPRODUCT((Upload_Indiv_Player=$A181)*(Upload_Indiv_Date=S$2)*(Upload_Indiv_PointsTot)))</f>
        <v/>
      </c>
      <c r="T183" s="2" t="str" cm="1">
        <f t="array" ref="T183">IF(SUMPRODUCT((Upload_Indiv_Player=$A181)*(Upload_Indiv_Date=T$2)*(Upload_Indiv_PointsTot))=0,"",SUMPRODUCT((Upload_Indiv_Player=$A181)*(Upload_Indiv_Date=T$2)*(Upload_Indiv_PointsTot)))</f>
        <v/>
      </c>
      <c r="U183" s="2" t="str" cm="1">
        <f t="array" ref="U183">IF(SUMPRODUCT((Upload_Indiv_Player=$A181)*(Upload_Indiv_Date=U$2)*(Upload_Indiv_PointsTot))=0,"",SUMPRODUCT((Upload_Indiv_Player=$A181)*(Upload_Indiv_Date=U$2)*(Upload_Indiv_PointsTot)))</f>
        <v/>
      </c>
      <c r="V183" s="276"/>
      <c r="W183" s="276"/>
      <c r="X183" s="276"/>
      <c r="Y183" s="277"/>
      <c r="Z183" s="277"/>
      <c r="AA183" s="277"/>
    </row>
    <row r="184" spans="1:27" x14ac:dyDescent="0.25">
      <c r="A184" s="14"/>
      <c r="B184" s="2" t="s">
        <v>174</v>
      </c>
      <c r="C184" s="2" t="str" cm="1">
        <f t="array" ref="C184">IF(SUMPRODUCT((Upload_Indiv_Player=$A181)*(Upload_Indiv_Date=C$2)*(Upload_Indiv_Tot_Birds))=0,"",SUMPRODUCT((Upload_Indiv_Player=$A181)*(Upload_Indiv_Date=C$2)*(Upload_Indiv_Tot_Birds)))</f>
        <v/>
      </c>
      <c r="D184" s="2" t="str" cm="1">
        <f t="array" ref="D184">IF(SUMPRODUCT((Upload_Indiv_Player=$A181)*(Upload_Indiv_Date=D$2)*(Upload_Indiv_Tot_Birds))=0,"",SUMPRODUCT((Upload_Indiv_Player=$A181)*(Upload_Indiv_Date=D$2)*(Upload_Indiv_Tot_Birds)))</f>
        <v/>
      </c>
      <c r="E184" s="2" t="str" cm="1">
        <f t="array" ref="E184">IF(SUMPRODUCT((Upload_Indiv_Player=$A181)*(Upload_Indiv_Date=E$2)*(Upload_Indiv_Tot_Birds))=0,"",SUMPRODUCT((Upload_Indiv_Player=$A181)*(Upload_Indiv_Date=E$2)*(Upload_Indiv_Tot_Birds)))</f>
        <v/>
      </c>
      <c r="F184" s="2" t="str" cm="1">
        <f t="array" ref="F184">IF(SUMPRODUCT((Upload_Indiv_Player=$A181)*(Upload_Indiv_Date=F$2)*(Upload_Indiv_Tot_Birds))=0,"",SUMPRODUCT((Upload_Indiv_Player=$A181)*(Upload_Indiv_Date=F$2)*(Upload_Indiv_Tot_Birds)))</f>
        <v/>
      </c>
      <c r="G184" s="2" t="str" cm="1">
        <f t="array" ref="G184">IF(SUMPRODUCT((Upload_Indiv_Player=$A181)*(Upload_Indiv_Date=G$2)*(Upload_Indiv_Tot_Birds))=0,"",SUMPRODUCT((Upload_Indiv_Player=$A181)*(Upload_Indiv_Date=G$2)*(Upload_Indiv_Tot_Birds)))</f>
        <v/>
      </c>
      <c r="H184" s="2" t="str" cm="1">
        <f t="array" ref="H184">IF(SUMPRODUCT((Upload_Indiv_Player=$A181)*(Upload_Indiv_Date=H$2)*(Upload_Indiv_Tot_Birds))=0,"",SUMPRODUCT((Upload_Indiv_Player=$A181)*(Upload_Indiv_Date=H$2)*(Upload_Indiv_Tot_Birds)))</f>
        <v/>
      </c>
      <c r="I184" s="2" t="str" cm="1">
        <f t="array" ref="I184">IF(SUMPRODUCT((Upload_Indiv_Player=$A181)*(Upload_Indiv_Date=I$2)*(Upload_Indiv_Tot_Birds))=0,"",SUMPRODUCT((Upload_Indiv_Player=$A181)*(Upload_Indiv_Date=I$2)*(Upload_Indiv_Tot_Birds)))</f>
        <v/>
      </c>
      <c r="J184" s="2" t="str" cm="1">
        <f t="array" ref="J184">IF(SUMPRODUCT((Upload_Indiv_Player=$A181)*(Upload_Indiv_Date=J$2)*(Upload_Indiv_Tot_Birds))=0,"",SUMPRODUCT((Upload_Indiv_Player=$A181)*(Upload_Indiv_Date=J$2)*(Upload_Indiv_Tot_Birds)))</f>
        <v/>
      </c>
      <c r="K184" s="2" t="str" cm="1">
        <f t="array" ref="K184">IF(SUMPRODUCT((Upload_Indiv_Player=$A181)*(Upload_Indiv_Date=K$2)*(Upload_Indiv_Tot_Birds))=0,"",SUMPRODUCT((Upload_Indiv_Player=$A181)*(Upload_Indiv_Date=K$2)*(Upload_Indiv_Tot_Birds)))</f>
        <v/>
      </c>
      <c r="L184" s="2" t="str" cm="1">
        <f t="array" ref="L184">IF(SUMPRODUCT((Upload_Indiv_Player=$A181)*(Upload_Indiv_Date=L$2)*(Upload_Indiv_Tot_Birds))=0,"",SUMPRODUCT((Upload_Indiv_Player=$A181)*(Upload_Indiv_Date=L$2)*(Upload_Indiv_Tot_Birds)))</f>
        <v/>
      </c>
      <c r="M184" s="2" t="str" cm="1">
        <f t="array" ref="M184">IF(SUMPRODUCT((Upload_Indiv_Player=$A181)*(Upload_Indiv_Date=M$2)*(Upload_Indiv_Tot_Birds))=0,"",SUMPRODUCT((Upload_Indiv_Player=$A181)*(Upload_Indiv_Date=M$2)*(Upload_Indiv_Tot_Birds)))</f>
        <v/>
      </c>
      <c r="N184" s="2" t="str" cm="1">
        <f t="array" ref="N184">IF(SUMPRODUCT((Upload_Indiv_Player=$A181)*(Upload_Indiv_Date=N$2)*(Upload_Indiv_Tot_Birds))=0,"",SUMPRODUCT((Upload_Indiv_Player=$A181)*(Upload_Indiv_Date=N$2)*(Upload_Indiv_Tot_Birds)))</f>
        <v/>
      </c>
      <c r="O184" s="2" t="str" cm="1">
        <f t="array" ref="O184">IF(SUMPRODUCT((Upload_Indiv_Player=$A181)*(Upload_Indiv_Date=O$2)*(Upload_Indiv_Tot_Birds))=0,"",SUMPRODUCT((Upload_Indiv_Player=$A181)*(Upload_Indiv_Date=O$2)*(Upload_Indiv_Tot_Birds)))</f>
        <v/>
      </c>
      <c r="P184" s="2" t="str" cm="1">
        <f t="array" ref="P184">IF(SUMPRODUCT((Upload_Indiv_Player=$A181)*(Upload_Indiv_Date=P$2)*(Upload_Indiv_Tot_Birds))=0,"",SUMPRODUCT((Upload_Indiv_Player=$A181)*(Upload_Indiv_Date=P$2)*(Upload_Indiv_Tot_Birds)))</f>
        <v/>
      </c>
      <c r="Q184" s="2" t="str" cm="1">
        <f t="array" ref="Q184">IF(SUMPRODUCT((Upload_Indiv_Player=$A181)*(Upload_Indiv_Date=Q$2)*(Upload_Indiv_Tot_Birds))=0,"",SUMPRODUCT((Upload_Indiv_Player=$A181)*(Upload_Indiv_Date=Q$2)*(Upload_Indiv_Tot_Birds)))</f>
        <v/>
      </c>
      <c r="R184" s="2" t="str" cm="1">
        <f t="array" ref="R184">IF(SUMPRODUCT((Upload_Indiv_Player=$A181)*(Upload_Indiv_Date=R$2)*(Upload_Indiv_Tot_Birds))=0,"",SUMPRODUCT((Upload_Indiv_Player=$A181)*(Upload_Indiv_Date=R$2)*(Upload_Indiv_Tot_Birds)))</f>
        <v/>
      </c>
      <c r="S184" s="2" t="str" cm="1">
        <f t="array" ref="S184">IF(SUMPRODUCT((Upload_Indiv_Player=$A181)*(Upload_Indiv_Date=S$2)*(Upload_Indiv_Tot_Birds))=0,"",SUMPRODUCT((Upload_Indiv_Player=$A181)*(Upload_Indiv_Date=S$2)*(Upload_Indiv_Tot_Birds)))</f>
        <v/>
      </c>
      <c r="T184" s="2" t="str" cm="1">
        <f t="array" ref="T184">IF(SUMPRODUCT((Upload_Indiv_Player=$A181)*(Upload_Indiv_Date=T$2)*(Upload_Indiv_Tot_Birds))=0,"",SUMPRODUCT((Upload_Indiv_Player=$A181)*(Upload_Indiv_Date=T$2)*(Upload_Indiv_Tot_Birds)))</f>
        <v/>
      </c>
      <c r="U184" s="2" t="str" cm="1">
        <f t="array" ref="U184">IF(SUMPRODUCT((Upload_Indiv_Player=$A181)*(Upload_Indiv_Date=U$2)*(Upload_Indiv_Tot_Birds))=0,"",SUMPRODUCT((Upload_Indiv_Player=$A181)*(Upload_Indiv_Date=U$2)*(Upload_Indiv_Tot_Birds)))</f>
        <v/>
      </c>
      <c r="V184" s="276"/>
      <c r="W184" s="276"/>
      <c r="X184" s="276"/>
      <c r="Y184" s="277"/>
      <c r="Z184" s="277"/>
      <c r="AA184" s="277"/>
    </row>
    <row r="185" spans="1:27" x14ac:dyDescent="0.25">
      <c r="A185" s="14"/>
      <c r="B185" s="8" t="s">
        <v>175</v>
      </c>
      <c r="C185" s="2" t="str" cm="1">
        <f t="array" ref="C185">IF(SUMPRODUCT((Upload_Indiv_Player=$A181)*(Upload_Indiv_Date=C$2)*(Upload_Indiv_Tot_Eagles))=0,"",SUMPRODUCT((Upload_Indiv_Player=$A181)*(Upload_Indiv_Date=C$2)*(Upload_Indiv_Tot_Eagles)))</f>
        <v/>
      </c>
      <c r="D185" s="2" t="str" cm="1">
        <f t="array" ref="D185">IF(SUMPRODUCT((Upload_Indiv_Player=$A181)*(Upload_Indiv_Date=D$2)*(Upload_Indiv_Tot_Eagles))=0,"",SUMPRODUCT((Upload_Indiv_Player=$A181)*(Upload_Indiv_Date=D$2)*(Upload_Indiv_Tot_Eagles)))</f>
        <v/>
      </c>
      <c r="E185" s="2" t="str" cm="1">
        <f t="array" ref="E185">IF(SUMPRODUCT((Upload_Indiv_Player=$A181)*(Upload_Indiv_Date=E$2)*(Upload_Indiv_Tot_Eagles))=0,"",SUMPRODUCT((Upload_Indiv_Player=$A181)*(Upload_Indiv_Date=E$2)*(Upload_Indiv_Tot_Eagles)))</f>
        <v/>
      </c>
      <c r="F185" s="2" t="str" cm="1">
        <f t="array" ref="F185">IF(SUMPRODUCT((Upload_Indiv_Player=$A181)*(Upload_Indiv_Date=F$2)*(Upload_Indiv_Tot_Eagles))=0,"",SUMPRODUCT((Upload_Indiv_Player=$A181)*(Upload_Indiv_Date=F$2)*(Upload_Indiv_Tot_Eagles)))</f>
        <v/>
      </c>
      <c r="G185" s="2" t="str" cm="1">
        <f t="array" ref="G185">IF(SUMPRODUCT((Upload_Indiv_Player=$A181)*(Upload_Indiv_Date=G$2)*(Upload_Indiv_Tot_Eagles))=0,"",SUMPRODUCT((Upload_Indiv_Player=$A181)*(Upload_Indiv_Date=G$2)*(Upload_Indiv_Tot_Eagles)))</f>
        <v/>
      </c>
      <c r="H185" s="2" t="str" cm="1">
        <f t="array" ref="H185">IF(SUMPRODUCT((Upload_Indiv_Player=$A181)*(Upload_Indiv_Date=H$2)*(Upload_Indiv_Tot_Eagles))=0,"",SUMPRODUCT((Upload_Indiv_Player=$A181)*(Upload_Indiv_Date=H$2)*(Upload_Indiv_Tot_Eagles)))</f>
        <v/>
      </c>
      <c r="I185" s="2" t="str" cm="1">
        <f t="array" ref="I185">IF(SUMPRODUCT((Upload_Indiv_Player=$A181)*(Upload_Indiv_Date=I$2)*(Upload_Indiv_Tot_Eagles))=0,"",SUMPRODUCT((Upload_Indiv_Player=$A181)*(Upload_Indiv_Date=I$2)*(Upload_Indiv_Tot_Eagles)))</f>
        <v/>
      </c>
      <c r="J185" s="2" t="str" cm="1">
        <f t="array" ref="J185">IF(SUMPRODUCT((Upload_Indiv_Player=$A181)*(Upload_Indiv_Date=J$2)*(Upload_Indiv_Tot_Eagles))=0,"",SUMPRODUCT((Upload_Indiv_Player=$A181)*(Upload_Indiv_Date=J$2)*(Upload_Indiv_Tot_Eagles)))</f>
        <v/>
      </c>
      <c r="K185" s="2" t="str" cm="1">
        <f t="array" ref="K185">IF(SUMPRODUCT((Upload_Indiv_Player=$A181)*(Upload_Indiv_Date=K$2)*(Upload_Indiv_Tot_Eagles))=0,"",SUMPRODUCT((Upload_Indiv_Player=$A181)*(Upload_Indiv_Date=K$2)*(Upload_Indiv_Tot_Eagles)))</f>
        <v/>
      </c>
      <c r="L185" s="2" t="str" cm="1">
        <f t="array" ref="L185">IF(SUMPRODUCT((Upload_Indiv_Player=$A181)*(Upload_Indiv_Date=L$2)*(Upload_Indiv_Tot_Eagles))=0,"",SUMPRODUCT((Upload_Indiv_Player=$A181)*(Upload_Indiv_Date=L$2)*(Upload_Indiv_Tot_Eagles)))</f>
        <v/>
      </c>
      <c r="M185" s="2" t="str" cm="1">
        <f t="array" ref="M185">IF(SUMPRODUCT((Upload_Indiv_Player=$A181)*(Upload_Indiv_Date=M$2)*(Upload_Indiv_Tot_Eagles))=0,"",SUMPRODUCT((Upload_Indiv_Player=$A181)*(Upload_Indiv_Date=M$2)*(Upload_Indiv_Tot_Eagles)))</f>
        <v/>
      </c>
      <c r="N185" s="2" t="str" cm="1">
        <f t="array" ref="N185">IF(SUMPRODUCT((Upload_Indiv_Player=$A181)*(Upload_Indiv_Date=N$2)*(Upload_Indiv_Tot_Eagles))=0,"",SUMPRODUCT((Upload_Indiv_Player=$A181)*(Upload_Indiv_Date=N$2)*(Upload_Indiv_Tot_Eagles)))</f>
        <v/>
      </c>
      <c r="O185" s="2" t="str" cm="1">
        <f t="array" ref="O185">IF(SUMPRODUCT((Upload_Indiv_Player=$A181)*(Upload_Indiv_Date=O$2)*(Upload_Indiv_Tot_Eagles))=0,"",SUMPRODUCT((Upload_Indiv_Player=$A181)*(Upload_Indiv_Date=O$2)*(Upload_Indiv_Tot_Eagles)))</f>
        <v/>
      </c>
      <c r="P185" s="2" t="str" cm="1">
        <f t="array" ref="P185">IF(SUMPRODUCT((Upload_Indiv_Player=$A181)*(Upload_Indiv_Date=P$2)*(Upload_Indiv_Tot_Eagles))=0,"",SUMPRODUCT((Upload_Indiv_Player=$A181)*(Upload_Indiv_Date=P$2)*(Upload_Indiv_Tot_Eagles)))</f>
        <v/>
      </c>
      <c r="Q185" s="2" t="str" cm="1">
        <f t="array" ref="Q185">IF(SUMPRODUCT((Upload_Indiv_Player=$A181)*(Upload_Indiv_Date=Q$2)*(Upload_Indiv_Tot_Eagles))=0,"",SUMPRODUCT((Upload_Indiv_Player=$A181)*(Upload_Indiv_Date=Q$2)*(Upload_Indiv_Tot_Eagles)))</f>
        <v/>
      </c>
      <c r="R185" s="2" t="str" cm="1">
        <f t="array" ref="R185">IF(SUMPRODUCT((Upload_Indiv_Player=$A181)*(Upload_Indiv_Date=R$2)*(Upload_Indiv_Tot_Eagles))=0,"",SUMPRODUCT((Upload_Indiv_Player=$A181)*(Upload_Indiv_Date=R$2)*(Upload_Indiv_Tot_Eagles)))</f>
        <v/>
      </c>
      <c r="S185" s="2" t="str" cm="1">
        <f t="array" ref="S185">IF(SUMPRODUCT((Upload_Indiv_Player=$A181)*(Upload_Indiv_Date=S$2)*(Upload_Indiv_Tot_Eagles))=0,"",SUMPRODUCT((Upload_Indiv_Player=$A181)*(Upload_Indiv_Date=S$2)*(Upload_Indiv_Tot_Eagles)))</f>
        <v/>
      </c>
      <c r="T185" s="2" t="str" cm="1">
        <f t="array" ref="T185">IF(SUMPRODUCT((Upload_Indiv_Player=$A181)*(Upload_Indiv_Date=T$2)*(Upload_Indiv_Tot_Eagles))=0,"",SUMPRODUCT((Upload_Indiv_Player=$A181)*(Upload_Indiv_Date=T$2)*(Upload_Indiv_Tot_Eagles)))</f>
        <v/>
      </c>
      <c r="U185" s="2" t="str" cm="1">
        <f t="array" ref="U185">IF(SUMPRODUCT((Upload_Indiv_Player=$A181)*(Upload_Indiv_Date=U$2)*(Upload_Indiv_Tot_Eagles))=0,"",SUMPRODUCT((Upload_Indiv_Player=$A181)*(Upload_Indiv_Date=U$2)*(Upload_Indiv_Tot_Eagles)))</f>
        <v/>
      </c>
      <c r="V185" s="276"/>
      <c r="W185" s="276"/>
      <c r="X185" s="276"/>
      <c r="Y185" s="277"/>
      <c r="Z185" s="278"/>
      <c r="AA185" s="277"/>
    </row>
    <row r="186" spans="1:27" x14ac:dyDescent="0.25">
      <c r="A186" s="14"/>
      <c r="B186" s="2" t="s">
        <v>176</v>
      </c>
      <c r="C186" s="2" t="str" cm="1">
        <f t="array" ref="C186">IF(SUMPRODUCT((Upload_Indiv_Player=$A181)*(Upload_Indiv_Date=C$2)*(Upload_Indiv_Excl_Score))=0,"",SUMPRODUCT((Upload_Indiv_Player=$A181)*(Upload_Indiv_Date=C$2)*(Upload_Indiv_Excl_Score)))</f>
        <v/>
      </c>
      <c r="D186" s="2" t="str" cm="1">
        <f t="array" ref="D186">IF(SUMPRODUCT((Upload_Indiv_Player=$A181)*(Upload_Indiv_Date=D$2)*(Upload_Indiv_Excl_Score))=0,"",SUMPRODUCT((Upload_Indiv_Player=$A181)*(Upload_Indiv_Date=D$2)*(Upload_Indiv_Excl_Score)))</f>
        <v/>
      </c>
      <c r="E186" s="2" t="str" cm="1">
        <f t="array" ref="E186">IF(SUMPRODUCT((Upload_Indiv_Player=$A181)*(Upload_Indiv_Date=E$2)*(Upload_Indiv_Excl_Score))=0,"",SUMPRODUCT((Upload_Indiv_Player=$A181)*(Upload_Indiv_Date=E$2)*(Upload_Indiv_Excl_Score)))</f>
        <v/>
      </c>
      <c r="F186" s="2" t="str" cm="1">
        <f t="array" ref="F186">IF(SUMPRODUCT((Upload_Indiv_Player=$A181)*(Upload_Indiv_Date=F$2)*(Upload_Indiv_Excl_Score))=0,"",SUMPRODUCT((Upload_Indiv_Player=$A181)*(Upload_Indiv_Date=F$2)*(Upload_Indiv_Excl_Score)))</f>
        <v/>
      </c>
      <c r="G186" s="2" t="str" cm="1">
        <f t="array" ref="G186">IF(SUMPRODUCT((Upload_Indiv_Player=$A181)*(Upload_Indiv_Date=G$2)*(Upload_Indiv_Excl_Score))=0,"",SUMPRODUCT((Upload_Indiv_Player=$A181)*(Upload_Indiv_Date=G$2)*(Upload_Indiv_Excl_Score)))</f>
        <v/>
      </c>
      <c r="H186" s="2" t="str" cm="1">
        <f t="array" ref="H186">IF(SUMPRODUCT((Upload_Indiv_Player=$A181)*(Upload_Indiv_Date=H$2)*(Upload_Indiv_Excl_Score))=0,"",SUMPRODUCT((Upload_Indiv_Player=$A181)*(Upload_Indiv_Date=H$2)*(Upload_Indiv_Excl_Score)))</f>
        <v/>
      </c>
      <c r="I186" s="2" t="str" cm="1">
        <f t="array" ref="I186">IF(SUMPRODUCT((Upload_Indiv_Player=$A181)*(Upload_Indiv_Date=I$2)*(Upload_Indiv_Excl_Score))=0,"",SUMPRODUCT((Upload_Indiv_Player=$A181)*(Upload_Indiv_Date=I$2)*(Upload_Indiv_Excl_Score)))</f>
        <v/>
      </c>
      <c r="J186" s="2" t="str" cm="1">
        <f t="array" ref="J186">IF(SUMPRODUCT((Upload_Indiv_Player=$A181)*(Upload_Indiv_Date=J$2)*(Upload_Indiv_Excl_Score))=0,"",SUMPRODUCT((Upload_Indiv_Player=$A181)*(Upload_Indiv_Date=J$2)*(Upload_Indiv_Excl_Score)))</f>
        <v/>
      </c>
      <c r="K186" s="2" t="str" cm="1">
        <f t="array" ref="K186">IF(SUMPRODUCT((Upload_Indiv_Player=$A181)*(Upload_Indiv_Date=K$2)*(Upload_Indiv_Excl_Score))=0,"",SUMPRODUCT((Upload_Indiv_Player=$A181)*(Upload_Indiv_Date=K$2)*(Upload_Indiv_Excl_Score)))</f>
        <v/>
      </c>
      <c r="L186" s="2" t="str" cm="1">
        <f t="array" ref="L186">IF(SUMPRODUCT((Upload_Indiv_Player=$A181)*(Upload_Indiv_Date=L$2)*(Upload_Indiv_Excl_Score))=0,"",SUMPRODUCT((Upload_Indiv_Player=$A181)*(Upload_Indiv_Date=L$2)*(Upload_Indiv_Excl_Score)))</f>
        <v/>
      </c>
      <c r="M186" s="2" t="str" cm="1">
        <f t="array" ref="M186">IF(SUMPRODUCT((Upload_Indiv_Player=$A181)*(Upload_Indiv_Date=M$2)*(Upload_Indiv_Excl_Score))=0,"",SUMPRODUCT((Upload_Indiv_Player=$A181)*(Upload_Indiv_Date=M$2)*(Upload_Indiv_Excl_Score)))</f>
        <v/>
      </c>
      <c r="N186" s="2" t="str" cm="1">
        <f t="array" ref="N186">IF(SUMPRODUCT((Upload_Indiv_Player=$A181)*(Upload_Indiv_Date=N$2)*(Upload_Indiv_Excl_Score))=0,"",SUMPRODUCT((Upload_Indiv_Player=$A181)*(Upload_Indiv_Date=N$2)*(Upload_Indiv_Excl_Score)))</f>
        <v/>
      </c>
      <c r="O186" s="2" t="str" cm="1">
        <f t="array" ref="O186">IF(SUMPRODUCT((Upload_Indiv_Player=$A181)*(Upload_Indiv_Date=O$2)*(Upload_Indiv_Excl_Score))=0,"",SUMPRODUCT((Upload_Indiv_Player=$A181)*(Upload_Indiv_Date=O$2)*(Upload_Indiv_Excl_Score)))</f>
        <v/>
      </c>
      <c r="P186" s="2" t="str" cm="1">
        <f t="array" ref="P186">IF(SUMPRODUCT((Upload_Indiv_Player=$A181)*(Upload_Indiv_Date=P$2)*(Upload_Indiv_Excl_Score))=0,"",SUMPRODUCT((Upload_Indiv_Player=$A181)*(Upload_Indiv_Date=P$2)*(Upload_Indiv_Excl_Score)))</f>
        <v/>
      </c>
      <c r="Q186" s="2" t="str" cm="1">
        <f t="array" ref="Q186">IF(SUMPRODUCT((Upload_Indiv_Player=$A181)*(Upload_Indiv_Date=Q$2)*(Upload_Indiv_Excl_Score))=0,"",SUMPRODUCT((Upload_Indiv_Player=$A181)*(Upload_Indiv_Date=Q$2)*(Upload_Indiv_Excl_Score)))</f>
        <v/>
      </c>
      <c r="R186" s="2" t="str" cm="1">
        <f t="array" ref="R186">IF(SUMPRODUCT((Upload_Indiv_Player=$A181)*(Upload_Indiv_Date=R$2)*(Upload_Indiv_Excl_Score))=0,"",SUMPRODUCT((Upload_Indiv_Player=$A181)*(Upload_Indiv_Date=R$2)*(Upload_Indiv_Excl_Score)))</f>
        <v/>
      </c>
      <c r="S186" s="2" t="str" cm="1">
        <f t="array" ref="S186">IF(SUMPRODUCT((Upload_Indiv_Player=$A181)*(Upload_Indiv_Date=S$2)*(Upload_Indiv_Excl_Score))=0,"",SUMPRODUCT((Upload_Indiv_Player=$A181)*(Upload_Indiv_Date=S$2)*(Upload_Indiv_Excl_Score)))</f>
        <v/>
      </c>
      <c r="T186" s="2" t="str" cm="1">
        <f t="array" ref="T186">IF(SUMPRODUCT((Upload_Indiv_Player=$A181)*(Upload_Indiv_Date=T$2)*(Upload_Indiv_Excl_Score))=0,"",SUMPRODUCT((Upload_Indiv_Player=$A181)*(Upload_Indiv_Date=T$2)*(Upload_Indiv_Excl_Score)))</f>
        <v/>
      </c>
      <c r="U186" s="2" t="str" cm="1">
        <f t="array" ref="U186">IF(SUMPRODUCT((Upload_Indiv_Player=$A181)*(Upload_Indiv_Date=U$2)*(Upload_Indiv_Excl_Score))=0,"",SUMPRODUCT((Upload_Indiv_Player=$A181)*(Upload_Indiv_Date=U$2)*(Upload_Indiv_Excl_Score)))</f>
        <v/>
      </c>
      <c r="V186" s="276"/>
      <c r="W186" s="276"/>
      <c r="X186" s="276"/>
      <c r="Y186" s="277"/>
      <c r="Z186" s="277"/>
      <c r="AA186" s="277"/>
    </row>
    <row r="187" spans="1:27" x14ac:dyDescent="0.25">
      <c r="A187" s="14"/>
      <c r="B187" s="2" t="s">
        <v>177</v>
      </c>
      <c r="C187" s="2" t="str" cm="1">
        <f t="array" ref="C187">IFERROR(INDEX(Upload_Indiv_Team,MATCH(1,($A181=Upload_Indiv_Player)*(C$2=Upload_Indiv_Date),0)),"")</f>
        <v/>
      </c>
      <c r="D187" s="2" t="str" cm="1">
        <f t="array" ref="D187">IFERROR(INDEX(Upload_Indiv_Team,MATCH(1,($A181=Upload_Indiv_Player)*(D$2=Upload_Indiv_Date),0)),"")</f>
        <v/>
      </c>
      <c r="E187" s="2" t="str" cm="1">
        <f t="array" ref="E187">IFERROR(INDEX(Upload_Indiv_Team,MATCH(1,($A181=Upload_Indiv_Player)*(E$2=Upload_Indiv_Date),0)),"")</f>
        <v>Hack Squad</v>
      </c>
      <c r="F187" s="2" t="str" cm="1">
        <f t="array" ref="F187">IFERROR(INDEX(Upload_Indiv_Team,MATCH(1,($A181=Upload_Indiv_Player)*(F$2=Upload_Indiv_Date),0)),"")</f>
        <v/>
      </c>
      <c r="G187" s="2" t="str" cm="1">
        <f t="array" ref="G187">IFERROR(INDEX(Upload_Indiv_Team,MATCH(1,($A181=Upload_Indiv_Player)*(G$2=Upload_Indiv_Date),0)),"")</f>
        <v/>
      </c>
      <c r="H187" s="2" t="str" cm="1">
        <f t="array" ref="H187">IFERROR(INDEX(Upload_Indiv_Team,MATCH(1,($A181=Upload_Indiv_Player)*(H$2=Upload_Indiv_Date),0)),"")</f>
        <v/>
      </c>
      <c r="I187" s="2" t="str" cm="1">
        <f t="array" ref="I187">IFERROR(INDEX(Upload_Indiv_Team,MATCH(1,($A181=Upload_Indiv_Player)*(I$2=Upload_Indiv_Date),0)),"")</f>
        <v/>
      </c>
      <c r="J187" s="2" t="str" cm="1">
        <f t="array" ref="J187">IFERROR(INDEX(Upload_Indiv_Team,MATCH(1,($A181=Upload_Indiv_Player)*(J$2=Upload_Indiv_Date),0)),"")</f>
        <v/>
      </c>
      <c r="K187" s="2" t="str" cm="1">
        <f t="array" ref="K187">IFERROR(INDEX(Upload_Indiv_Team,MATCH(1,($A181=Upload_Indiv_Player)*(K$2=Upload_Indiv_Date),0)),"")</f>
        <v/>
      </c>
      <c r="L187" s="2" t="str" cm="1">
        <f t="array" ref="L187">IFERROR(INDEX(Upload_Indiv_Team,MATCH(1,($A181=Upload_Indiv_Player)*(L$2=Upload_Indiv_Date),0)),"")</f>
        <v/>
      </c>
      <c r="M187" s="2" t="str" cm="1">
        <f t="array" ref="M187">IFERROR(INDEX(Upload_Indiv_Team,MATCH(1,($A181=Upload_Indiv_Player)*(M$2=Upload_Indiv_Date),0)),"")</f>
        <v/>
      </c>
      <c r="N187" s="2" t="str" cm="1">
        <f t="array" ref="N187">IFERROR(INDEX(Upload_Indiv_Team,MATCH(1,($A181=Upload_Indiv_Player)*(N$2=Upload_Indiv_Date),0)),"")</f>
        <v/>
      </c>
      <c r="O187" s="2" t="str" cm="1">
        <f t="array" ref="O187">IFERROR(INDEX(Upload_Indiv_Team,MATCH(1,($A181=Upload_Indiv_Player)*(O$2=Upload_Indiv_Date),0)),"")</f>
        <v/>
      </c>
      <c r="P187" s="2" t="str" cm="1">
        <f t="array" ref="P187">IFERROR(INDEX(Upload_Indiv_Team,MATCH(1,($A181=Upload_Indiv_Player)*(P$2=Upload_Indiv_Date),0)),"")</f>
        <v/>
      </c>
      <c r="Q187" s="2" t="str" cm="1">
        <f t="array" ref="Q187">IFERROR(INDEX(Upload_Indiv_Team,MATCH(1,($A181=Upload_Indiv_Player)*(Q$2=Upload_Indiv_Date),0)),"")</f>
        <v/>
      </c>
      <c r="R187" s="2" t="str" cm="1">
        <f t="array" ref="R187">IFERROR(INDEX(Upload_Indiv_Team,MATCH(1,($A181=Upload_Indiv_Player)*(R$2=Upload_Indiv_Date),0)),"")</f>
        <v/>
      </c>
      <c r="S187" s="2" t="str" cm="1">
        <f t="array" ref="S187">IFERROR(INDEX(Upload_Indiv_Team,MATCH(1,($A181=Upload_Indiv_Player)*(S$2=Upload_Indiv_Date),0)),"")</f>
        <v/>
      </c>
      <c r="T187" s="2" t="str" cm="1">
        <f t="array" ref="T187">IFERROR(INDEX(Upload_Indiv_Team,MATCH(1,($A181=Upload_Indiv_Player)*(T$2=Upload_Indiv_Date),0)),"")</f>
        <v/>
      </c>
      <c r="U187" s="2" t="str" cm="1">
        <f t="array" ref="U187">IFERROR(INDEX(Upload_Indiv_Team,MATCH(1,($A181=Upload_Indiv_Player)*(U$2=Upload_Indiv_Date),0)),"")</f>
        <v/>
      </c>
      <c r="V187" s="276"/>
      <c r="W187" s="276"/>
      <c r="X187" s="276"/>
      <c r="Y187" s="277"/>
      <c r="Z187" s="277"/>
      <c r="AA187" s="277"/>
    </row>
    <row r="188" spans="1:27" ht="13.8" thickBot="1" x14ac:dyDescent="0.3">
      <c r="A188" s="329" t="s">
        <v>160</v>
      </c>
      <c r="B188" s="8" t="s">
        <v>178</v>
      </c>
      <c r="C188" s="58" t="str">
        <f t="shared" ref="C188:U188" si="23">IF(C181="", "", IF(C183&gt;=11, "w", IF(C183&lt;=9, "l", "t")))</f>
        <v/>
      </c>
      <c r="D188" s="58" t="str">
        <f t="shared" si="23"/>
        <v/>
      </c>
      <c r="E188" s="58" t="str">
        <f t="shared" si="23"/>
        <v>l</v>
      </c>
      <c r="F188" s="58" t="str">
        <f t="shared" si="23"/>
        <v/>
      </c>
      <c r="G188" s="58" t="str">
        <f t="shared" si="23"/>
        <v/>
      </c>
      <c r="H188" s="58" t="str">
        <f t="shared" si="23"/>
        <v/>
      </c>
      <c r="I188" s="58" t="str">
        <f t="shared" si="23"/>
        <v/>
      </c>
      <c r="J188" s="58" t="str">
        <f t="shared" si="23"/>
        <v/>
      </c>
      <c r="K188" s="58" t="str">
        <f t="shared" si="23"/>
        <v/>
      </c>
      <c r="L188" s="58" t="str">
        <f t="shared" si="23"/>
        <v/>
      </c>
      <c r="M188" s="58" t="str">
        <f t="shared" si="23"/>
        <v/>
      </c>
      <c r="N188" s="58" t="str">
        <f t="shared" si="23"/>
        <v/>
      </c>
      <c r="O188" s="58" t="str">
        <f t="shared" si="23"/>
        <v/>
      </c>
      <c r="P188" s="58" t="str">
        <f t="shared" si="23"/>
        <v/>
      </c>
      <c r="Q188" s="58" t="str">
        <f t="shared" si="23"/>
        <v/>
      </c>
      <c r="R188" s="58" t="str">
        <f t="shared" si="23"/>
        <v/>
      </c>
      <c r="S188" s="58" t="str">
        <f t="shared" si="23"/>
        <v/>
      </c>
      <c r="T188" s="58" t="str">
        <f t="shared" si="23"/>
        <v/>
      </c>
      <c r="U188" s="58" t="str">
        <f t="shared" si="23"/>
        <v/>
      </c>
      <c r="V188" s="276"/>
      <c r="W188" s="276"/>
      <c r="X188" s="276"/>
      <c r="Y188" s="277"/>
      <c r="Z188" s="277"/>
      <c r="AA188" s="277"/>
    </row>
    <row r="189" spans="1:27" x14ac:dyDescent="0.25">
      <c r="A189" s="11" t="s">
        <v>491</v>
      </c>
      <c r="B189" s="3" t="s">
        <v>170</v>
      </c>
      <c r="C189" s="3" t="str" cm="1">
        <f t="array" ref="C189">IF(SUMPRODUCT((Upload_Indiv_Player=$A189)*(Upload_Indiv_Date=C$2)*(Upload_Indiv_Gross))=0,"",SUMPRODUCT((Upload_Indiv_Player=$A189)*(Upload_Indiv_Date=C$2)*(Upload_Indiv_Gross)))</f>
        <v/>
      </c>
      <c r="D189" s="3" cm="1">
        <f t="array" ref="D189">IF(SUMPRODUCT((Upload_Indiv_Player=$A189)*(Upload_Indiv_Date=D$2)*(Upload_Indiv_Gross))=0,"",SUMPRODUCT((Upload_Indiv_Player=$A189)*(Upload_Indiv_Date=D$2)*(Upload_Indiv_Gross)))</f>
        <v>64</v>
      </c>
      <c r="E189" s="3" t="str" cm="1">
        <f t="array" ref="E189">IF(SUMPRODUCT((Upload_Indiv_Player=$A189)*(Upload_Indiv_Date=E$2)*(Upload_Indiv_Gross))=0,"",SUMPRODUCT((Upload_Indiv_Player=$A189)*(Upload_Indiv_Date=E$2)*(Upload_Indiv_Gross)))</f>
        <v/>
      </c>
      <c r="F189" s="3" t="str" cm="1">
        <f t="array" ref="F189">IF(SUMPRODUCT((Upload_Indiv_Player=$A189)*(Upload_Indiv_Date=F$2)*(Upload_Indiv_Gross))=0,"",SUMPRODUCT((Upload_Indiv_Player=$A189)*(Upload_Indiv_Date=F$2)*(Upload_Indiv_Gross)))</f>
        <v/>
      </c>
      <c r="G189" s="3" t="str" cm="1">
        <f t="array" ref="G189">IF(SUMPRODUCT((Upload_Indiv_Player=$A189)*(Upload_Indiv_Date=G$2)*(Upload_Indiv_Gross))=0,"",SUMPRODUCT((Upload_Indiv_Player=$A189)*(Upload_Indiv_Date=G$2)*(Upload_Indiv_Gross)))</f>
        <v/>
      </c>
      <c r="H189" s="3" t="str" cm="1">
        <f t="array" ref="H189">IF(SUMPRODUCT((Upload_Indiv_Player=$A189)*(Upload_Indiv_Date=H$2)*(Upload_Indiv_Gross))=0,"",SUMPRODUCT((Upload_Indiv_Player=$A189)*(Upload_Indiv_Date=H$2)*(Upload_Indiv_Gross)))</f>
        <v/>
      </c>
      <c r="I189" s="3" t="str" cm="1">
        <f t="array" ref="I189">IF(SUMPRODUCT((Upload_Indiv_Player=$A189)*(Upload_Indiv_Date=I$2)*(Upload_Indiv_Gross))=0,"",SUMPRODUCT((Upload_Indiv_Player=$A189)*(Upload_Indiv_Date=I$2)*(Upload_Indiv_Gross)))</f>
        <v/>
      </c>
      <c r="J189" s="3" t="str" cm="1">
        <f t="array" ref="J189">IF(SUMPRODUCT((Upload_Indiv_Player=$A189)*(Upload_Indiv_Date=J$2)*(Upload_Indiv_Gross))=0,"",SUMPRODUCT((Upload_Indiv_Player=$A189)*(Upload_Indiv_Date=J$2)*(Upload_Indiv_Gross)))</f>
        <v/>
      </c>
      <c r="K189" s="3" t="str" cm="1">
        <f t="array" ref="K189">IF(SUMPRODUCT((Upload_Indiv_Player=$A189)*(Upload_Indiv_Date=K$2)*(Upload_Indiv_Gross))=0,"",SUMPRODUCT((Upload_Indiv_Player=$A189)*(Upload_Indiv_Date=K$2)*(Upload_Indiv_Gross)))</f>
        <v/>
      </c>
      <c r="L189" s="3" t="str" cm="1">
        <f t="array" ref="L189">IF(SUMPRODUCT((Upload_Indiv_Player=$A189)*(Upload_Indiv_Date=L$2)*(Upload_Indiv_Gross))=0,"",SUMPRODUCT((Upload_Indiv_Player=$A189)*(Upload_Indiv_Date=L$2)*(Upload_Indiv_Gross)))</f>
        <v/>
      </c>
      <c r="M189" s="3" t="str" cm="1">
        <f t="array" ref="M189">IF(SUMPRODUCT((Upload_Indiv_Player=$A189)*(Upload_Indiv_Date=M$2)*(Upload_Indiv_Gross))=0,"",SUMPRODUCT((Upload_Indiv_Player=$A189)*(Upload_Indiv_Date=M$2)*(Upload_Indiv_Gross)))</f>
        <v/>
      </c>
      <c r="N189" s="3" t="str" cm="1">
        <f t="array" ref="N189">IF(SUMPRODUCT((Upload_Indiv_Player=$A189)*(Upload_Indiv_Date=N$2)*(Upload_Indiv_Gross))=0,"",SUMPRODUCT((Upload_Indiv_Player=$A189)*(Upload_Indiv_Date=N$2)*(Upload_Indiv_Gross)))</f>
        <v/>
      </c>
      <c r="O189" s="3" t="str" cm="1">
        <f t="array" ref="O189">IF(SUMPRODUCT((Upload_Indiv_Player=$A189)*(Upload_Indiv_Date=O$2)*(Upload_Indiv_Gross))=0,"",SUMPRODUCT((Upload_Indiv_Player=$A189)*(Upload_Indiv_Date=O$2)*(Upload_Indiv_Gross)))</f>
        <v/>
      </c>
      <c r="P189" s="3" t="str" cm="1">
        <f t="array" ref="P189">IF(SUMPRODUCT((Upload_Indiv_Player=$A189)*(Upload_Indiv_Date=P$2)*(Upload_Indiv_Gross))=0,"",SUMPRODUCT((Upload_Indiv_Player=$A189)*(Upload_Indiv_Date=P$2)*(Upload_Indiv_Gross)))</f>
        <v/>
      </c>
      <c r="Q189" s="2" t="str" cm="1">
        <f t="array" ref="Q189">IF(SUMPRODUCT((Upload_Indiv_Player=$A189)*(Upload_Indiv_Date=Q$2)*(Upload_Indiv_Gross))=0,"",SUMPRODUCT((Upload_Indiv_Player=$A189)*(Upload_Indiv_Date=Q$2)*(Upload_Indiv_Gross)))</f>
        <v/>
      </c>
      <c r="R189" s="2" t="str" cm="1">
        <f t="array" ref="R189">IF(SUMPRODUCT((Upload_Indiv_Player=$A189)*(Upload_Indiv_Date=R$2)*(Upload_Indiv_Gross))=0,"",SUMPRODUCT((Upload_Indiv_Player=$A189)*(Upload_Indiv_Date=R$2)*(Upload_Indiv_Gross)))</f>
        <v/>
      </c>
      <c r="S189" s="2" t="str" cm="1">
        <f t="array" ref="S189">IF(SUMPRODUCT((Upload_Indiv_Player=$A189)*(Upload_Indiv_Date=S$2)*(Upload_Indiv_Gross))=0,"",SUMPRODUCT((Upload_Indiv_Player=$A189)*(Upload_Indiv_Date=S$2)*(Upload_Indiv_Gross)))</f>
        <v/>
      </c>
      <c r="T189" s="2" t="str" cm="1">
        <f t="array" ref="T189">IF(SUMPRODUCT((Upload_Indiv_Player=$A189)*(Upload_Indiv_Date=T$2)*(Upload_Indiv_Gross))=0,"",SUMPRODUCT((Upload_Indiv_Player=$A189)*(Upload_Indiv_Date=T$2)*(Upload_Indiv_Gross)))</f>
        <v/>
      </c>
      <c r="U189" s="2" t="str" cm="1">
        <f t="array" ref="U189">IF(SUMPRODUCT((Upload_Indiv_Player=$A189)*(Upload_Indiv_Date=U$2)*(Upload_Indiv_Gross))=0,"",SUMPRODUCT((Upload_Indiv_Player=$A189)*(Upload_Indiv_Date=U$2)*(Upload_Indiv_Gross)))</f>
        <v/>
      </c>
      <c r="V189" s="273">
        <v>0</v>
      </c>
      <c r="W189" s="273">
        <v>0</v>
      </c>
      <c r="X189" s="273">
        <v>0</v>
      </c>
      <c r="Y189" s="273">
        <v>0</v>
      </c>
      <c r="Z189" s="273">
        <v>0</v>
      </c>
      <c r="AA189" s="273">
        <v>0</v>
      </c>
    </row>
    <row r="190" spans="1:27" x14ac:dyDescent="0.25">
      <c r="A190" s="216"/>
      <c r="B190" s="2" t="s">
        <v>171</v>
      </c>
      <c r="C190" s="2" t="str" cm="1">
        <f t="array" ref="C190">IF(SUMPRODUCT((Upload_Indiv_Player=$A189)*(Upload_Indiv_Date=C$2)*(Upload_Indiv_Net))=0,"",SUMPRODUCT((Upload_Indiv_Player=$A189)*(Upload_Indiv_Date=C$2)*(Upload_Indiv_Net)))</f>
        <v/>
      </c>
      <c r="D190" s="2" cm="1">
        <f t="array" ref="D190">IF(SUMPRODUCT((Upload_Indiv_Player=$A189)*(Upload_Indiv_Date=D$2)*(Upload_Indiv_Net))=0,"",SUMPRODUCT((Upload_Indiv_Player=$A189)*(Upload_Indiv_Date=D$2)*(Upload_Indiv_Net)))</f>
        <v>44</v>
      </c>
      <c r="E190" s="2" t="str" cm="1">
        <f t="array" ref="E190">IF(SUMPRODUCT((Upload_Indiv_Player=$A189)*(Upload_Indiv_Date=E$2)*(Upload_Indiv_Net))=0,"",SUMPRODUCT((Upload_Indiv_Player=$A189)*(Upload_Indiv_Date=E$2)*(Upload_Indiv_Net)))</f>
        <v/>
      </c>
      <c r="F190" s="2" t="str" cm="1">
        <f t="array" ref="F190">IF(SUMPRODUCT((Upload_Indiv_Player=$A189)*(Upload_Indiv_Date=F$2)*(Upload_Indiv_Net))=0,"",SUMPRODUCT((Upload_Indiv_Player=$A189)*(Upload_Indiv_Date=F$2)*(Upload_Indiv_Net)))</f>
        <v/>
      </c>
      <c r="G190" s="2" t="str" cm="1">
        <f t="array" ref="G190">IF(SUMPRODUCT((Upload_Indiv_Player=$A189)*(Upload_Indiv_Date=G$2)*(Upload_Indiv_Net))=0,"",SUMPRODUCT((Upload_Indiv_Player=$A189)*(Upload_Indiv_Date=G$2)*(Upload_Indiv_Net)))</f>
        <v/>
      </c>
      <c r="H190" s="2" t="str" cm="1">
        <f t="array" ref="H190">IF(SUMPRODUCT((Upload_Indiv_Player=$A189)*(Upload_Indiv_Date=H$2)*(Upload_Indiv_Net))=0,"",SUMPRODUCT((Upload_Indiv_Player=$A189)*(Upload_Indiv_Date=H$2)*(Upload_Indiv_Net)))</f>
        <v/>
      </c>
      <c r="I190" s="2" t="str" cm="1">
        <f t="array" ref="I190">IF(SUMPRODUCT((Upload_Indiv_Player=$A189)*(Upload_Indiv_Date=I$2)*(Upload_Indiv_Net))=0,"",SUMPRODUCT((Upload_Indiv_Player=$A189)*(Upload_Indiv_Date=I$2)*(Upload_Indiv_Net)))</f>
        <v/>
      </c>
      <c r="J190" s="2" t="str" cm="1">
        <f t="array" ref="J190">IF(SUMPRODUCT((Upload_Indiv_Player=$A189)*(Upload_Indiv_Date=J$2)*(Upload_Indiv_Net))=0,"",SUMPRODUCT((Upload_Indiv_Player=$A189)*(Upload_Indiv_Date=J$2)*(Upload_Indiv_Net)))</f>
        <v/>
      </c>
      <c r="K190" s="2" t="str" cm="1">
        <f t="array" ref="K190">IF(SUMPRODUCT((Upload_Indiv_Player=$A189)*(Upload_Indiv_Date=K$2)*(Upload_Indiv_Net))=0,"",SUMPRODUCT((Upload_Indiv_Player=$A189)*(Upload_Indiv_Date=K$2)*(Upload_Indiv_Net)))</f>
        <v/>
      </c>
      <c r="L190" s="2" t="str" cm="1">
        <f t="array" ref="L190">IF(SUMPRODUCT((Upload_Indiv_Player=$A189)*(Upload_Indiv_Date=L$2)*(Upload_Indiv_Net))=0,"",SUMPRODUCT((Upload_Indiv_Player=$A189)*(Upload_Indiv_Date=L$2)*(Upload_Indiv_Net)))</f>
        <v/>
      </c>
      <c r="M190" s="2" t="str" cm="1">
        <f t="array" ref="M190">IF(SUMPRODUCT((Upload_Indiv_Player=$A189)*(Upload_Indiv_Date=M$2)*(Upload_Indiv_Net))=0,"",SUMPRODUCT((Upload_Indiv_Player=$A189)*(Upload_Indiv_Date=M$2)*(Upload_Indiv_Net)))</f>
        <v/>
      </c>
      <c r="N190" s="2" t="str" cm="1">
        <f t="array" ref="N190">IF(SUMPRODUCT((Upload_Indiv_Player=$A189)*(Upload_Indiv_Date=N$2)*(Upload_Indiv_Net))=0,"",SUMPRODUCT((Upload_Indiv_Player=$A189)*(Upload_Indiv_Date=N$2)*(Upload_Indiv_Net)))</f>
        <v/>
      </c>
      <c r="O190" s="2" t="str" cm="1">
        <f t="array" ref="O190">IF(SUMPRODUCT((Upload_Indiv_Player=$A189)*(Upload_Indiv_Date=O$2)*(Upload_Indiv_Net))=0,"",SUMPRODUCT((Upload_Indiv_Player=$A189)*(Upload_Indiv_Date=O$2)*(Upload_Indiv_Net)))</f>
        <v/>
      </c>
      <c r="P190" s="2" t="str" cm="1">
        <f t="array" ref="P190">IF(SUMPRODUCT((Upload_Indiv_Player=$A189)*(Upload_Indiv_Date=P$2)*(Upload_Indiv_Net))=0,"",SUMPRODUCT((Upload_Indiv_Player=$A189)*(Upload_Indiv_Date=P$2)*(Upload_Indiv_Net)))</f>
        <v/>
      </c>
      <c r="Q190" s="2" t="str" cm="1">
        <f t="array" ref="Q190">IF(SUMPRODUCT((Upload_Indiv_Player=$A189)*(Upload_Indiv_Date=Q$2)*(Upload_Indiv_Net))=0,"",SUMPRODUCT((Upload_Indiv_Player=$A189)*(Upload_Indiv_Date=Q$2)*(Upload_Indiv_Net)))</f>
        <v/>
      </c>
      <c r="R190" s="2" t="str" cm="1">
        <f t="array" ref="R190">IF(SUMPRODUCT((Upload_Indiv_Player=$A189)*(Upload_Indiv_Date=R$2)*(Upload_Indiv_Net))=0,"",SUMPRODUCT((Upload_Indiv_Player=$A189)*(Upload_Indiv_Date=R$2)*(Upload_Indiv_Net)))</f>
        <v/>
      </c>
      <c r="S190" s="2" t="str" cm="1">
        <f t="array" ref="S190">IF(SUMPRODUCT((Upload_Indiv_Player=$A189)*(Upload_Indiv_Date=S$2)*(Upload_Indiv_Net))=0,"",SUMPRODUCT((Upload_Indiv_Player=$A189)*(Upload_Indiv_Date=S$2)*(Upload_Indiv_Net)))</f>
        <v/>
      </c>
      <c r="T190" s="2" t="str" cm="1">
        <f t="array" ref="T190">IF(SUMPRODUCT((Upload_Indiv_Player=$A189)*(Upload_Indiv_Date=T$2)*(Upload_Indiv_Net))=0,"",SUMPRODUCT((Upload_Indiv_Player=$A189)*(Upload_Indiv_Date=T$2)*(Upload_Indiv_Net)))</f>
        <v/>
      </c>
      <c r="U190" s="2" t="str" cm="1">
        <f t="array" ref="U190">IF(SUMPRODUCT((Upload_Indiv_Player=$A189)*(Upload_Indiv_Date=U$2)*(Upload_Indiv_Net))=0,"",SUMPRODUCT((Upload_Indiv_Player=$A189)*(Upload_Indiv_Date=U$2)*(Upload_Indiv_Net)))</f>
        <v/>
      </c>
      <c r="V190" s="276"/>
      <c r="W190" s="276"/>
      <c r="X190" s="276"/>
      <c r="Y190" s="277"/>
      <c r="Z190" s="277"/>
      <c r="AA190" s="277"/>
    </row>
    <row r="191" spans="1:27" x14ac:dyDescent="0.25">
      <c r="A191" s="65"/>
      <c r="B191" s="2" t="s">
        <v>173</v>
      </c>
      <c r="C191" s="2" t="str" cm="1">
        <f t="array" ref="C191">IF(SUMPRODUCT((Upload_Indiv_Player=$A189)*(Upload_Indiv_Date=C$2)*(Upload_Indiv_PointsTot))=0,"",SUMPRODUCT((Upload_Indiv_Player=$A189)*(Upload_Indiv_Date=C$2)*(Upload_Indiv_PointsTot)))</f>
        <v/>
      </c>
      <c r="D191" s="2" cm="1">
        <f t="array" ref="D191">IF(SUMPRODUCT((Upload_Indiv_Player=$A189)*(Upload_Indiv_Date=D$2)*(Upload_Indiv_PointsTot))=0,"",SUMPRODUCT((Upload_Indiv_Player=$A189)*(Upload_Indiv_Date=D$2)*(Upload_Indiv_PointsTot)))</f>
        <v>4</v>
      </c>
      <c r="E191" s="2" t="str" cm="1">
        <f t="array" ref="E191">IF(SUMPRODUCT((Upload_Indiv_Player=$A189)*(Upload_Indiv_Date=E$2)*(Upload_Indiv_PointsTot))=0,"",SUMPRODUCT((Upload_Indiv_Player=$A189)*(Upload_Indiv_Date=E$2)*(Upload_Indiv_PointsTot)))</f>
        <v/>
      </c>
      <c r="F191" s="2" t="str" cm="1">
        <f t="array" ref="F191">IF(SUMPRODUCT((Upload_Indiv_Player=$A189)*(Upload_Indiv_Date=F$2)*(Upload_Indiv_PointsTot))=0,"",SUMPRODUCT((Upload_Indiv_Player=$A189)*(Upload_Indiv_Date=F$2)*(Upload_Indiv_PointsTot)))</f>
        <v/>
      </c>
      <c r="G191" s="2" t="str" cm="1">
        <f t="array" ref="G191">IF(SUMPRODUCT((Upload_Indiv_Player=$A189)*(Upload_Indiv_Date=G$2)*(Upload_Indiv_PointsTot))=0,"",SUMPRODUCT((Upload_Indiv_Player=$A189)*(Upload_Indiv_Date=G$2)*(Upload_Indiv_PointsTot)))</f>
        <v/>
      </c>
      <c r="H191" s="2" t="str" cm="1">
        <f t="array" ref="H191">IF(SUMPRODUCT((Upload_Indiv_Player=$A189)*(Upload_Indiv_Date=H$2)*(Upload_Indiv_PointsTot))=0,"",SUMPRODUCT((Upload_Indiv_Player=$A189)*(Upload_Indiv_Date=H$2)*(Upload_Indiv_PointsTot)))</f>
        <v/>
      </c>
      <c r="I191" s="2" t="str" cm="1">
        <f t="array" ref="I191">IF(SUMPRODUCT((Upload_Indiv_Player=$A189)*(Upload_Indiv_Date=I$2)*(Upload_Indiv_PointsTot))=0,"",SUMPRODUCT((Upload_Indiv_Player=$A189)*(Upload_Indiv_Date=I$2)*(Upload_Indiv_PointsTot)))</f>
        <v/>
      </c>
      <c r="J191" s="2" t="str" cm="1">
        <f t="array" ref="J191">IF(SUMPRODUCT((Upload_Indiv_Player=$A189)*(Upload_Indiv_Date=J$2)*(Upload_Indiv_PointsTot))=0,"",SUMPRODUCT((Upload_Indiv_Player=$A189)*(Upload_Indiv_Date=J$2)*(Upload_Indiv_PointsTot)))</f>
        <v/>
      </c>
      <c r="K191" s="2" t="str" cm="1">
        <f t="array" ref="K191">IF(SUMPRODUCT((Upload_Indiv_Player=$A189)*(Upload_Indiv_Date=K$2)*(Upload_Indiv_PointsTot))=0,"",SUMPRODUCT((Upload_Indiv_Player=$A189)*(Upload_Indiv_Date=K$2)*(Upload_Indiv_PointsTot)))</f>
        <v/>
      </c>
      <c r="L191" s="2" t="str" cm="1">
        <f t="array" ref="L191">IF(SUMPRODUCT((Upload_Indiv_Player=$A189)*(Upload_Indiv_Date=L$2)*(Upload_Indiv_PointsTot))=0,"",SUMPRODUCT((Upload_Indiv_Player=$A189)*(Upload_Indiv_Date=L$2)*(Upload_Indiv_PointsTot)))</f>
        <v/>
      </c>
      <c r="M191" s="2" t="str" cm="1">
        <f t="array" ref="M191">IF(SUMPRODUCT((Upload_Indiv_Player=$A189)*(Upload_Indiv_Date=M$2)*(Upload_Indiv_PointsTot))=0,"",SUMPRODUCT((Upload_Indiv_Player=$A189)*(Upload_Indiv_Date=M$2)*(Upload_Indiv_PointsTot)))</f>
        <v/>
      </c>
      <c r="N191" s="2" t="str" cm="1">
        <f t="array" ref="N191">IF(SUMPRODUCT((Upload_Indiv_Player=$A189)*(Upload_Indiv_Date=N$2)*(Upload_Indiv_PointsTot))=0,"",SUMPRODUCT((Upload_Indiv_Player=$A189)*(Upload_Indiv_Date=N$2)*(Upload_Indiv_PointsTot)))</f>
        <v/>
      </c>
      <c r="O191" s="2" t="str" cm="1">
        <f t="array" ref="O191">IF(SUMPRODUCT((Upload_Indiv_Player=$A189)*(Upload_Indiv_Date=O$2)*(Upload_Indiv_PointsTot))=0,"",SUMPRODUCT((Upload_Indiv_Player=$A189)*(Upload_Indiv_Date=O$2)*(Upload_Indiv_PointsTot)))</f>
        <v/>
      </c>
      <c r="P191" s="2" t="str" cm="1">
        <f t="array" ref="P191">IF(SUMPRODUCT((Upload_Indiv_Player=$A189)*(Upload_Indiv_Date=P$2)*(Upload_Indiv_PointsTot))=0,"",SUMPRODUCT((Upload_Indiv_Player=$A189)*(Upload_Indiv_Date=P$2)*(Upload_Indiv_PointsTot)))</f>
        <v/>
      </c>
      <c r="Q191" s="2" t="str" cm="1">
        <f t="array" ref="Q191">IF(SUMPRODUCT((Upload_Indiv_Player=$A189)*(Upload_Indiv_Date=Q$2)*(Upload_Indiv_PointsTot))=0,"",SUMPRODUCT((Upload_Indiv_Player=$A189)*(Upload_Indiv_Date=Q$2)*(Upload_Indiv_PointsTot)))</f>
        <v/>
      </c>
      <c r="R191" s="2" t="str" cm="1">
        <f t="array" ref="R191">IF(SUMPRODUCT((Upload_Indiv_Player=$A189)*(Upload_Indiv_Date=R$2)*(Upload_Indiv_PointsTot))=0,"",SUMPRODUCT((Upload_Indiv_Player=$A189)*(Upload_Indiv_Date=R$2)*(Upload_Indiv_PointsTot)))</f>
        <v/>
      </c>
      <c r="S191" s="2" t="str" cm="1">
        <f t="array" ref="S191">IF(SUMPRODUCT((Upload_Indiv_Player=$A189)*(Upload_Indiv_Date=S$2)*(Upload_Indiv_PointsTot))=0,"",SUMPRODUCT((Upload_Indiv_Player=$A189)*(Upload_Indiv_Date=S$2)*(Upload_Indiv_PointsTot)))</f>
        <v/>
      </c>
      <c r="T191" s="2" t="str" cm="1">
        <f t="array" ref="T191">IF(SUMPRODUCT((Upload_Indiv_Player=$A189)*(Upload_Indiv_Date=T$2)*(Upload_Indiv_PointsTot))=0,"",SUMPRODUCT((Upload_Indiv_Player=$A189)*(Upload_Indiv_Date=T$2)*(Upload_Indiv_PointsTot)))</f>
        <v/>
      </c>
      <c r="U191" s="2" t="str" cm="1">
        <f t="array" ref="U191">IF(SUMPRODUCT((Upload_Indiv_Player=$A189)*(Upload_Indiv_Date=U$2)*(Upload_Indiv_PointsTot))=0,"",SUMPRODUCT((Upload_Indiv_Player=$A189)*(Upload_Indiv_Date=U$2)*(Upload_Indiv_PointsTot)))</f>
        <v/>
      </c>
      <c r="V191" s="276"/>
      <c r="W191" s="276"/>
      <c r="X191" s="276"/>
      <c r="Y191" s="277"/>
      <c r="Z191" s="277"/>
      <c r="AA191" s="277"/>
    </row>
    <row r="192" spans="1:27" x14ac:dyDescent="0.25">
      <c r="A192" s="14"/>
      <c r="B192" s="2" t="s">
        <v>174</v>
      </c>
      <c r="C192" s="2" t="str" cm="1">
        <f t="array" ref="C192">IF(SUMPRODUCT((Upload_Indiv_Player=$A189)*(Upload_Indiv_Date=C$2)*(Upload_Indiv_Tot_Birds))=0,"",SUMPRODUCT((Upload_Indiv_Player=$A189)*(Upload_Indiv_Date=C$2)*(Upload_Indiv_Tot_Birds)))</f>
        <v/>
      </c>
      <c r="D192" s="2" t="str" cm="1">
        <f t="array" ref="D192">IF(SUMPRODUCT((Upload_Indiv_Player=$A189)*(Upload_Indiv_Date=D$2)*(Upload_Indiv_Tot_Birds))=0,"",SUMPRODUCT((Upload_Indiv_Player=$A189)*(Upload_Indiv_Date=D$2)*(Upload_Indiv_Tot_Birds)))</f>
        <v/>
      </c>
      <c r="E192" s="2" t="str" cm="1">
        <f t="array" ref="E192">IF(SUMPRODUCT((Upload_Indiv_Player=$A189)*(Upload_Indiv_Date=E$2)*(Upload_Indiv_Tot_Birds))=0,"",SUMPRODUCT((Upload_Indiv_Player=$A189)*(Upload_Indiv_Date=E$2)*(Upload_Indiv_Tot_Birds)))</f>
        <v/>
      </c>
      <c r="F192" s="2" t="str" cm="1">
        <f t="array" ref="F192">IF(SUMPRODUCT((Upload_Indiv_Player=$A189)*(Upload_Indiv_Date=F$2)*(Upload_Indiv_Tot_Birds))=0,"",SUMPRODUCT((Upload_Indiv_Player=$A189)*(Upload_Indiv_Date=F$2)*(Upload_Indiv_Tot_Birds)))</f>
        <v/>
      </c>
      <c r="G192" s="2" t="str" cm="1">
        <f t="array" ref="G192">IF(SUMPRODUCT((Upload_Indiv_Player=$A189)*(Upload_Indiv_Date=G$2)*(Upload_Indiv_Tot_Birds))=0,"",SUMPRODUCT((Upload_Indiv_Player=$A189)*(Upload_Indiv_Date=G$2)*(Upload_Indiv_Tot_Birds)))</f>
        <v/>
      </c>
      <c r="H192" s="2" t="str" cm="1">
        <f t="array" ref="H192">IF(SUMPRODUCT((Upload_Indiv_Player=$A189)*(Upload_Indiv_Date=H$2)*(Upload_Indiv_Tot_Birds))=0,"",SUMPRODUCT((Upload_Indiv_Player=$A189)*(Upload_Indiv_Date=H$2)*(Upload_Indiv_Tot_Birds)))</f>
        <v/>
      </c>
      <c r="I192" s="2" t="str" cm="1">
        <f t="array" ref="I192">IF(SUMPRODUCT((Upload_Indiv_Player=$A189)*(Upload_Indiv_Date=I$2)*(Upload_Indiv_Tot_Birds))=0,"",SUMPRODUCT((Upload_Indiv_Player=$A189)*(Upload_Indiv_Date=I$2)*(Upload_Indiv_Tot_Birds)))</f>
        <v/>
      </c>
      <c r="J192" s="2" t="str" cm="1">
        <f t="array" ref="J192">IF(SUMPRODUCT((Upload_Indiv_Player=$A189)*(Upload_Indiv_Date=J$2)*(Upload_Indiv_Tot_Birds))=0,"",SUMPRODUCT((Upload_Indiv_Player=$A189)*(Upload_Indiv_Date=J$2)*(Upload_Indiv_Tot_Birds)))</f>
        <v/>
      </c>
      <c r="K192" s="2" t="str" cm="1">
        <f t="array" ref="K192">IF(SUMPRODUCT((Upload_Indiv_Player=$A189)*(Upload_Indiv_Date=K$2)*(Upload_Indiv_Tot_Birds))=0,"",SUMPRODUCT((Upload_Indiv_Player=$A189)*(Upload_Indiv_Date=K$2)*(Upload_Indiv_Tot_Birds)))</f>
        <v/>
      </c>
      <c r="L192" s="2" t="str" cm="1">
        <f t="array" ref="L192">IF(SUMPRODUCT((Upload_Indiv_Player=$A189)*(Upload_Indiv_Date=L$2)*(Upload_Indiv_Tot_Birds))=0,"",SUMPRODUCT((Upload_Indiv_Player=$A189)*(Upload_Indiv_Date=L$2)*(Upload_Indiv_Tot_Birds)))</f>
        <v/>
      </c>
      <c r="M192" s="2" t="str" cm="1">
        <f t="array" ref="M192">IF(SUMPRODUCT((Upload_Indiv_Player=$A189)*(Upload_Indiv_Date=M$2)*(Upload_Indiv_Tot_Birds))=0,"",SUMPRODUCT((Upload_Indiv_Player=$A189)*(Upload_Indiv_Date=M$2)*(Upload_Indiv_Tot_Birds)))</f>
        <v/>
      </c>
      <c r="N192" s="2" t="str" cm="1">
        <f t="array" ref="N192">IF(SUMPRODUCT((Upload_Indiv_Player=$A189)*(Upload_Indiv_Date=N$2)*(Upload_Indiv_Tot_Birds))=0,"",SUMPRODUCT((Upload_Indiv_Player=$A189)*(Upload_Indiv_Date=N$2)*(Upload_Indiv_Tot_Birds)))</f>
        <v/>
      </c>
      <c r="O192" s="2" t="str" cm="1">
        <f t="array" ref="O192">IF(SUMPRODUCT((Upload_Indiv_Player=$A189)*(Upload_Indiv_Date=O$2)*(Upload_Indiv_Tot_Birds))=0,"",SUMPRODUCT((Upload_Indiv_Player=$A189)*(Upload_Indiv_Date=O$2)*(Upload_Indiv_Tot_Birds)))</f>
        <v/>
      </c>
      <c r="P192" s="2" t="str" cm="1">
        <f t="array" ref="P192">IF(SUMPRODUCT((Upload_Indiv_Player=$A189)*(Upload_Indiv_Date=P$2)*(Upload_Indiv_Tot_Birds))=0,"",SUMPRODUCT((Upload_Indiv_Player=$A189)*(Upload_Indiv_Date=P$2)*(Upload_Indiv_Tot_Birds)))</f>
        <v/>
      </c>
      <c r="Q192" s="2" t="str" cm="1">
        <f t="array" ref="Q192">IF(SUMPRODUCT((Upload_Indiv_Player=$A189)*(Upload_Indiv_Date=Q$2)*(Upload_Indiv_Tot_Birds))=0,"",SUMPRODUCT((Upload_Indiv_Player=$A189)*(Upload_Indiv_Date=Q$2)*(Upload_Indiv_Tot_Birds)))</f>
        <v/>
      </c>
      <c r="R192" s="2" t="str" cm="1">
        <f t="array" ref="R192">IF(SUMPRODUCT((Upload_Indiv_Player=$A189)*(Upload_Indiv_Date=R$2)*(Upload_Indiv_Tot_Birds))=0,"",SUMPRODUCT((Upload_Indiv_Player=$A189)*(Upload_Indiv_Date=R$2)*(Upload_Indiv_Tot_Birds)))</f>
        <v/>
      </c>
      <c r="S192" s="2" t="str" cm="1">
        <f t="array" ref="S192">IF(SUMPRODUCT((Upload_Indiv_Player=$A189)*(Upload_Indiv_Date=S$2)*(Upload_Indiv_Tot_Birds))=0,"",SUMPRODUCT((Upload_Indiv_Player=$A189)*(Upload_Indiv_Date=S$2)*(Upload_Indiv_Tot_Birds)))</f>
        <v/>
      </c>
      <c r="T192" s="2" t="str" cm="1">
        <f t="array" ref="T192">IF(SUMPRODUCT((Upload_Indiv_Player=$A189)*(Upload_Indiv_Date=T$2)*(Upload_Indiv_Tot_Birds))=0,"",SUMPRODUCT((Upload_Indiv_Player=$A189)*(Upload_Indiv_Date=T$2)*(Upload_Indiv_Tot_Birds)))</f>
        <v/>
      </c>
      <c r="U192" s="2" t="str" cm="1">
        <f t="array" ref="U192">IF(SUMPRODUCT((Upload_Indiv_Player=$A189)*(Upload_Indiv_Date=U$2)*(Upload_Indiv_Tot_Birds))=0,"",SUMPRODUCT((Upload_Indiv_Player=$A189)*(Upload_Indiv_Date=U$2)*(Upload_Indiv_Tot_Birds)))</f>
        <v/>
      </c>
      <c r="V192" s="276"/>
      <c r="W192" s="276"/>
      <c r="X192" s="276"/>
      <c r="Y192" s="277"/>
      <c r="Z192" s="277"/>
      <c r="AA192" s="277"/>
    </row>
    <row r="193" spans="1:27" x14ac:dyDescent="0.25">
      <c r="A193" s="14"/>
      <c r="B193" s="8" t="s">
        <v>175</v>
      </c>
      <c r="C193" s="2" t="str" cm="1">
        <f t="array" ref="C193">IF(SUMPRODUCT((Upload_Indiv_Player=$A189)*(Upload_Indiv_Date=C$2)*(Upload_Indiv_Tot_Eagles))=0,"",SUMPRODUCT((Upload_Indiv_Player=$A189)*(Upload_Indiv_Date=C$2)*(Upload_Indiv_Tot_Eagles)))</f>
        <v/>
      </c>
      <c r="D193" s="2" t="str" cm="1">
        <f t="array" ref="D193">IF(SUMPRODUCT((Upload_Indiv_Player=$A189)*(Upload_Indiv_Date=D$2)*(Upload_Indiv_Tot_Eagles))=0,"",SUMPRODUCT((Upload_Indiv_Player=$A189)*(Upload_Indiv_Date=D$2)*(Upload_Indiv_Tot_Eagles)))</f>
        <v/>
      </c>
      <c r="E193" s="2" t="str" cm="1">
        <f t="array" ref="E193">IF(SUMPRODUCT((Upload_Indiv_Player=$A189)*(Upload_Indiv_Date=E$2)*(Upload_Indiv_Tot_Eagles))=0,"",SUMPRODUCT((Upload_Indiv_Player=$A189)*(Upload_Indiv_Date=E$2)*(Upload_Indiv_Tot_Eagles)))</f>
        <v/>
      </c>
      <c r="F193" s="2" t="str" cm="1">
        <f t="array" ref="F193">IF(SUMPRODUCT((Upload_Indiv_Player=$A189)*(Upload_Indiv_Date=F$2)*(Upload_Indiv_Tot_Eagles))=0,"",SUMPRODUCT((Upload_Indiv_Player=$A189)*(Upload_Indiv_Date=F$2)*(Upload_Indiv_Tot_Eagles)))</f>
        <v/>
      </c>
      <c r="G193" s="2" t="str" cm="1">
        <f t="array" ref="G193">IF(SUMPRODUCT((Upload_Indiv_Player=$A189)*(Upload_Indiv_Date=G$2)*(Upload_Indiv_Tot_Eagles))=0,"",SUMPRODUCT((Upload_Indiv_Player=$A189)*(Upload_Indiv_Date=G$2)*(Upload_Indiv_Tot_Eagles)))</f>
        <v/>
      </c>
      <c r="H193" s="2" t="str" cm="1">
        <f t="array" ref="H193">IF(SUMPRODUCT((Upload_Indiv_Player=$A189)*(Upload_Indiv_Date=H$2)*(Upload_Indiv_Tot_Eagles))=0,"",SUMPRODUCT((Upload_Indiv_Player=$A189)*(Upload_Indiv_Date=H$2)*(Upload_Indiv_Tot_Eagles)))</f>
        <v/>
      </c>
      <c r="I193" s="2" t="str" cm="1">
        <f t="array" ref="I193">IF(SUMPRODUCT((Upload_Indiv_Player=$A189)*(Upload_Indiv_Date=I$2)*(Upload_Indiv_Tot_Eagles))=0,"",SUMPRODUCT((Upload_Indiv_Player=$A189)*(Upload_Indiv_Date=I$2)*(Upload_Indiv_Tot_Eagles)))</f>
        <v/>
      </c>
      <c r="J193" s="2" t="str" cm="1">
        <f t="array" ref="J193">IF(SUMPRODUCT((Upload_Indiv_Player=$A189)*(Upload_Indiv_Date=J$2)*(Upload_Indiv_Tot_Eagles))=0,"",SUMPRODUCT((Upload_Indiv_Player=$A189)*(Upload_Indiv_Date=J$2)*(Upload_Indiv_Tot_Eagles)))</f>
        <v/>
      </c>
      <c r="K193" s="2" t="str" cm="1">
        <f t="array" ref="K193">IF(SUMPRODUCT((Upload_Indiv_Player=$A189)*(Upload_Indiv_Date=K$2)*(Upload_Indiv_Tot_Eagles))=0,"",SUMPRODUCT((Upload_Indiv_Player=$A189)*(Upload_Indiv_Date=K$2)*(Upload_Indiv_Tot_Eagles)))</f>
        <v/>
      </c>
      <c r="L193" s="2" t="str" cm="1">
        <f t="array" ref="L193">IF(SUMPRODUCT((Upload_Indiv_Player=$A189)*(Upload_Indiv_Date=L$2)*(Upload_Indiv_Tot_Eagles))=0,"",SUMPRODUCT((Upload_Indiv_Player=$A189)*(Upload_Indiv_Date=L$2)*(Upload_Indiv_Tot_Eagles)))</f>
        <v/>
      </c>
      <c r="M193" s="2" t="str" cm="1">
        <f t="array" ref="M193">IF(SUMPRODUCT((Upload_Indiv_Player=$A189)*(Upload_Indiv_Date=M$2)*(Upload_Indiv_Tot_Eagles))=0,"",SUMPRODUCT((Upload_Indiv_Player=$A189)*(Upload_Indiv_Date=M$2)*(Upload_Indiv_Tot_Eagles)))</f>
        <v/>
      </c>
      <c r="N193" s="2" t="str" cm="1">
        <f t="array" ref="N193">IF(SUMPRODUCT((Upload_Indiv_Player=$A189)*(Upload_Indiv_Date=N$2)*(Upload_Indiv_Tot_Eagles))=0,"",SUMPRODUCT((Upload_Indiv_Player=$A189)*(Upload_Indiv_Date=N$2)*(Upload_Indiv_Tot_Eagles)))</f>
        <v/>
      </c>
      <c r="O193" s="2" t="str" cm="1">
        <f t="array" ref="O193">IF(SUMPRODUCT((Upload_Indiv_Player=$A189)*(Upload_Indiv_Date=O$2)*(Upload_Indiv_Tot_Eagles))=0,"",SUMPRODUCT((Upload_Indiv_Player=$A189)*(Upload_Indiv_Date=O$2)*(Upload_Indiv_Tot_Eagles)))</f>
        <v/>
      </c>
      <c r="P193" s="2" t="str" cm="1">
        <f t="array" ref="P193">IF(SUMPRODUCT((Upload_Indiv_Player=$A189)*(Upload_Indiv_Date=P$2)*(Upload_Indiv_Tot_Eagles))=0,"",SUMPRODUCT((Upload_Indiv_Player=$A189)*(Upload_Indiv_Date=P$2)*(Upload_Indiv_Tot_Eagles)))</f>
        <v/>
      </c>
      <c r="Q193" s="2" t="str" cm="1">
        <f t="array" ref="Q193">IF(SUMPRODUCT((Upload_Indiv_Player=$A189)*(Upload_Indiv_Date=Q$2)*(Upload_Indiv_Tot_Eagles))=0,"",SUMPRODUCT((Upload_Indiv_Player=$A189)*(Upload_Indiv_Date=Q$2)*(Upload_Indiv_Tot_Eagles)))</f>
        <v/>
      </c>
      <c r="R193" s="2" t="str" cm="1">
        <f t="array" ref="R193">IF(SUMPRODUCT((Upload_Indiv_Player=$A189)*(Upload_Indiv_Date=R$2)*(Upload_Indiv_Tot_Eagles))=0,"",SUMPRODUCT((Upload_Indiv_Player=$A189)*(Upload_Indiv_Date=R$2)*(Upload_Indiv_Tot_Eagles)))</f>
        <v/>
      </c>
      <c r="S193" s="2" t="str" cm="1">
        <f t="array" ref="S193">IF(SUMPRODUCT((Upload_Indiv_Player=$A189)*(Upload_Indiv_Date=S$2)*(Upload_Indiv_Tot_Eagles))=0,"",SUMPRODUCT((Upload_Indiv_Player=$A189)*(Upload_Indiv_Date=S$2)*(Upload_Indiv_Tot_Eagles)))</f>
        <v/>
      </c>
      <c r="T193" s="2" t="str" cm="1">
        <f t="array" ref="T193">IF(SUMPRODUCT((Upload_Indiv_Player=$A189)*(Upload_Indiv_Date=T$2)*(Upload_Indiv_Tot_Eagles))=0,"",SUMPRODUCT((Upload_Indiv_Player=$A189)*(Upload_Indiv_Date=T$2)*(Upload_Indiv_Tot_Eagles)))</f>
        <v/>
      </c>
      <c r="U193" s="2" t="str" cm="1">
        <f t="array" ref="U193">IF(SUMPRODUCT((Upload_Indiv_Player=$A189)*(Upload_Indiv_Date=U$2)*(Upload_Indiv_Tot_Eagles))=0,"",SUMPRODUCT((Upload_Indiv_Player=$A189)*(Upload_Indiv_Date=U$2)*(Upload_Indiv_Tot_Eagles)))</f>
        <v/>
      </c>
      <c r="V193" s="276"/>
      <c r="W193" s="276"/>
      <c r="X193" s="276"/>
      <c r="Y193" s="277"/>
      <c r="Z193" s="278"/>
      <c r="AA193" s="277"/>
    </row>
    <row r="194" spans="1:27" x14ac:dyDescent="0.25">
      <c r="A194" s="14"/>
      <c r="B194" s="2" t="s">
        <v>176</v>
      </c>
      <c r="C194" s="2" t="str" cm="1">
        <f t="array" ref="C194">IF(SUMPRODUCT((Upload_Indiv_Player=$A189)*(Upload_Indiv_Date=C$2)*(Upload_Indiv_Excl_Score))=0,"",SUMPRODUCT((Upload_Indiv_Player=$A189)*(Upload_Indiv_Date=C$2)*(Upload_Indiv_Excl_Score)))</f>
        <v/>
      </c>
      <c r="D194" s="2" t="str" cm="1">
        <f t="array" ref="D194">IF(SUMPRODUCT((Upload_Indiv_Player=$A189)*(Upload_Indiv_Date=D$2)*(Upload_Indiv_Excl_Score))=0,"",SUMPRODUCT((Upload_Indiv_Player=$A189)*(Upload_Indiv_Date=D$2)*(Upload_Indiv_Excl_Score)))</f>
        <v/>
      </c>
      <c r="E194" s="2" t="str" cm="1">
        <f t="array" ref="E194">IF(SUMPRODUCT((Upload_Indiv_Player=$A189)*(Upload_Indiv_Date=E$2)*(Upload_Indiv_Excl_Score))=0,"",SUMPRODUCT((Upload_Indiv_Player=$A189)*(Upload_Indiv_Date=E$2)*(Upload_Indiv_Excl_Score)))</f>
        <v/>
      </c>
      <c r="F194" s="2" t="str" cm="1">
        <f t="array" ref="F194">IF(SUMPRODUCT((Upload_Indiv_Player=$A189)*(Upload_Indiv_Date=F$2)*(Upload_Indiv_Excl_Score))=0,"",SUMPRODUCT((Upload_Indiv_Player=$A189)*(Upload_Indiv_Date=F$2)*(Upload_Indiv_Excl_Score)))</f>
        <v/>
      </c>
      <c r="G194" s="2" t="str" cm="1">
        <f t="array" ref="G194">IF(SUMPRODUCT((Upload_Indiv_Player=$A189)*(Upload_Indiv_Date=G$2)*(Upload_Indiv_Excl_Score))=0,"",SUMPRODUCT((Upload_Indiv_Player=$A189)*(Upload_Indiv_Date=G$2)*(Upload_Indiv_Excl_Score)))</f>
        <v/>
      </c>
      <c r="H194" s="2" t="str" cm="1">
        <f t="array" ref="H194">IF(SUMPRODUCT((Upload_Indiv_Player=$A189)*(Upload_Indiv_Date=H$2)*(Upload_Indiv_Excl_Score))=0,"",SUMPRODUCT((Upload_Indiv_Player=$A189)*(Upload_Indiv_Date=H$2)*(Upload_Indiv_Excl_Score)))</f>
        <v/>
      </c>
      <c r="I194" s="2" t="str" cm="1">
        <f t="array" ref="I194">IF(SUMPRODUCT((Upload_Indiv_Player=$A189)*(Upload_Indiv_Date=I$2)*(Upload_Indiv_Excl_Score))=0,"",SUMPRODUCT((Upload_Indiv_Player=$A189)*(Upload_Indiv_Date=I$2)*(Upload_Indiv_Excl_Score)))</f>
        <v/>
      </c>
      <c r="J194" s="2" t="str" cm="1">
        <f t="array" ref="J194">IF(SUMPRODUCT((Upload_Indiv_Player=$A189)*(Upload_Indiv_Date=J$2)*(Upload_Indiv_Excl_Score))=0,"",SUMPRODUCT((Upload_Indiv_Player=$A189)*(Upload_Indiv_Date=J$2)*(Upload_Indiv_Excl_Score)))</f>
        <v/>
      </c>
      <c r="K194" s="2" t="str" cm="1">
        <f t="array" ref="K194">IF(SUMPRODUCT((Upload_Indiv_Player=$A189)*(Upload_Indiv_Date=K$2)*(Upload_Indiv_Excl_Score))=0,"",SUMPRODUCT((Upload_Indiv_Player=$A189)*(Upload_Indiv_Date=K$2)*(Upload_Indiv_Excl_Score)))</f>
        <v/>
      </c>
      <c r="L194" s="2" t="str" cm="1">
        <f t="array" ref="L194">IF(SUMPRODUCT((Upload_Indiv_Player=$A189)*(Upload_Indiv_Date=L$2)*(Upload_Indiv_Excl_Score))=0,"",SUMPRODUCT((Upload_Indiv_Player=$A189)*(Upload_Indiv_Date=L$2)*(Upload_Indiv_Excl_Score)))</f>
        <v/>
      </c>
      <c r="M194" s="2" t="str" cm="1">
        <f t="array" ref="M194">IF(SUMPRODUCT((Upload_Indiv_Player=$A189)*(Upload_Indiv_Date=M$2)*(Upload_Indiv_Excl_Score))=0,"",SUMPRODUCT((Upload_Indiv_Player=$A189)*(Upload_Indiv_Date=M$2)*(Upload_Indiv_Excl_Score)))</f>
        <v/>
      </c>
      <c r="N194" s="2" t="str" cm="1">
        <f t="array" ref="N194">IF(SUMPRODUCT((Upload_Indiv_Player=$A189)*(Upload_Indiv_Date=N$2)*(Upload_Indiv_Excl_Score))=0,"",SUMPRODUCT((Upload_Indiv_Player=$A189)*(Upload_Indiv_Date=N$2)*(Upload_Indiv_Excl_Score)))</f>
        <v/>
      </c>
      <c r="O194" s="2" t="str" cm="1">
        <f t="array" ref="O194">IF(SUMPRODUCT((Upload_Indiv_Player=$A189)*(Upload_Indiv_Date=O$2)*(Upload_Indiv_Excl_Score))=0,"",SUMPRODUCT((Upload_Indiv_Player=$A189)*(Upload_Indiv_Date=O$2)*(Upload_Indiv_Excl_Score)))</f>
        <v/>
      </c>
      <c r="P194" s="2" t="str" cm="1">
        <f t="array" ref="P194">IF(SUMPRODUCT((Upload_Indiv_Player=$A189)*(Upload_Indiv_Date=P$2)*(Upload_Indiv_Excl_Score))=0,"",SUMPRODUCT((Upload_Indiv_Player=$A189)*(Upload_Indiv_Date=P$2)*(Upload_Indiv_Excl_Score)))</f>
        <v/>
      </c>
      <c r="Q194" s="2" t="str" cm="1">
        <f t="array" ref="Q194">IF(SUMPRODUCT((Upload_Indiv_Player=$A189)*(Upload_Indiv_Date=Q$2)*(Upload_Indiv_Excl_Score))=0,"",SUMPRODUCT((Upload_Indiv_Player=$A189)*(Upload_Indiv_Date=Q$2)*(Upload_Indiv_Excl_Score)))</f>
        <v/>
      </c>
      <c r="R194" s="2" t="str" cm="1">
        <f t="array" ref="R194">IF(SUMPRODUCT((Upload_Indiv_Player=$A189)*(Upload_Indiv_Date=R$2)*(Upload_Indiv_Excl_Score))=0,"",SUMPRODUCT((Upload_Indiv_Player=$A189)*(Upload_Indiv_Date=R$2)*(Upload_Indiv_Excl_Score)))</f>
        <v/>
      </c>
      <c r="S194" s="2" t="str" cm="1">
        <f t="array" ref="S194">IF(SUMPRODUCT((Upload_Indiv_Player=$A189)*(Upload_Indiv_Date=S$2)*(Upload_Indiv_Excl_Score))=0,"",SUMPRODUCT((Upload_Indiv_Player=$A189)*(Upload_Indiv_Date=S$2)*(Upload_Indiv_Excl_Score)))</f>
        <v/>
      </c>
      <c r="T194" s="2" t="str" cm="1">
        <f t="array" ref="T194">IF(SUMPRODUCT((Upload_Indiv_Player=$A189)*(Upload_Indiv_Date=T$2)*(Upload_Indiv_Excl_Score))=0,"",SUMPRODUCT((Upload_Indiv_Player=$A189)*(Upload_Indiv_Date=T$2)*(Upload_Indiv_Excl_Score)))</f>
        <v/>
      </c>
      <c r="U194" s="2" t="str" cm="1">
        <f t="array" ref="U194">IF(SUMPRODUCT((Upload_Indiv_Player=$A189)*(Upload_Indiv_Date=U$2)*(Upload_Indiv_Excl_Score))=0,"",SUMPRODUCT((Upload_Indiv_Player=$A189)*(Upload_Indiv_Date=U$2)*(Upload_Indiv_Excl_Score)))</f>
        <v/>
      </c>
      <c r="V194" s="276"/>
      <c r="W194" s="276"/>
      <c r="X194" s="276"/>
      <c r="Y194" s="277"/>
      <c r="Z194" s="277"/>
      <c r="AA194" s="277"/>
    </row>
    <row r="195" spans="1:27" x14ac:dyDescent="0.25">
      <c r="A195" s="14"/>
      <c r="B195" s="2" t="s">
        <v>177</v>
      </c>
      <c r="C195" s="2" t="str" cm="1">
        <f t="array" ref="C195">IFERROR(INDEX(Upload_Indiv_Team,MATCH(1,($A189=Upload_Indiv_Player)*(C$2=Upload_Indiv_Date),0)),"")</f>
        <v/>
      </c>
      <c r="D195" s="2" t="str" cm="1">
        <f t="array" ref="D195">IFERROR(INDEX(Upload_Indiv_Team,MATCH(1,($A189=Upload_Indiv_Player)*(D$2=Upload_Indiv_Date),0)),"")</f>
        <v>Hack Squad</v>
      </c>
      <c r="E195" s="2" t="str" cm="1">
        <f t="array" ref="E195">IFERROR(INDEX(Upload_Indiv_Team,MATCH(1,($A189=Upload_Indiv_Player)*(E$2=Upload_Indiv_Date),0)),"")</f>
        <v/>
      </c>
      <c r="F195" s="2" t="str" cm="1">
        <f t="array" ref="F195">IFERROR(INDEX(Upload_Indiv_Team,MATCH(1,($A189=Upload_Indiv_Player)*(F$2=Upload_Indiv_Date),0)),"")</f>
        <v/>
      </c>
      <c r="G195" s="2" t="str" cm="1">
        <f t="array" ref="G195">IFERROR(INDEX(Upload_Indiv_Team,MATCH(1,($A189=Upload_Indiv_Player)*(G$2=Upload_Indiv_Date),0)),"")</f>
        <v/>
      </c>
      <c r="H195" s="2" t="str" cm="1">
        <f t="array" ref="H195">IFERROR(INDEX(Upload_Indiv_Team,MATCH(1,($A189=Upload_Indiv_Player)*(H$2=Upload_Indiv_Date),0)),"")</f>
        <v/>
      </c>
      <c r="I195" s="2" t="str" cm="1">
        <f t="array" ref="I195">IFERROR(INDEX(Upload_Indiv_Team,MATCH(1,($A189=Upload_Indiv_Player)*(I$2=Upload_Indiv_Date),0)),"")</f>
        <v/>
      </c>
      <c r="J195" s="2" t="str" cm="1">
        <f t="array" ref="J195">IFERROR(INDEX(Upload_Indiv_Team,MATCH(1,($A189=Upload_Indiv_Player)*(J$2=Upload_Indiv_Date),0)),"")</f>
        <v/>
      </c>
      <c r="K195" s="2" t="str" cm="1">
        <f t="array" ref="K195">IFERROR(INDEX(Upload_Indiv_Team,MATCH(1,($A189=Upload_Indiv_Player)*(K$2=Upload_Indiv_Date),0)),"")</f>
        <v/>
      </c>
      <c r="L195" s="2" t="str" cm="1">
        <f t="array" ref="L195">IFERROR(INDEX(Upload_Indiv_Team,MATCH(1,($A189=Upload_Indiv_Player)*(L$2=Upload_Indiv_Date),0)),"")</f>
        <v/>
      </c>
      <c r="M195" s="2" t="str" cm="1">
        <f t="array" ref="M195">IFERROR(INDEX(Upload_Indiv_Team,MATCH(1,($A189=Upload_Indiv_Player)*(M$2=Upload_Indiv_Date),0)),"")</f>
        <v/>
      </c>
      <c r="N195" s="2" t="str" cm="1">
        <f t="array" ref="N195">IFERROR(INDEX(Upload_Indiv_Team,MATCH(1,($A189=Upload_Indiv_Player)*(N$2=Upload_Indiv_Date),0)),"")</f>
        <v/>
      </c>
      <c r="O195" s="2" t="str" cm="1">
        <f t="array" ref="O195">IFERROR(INDEX(Upload_Indiv_Team,MATCH(1,($A189=Upload_Indiv_Player)*(O$2=Upload_Indiv_Date),0)),"")</f>
        <v/>
      </c>
      <c r="P195" s="2" t="str" cm="1">
        <f t="array" ref="P195">IFERROR(INDEX(Upload_Indiv_Team,MATCH(1,($A189=Upload_Indiv_Player)*(P$2=Upload_Indiv_Date),0)),"")</f>
        <v/>
      </c>
      <c r="Q195" s="2" t="str" cm="1">
        <f t="array" ref="Q195">IFERROR(INDEX(Upload_Indiv_Team,MATCH(1,($A189=Upload_Indiv_Player)*(Q$2=Upload_Indiv_Date),0)),"")</f>
        <v/>
      </c>
      <c r="R195" s="2" t="str" cm="1">
        <f t="array" ref="R195">IFERROR(INDEX(Upload_Indiv_Team,MATCH(1,($A189=Upload_Indiv_Player)*(R$2=Upload_Indiv_Date),0)),"")</f>
        <v/>
      </c>
      <c r="S195" s="2" t="str" cm="1">
        <f t="array" ref="S195">IFERROR(INDEX(Upload_Indiv_Team,MATCH(1,($A189=Upload_Indiv_Player)*(S$2=Upload_Indiv_Date),0)),"")</f>
        <v/>
      </c>
      <c r="T195" s="2" t="str" cm="1">
        <f t="array" ref="T195">IFERROR(INDEX(Upload_Indiv_Team,MATCH(1,($A189=Upload_Indiv_Player)*(T$2=Upload_Indiv_Date),0)),"")</f>
        <v/>
      </c>
      <c r="U195" s="2" t="str" cm="1">
        <f t="array" ref="U195">IFERROR(INDEX(Upload_Indiv_Team,MATCH(1,($A189=Upload_Indiv_Player)*(U$2=Upload_Indiv_Date),0)),"")</f>
        <v/>
      </c>
      <c r="V195" s="276"/>
      <c r="W195" s="276"/>
      <c r="X195" s="276"/>
      <c r="Y195" s="277"/>
      <c r="Z195" s="277"/>
      <c r="AA195" s="277"/>
    </row>
    <row r="196" spans="1:27" ht="13.8" thickBot="1" x14ac:dyDescent="0.3">
      <c r="A196" s="329" t="s">
        <v>160</v>
      </c>
      <c r="B196" s="8" t="s">
        <v>178</v>
      </c>
      <c r="C196" s="58" t="str">
        <f t="shared" ref="C196:U196" si="24">IF(C189="", "", IF(C191&gt;=11, "w", IF(C191&lt;=9, "l", "t")))</f>
        <v/>
      </c>
      <c r="D196" s="58" t="str">
        <f t="shared" si="24"/>
        <v>l</v>
      </c>
      <c r="E196" s="58" t="str">
        <f t="shared" si="24"/>
        <v/>
      </c>
      <c r="F196" s="58" t="str">
        <f t="shared" si="24"/>
        <v/>
      </c>
      <c r="G196" s="58" t="str">
        <f t="shared" si="24"/>
        <v/>
      </c>
      <c r="H196" s="58" t="str">
        <f t="shared" si="24"/>
        <v/>
      </c>
      <c r="I196" s="58" t="str">
        <f t="shared" si="24"/>
        <v/>
      </c>
      <c r="J196" s="58" t="str">
        <f t="shared" si="24"/>
        <v/>
      </c>
      <c r="K196" s="58" t="str">
        <f t="shared" si="24"/>
        <v/>
      </c>
      <c r="L196" s="58" t="str">
        <f t="shared" si="24"/>
        <v/>
      </c>
      <c r="M196" s="58" t="str">
        <f t="shared" si="24"/>
        <v/>
      </c>
      <c r="N196" s="58" t="str">
        <f t="shared" si="24"/>
        <v/>
      </c>
      <c r="O196" s="58" t="str">
        <f t="shared" si="24"/>
        <v/>
      </c>
      <c r="P196" s="58" t="str">
        <f t="shared" si="24"/>
        <v/>
      </c>
      <c r="Q196" s="58" t="str">
        <f t="shared" si="24"/>
        <v/>
      </c>
      <c r="R196" s="58" t="str">
        <f t="shared" si="24"/>
        <v/>
      </c>
      <c r="S196" s="58" t="str">
        <f t="shared" si="24"/>
        <v/>
      </c>
      <c r="T196" s="58" t="str">
        <f t="shared" si="24"/>
        <v/>
      </c>
      <c r="U196" s="58" t="str">
        <f t="shared" si="24"/>
        <v/>
      </c>
      <c r="V196" s="276"/>
      <c r="W196" s="276"/>
      <c r="X196" s="276"/>
      <c r="Y196" s="277"/>
      <c r="Z196" s="277"/>
      <c r="AA196" s="277"/>
    </row>
    <row r="197" spans="1:27" x14ac:dyDescent="0.25">
      <c r="A197" s="11" t="s">
        <v>246</v>
      </c>
      <c r="B197" s="3" t="s">
        <v>170</v>
      </c>
      <c r="C197" s="3" t="str" cm="1">
        <f t="array" ref="C197">IF(SUMPRODUCT((Upload_Indiv_Player=$A197)*(Upload_Indiv_Date=C$2)*(Upload_Indiv_Gross))=0,"",SUMPRODUCT((Upload_Indiv_Player=$A197)*(Upload_Indiv_Date=C$2)*(Upload_Indiv_Gross)))</f>
        <v/>
      </c>
      <c r="D197" s="3" t="str" cm="1">
        <f t="array" ref="D197">IF(SUMPRODUCT((Upload_Indiv_Player=$A197)*(Upload_Indiv_Date=D$2)*(Upload_Indiv_Gross))=0,"",SUMPRODUCT((Upload_Indiv_Player=$A197)*(Upload_Indiv_Date=D$2)*(Upload_Indiv_Gross)))</f>
        <v/>
      </c>
      <c r="E197" s="3" t="str" cm="1">
        <f t="array" ref="E197">IF(SUMPRODUCT((Upload_Indiv_Player=$A197)*(Upload_Indiv_Date=E$2)*(Upload_Indiv_Gross))=0,"",SUMPRODUCT((Upload_Indiv_Player=$A197)*(Upload_Indiv_Date=E$2)*(Upload_Indiv_Gross)))</f>
        <v/>
      </c>
      <c r="F197" s="3" t="str" cm="1">
        <f t="array" ref="F197">IF(SUMPRODUCT((Upload_Indiv_Player=$A197)*(Upload_Indiv_Date=F$2)*(Upload_Indiv_Gross))=0,"",SUMPRODUCT((Upload_Indiv_Player=$A197)*(Upload_Indiv_Date=F$2)*(Upload_Indiv_Gross)))</f>
        <v/>
      </c>
      <c r="G197" s="3" t="str" cm="1">
        <f t="array" ref="G197">IF(SUMPRODUCT((Upload_Indiv_Player=$A197)*(Upload_Indiv_Date=G$2)*(Upload_Indiv_Gross))=0,"",SUMPRODUCT((Upload_Indiv_Player=$A197)*(Upload_Indiv_Date=G$2)*(Upload_Indiv_Gross)))</f>
        <v/>
      </c>
      <c r="H197" s="3" t="str" cm="1">
        <f t="array" ref="H197">IF(SUMPRODUCT((Upload_Indiv_Player=$A197)*(Upload_Indiv_Date=H$2)*(Upload_Indiv_Gross))=0,"",SUMPRODUCT((Upload_Indiv_Player=$A197)*(Upload_Indiv_Date=H$2)*(Upload_Indiv_Gross)))</f>
        <v/>
      </c>
      <c r="I197" s="3" t="str" cm="1">
        <f t="array" ref="I197">IF(SUMPRODUCT((Upload_Indiv_Player=$A197)*(Upload_Indiv_Date=I$2)*(Upload_Indiv_Gross))=0,"",SUMPRODUCT((Upload_Indiv_Player=$A197)*(Upload_Indiv_Date=I$2)*(Upload_Indiv_Gross)))</f>
        <v/>
      </c>
      <c r="J197" s="3" t="str" cm="1">
        <f t="array" ref="J197">IF(SUMPRODUCT((Upload_Indiv_Player=$A197)*(Upload_Indiv_Date=J$2)*(Upload_Indiv_Gross))=0,"",SUMPRODUCT((Upload_Indiv_Player=$A197)*(Upload_Indiv_Date=J$2)*(Upload_Indiv_Gross)))</f>
        <v/>
      </c>
      <c r="K197" s="3" t="str" cm="1">
        <f t="array" ref="K197">IF(SUMPRODUCT((Upload_Indiv_Player=$A197)*(Upload_Indiv_Date=K$2)*(Upload_Indiv_Gross))=0,"",SUMPRODUCT((Upload_Indiv_Player=$A197)*(Upload_Indiv_Date=K$2)*(Upload_Indiv_Gross)))</f>
        <v/>
      </c>
      <c r="L197" s="3" t="str" cm="1">
        <f t="array" ref="L197">IF(SUMPRODUCT((Upload_Indiv_Player=$A197)*(Upload_Indiv_Date=L$2)*(Upload_Indiv_Gross))=0,"",SUMPRODUCT((Upload_Indiv_Player=$A197)*(Upload_Indiv_Date=L$2)*(Upload_Indiv_Gross)))</f>
        <v/>
      </c>
      <c r="M197" s="3" t="str" cm="1">
        <f t="array" ref="M197">IF(SUMPRODUCT((Upload_Indiv_Player=$A197)*(Upload_Indiv_Date=M$2)*(Upload_Indiv_Gross))=0,"",SUMPRODUCT((Upload_Indiv_Player=$A197)*(Upload_Indiv_Date=M$2)*(Upload_Indiv_Gross)))</f>
        <v/>
      </c>
      <c r="N197" s="3" t="str" cm="1">
        <f t="array" ref="N197">IF(SUMPRODUCT((Upload_Indiv_Player=$A197)*(Upload_Indiv_Date=N$2)*(Upload_Indiv_Gross))=0,"",SUMPRODUCT((Upload_Indiv_Player=$A197)*(Upload_Indiv_Date=N$2)*(Upload_Indiv_Gross)))</f>
        <v/>
      </c>
      <c r="O197" s="3" t="str" cm="1">
        <f t="array" ref="O197">IF(SUMPRODUCT((Upload_Indiv_Player=$A197)*(Upload_Indiv_Date=O$2)*(Upload_Indiv_Gross))=0,"",SUMPRODUCT((Upload_Indiv_Player=$A197)*(Upload_Indiv_Date=O$2)*(Upload_Indiv_Gross)))</f>
        <v/>
      </c>
      <c r="P197" s="3" t="str" cm="1">
        <f t="array" ref="P197">IF(SUMPRODUCT((Upload_Indiv_Player=$A197)*(Upload_Indiv_Date=P$2)*(Upload_Indiv_Gross))=0,"",SUMPRODUCT((Upload_Indiv_Player=$A197)*(Upload_Indiv_Date=P$2)*(Upload_Indiv_Gross)))</f>
        <v/>
      </c>
      <c r="Q197" s="2" cm="1">
        <f t="array" ref="Q197">IF(SUMPRODUCT((Upload_Indiv_Player=$A197)*(Upload_Indiv_Date=Q$2)*(Upload_Indiv_Gross))=0,"",SUMPRODUCT((Upload_Indiv_Player=$A197)*(Upload_Indiv_Date=Q$2)*(Upload_Indiv_Gross)))</f>
        <v>41</v>
      </c>
      <c r="R197" s="2" cm="1">
        <f t="array" ref="R197">IF(SUMPRODUCT((Upload_Indiv_Player=$A197)*(Upload_Indiv_Date=R$2)*(Upload_Indiv_Gross))=0,"",SUMPRODUCT((Upload_Indiv_Player=$A197)*(Upload_Indiv_Date=R$2)*(Upload_Indiv_Gross)))</f>
        <v>60</v>
      </c>
      <c r="S197" s="2" t="str" cm="1">
        <f t="array" ref="S197">IF(SUMPRODUCT((Upload_Indiv_Player=$A197)*(Upload_Indiv_Date=S$2)*(Upload_Indiv_Gross))=0,"",SUMPRODUCT((Upload_Indiv_Player=$A197)*(Upload_Indiv_Date=S$2)*(Upload_Indiv_Gross)))</f>
        <v/>
      </c>
      <c r="T197" s="2" t="str" cm="1">
        <f t="array" ref="T197">IF(SUMPRODUCT((Upload_Indiv_Player=$A197)*(Upload_Indiv_Date=T$2)*(Upload_Indiv_Gross))=0,"",SUMPRODUCT((Upload_Indiv_Player=$A197)*(Upload_Indiv_Date=T$2)*(Upload_Indiv_Gross)))</f>
        <v/>
      </c>
      <c r="U197" s="2" t="str" cm="1">
        <f t="array" ref="U197">IF(SUMPRODUCT((Upload_Indiv_Player=$A197)*(Upload_Indiv_Date=U$2)*(Upload_Indiv_Gross))=0,"",SUMPRODUCT((Upload_Indiv_Player=$A197)*(Upload_Indiv_Date=U$2)*(Upload_Indiv_Gross)))</f>
        <v/>
      </c>
      <c r="V197" s="273">
        <v>0</v>
      </c>
      <c r="W197" s="273">
        <v>0</v>
      </c>
      <c r="X197" s="273">
        <v>2</v>
      </c>
      <c r="Y197" s="277">
        <v>0</v>
      </c>
      <c r="Z197" s="277">
        <v>0</v>
      </c>
      <c r="AA197" s="277">
        <v>4</v>
      </c>
    </row>
    <row r="198" spans="1:27" x14ac:dyDescent="0.25">
      <c r="A198" s="216">
        <v>3304715633</v>
      </c>
      <c r="B198" s="2" t="s">
        <v>171</v>
      </c>
      <c r="C198" s="2" t="str" cm="1">
        <f t="array" ref="C198">IF(SUMPRODUCT((Upload_Indiv_Player=$A197)*(Upload_Indiv_Date=C$2)*(Upload_Indiv_Net))=0,"",SUMPRODUCT((Upload_Indiv_Player=$A197)*(Upload_Indiv_Date=C$2)*(Upload_Indiv_Net)))</f>
        <v/>
      </c>
      <c r="D198" s="2" t="str" cm="1">
        <f t="array" ref="D198">IF(SUMPRODUCT((Upload_Indiv_Player=$A197)*(Upload_Indiv_Date=D$2)*(Upload_Indiv_Net))=0,"",SUMPRODUCT((Upload_Indiv_Player=$A197)*(Upload_Indiv_Date=D$2)*(Upload_Indiv_Net)))</f>
        <v/>
      </c>
      <c r="E198" s="2" t="str" cm="1">
        <f t="array" ref="E198">IF(SUMPRODUCT((Upload_Indiv_Player=$A197)*(Upload_Indiv_Date=E$2)*(Upload_Indiv_Net))=0,"",SUMPRODUCT((Upload_Indiv_Player=$A197)*(Upload_Indiv_Date=E$2)*(Upload_Indiv_Net)))</f>
        <v/>
      </c>
      <c r="F198" s="2" t="str" cm="1">
        <f t="array" ref="F198">IF(SUMPRODUCT((Upload_Indiv_Player=$A197)*(Upload_Indiv_Date=F$2)*(Upload_Indiv_Net))=0,"",SUMPRODUCT((Upload_Indiv_Player=$A197)*(Upload_Indiv_Date=F$2)*(Upload_Indiv_Net)))</f>
        <v/>
      </c>
      <c r="G198" s="2" t="str" cm="1">
        <f t="array" ref="G198">IF(SUMPRODUCT((Upload_Indiv_Player=$A197)*(Upload_Indiv_Date=G$2)*(Upload_Indiv_Net))=0,"",SUMPRODUCT((Upload_Indiv_Player=$A197)*(Upload_Indiv_Date=G$2)*(Upload_Indiv_Net)))</f>
        <v/>
      </c>
      <c r="H198" s="2" t="str" cm="1">
        <f t="array" ref="H198">IF(SUMPRODUCT((Upload_Indiv_Player=$A197)*(Upload_Indiv_Date=H$2)*(Upload_Indiv_Net))=0,"",SUMPRODUCT((Upload_Indiv_Player=$A197)*(Upload_Indiv_Date=H$2)*(Upload_Indiv_Net)))</f>
        <v/>
      </c>
      <c r="I198" s="2" t="str" cm="1">
        <f t="array" ref="I198">IF(SUMPRODUCT((Upload_Indiv_Player=$A197)*(Upload_Indiv_Date=I$2)*(Upload_Indiv_Net))=0,"",SUMPRODUCT((Upload_Indiv_Player=$A197)*(Upload_Indiv_Date=I$2)*(Upload_Indiv_Net)))</f>
        <v/>
      </c>
      <c r="J198" s="2" t="str" cm="1">
        <f t="array" ref="J198">IF(SUMPRODUCT((Upload_Indiv_Player=$A197)*(Upload_Indiv_Date=J$2)*(Upload_Indiv_Net))=0,"",SUMPRODUCT((Upload_Indiv_Player=$A197)*(Upload_Indiv_Date=J$2)*(Upload_Indiv_Net)))</f>
        <v/>
      </c>
      <c r="K198" s="2" t="str" cm="1">
        <f t="array" ref="K198">IF(SUMPRODUCT((Upload_Indiv_Player=$A197)*(Upload_Indiv_Date=K$2)*(Upload_Indiv_Net))=0,"",SUMPRODUCT((Upload_Indiv_Player=$A197)*(Upload_Indiv_Date=K$2)*(Upload_Indiv_Net)))</f>
        <v/>
      </c>
      <c r="L198" s="2" t="str" cm="1">
        <f t="array" ref="L198">IF(SUMPRODUCT((Upload_Indiv_Player=$A197)*(Upload_Indiv_Date=L$2)*(Upload_Indiv_Net))=0,"",SUMPRODUCT((Upload_Indiv_Player=$A197)*(Upload_Indiv_Date=L$2)*(Upload_Indiv_Net)))</f>
        <v/>
      </c>
      <c r="M198" s="2" t="str" cm="1">
        <f t="array" ref="M198">IF(SUMPRODUCT((Upload_Indiv_Player=$A197)*(Upload_Indiv_Date=M$2)*(Upload_Indiv_Net))=0,"",SUMPRODUCT((Upload_Indiv_Player=$A197)*(Upload_Indiv_Date=M$2)*(Upload_Indiv_Net)))</f>
        <v/>
      </c>
      <c r="N198" s="2" t="str" cm="1">
        <f t="array" ref="N198">IF(SUMPRODUCT((Upload_Indiv_Player=$A197)*(Upload_Indiv_Date=N$2)*(Upload_Indiv_Net))=0,"",SUMPRODUCT((Upload_Indiv_Player=$A197)*(Upload_Indiv_Date=N$2)*(Upload_Indiv_Net)))</f>
        <v/>
      </c>
      <c r="O198" s="2" t="str" cm="1">
        <f t="array" ref="O198">IF(SUMPRODUCT((Upload_Indiv_Player=$A197)*(Upload_Indiv_Date=O$2)*(Upload_Indiv_Net))=0,"",SUMPRODUCT((Upload_Indiv_Player=$A197)*(Upload_Indiv_Date=O$2)*(Upload_Indiv_Net)))</f>
        <v/>
      </c>
      <c r="P198" s="2" t="str" cm="1">
        <f t="array" ref="P198">IF(SUMPRODUCT((Upload_Indiv_Player=$A197)*(Upload_Indiv_Date=P$2)*(Upload_Indiv_Net))=0,"",SUMPRODUCT((Upload_Indiv_Player=$A197)*(Upload_Indiv_Date=P$2)*(Upload_Indiv_Net)))</f>
        <v/>
      </c>
      <c r="Q198" s="2" t="str" cm="1">
        <f t="array" ref="Q198">IF(SUMPRODUCT((Upload_Indiv_Player=$A197)*(Upload_Indiv_Date=Q$2)*(Upload_Indiv_Net))=0,"",SUMPRODUCT((Upload_Indiv_Player=$A197)*(Upload_Indiv_Date=Q$2)*(Upload_Indiv_Net)))</f>
        <v/>
      </c>
      <c r="R198" s="2" cm="1">
        <f t="array" ref="R198">IF(SUMPRODUCT((Upload_Indiv_Player=$A197)*(Upload_Indiv_Date=R$2)*(Upload_Indiv_Net))=0,"",SUMPRODUCT((Upload_Indiv_Player=$A197)*(Upload_Indiv_Date=R$2)*(Upload_Indiv_Net)))</f>
        <v>40</v>
      </c>
      <c r="S198" s="2" t="str" cm="1">
        <f t="array" ref="S198">IF(SUMPRODUCT((Upload_Indiv_Player=$A197)*(Upload_Indiv_Date=S$2)*(Upload_Indiv_Net))=0,"",SUMPRODUCT((Upload_Indiv_Player=$A197)*(Upload_Indiv_Date=S$2)*(Upload_Indiv_Net)))</f>
        <v/>
      </c>
      <c r="T198" s="2" t="str" cm="1">
        <f t="array" ref="T198">IF(SUMPRODUCT((Upload_Indiv_Player=$A197)*(Upload_Indiv_Date=T$2)*(Upload_Indiv_Net))=0,"",SUMPRODUCT((Upload_Indiv_Player=$A197)*(Upload_Indiv_Date=T$2)*(Upload_Indiv_Net)))</f>
        <v/>
      </c>
      <c r="U198" s="2" t="str" cm="1">
        <f t="array" ref="U198">IF(SUMPRODUCT((Upload_Indiv_Player=$A197)*(Upload_Indiv_Date=U$2)*(Upload_Indiv_Net))=0,"",SUMPRODUCT((Upload_Indiv_Player=$A197)*(Upload_Indiv_Date=U$2)*(Upload_Indiv_Net)))</f>
        <v/>
      </c>
      <c r="V198" s="276"/>
      <c r="W198" s="276"/>
      <c r="X198" s="276"/>
      <c r="Y198" s="277"/>
      <c r="Z198" s="277"/>
      <c r="AA198" s="277"/>
    </row>
    <row r="199" spans="1:27" x14ac:dyDescent="0.25">
      <c r="A199" s="65" t="s">
        <v>247</v>
      </c>
      <c r="B199" s="2" t="s">
        <v>173</v>
      </c>
      <c r="C199" s="2" t="str" cm="1">
        <f t="array" ref="C199">IF(SUMPRODUCT((Upload_Indiv_Player=$A197)*(Upload_Indiv_Date=C$2)*(Upload_Indiv_PointsTot))=0,"",SUMPRODUCT((Upload_Indiv_Player=$A197)*(Upload_Indiv_Date=C$2)*(Upload_Indiv_PointsTot)))</f>
        <v/>
      </c>
      <c r="D199" s="2" t="str" cm="1">
        <f t="array" ref="D199">IF(SUMPRODUCT((Upload_Indiv_Player=$A197)*(Upload_Indiv_Date=D$2)*(Upload_Indiv_PointsTot))=0,"",SUMPRODUCT((Upload_Indiv_Player=$A197)*(Upload_Indiv_Date=D$2)*(Upload_Indiv_PointsTot)))</f>
        <v/>
      </c>
      <c r="E199" s="2" t="str" cm="1">
        <f t="array" ref="E199">IF(SUMPRODUCT((Upload_Indiv_Player=$A197)*(Upload_Indiv_Date=E$2)*(Upload_Indiv_PointsTot))=0,"",SUMPRODUCT((Upload_Indiv_Player=$A197)*(Upload_Indiv_Date=E$2)*(Upload_Indiv_PointsTot)))</f>
        <v/>
      </c>
      <c r="F199" s="2" t="str" cm="1">
        <f t="array" ref="F199">IF(SUMPRODUCT((Upload_Indiv_Player=$A197)*(Upload_Indiv_Date=F$2)*(Upload_Indiv_PointsTot))=0,"",SUMPRODUCT((Upload_Indiv_Player=$A197)*(Upload_Indiv_Date=F$2)*(Upload_Indiv_PointsTot)))</f>
        <v/>
      </c>
      <c r="G199" s="2" t="str" cm="1">
        <f t="array" ref="G199">IF(SUMPRODUCT((Upload_Indiv_Player=$A197)*(Upload_Indiv_Date=G$2)*(Upload_Indiv_PointsTot))=0,"",SUMPRODUCT((Upload_Indiv_Player=$A197)*(Upload_Indiv_Date=G$2)*(Upload_Indiv_PointsTot)))</f>
        <v/>
      </c>
      <c r="H199" s="2" t="str" cm="1">
        <f t="array" ref="H199">IF(SUMPRODUCT((Upload_Indiv_Player=$A197)*(Upload_Indiv_Date=H$2)*(Upload_Indiv_PointsTot))=0,"",SUMPRODUCT((Upload_Indiv_Player=$A197)*(Upload_Indiv_Date=H$2)*(Upload_Indiv_PointsTot)))</f>
        <v/>
      </c>
      <c r="I199" s="2" t="str" cm="1">
        <f t="array" ref="I199">IF(SUMPRODUCT((Upload_Indiv_Player=$A197)*(Upload_Indiv_Date=I$2)*(Upload_Indiv_PointsTot))=0,"",SUMPRODUCT((Upload_Indiv_Player=$A197)*(Upload_Indiv_Date=I$2)*(Upload_Indiv_PointsTot)))</f>
        <v/>
      </c>
      <c r="J199" s="2" t="str" cm="1">
        <f t="array" ref="J199">IF(SUMPRODUCT((Upload_Indiv_Player=$A197)*(Upload_Indiv_Date=J$2)*(Upload_Indiv_PointsTot))=0,"",SUMPRODUCT((Upload_Indiv_Player=$A197)*(Upload_Indiv_Date=J$2)*(Upload_Indiv_PointsTot)))</f>
        <v/>
      </c>
      <c r="K199" s="2" t="str" cm="1">
        <f t="array" ref="K199">IF(SUMPRODUCT((Upload_Indiv_Player=$A197)*(Upload_Indiv_Date=K$2)*(Upload_Indiv_PointsTot))=0,"",SUMPRODUCT((Upload_Indiv_Player=$A197)*(Upload_Indiv_Date=K$2)*(Upload_Indiv_PointsTot)))</f>
        <v/>
      </c>
      <c r="L199" s="2" t="str" cm="1">
        <f t="array" ref="L199">IF(SUMPRODUCT((Upload_Indiv_Player=$A197)*(Upload_Indiv_Date=L$2)*(Upload_Indiv_PointsTot))=0,"",SUMPRODUCT((Upload_Indiv_Player=$A197)*(Upload_Indiv_Date=L$2)*(Upload_Indiv_PointsTot)))</f>
        <v/>
      </c>
      <c r="M199" s="2" t="str" cm="1">
        <f t="array" ref="M199">IF(SUMPRODUCT((Upload_Indiv_Player=$A197)*(Upload_Indiv_Date=M$2)*(Upload_Indiv_PointsTot))=0,"",SUMPRODUCT((Upload_Indiv_Player=$A197)*(Upload_Indiv_Date=M$2)*(Upload_Indiv_PointsTot)))</f>
        <v/>
      </c>
      <c r="N199" s="2" t="str" cm="1">
        <f t="array" ref="N199">IF(SUMPRODUCT((Upload_Indiv_Player=$A197)*(Upload_Indiv_Date=N$2)*(Upload_Indiv_PointsTot))=0,"",SUMPRODUCT((Upload_Indiv_Player=$A197)*(Upload_Indiv_Date=N$2)*(Upload_Indiv_PointsTot)))</f>
        <v/>
      </c>
      <c r="O199" s="2" t="str" cm="1">
        <f t="array" ref="O199">IF(SUMPRODUCT((Upload_Indiv_Player=$A197)*(Upload_Indiv_Date=O$2)*(Upload_Indiv_PointsTot))=0,"",SUMPRODUCT((Upload_Indiv_Player=$A197)*(Upload_Indiv_Date=O$2)*(Upload_Indiv_PointsTot)))</f>
        <v/>
      </c>
      <c r="P199" s="2" t="str" cm="1">
        <f t="array" ref="P199">IF(SUMPRODUCT((Upload_Indiv_Player=$A197)*(Upload_Indiv_Date=P$2)*(Upload_Indiv_PointsTot))=0,"",SUMPRODUCT((Upload_Indiv_Player=$A197)*(Upload_Indiv_Date=P$2)*(Upload_Indiv_PointsTot)))</f>
        <v/>
      </c>
      <c r="Q199" s="2" cm="1">
        <f t="array" ref="Q199">IF(SUMPRODUCT((Upload_Indiv_Player=$A197)*(Upload_Indiv_Date=Q$2)*(Upload_Indiv_PointsTot))=0,"",SUMPRODUCT((Upload_Indiv_Player=$A197)*(Upload_Indiv_Date=Q$2)*(Upload_Indiv_PointsTot)))</f>
        <v>10</v>
      </c>
      <c r="R199" s="2" cm="1">
        <f t="array" ref="R199">IF(SUMPRODUCT((Upload_Indiv_Player=$A197)*(Upload_Indiv_Date=R$2)*(Upload_Indiv_PointsTot))=0,"",SUMPRODUCT((Upload_Indiv_Player=$A197)*(Upload_Indiv_Date=R$2)*(Upload_Indiv_PointsTot)))</f>
        <v>12</v>
      </c>
      <c r="S199" s="2" t="str" cm="1">
        <f t="array" ref="S199">IF(SUMPRODUCT((Upload_Indiv_Player=$A197)*(Upload_Indiv_Date=S$2)*(Upload_Indiv_PointsTot))=0,"",SUMPRODUCT((Upload_Indiv_Player=$A197)*(Upload_Indiv_Date=S$2)*(Upload_Indiv_PointsTot)))</f>
        <v/>
      </c>
      <c r="T199" s="2" t="str" cm="1">
        <f t="array" ref="T199">IF(SUMPRODUCT((Upload_Indiv_Player=$A197)*(Upload_Indiv_Date=T$2)*(Upload_Indiv_PointsTot))=0,"",SUMPRODUCT((Upload_Indiv_Player=$A197)*(Upload_Indiv_Date=T$2)*(Upload_Indiv_PointsTot)))</f>
        <v/>
      </c>
      <c r="U199" s="2" t="str" cm="1">
        <f t="array" ref="U199">IF(SUMPRODUCT((Upload_Indiv_Player=$A197)*(Upload_Indiv_Date=U$2)*(Upload_Indiv_PointsTot))=0,"",SUMPRODUCT((Upload_Indiv_Player=$A197)*(Upload_Indiv_Date=U$2)*(Upload_Indiv_PointsTot)))</f>
        <v/>
      </c>
      <c r="V199" s="276"/>
      <c r="W199" s="276"/>
      <c r="X199" s="276"/>
      <c r="Y199" s="277"/>
      <c r="Z199" s="277"/>
      <c r="AA199" s="277"/>
    </row>
    <row r="200" spans="1:27" x14ac:dyDescent="0.25">
      <c r="A200" s="14"/>
      <c r="B200" s="2" t="s">
        <v>174</v>
      </c>
      <c r="C200" s="2" t="str" cm="1">
        <f t="array" ref="C200">IF(SUMPRODUCT((Upload_Indiv_Player=$A197)*(Upload_Indiv_Date=C$2)*(Upload_Indiv_Tot_Birds))=0,"",SUMPRODUCT((Upload_Indiv_Player=$A197)*(Upload_Indiv_Date=C$2)*(Upload_Indiv_Tot_Birds)))</f>
        <v/>
      </c>
      <c r="D200" s="2" t="str" cm="1">
        <f t="array" ref="D200">IF(SUMPRODUCT((Upload_Indiv_Player=$A197)*(Upload_Indiv_Date=D$2)*(Upload_Indiv_Tot_Birds))=0,"",SUMPRODUCT((Upload_Indiv_Player=$A197)*(Upload_Indiv_Date=D$2)*(Upload_Indiv_Tot_Birds)))</f>
        <v/>
      </c>
      <c r="E200" s="2" t="str" cm="1">
        <f t="array" ref="E200">IF(SUMPRODUCT((Upload_Indiv_Player=$A197)*(Upload_Indiv_Date=E$2)*(Upload_Indiv_Tot_Birds))=0,"",SUMPRODUCT((Upload_Indiv_Player=$A197)*(Upload_Indiv_Date=E$2)*(Upload_Indiv_Tot_Birds)))</f>
        <v/>
      </c>
      <c r="F200" s="2" t="str" cm="1">
        <f t="array" ref="F200">IF(SUMPRODUCT((Upload_Indiv_Player=$A197)*(Upload_Indiv_Date=F$2)*(Upload_Indiv_Tot_Birds))=0,"",SUMPRODUCT((Upload_Indiv_Player=$A197)*(Upload_Indiv_Date=F$2)*(Upload_Indiv_Tot_Birds)))</f>
        <v/>
      </c>
      <c r="G200" s="2" t="str" cm="1">
        <f t="array" ref="G200">IF(SUMPRODUCT((Upload_Indiv_Player=$A197)*(Upload_Indiv_Date=G$2)*(Upload_Indiv_Tot_Birds))=0,"",SUMPRODUCT((Upload_Indiv_Player=$A197)*(Upload_Indiv_Date=G$2)*(Upload_Indiv_Tot_Birds)))</f>
        <v/>
      </c>
      <c r="H200" s="2" t="str" cm="1">
        <f t="array" ref="H200">IF(SUMPRODUCT((Upload_Indiv_Player=$A197)*(Upload_Indiv_Date=H$2)*(Upload_Indiv_Tot_Birds))=0,"",SUMPRODUCT((Upload_Indiv_Player=$A197)*(Upload_Indiv_Date=H$2)*(Upload_Indiv_Tot_Birds)))</f>
        <v/>
      </c>
      <c r="I200" s="2" t="str" cm="1">
        <f t="array" ref="I200">IF(SUMPRODUCT((Upload_Indiv_Player=$A197)*(Upload_Indiv_Date=I$2)*(Upload_Indiv_Tot_Birds))=0,"",SUMPRODUCT((Upload_Indiv_Player=$A197)*(Upload_Indiv_Date=I$2)*(Upload_Indiv_Tot_Birds)))</f>
        <v/>
      </c>
      <c r="J200" s="2" t="str" cm="1">
        <f t="array" ref="J200">IF(SUMPRODUCT((Upload_Indiv_Player=$A197)*(Upload_Indiv_Date=J$2)*(Upload_Indiv_Tot_Birds))=0,"",SUMPRODUCT((Upload_Indiv_Player=$A197)*(Upload_Indiv_Date=J$2)*(Upload_Indiv_Tot_Birds)))</f>
        <v/>
      </c>
      <c r="K200" s="2" t="str" cm="1">
        <f t="array" ref="K200">IF(SUMPRODUCT((Upload_Indiv_Player=$A197)*(Upload_Indiv_Date=K$2)*(Upload_Indiv_Tot_Birds))=0,"",SUMPRODUCT((Upload_Indiv_Player=$A197)*(Upload_Indiv_Date=K$2)*(Upload_Indiv_Tot_Birds)))</f>
        <v/>
      </c>
      <c r="L200" s="2" t="str" cm="1">
        <f t="array" ref="L200">IF(SUMPRODUCT((Upload_Indiv_Player=$A197)*(Upload_Indiv_Date=L$2)*(Upload_Indiv_Tot_Birds))=0,"",SUMPRODUCT((Upload_Indiv_Player=$A197)*(Upload_Indiv_Date=L$2)*(Upload_Indiv_Tot_Birds)))</f>
        <v/>
      </c>
      <c r="M200" s="2" t="str" cm="1">
        <f t="array" ref="M200">IF(SUMPRODUCT((Upload_Indiv_Player=$A197)*(Upload_Indiv_Date=M$2)*(Upload_Indiv_Tot_Birds))=0,"",SUMPRODUCT((Upload_Indiv_Player=$A197)*(Upload_Indiv_Date=M$2)*(Upload_Indiv_Tot_Birds)))</f>
        <v/>
      </c>
      <c r="N200" s="2" t="str" cm="1">
        <f t="array" ref="N200">IF(SUMPRODUCT((Upload_Indiv_Player=$A197)*(Upload_Indiv_Date=N$2)*(Upload_Indiv_Tot_Birds))=0,"",SUMPRODUCT((Upload_Indiv_Player=$A197)*(Upload_Indiv_Date=N$2)*(Upload_Indiv_Tot_Birds)))</f>
        <v/>
      </c>
      <c r="O200" s="2" t="str" cm="1">
        <f t="array" ref="O200">IF(SUMPRODUCT((Upload_Indiv_Player=$A197)*(Upload_Indiv_Date=O$2)*(Upload_Indiv_Tot_Birds))=0,"",SUMPRODUCT((Upload_Indiv_Player=$A197)*(Upload_Indiv_Date=O$2)*(Upload_Indiv_Tot_Birds)))</f>
        <v/>
      </c>
      <c r="P200" s="2" t="str" cm="1">
        <f t="array" ref="P200">IF(SUMPRODUCT((Upload_Indiv_Player=$A197)*(Upload_Indiv_Date=P$2)*(Upload_Indiv_Tot_Birds))=0,"",SUMPRODUCT((Upload_Indiv_Player=$A197)*(Upload_Indiv_Date=P$2)*(Upload_Indiv_Tot_Birds)))</f>
        <v/>
      </c>
      <c r="Q200" s="2" t="str" cm="1">
        <f t="array" ref="Q200">IF(SUMPRODUCT((Upload_Indiv_Player=$A197)*(Upload_Indiv_Date=Q$2)*(Upload_Indiv_Tot_Birds))=0,"",SUMPRODUCT((Upload_Indiv_Player=$A197)*(Upload_Indiv_Date=Q$2)*(Upload_Indiv_Tot_Birds)))</f>
        <v/>
      </c>
      <c r="R200" s="2" t="str" cm="1">
        <f t="array" ref="R200">IF(SUMPRODUCT((Upload_Indiv_Player=$A197)*(Upload_Indiv_Date=R$2)*(Upload_Indiv_Tot_Birds))=0,"",SUMPRODUCT((Upload_Indiv_Player=$A197)*(Upload_Indiv_Date=R$2)*(Upload_Indiv_Tot_Birds)))</f>
        <v/>
      </c>
      <c r="S200" s="2" t="str" cm="1">
        <f t="array" ref="S200">IF(SUMPRODUCT((Upload_Indiv_Player=$A197)*(Upload_Indiv_Date=S$2)*(Upload_Indiv_Tot_Birds))=0,"",SUMPRODUCT((Upload_Indiv_Player=$A197)*(Upload_Indiv_Date=S$2)*(Upload_Indiv_Tot_Birds)))</f>
        <v/>
      </c>
      <c r="T200" s="2" t="str" cm="1">
        <f t="array" ref="T200">IF(SUMPRODUCT((Upload_Indiv_Player=$A197)*(Upload_Indiv_Date=T$2)*(Upload_Indiv_Tot_Birds))=0,"",SUMPRODUCT((Upload_Indiv_Player=$A197)*(Upload_Indiv_Date=T$2)*(Upload_Indiv_Tot_Birds)))</f>
        <v/>
      </c>
      <c r="U200" s="2" t="str" cm="1">
        <f t="array" ref="U200">IF(SUMPRODUCT((Upload_Indiv_Player=$A197)*(Upload_Indiv_Date=U$2)*(Upload_Indiv_Tot_Birds))=0,"",SUMPRODUCT((Upload_Indiv_Player=$A197)*(Upload_Indiv_Date=U$2)*(Upload_Indiv_Tot_Birds)))</f>
        <v/>
      </c>
      <c r="V200" s="276"/>
      <c r="W200" s="276"/>
      <c r="X200" s="276"/>
      <c r="Y200" s="277"/>
      <c r="Z200" s="277"/>
      <c r="AA200" s="277"/>
    </row>
    <row r="201" spans="1:27" x14ac:dyDescent="0.25">
      <c r="A201" s="14"/>
      <c r="B201" s="8" t="s">
        <v>175</v>
      </c>
      <c r="C201" s="2" t="str" cm="1">
        <f t="array" ref="C201">IF(SUMPRODUCT((Upload_Indiv_Player=$A197)*(Upload_Indiv_Date=C$2)*(Upload_Indiv_Tot_Eagles))=0,"",SUMPRODUCT((Upload_Indiv_Player=$A197)*(Upload_Indiv_Date=C$2)*(Upload_Indiv_Tot_Eagles)))</f>
        <v/>
      </c>
      <c r="D201" s="2" t="str" cm="1">
        <f t="array" ref="D201">IF(SUMPRODUCT((Upload_Indiv_Player=$A197)*(Upload_Indiv_Date=D$2)*(Upload_Indiv_Tot_Eagles))=0,"",SUMPRODUCT((Upload_Indiv_Player=$A197)*(Upload_Indiv_Date=D$2)*(Upload_Indiv_Tot_Eagles)))</f>
        <v/>
      </c>
      <c r="E201" s="2" t="str" cm="1">
        <f t="array" ref="E201">IF(SUMPRODUCT((Upload_Indiv_Player=$A197)*(Upload_Indiv_Date=E$2)*(Upload_Indiv_Tot_Eagles))=0,"",SUMPRODUCT((Upload_Indiv_Player=$A197)*(Upload_Indiv_Date=E$2)*(Upload_Indiv_Tot_Eagles)))</f>
        <v/>
      </c>
      <c r="F201" s="2" t="str" cm="1">
        <f t="array" ref="F201">IF(SUMPRODUCT((Upload_Indiv_Player=$A197)*(Upload_Indiv_Date=F$2)*(Upload_Indiv_Tot_Eagles))=0,"",SUMPRODUCT((Upload_Indiv_Player=$A197)*(Upload_Indiv_Date=F$2)*(Upload_Indiv_Tot_Eagles)))</f>
        <v/>
      </c>
      <c r="G201" s="2" t="str" cm="1">
        <f t="array" ref="G201">IF(SUMPRODUCT((Upload_Indiv_Player=$A197)*(Upload_Indiv_Date=G$2)*(Upload_Indiv_Tot_Eagles))=0,"",SUMPRODUCT((Upload_Indiv_Player=$A197)*(Upload_Indiv_Date=G$2)*(Upload_Indiv_Tot_Eagles)))</f>
        <v/>
      </c>
      <c r="H201" s="2" t="str" cm="1">
        <f t="array" ref="H201">IF(SUMPRODUCT((Upload_Indiv_Player=$A197)*(Upload_Indiv_Date=H$2)*(Upload_Indiv_Tot_Eagles))=0,"",SUMPRODUCT((Upload_Indiv_Player=$A197)*(Upload_Indiv_Date=H$2)*(Upload_Indiv_Tot_Eagles)))</f>
        <v/>
      </c>
      <c r="I201" s="2" t="str" cm="1">
        <f t="array" ref="I201">IF(SUMPRODUCT((Upload_Indiv_Player=$A197)*(Upload_Indiv_Date=I$2)*(Upload_Indiv_Tot_Eagles))=0,"",SUMPRODUCT((Upload_Indiv_Player=$A197)*(Upload_Indiv_Date=I$2)*(Upload_Indiv_Tot_Eagles)))</f>
        <v/>
      </c>
      <c r="J201" s="2" t="str" cm="1">
        <f t="array" ref="J201">IF(SUMPRODUCT((Upload_Indiv_Player=$A197)*(Upload_Indiv_Date=J$2)*(Upload_Indiv_Tot_Eagles))=0,"",SUMPRODUCT((Upload_Indiv_Player=$A197)*(Upload_Indiv_Date=J$2)*(Upload_Indiv_Tot_Eagles)))</f>
        <v/>
      </c>
      <c r="K201" s="2" t="str" cm="1">
        <f t="array" ref="K201">IF(SUMPRODUCT((Upload_Indiv_Player=$A197)*(Upload_Indiv_Date=K$2)*(Upload_Indiv_Tot_Eagles))=0,"",SUMPRODUCT((Upload_Indiv_Player=$A197)*(Upload_Indiv_Date=K$2)*(Upload_Indiv_Tot_Eagles)))</f>
        <v/>
      </c>
      <c r="L201" s="2" t="str" cm="1">
        <f t="array" ref="L201">IF(SUMPRODUCT((Upload_Indiv_Player=$A197)*(Upload_Indiv_Date=L$2)*(Upload_Indiv_Tot_Eagles))=0,"",SUMPRODUCT((Upload_Indiv_Player=$A197)*(Upload_Indiv_Date=L$2)*(Upload_Indiv_Tot_Eagles)))</f>
        <v/>
      </c>
      <c r="M201" s="2" t="str" cm="1">
        <f t="array" ref="M201">IF(SUMPRODUCT((Upload_Indiv_Player=$A197)*(Upload_Indiv_Date=M$2)*(Upload_Indiv_Tot_Eagles))=0,"",SUMPRODUCT((Upload_Indiv_Player=$A197)*(Upload_Indiv_Date=M$2)*(Upload_Indiv_Tot_Eagles)))</f>
        <v/>
      </c>
      <c r="N201" s="2" t="str" cm="1">
        <f t="array" ref="N201">IF(SUMPRODUCT((Upload_Indiv_Player=$A197)*(Upload_Indiv_Date=N$2)*(Upload_Indiv_Tot_Eagles))=0,"",SUMPRODUCT((Upload_Indiv_Player=$A197)*(Upload_Indiv_Date=N$2)*(Upload_Indiv_Tot_Eagles)))</f>
        <v/>
      </c>
      <c r="O201" s="2" t="str" cm="1">
        <f t="array" ref="O201">IF(SUMPRODUCT((Upload_Indiv_Player=$A197)*(Upload_Indiv_Date=O$2)*(Upload_Indiv_Tot_Eagles))=0,"",SUMPRODUCT((Upload_Indiv_Player=$A197)*(Upload_Indiv_Date=O$2)*(Upload_Indiv_Tot_Eagles)))</f>
        <v/>
      </c>
      <c r="P201" s="2" t="str" cm="1">
        <f t="array" ref="P201">IF(SUMPRODUCT((Upload_Indiv_Player=$A197)*(Upload_Indiv_Date=P$2)*(Upload_Indiv_Tot_Eagles))=0,"",SUMPRODUCT((Upload_Indiv_Player=$A197)*(Upload_Indiv_Date=P$2)*(Upload_Indiv_Tot_Eagles)))</f>
        <v/>
      </c>
      <c r="Q201" s="2" t="str" cm="1">
        <f t="array" ref="Q201">IF(SUMPRODUCT((Upload_Indiv_Player=$A197)*(Upload_Indiv_Date=Q$2)*(Upload_Indiv_Tot_Eagles))=0,"",SUMPRODUCT((Upload_Indiv_Player=$A197)*(Upload_Indiv_Date=Q$2)*(Upload_Indiv_Tot_Eagles)))</f>
        <v/>
      </c>
      <c r="R201" s="2" t="str" cm="1">
        <f t="array" ref="R201">IF(SUMPRODUCT((Upload_Indiv_Player=$A197)*(Upload_Indiv_Date=R$2)*(Upload_Indiv_Tot_Eagles))=0,"",SUMPRODUCT((Upload_Indiv_Player=$A197)*(Upload_Indiv_Date=R$2)*(Upload_Indiv_Tot_Eagles)))</f>
        <v/>
      </c>
      <c r="S201" s="2" t="str" cm="1">
        <f t="array" ref="S201">IF(SUMPRODUCT((Upload_Indiv_Player=$A197)*(Upload_Indiv_Date=S$2)*(Upload_Indiv_Tot_Eagles))=0,"",SUMPRODUCT((Upload_Indiv_Player=$A197)*(Upload_Indiv_Date=S$2)*(Upload_Indiv_Tot_Eagles)))</f>
        <v/>
      </c>
      <c r="T201" s="2" t="str" cm="1">
        <f t="array" ref="T201">IF(SUMPRODUCT((Upload_Indiv_Player=$A197)*(Upload_Indiv_Date=T$2)*(Upload_Indiv_Tot_Eagles))=0,"",SUMPRODUCT((Upload_Indiv_Player=$A197)*(Upload_Indiv_Date=T$2)*(Upload_Indiv_Tot_Eagles)))</f>
        <v/>
      </c>
      <c r="U201" s="2" t="str" cm="1">
        <f t="array" ref="U201">IF(SUMPRODUCT((Upload_Indiv_Player=$A197)*(Upload_Indiv_Date=U$2)*(Upload_Indiv_Tot_Eagles))=0,"",SUMPRODUCT((Upload_Indiv_Player=$A197)*(Upload_Indiv_Date=U$2)*(Upload_Indiv_Tot_Eagles)))</f>
        <v/>
      </c>
      <c r="V201" s="276"/>
      <c r="W201" s="276"/>
      <c r="X201" s="276"/>
      <c r="Y201" s="277"/>
      <c r="Z201" s="278"/>
      <c r="AA201" s="277"/>
    </row>
    <row r="202" spans="1:27" x14ac:dyDescent="0.25">
      <c r="A202" s="14"/>
      <c r="B202" s="2" t="s">
        <v>176</v>
      </c>
      <c r="C202" s="2" t="str" cm="1">
        <f t="array" ref="C202">IF(SUMPRODUCT((Upload_Indiv_Player=$A197)*(Upload_Indiv_Date=C$2)*(Upload_Indiv_Excl_Score))=0,"",SUMPRODUCT((Upload_Indiv_Player=$A197)*(Upload_Indiv_Date=C$2)*(Upload_Indiv_Excl_Score)))</f>
        <v/>
      </c>
      <c r="D202" s="2" t="str" cm="1">
        <f t="array" ref="D202">IF(SUMPRODUCT((Upload_Indiv_Player=$A197)*(Upload_Indiv_Date=D$2)*(Upload_Indiv_Excl_Score))=0,"",SUMPRODUCT((Upload_Indiv_Player=$A197)*(Upload_Indiv_Date=D$2)*(Upload_Indiv_Excl_Score)))</f>
        <v/>
      </c>
      <c r="E202" s="2" t="str" cm="1">
        <f t="array" ref="E202">IF(SUMPRODUCT((Upload_Indiv_Player=$A197)*(Upload_Indiv_Date=E$2)*(Upload_Indiv_Excl_Score))=0,"",SUMPRODUCT((Upload_Indiv_Player=$A197)*(Upload_Indiv_Date=E$2)*(Upload_Indiv_Excl_Score)))</f>
        <v/>
      </c>
      <c r="F202" s="2" t="str" cm="1">
        <f t="array" ref="F202">IF(SUMPRODUCT((Upload_Indiv_Player=$A197)*(Upload_Indiv_Date=F$2)*(Upload_Indiv_Excl_Score))=0,"",SUMPRODUCT((Upload_Indiv_Player=$A197)*(Upload_Indiv_Date=F$2)*(Upload_Indiv_Excl_Score)))</f>
        <v/>
      </c>
      <c r="G202" s="2" t="str" cm="1">
        <f t="array" ref="G202">IF(SUMPRODUCT((Upload_Indiv_Player=$A197)*(Upload_Indiv_Date=G$2)*(Upload_Indiv_Excl_Score))=0,"",SUMPRODUCT((Upload_Indiv_Player=$A197)*(Upload_Indiv_Date=G$2)*(Upload_Indiv_Excl_Score)))</f>
        <v/>
      </c>
      <c r="H202" s="2" t="str" cm="1">
        <f t="array" ref="H202">IF(SUMPRODUCT((Upload_Indiv_Player=$A197)*(Upload_Indiv_Date=H$2)*(Upload_Indiv_Excl_Score))=0,"",SUMPRODUCT((Upload_Indiv_Player=$A197)*(Upload_Indiv_Date=H$2)*(Upload_Indiv_Excl_Score)))</f>
        <v/>
      </c>
      <c r="I202" s="2" t="str" cm="1">
        <f t="array" ref="I202">IF(SUMPRODUCT((Upload_Indiv_Player=$A197)*(Upload_Indiv_Date=I$2)*(Upload_Indiv_Excl_Score))=0,"",SUMPRODUCT((Upload_Indiv_Player=$A197)*(Upload_Indiv_Date=I$2)*(Upload_Indiv_Excl_Score)))</f>
        <v/>
      </c>
      <c r="J202" s="2" t="str" cm="1">
        <f t="array" ref="J202">IF(SUMPRODUCT((Upload_Indiv_Player=$A197)*(Upload_Indiv_Date=J$2)*(Upload_Indiv_Excl_Score))=0,"",SUMPRODUCT((Upload_Indiv_Player=$A197)*(Upload_Indiv_Date=J$2)*(Upload_Indiv_Excl_Score)))</f>
        <v/>
      </c>
      <c r="K202" s="2" t="str" cm="1">
        <f t="array" ref="K202">IF(SUMPRODUCT((Upload_Indiv_Player=$A197)*(Upload_Indiv_Date=K$2)*(Upload_Indiv_Excl_Score))=0,"",SUMPRODUCT((Upload_Indiv_Player=$A197)*(Upload_Indiv_Date=K$2)*(Upload_Indiv_Excl_Score)))</f>
        <v/>
      </c>
      <c r="L202" s="2" t="str" cm="1">
        <f t="array" ref="L202">IF(SUMPRODUCT((Upload_Indiv_Player=$A197)*(Upload_Indiv_Date=L$2)*(Upload_Indiv_Excl_Score))=0,"",SUMPRODUCT((Upload_Indiv_Player=$A197)*(Upload_Indiv_Date=L$2)*(Upload_Indiv_Excl_Score)))</f>
        <v/>
      </c>
      <c r="M202" s="2" t="str" cm="1">
        <f t="array" ref="M202">IF(SUMPRODUCT((Upload_Indiv_Player=$A197)*(Upload_Indiv_Date=M$2)*(Upload_Indiv_Excl_Score))=0,"",SUMPRODUCT((Upload_Indiv_Player=$A197)*(Upload_Indiv_Date=M$2)*(Upload_Indiv_Excl_Score)))</f>
        <v/>
      </c>
      <c r="N202" s="2" t="str" cm="1">
        <f t="array" ref="N202">IF(SUMPRODUCT((Upload_Indiv_Player=$A197)*(Upload_Indiv_Date=N$2)*(Upload_Indiv_Excl_Score))=0,"",SUMPRODUCT((Upload_Indiv_Player=$A197)*(Upload_Indiv_Date=N$2)*(Upload_Indiv_Excl_Score)))</f>
        <v/>
      </c>
      <c r="O202" s="2" t="str" cm="1">
        <f t="array" ref="O202">IF(SUMPRODUCT((Upload_Indiv_Player=$A197)*(Upload_Indiv_Date=O$2)*(Upload_Indiv_Excl_Score))=0,"",SUMPRODUCT((Upload_Indiv_Player=$A197)*(Upload_Indiv_Date=O$2)*(Upload_Indiv_Excl_Score)))</f>
        <v/>
      </c>
      <c r="P202" s="2" t="str" cm="1">
        <f t="array" ref="P202">IF(SUMPRODUCT((Upload_Indiv_Player=$A197)*(Upload_Indiv_Date=P$2)*(Upload_Indiv_Excl_Score))=0,"",SUMPRODUCT((Upload_Indiv_Player=$A197)*(Upload_Indiv_Date=P$2)*(Upload_Indiv_Excl_Score)))</f>
        <v/>
      </c>
      <c r="Q202" s="2" cm="1">
        <f t="array" ref="Q202">IF(SUMPRODUCT((Upload_Indiv_Player=$A197)*(Upload_Indiv_Date=Q$2)*(Upload_Indiv_Excl_Score))=0,"",SUMPRODUCT((Upload_Indiv_Player=$A197)*(Upload_Indiv_Date=Q$2)*(Upload_Indiv_Excl_Score)))</f>
        <v>1</v>
      </c>
      <c r="R202" s="2" t="str" cm="1">
        <f t="array" ref="R202">IF(SUMPRODUCT((Upload_Indiv_Player=$A197)*(Upload_Indiv_Date=R$2)*(Upload_Indiv_Excl_Score))=0,"",SUMPRODUCT((Upload_Indiv_Player=$A197)*(Upload_Indiv_Date=R$2)*(Upload_Indiv_Excl_Score)))</f>
        <v/>
      </c>
      <c r="S202" s="2" t="str" cm="1">
        <f t="array" ref="S202">IF(SUMPRODUCT((Upload_Indiv_Player=$A197)*(Upload_Indiv_Date=S$2)*(Upload_Indiv_Excl_Score))=0,"",SUMPRODUCT((Upload_Indiv_Player=$A197)*(Upload_Indiv_Date=S$2)*(Upload_Indiv_Excl_Score)))</f>
        <v/>
      </c>
      <c r="T202" s="2" t="str" cm="1">
        <f t="array" ref="T202">IF(SUMPRODUCT((Upload_Indiv_Player=$A197)*(Upload_Indiv_Date=T$2)*(Upload_Indiv_Excl_Score))=0,"",SUMPRODUCT((Upload_Indiv_Player=$A197)*(Upload_Indiv_Date=T$2)*(Upload_Indiv_Excl_Score)))</f>
        <v/>
      </c>
      <c r="U202" s="2" t="str" cm="1">
        <f t="array" ref="U202">IF(SUMPRODUCT((Upload_Indiv_Player=$A197)*(Upload_Indiv_Date=U$2)*(Upload_Indiv_Excl_Score))=0,"",SUMPRODUCT((Upload_Indiv_Player=$A197)*(Upload_Indiv_Date=U$2)*(Upload_Indiv_Excl_Score)))</f>
        <v/>
      </c>
      <c r="V202" s="276"/>
      <c r="W202" s="276"/>
      <c r="X202" s="276"/>
      <c r="Y202" s="277"/>
      <c r="Z202" s="277"/>
      <c r="AA202" s="277"/>
    </row>
    <row r="203" spans="1:27" x14ac:dyDescent="0.25">
      <c r="A203" s="14"/>
      <c r="B203" s="2" t="s">
        <v>177</v>
      </c>
      <c r="C203" s="2" t="str" cm="1">
        <f t="array" ref="C203">IFERROR(INDEX(Upload_Indiv_Team,MATCH(1,($A197=Upload_Indiv_Player)*(C$2=Upload_Indiv_Date),0)),"")</f>
        <v/>
      </c>
      <c r="D203" s="2" t="str" cm="1">
        <f t="array" ref="D203">IFERROR(INDEX(Upload_Indiv_Team,MATCH(1,($A197=Upload_Indiv_Player)*(D$2=Upload_Indiv_Date),0)),"")</f>
        <v/>
      </c>
      <c r="E203" s="2" t="str" cm="1">
        <f t="array" ref="E203">IFERROR(INDEX(Upload_Indiv_Team,MATCH(1,($A197=Upload_Indiv_Player)*(E$2=Upload_Indiv_Date),0)),"")</f>
        <v/>
      </c>
      <c r="F203" s="2" t="str" cm="1">
        <f t="array" ref="F203">IFERROR(INDEX(Upload_Indiv_Team,MATCH(1,($A197=Upload_Indiv_Player)*(F$2=Upload_Indiv_Date),0)),"")</f>
        <v/>
      </c>
      <c r="G203" s="2" t="str" cm="1">
        <f t="array" ref="G203">IFERROR(INDEX(Upload_Indiv_Team,MATCH(1,($A197=Upload_Indiv_Player)*(G$2=Upload_Indiv_Date),0)),"")</f>
        <v/>
      </c>
      <c r="H203" s="2" t="str" cm="1">
        <f t="array" ref="H203">IFERROR(INDEX(Upload_Indiv_Team,MATCH(1,($A197=Upload_Indiv_Player)*(H$2=Upload_Indiv_Date),0)),"")</f>
        <v/>
      </c>
      <c r="I203" s="2" t="str" cm="1">
        <f t="array" ref="I203">IFERROR(INDEX(Upload_Indiv_Team,MATCH(1,($A197=Upload_Indiv_Player)*(I$2=Upload_Indiv_Date),0)),"")</f>
        <v/>
      </c>
      <c r="J203" s="2" t="str" cm="1">
        <f t="array" ref="J203">IFERROR(INDEX(Upload_Indiv_Team,MATCH(1,($A197=Upload_Indiv_Player)*(J$2=Upload_Indiv_Date),0)),"")</f>
        <v/>
      </c>
      <c r="K203" s="2" t="str" cm="1">
        <f t="array" ref="K203">IFERROR(INDEX(Upload_Indiv_Team,MATCH(1,($A197=Upload_Indiv_Player)*(K$2=Upload_Indiv_Date),0)),"")</f>
        <v/>
      </c>
      <c r="L203" s="2" t="str" cm="1">
        <f t="array" ref="L203">IFERROR(INDEX(Upload_Indiv_Team,MATCH(1,($A197=Upload_Indiv_Player)*(L$2=Upload_Indiv_Date),0)),"")</f>
        <v/>
      </c>
      <c r="M203" s="2" t="str" cm="1">
        <f t="array" ref="M203">IFERROR(INDEX(Upload_Indiv_Team,MATCH(1,($A197=Upload_Indiv_Player)*(M$2=Upload_Indiv_Date),0)),"")</f>
        <v/>
      </c>
      <c r="N203" s="2" t="str" cm="1">
        <f t="array" ref="N203">IFERROR(INDEX(Upload_Indiv_Team,MATCH(1,($A197=Upload_Indiv_Player)*(N$2=Upload_Indiv_Date),0)),"")</f>
        <v/>
      </c>
      <c r="O203" s="2" t="str" cm="1">
        <f t="array" ref="O203">IFERROR(INDEX(Upload_Indiv_Team,MATCH(1,($A197=Upload_Indiv_Player)*(O$2=Upload_Indiv_Date),0)),"")</f>
        <v/>
      </c>
      <c r="P203" s="2" t="str" cm="1">
        <f t="array" ref="P203">IFERROR(INDEX(Upload_Indiv_Team,MATCH(1,($A197=Upload_Indiv_Player)*(P$2=Upload_Indiv_Date),0)),"")</f>
        <v/>
      </c>
      <c r="Q203" s="2" t="str" cm="1">
        <f t="array" ref="Q203">IFERROR(INDEX(Upload_Indiv_Team,MATCH(1,($A197=Upload_Indiv_Player)*(Q$2=Upload_Indiv_Date),0)),"")</f>
        <v>Stymies</v>
      </c>
      <c r="R203" s="2" t="str" cm="1">
        <f t="array" ref="R203">IFERROR(INDEX(Upload_Indiv_Team,MATCH(1,($A197=Upload_Indiv_Player)*(R$2=Upload_Indiv_Date),0)),"")</f>
        <v>Stymies</v>
      </c>
      <c r="S203" s="2" t="str" cm="1">
        <f t="array" ref="S203">IFERROR(INDEX(Upload_Indiv_Team,MATCH(1,($A197=Upload_Indiv_Player)*(S$2=Upload_Indiv_Date),0)),"")</f>
        <v/>
      </c>
      <c r="T203" s="2" t="str" cm="1">
        <f t="array" ref="T203">IFERROR(INDEX(Upload_Indiv_Team,MATCH(1,($A197=Upload_Indiv_Player)*(T$2=Upload_Indiv_Date),0)),"")</f>
        <v/>
      </c>
      <c r="U203" s="2" t="str" cm="1">
        <f t="array" ref="U203">IFERROR(INDEX(Upload_Indiv_Team,MATCH(1,($A197=Upload_Indiv_Player)*(U$2=Upload_Indiv_Date),0)),"")</f>
        <v/>
      </c>
      <c r="V203" s="276"/>
      <c r="W203" s="276"/>
      <c r="X203" s="276"/>
      <c r="Y203" s="277"/>
      <c r="Z203" s="277"/>
      <c r="AA203" s="277"/>
    </row>
    <row r="204" spans="1:27" ht="13.8" thickBot="1" x14ac:dyDescent="0.3">
      <c r="A204" s="329" t="s">
        <v>160</v>
      </c>
      <c r="B204" s="8" t="s">
        <v>178</v>
      </c>
      <c r="C204" s="58" t="str">
        <f t="shared" ref="C204:U204" si="25">IF(C197="", "", IF(C199&gt;=11, "w", IF(C199&lt;=9, "l", "t")))</f>
        <v/>
      </c>
      <c r="D204" s="58" t="str">
        <f t="shared" si="25"/>
        <v/>
      </c>
      <c r="E204" s="58" t="str">
        <f t="shared" si="25"/>
        <v/>
      </c>
      <c r="F204" s="58" t="str">
        <f t="shared" si="25"/>
        <v/>
      </c>
      <c r="G204" s="58" t="str">
        <f t="shared" si="25"/>
        <v/>
      </c>
      <c r="H204" s="58" t="str">
        <f t="shared" si="25"/>
        <v/>
      </c>
      <c r="I204" s="58" t="str">
        <f t="shared" si="25"/>
        <v/>
      </c>
      <c r="J204" s="58" t="str">
        <f t="shared" si="25"/>
        <v/>
      </c>
      <c r="K204" s="58" t="str">
        <f t="shared" si="25"/>
        <v/>
      </c>
      <c r="L204" s="58" t="str">
        <f t="shared" si="25"/>
        <v/>
      </c>
      <c r="M204" s="58" t="str">
        <f t="shared" si="25"/>
        <v/>
      </c>
      <c r="N204" s="58" t="str">
        <f t="shared" si="25"/>
        <v/>
      </c>
      <c r="O204" s="58" t="str">
        <f t="shared" si="25"/>
        <v/>
      </c>
      <c r="P204" s="58" t="str">
        <f t="shared" si="25"/>
        <v/>
      </c>
      <c r="Q204" s="58" t="str">
        <f t="shared" si="25"/>
        <v>t</v>
      </c>
      <c r="R204" s="58" t="str">
        <f t="shared" si="25"/>
        <v>w</v>
      </c>
      <c r="S204" s="58" t="str">
        <f t="shared" si="25"/>
        <v/>
      </c>
      <c r="T204" s="58" t="str">
        <f t="shared" si="25"/>
        <v/>
      </c>
      <c r="U204" s="58" t="str">
        <f t="shared" si="25"/>
        <v/>
      </c>
      <c r="V204" s="276"/>
      <c r="W204" s="276"/>
      <c r="X204" s="276"/>
      <c r="Y204" s="277"/>
      <c r="Z204" s="277"/>
      <c r="AA204" s="277"/>
    </row>
    <row r="205" spans="1:27" x14ac:dyDescent="0.25">
      <c r="A205" s="11" t="s">
        <v>161</v>
      </c>
      <c r="B205" s="3" t="s">
        <v>170</v>
      </c>
      <c r="C205" s="3" t="str" cm="1">
        <f t="array" ref="C205">IF(SUMPRODUCT((Upload_Indiv_Player=$A205)*(Upload_Indiv_Date=C$2)*(Upload_Indiv_Gross))=0,"",SUMPRODUCT((Upload_Indiv_Player=$A205)*(Upload_Indiv_Date=C$2)*(Upload_Indiv_Gross)))</f>
        <v/>
      </c>
      <c r="D205" s="3" t="str" cm="1">
        <f t="array" ref="D205">IF(SUMPRODUCT((Upload_Indiv_Player=$A205)*(Upload_Indiv_Date=D$2)*(Upload_Indiv_Gross))=0,"",SUMPRODUCT((Upload_Indiv_Player=$A205)*(Upload_Indiv_Date=D$2)*(Upload_Indiv_Gross)))</f>
        <v/>
      </c>
      <c r="E205" s="3" t="str" cm="1">
        <f t="array" ref="E205">IF(SUMPRODUCT((Upload_Indiv_Player=$A205)*(Upload_Indiv_Date=E$2)*(Upload_Indiv_Gross))=0,"",SUMPRODUCT((Upload_Indiv_Player=$A205)*(Upload_Indiv_Date=E$2)*(Upload_Indiv_Gross)))</f>
        <v/>
      </c>
      <c r="F205" s="3" t="str" cm="1">
        <f t="array" ref="F205">IF(SUMPRODUCT((Upload_Indiv_Player=$A205)*(Upload_Indiv_Date=F$2)*(Upload_Indiv_Gross))=0,"",SUMPRODUCT((Upload_Indiv_Player=$A205)*(Upload_Indiv_Date=F$2)*(Upload_Indiv_Gross)))</f>
        <v/>
      </c>
      <c r="G205" s="3" t="str" cm="1">
        <f t="array" ref="G205">IF(SUMPRODUCT((Upload_Indiv_Player=$A205)*(Upload_Indiv_Date=G$2)*(Upload_Indiv_Gross))=0,"",SUMPRODUCT((Upload_Indiv_Player=$A205)*(Upload_Indiv_Date=G$2)*(Upload_Indiv_Gross)))</f>
        <v/>
      </c>
      <c r="H205" s="3" t="str" cm="1">
        <f t="array" ref="H205">IF(SUMPRODUCT((Upload_Indiv_Player=$A205)*(Upload_Indiv_Date=H$2)*(Upload_Indiv_Gross))=0,"",SUMPRODUCT((Upload_Indiv_Player=$A205)*(Upload_Indiv_Date=H$2)*(Upload_Indiv_Gross)))</f>
        <v/>
      </c>
      <c r="I205" s="3" t="str" cm="1">
        <f t="array" ref="I205">IF(SUMPRODUCT((Upload_Indiv_Player=$A205)*(Upload_Indiv_Date=I$2)*(Upload_Indiv_Gross))=0,"",SUMPRODUCT((Upload_Indiv_Player=$A205)*(Upload_Indiv_Date=I$2)*(Upload_Indiv_Gross)))</f>
        <v/>
      </c>
      <c r="J205" s="3" t="str" cm="1">
        <f t="array" ref="J205">IF(SUMPRODUCT((Upload_Indiv_Player=$A205)*(Upload_Indiv_Date=J$2)*(Upload_Indiv_Gross))=0,"",SUMPRODUCT((Upload_Indiv_Player=$A205)*(Upload_Indiv_Date=J$2)*(Upload_Indiv_Gross)))</f>
        <v/>
      </c>
      <c r="K205" s="3" t="str" cm="1">
        <f t="array" ref="K205">IF(SUMPRODUCT((Upload_Indiv_Player=$A205)*(Upload_Indiv_Date=K$2)*(Upload_Indiv_Gross))=0,"",SUMPRODUCT((Upload_Indiv_Player=$A205)*(Upload_Indiv_Date=K$2)*(Upload_Indiv_Gross)))</f>
        <v/>
      </c>
      <c r="L205" s="3" t="str" cm="1">
        <f t="array" ref="L205">IF(SUMPRODUCT((Upload_Indiv_Player=$A205)*(Upload_Indiv_Date=L$2)*(Upload_Indiv_Gross))=0,"",SUMPRODUCT((Upload_Indiv_Player=$A205)*(Upload_Indiv_Date=L$2)*(Upload_Indiv_Gross)))</f>
        <v/>
      </c>
      <c r="M205" s="3" t="str" cm="1">
        <f t="array" ref="M205">IF(SUMPRODUCT((Upload_Indiv_Player=$A205)*(Upload_Indiv_Date=M$2)*(Upload_Indiv_Gross))=0,"",SUMPRODUCT((Upload_Indiv_Player=$A205)*(Upload_Indiv_Date=M$2)*(Upload_Indiv_Gross)))</f>
        <v/>
      </c>
      <c r="N205" s="3" t="str" cm="1">
        <f t="array" ref="N205">IF(SUMPRODUCT((Upload_Indiv_Player=$A205)*(Upload_Indiv_Date=N$2)*(Upload_Indiv_Gross))=0,"",SUMPRODUCT((Upload_Indiv_Player=$A205)*(Upload_Indiv_Date=N$2)*(Upload_Indiv_Gross)))</f>
        <v/>
      </c>
      <c r="O205" s="3" t="str" cm="1">
        <f t="array" ref="O205">IF(SUMPRODUCT((Upload_Indiv_Player=$A205)*(Upload_Indiv_Date=O$2)*(Upload_Indiv_Gross))=0,"",SUMPRODUCT((Upload_Indiv_Player=$A205)*(Upload_Indiv_Date=O$2)*(Upload_Indiv_Gross)))</f>
        <v/>
      </c>
      <c r="P205" s="3" t="str" cm="1">
        <f t="array" ref="P205">IF(SUMPRODUCT((Upload_Indiv_Player=$A205)*(Upload_Indiv_Date=P$2)*(Upload_Indiv_Gross))=0,"",SUMPRODUCT((Upload_Indiv_Player=$A205)*(Upload_Indiv_Date=P$2)*(Upload_Indiv_Gross)))</f>
        <v/>
      </c>
      <c r="Q205" s="2" t="str" cm="1">
        <f t="array" ref="Q205">IF(SUMPRODUCT((Upload_Indiv_Player=$A205)*(Upload_Indiv_Date=Q$2)*(Upload_Indiv_Gross))=0,"",SUMPRODUCT((Upload_Indiv_Player=$A205)*(Upload_Indiv_Date=Q$2)*(Upload_Indiv_Gross)))</f>
        <v/>
      </c>
      <c r="R205" s="2" t="str" cm="1">
        <f t="array" ref="R205">IF(SUMPRODUCT((Upload_Indiv_Player=$A205)*(Upload_Indiv_Date=R$2)*(Upload_Indiv_Gross))=0,"",SUMPRODUCT((Upload_Indiv_Player=$A205)*(Upload_Indiv_Date=R$2)*(Upload_Indiv_Gross)))</f>
        <v/>
      </c>
      <c r="S205" s="2" t="str" cm="1">
        <f t="array" ref="S205">IF(SUMPRODUCT((Upload_Indiv_Player=$A205)*(Upload_Indiv_Date=S$2)*(Upload_Indiv_Gross))=0,"",SUMPRODUCT((Upload_Indiv_Player=$A205)*(Upload_Indiv_Date=S$2)*(Upload_Indiv_Gross)))</f>
        <v/>
      </c>
      <c r="T205" s="2" t="str" cm="1">
        <f t="array" ref="T205">IF(SUMPRODUCT((Upload_Indiv_Player=$A205)*(Upload_Indiv_Date=T$2)*(Upload_Indiv_Gross))=0,"",SUMPRODUCT((Upload_Indiv_Player=$A205)*(Upload_Indiv_Date=T$2)*(Upload_Indiv_Gross)))</f>
        <v/>
      </c>
      <c r="U205" s="2" t="str" cm="1">
        <f t="array" ref="U205">IF(SUMPRODUCT((Upload_Indiv_Player=$A205)*(Upload_Indiv_Date=U$2)*(Upload_Indiv_Gross))=0,"",SUMPRODUCT((Upload_Indiv_Player=$A205)*(Upload_Indiv_Date=U$2)*(Upload_Indiv_Gross)))</f>
        <v/>
      </c>
      <c r="V205" s="273">
        <v>0</v>
      </c>
      <c r="W205" s="273">
        <v>10</v>
      </c>
      <c r="X205" s="273">
        <v>3</v>
      </c>
      <c r="Y205" s="277">
        <v>13</v>
      </c>
      <c r="Z205" s="277">
        <v>13</v>
      </c>
      <c r="AA205" s="277">
        <v>14</v>
      </c>
    </row>
    <row r="206" spans="1:27" x14ac:dyDescent="0.25">
      <c r="A206" s="216">
        <v>2342627194</v>
      </c>
      <c r="B206" s="2" t="s">
        <v>171</v>
      </c>
      <c r="C206" s="2" t="str" cm="1">
        <f t="array" ref="C206">IF(SUMPRODUCT((Upload_Indiv_Player=$A205)*(Upload_Indiv_Date=C$2)*(Upload_Indiv_Net))=0,"",SUMPRODUCT((Upload_Indiv_Player=$A205)*(Upload_Indiv_Date=C$2)*(Upload_Indiv_Net)))</f>
        <v/>
      </c>
      <c r="D206" s="2" t="str" cm="1">
        <f t="array" ref="D206">IF(SUMPRODUCT((Upload_Indiv_Player=$A205)*(Upload_Indiv_Date=D$2)*(Upload_Indiv_Net))=0,"",SUMPRODUCT((Upload_Indiv_Player=$A205)*(Upload_Indiv_Date=D$2)*(Upload_Indiv_Net)))</f>
        <v/>
      </c>
      <c r="E206" s="2" t="str" cm="1">
        <f t="array" ref="E206">IF(SUMPRODUCT((Upload_Indiv_Player=$A205)*(Upload_Indiv_Date=E$2)*(Upload_Indiv_Net))=0,"",SUMPRODUCT((Upload_Indiv_Player=$A205)*(Upload_Indiv_Date=E$2)*(Upload_Indiv_Net)))</f>
        <v/>
      </c>
      <c r="F206" s="2" t="str" cm="1">
        <f t="array" ref="F206">IF(SUMPRODUCT((Upload_Indiv_Player=$A205)*(Upload_Indiv_Date=F$2)*(Upload_Indiv_Net))=0,"",SUMPRODUCT((Upload_Indiv_Player=$A205)*(Upload_Indiv_Date=F$2)*(Upload_Indiv_Net)))</f>
        <v/>
      </c>
      <c r="G206" s="2" t="str" cm="1">
        <f t="array" ref="G206">IF(SUMPRODUCT((Upload_Indiv_Player=$A205)*(Upload_Indiv_Date=G$2)*(Upload_Indiv_Net))=0,"",SUMPRODUCT((Upload_Indiv_Player=$A205)*(Upload_Indiv_Date=G$2)*(Upload_Indiv_Net)))</f>
        <v/>
      </c>
      <c r="H206" s="2" t="str" cm="1">
        <f t="array" ref="H206">IF(SUMPRODUCT((Upload_Indiv_Player=$A205)*(Upload_Indiv_Date=H$2)*(Upload_Indiv_Net))=0,"",SUMPRODUCT((Upload_Indiv_Player=$A205)*(Upload_Indiv_Date=H$2)*(Upload_Indiv_Net)))</f>
        <v/>
      </c>
      <c r="I206" s="2" t="str" cm="1">
        <f t="array" ref="I206">IF(SUMPRODUCT((Upload_Indiv_Player=$A205)*(Upload_Indiv_Date=I$2)*(Upload_Indiv_Net))=0,"",SUMPRODUCT((Upload_Indiv_Player=$A205)*(Upload_Indiv_Date=I$2)*(Upload_Indiv_Net)))</f>
        <v/>
      </c>
      <c r="J206" s="2" t="str" cm="1">
        <f t="array" ref="J206">IF(SUMPRODUCT((Upload_Indiv_Player=$A205)*(Upload_Indiv_Date=J$2)*(Upload_Indiv_Net))=0,"",SUMPRODUCT((Upload_Indiv_Player=$A205)*(Upload_Indiv_Date=J$2)*(Upload_Indiv_Net)))</f>
        <v/>
      </c>
      <c r="K206" s="2" t="str" cm="1">
        <f t="array" ref="K206">IF(SUMPRODUCT((Upload_Indiv_Player=$A205)*(Upload_Indiv_Date=K$2)*(Upload_Indiv_Net))=0,"",SUMPRODUCT((Upload_Indiv_Player=$A205)*(Upload_Indiv_Date=K$2)*(Upload_Indiv_Net)))</f>
        <v/>
      </c>
      <c r="L206" s="2" t="str" cm="1">
        <f t="array" ref="L206">IF(SUMPRODUCT((Upload_Indiv_Player=$A205)*(Upload_Indiv_Date=L$2)*(Upload_Indiv_Net))=0,"",SUMPRODUCT((Upload_Indiv_Player=$A205)*(Upload_Indiv_Date=L$2)*(Upload_Indiv_Net)))</f>
        <v/>
      </c>
      <c r="M206" s="2" t="str" cm="1">
        <f t="array" ref="M206">IF(SUMPRODUCT((Upload_Indiv_Player=$A205)*(Upload_Indiv_Date=M$2)*(Upload_Indiv_Net))=0,"",SUMPRODUCT((Upload_Indiv_Player=$A205)*(Upload_Indiv_Date=M$2)*(Upload_Indiv_Net)))</f>
        <v/>
      </c>
      <c r="N206" s="2" t="str" cm="1">
        <f t="array" ref="N206">IF(SUMPRODUCT((Upload_Indiv_Player=$A205)*(Upload_Indiv_Date=N$2)*(Upload_Indiv_Net))=0,"",SUMPRODUCT((Upload_Indiv_Player=$A205)*(Upload_Indiv_Date=N$2)*(Upload_Indiv_Net)))</f>
        <v/>
      </c>
      <c r="O206" s="2" t="str" cm="1">
        <f t="array" ref="O206">IF(SUMPRODUCT((Upload_Indiv_Player=$A205)*(Upload_Indiv_Date=O$2)*(Upload_Indiv_Net))=0,"",SUMPRODUCT((Upload_Indiv_Player=$A205)*(Upload_Indiv_Date=O$2)*(Upload_Indiv_Net)))</f>
        <v/>
      </c>
      <c r="P206" s="2" t="str" cm="1">
        <f t="array" ref="P206">IF(SUMPRODUCT((Upload_Indiv_Player=$A205)*(Upload_Indiv_Date=P$2)*(Upload_Indiv_Net))=0,"",SUMPRODUCT((Upload_Indiv_Player=$A205)*(Upload_Indiv_Date=P$2)*(Upload_Indiv_Net)))</f>
        <v/>
      </c>
      <c r="Q206" s="2" t="str" cm="1">
        <f t="array" ref="Q206">IF(SUMPRODUCT((Upload_Indiv_Player=$A205)*(Upload_Indiv_Date=Q$2)*(Upload_Indiv_Net))=0,"",SUMPRODUCT((Upload_Indiv_Player=$A205)*(Upload_Indiv_Date=Q$2)*(Upload_Indiv_Net)))</f>
        <v/>
      </c>
      <c r="R206" s="2" t="str" cm="1">
        <f t="array" ref="R206">IF(SUMPRODUCT((Upload_Indiv_Player=$A205)*(Upload_Indiv_Date=R$2)*(Upload_Indiv_Net))=0,"",SUMPRODUCT((Upload_Indiv_Player=$A205)*(Upload_Indiv_Date=R$2)*(Upload_Indiv_Net)))</f>
        <v/>
      </c>
      <c r="S206" s="2" t="str" cm="1">
        <f t="array" ref="S206">IF(SUMPRODUCT((Upload_Indiv_Player=$A205)*(Upload_Indiv_Date=S$2)*(Upload_Indiv_Net))=0,"",SUMPRODUCT((Upload_Indiv_Player=$A205)*(Upload_Indiv_Date=S$2)*(Upload_Indiv_Net)))</f>
        <v/>
      </c>
      <c r="T206" s="2" t="str" cm="1">
        <f t="array" ref="T206">IF(SUMPRODUCT((Upload_Indiv_Player=$A205)*(Upload_Indiv_Date=T$2)*(Upload_Indiv_Net))=0,"",SUMPRODUCT((Upload_Indiv_Player=$A205)*(Upload_Indiv_Date=T$2)*(Upload_Indiv_Net)))</f>
        <v/>
      </c>
      <c r="U206" s="2" t="str" cm="1">
        <f t="array" ref="U206">IF(SUMPRODUCT((Upload_Indiv_Player=$A205)*(Upload_Indiv_Date=U$2)*(Upload_Indiv_Net))=0,"",SUMPRODUCT((Upload_Indiv_Player=$A205)*(Upload_Indiv_Date=U$2)*(Upload_Indiv_Net)))</f>
        <v/>
      </c>
      <c r="V206" s="276"/>
      <c r="W206" s="276"/>
      <c r="X206" s="276"/>
      <c r="Y206" s="277"/>
      <c r="Z206" s="277"/>
      <c r="AA206" s="277"/>
    </row>
    <row r="207" spans="1:27" x14ac:dyDescent="0.25">
      <c r="A207" s="65" t="s">
        <v>348</v>
      </c>
      <c r="B207" s="2" t="s">
        <v>173</v>
      </c>
      <c r="C207" s="2" t="str" cm="1">
        <f t="array" ref="C207">IF(SUMPRODUCT((Upload_Indiv_Player=$A205)*(Upload_Indiv_Date=C$2)*(Upload_Indiv_PointsTot))=0,"",SUMPRODUCT((Upload_Indiv_Player=$A205)*(Upload_Indiv_Date=C$2)*(Upload_Indiv_PointsTot)))</f>
        <v/>
      </c>
      <c r="D207" s="2" t="str" cm="1">
        <f t="array" ref="D207">IF(SUMPRODUCT((Upload_Indiv_Player=$A205)*(Upload_Indiv_Date=D$2)*(Upload_Indiv_PointsTot))=0,"",SUMPRODUCT((Upload_Indiv_Player=$A205)*(Upload_Indiv_Date=D$2)*(Upload_Indiv_PointsTot)))</f>
        <v/>
      </c>
      <c r="E207" s="2" t="str" cm="1">
        <f t="array" ref="E207">IF(SUMPRODUCT((Upload_Indiv_Player=$A205)*(Upload_Indiv_Date=E$2)*(Upload_Indiv_PointsTot))=0,"",SUMPRODUCT((Upload_Indiv_Player=$A205)*(Upload_Indiv_Date=E$2)*(Upload_Indiv_PointsTot)))</f>
        <v/>
      </c>
      <c r="F207" s="2" t="str" cm="1">
        <f t="array" ref="F207">IF(SUMPRODUCT((Upload_Indiv_Player=$A205)*(Upload_Indiv_Date=F$2)*(Upload_Indiv_PointsTot))=0,"",SUMPRODUCT((Upload_Indiv_Player=$A205)*(Upload_Indiv_Date=F$2)*(Upload_Indiv_PointsTot)))</f>
        <v/>
      </c>
      <c r="G207" s="2" t="str" cm="1">
        <f t="array" ref="G207">IF(SUMPRODUCT((Upload_Indiv_Player=$A205)*(Upload_Indiv_Date=G$2)*(Upload_Indiv_PointsTot))=0,"",SUMPRODUCT((Upload_Indiv_Player=$A205)*(Upload_Indiv_Date=G$2)*(Upload_Indiv_PointsTot)))</f>
        <v/>
      </c>
      <c r="H207" s="2" t="str" cm="1">
        <f t="array" ref="H207">IF(SUMPRODUCT((Upload_Indiv_Player=$A205)*(Upload_Indiv_Date=H$2)*(Upload_Indiv_PointsTot))=0,"",SUMPRODUCT((Upload_Indiv_Player=$A205)*(Upload_Indiv_Date=H$2)*(Upload_Indiv_PointsTot)))</f>
        <v/>
      </c>
      <c r="I207" s="2" t="str" cm="1">
        <f t="array" ref="I207">IF(SUMPRODUCT((Upload_Indiv_Player=$A205)*(Upload_Indiv_Date=I$2)*(Upload_Indiv_PointsTot))=0,"",SUMPRODUCT((Upload_Indiv_Player=$A205)*(Upload_Indiv_Date=I$2)*(Upload_Indiv_PointsTot)))</f>
        <v/>
      </c>
      <c r="J207" s="2" t="str" cm="1">
        <f t="array" ref="J207">IF(SUMPRODUCT((Upload_Indiv_Player=$A205)*(Upload_Indiv_Date=J$2)*(Upload_Indiv_PointsTot))=0,"",SUMPRODUCT((Upload_Indiv_Player=$A205)*(Upload_Indiv_Date=J$2)*(Upload_Indiv_PointsTot)))</f>
        <v/>
      </c>
      <c r="K207" s="2" t="str" cm="1">
        <f t="array" ref="K207">IF(SUMPRODUCT((Upload_Indiv_Player=$A205)*(Upload_Indiv_Date=K$2)*(Upload_Indiv_PointsTot))=0,"",SUMPRODUCT((Upload_Indiv_Player=$A205)*(Upload_Indiv_Date=K$2)*(Upload_Indiv_PointsTot)))</f>
        <v/>
      </c>
      <c r="L207" s="2" t="str" cm="1">
        <f t="array" ref="L207">IF(SUMPRODUCT((Upload_Indiv_Player=$A205)*(Upload_Indiv_Date=L$2)*(Upload_Indiv_PointsTot))=0,"",SUMPRODUCT((Upload_Indiv_Player=$A205)*(Upload_Indiv_Date=L$2)*(Upload_Indiv_PointsTot)))</f>
        <v/>
      </c>
      <c r="M207" s="2" t="str" cm="1">
        <f t="array" ref="M207">IF(SUMPRODUCT((Upload_Indiv_Player=$A205)*(Upload_Indiv_Date=M$2)*(Upload_Indiv_PointsTot))=0,"",SUMPRODUCT((Upload_Indiv_Player=$A205)*(Upload_Indiv_Date=M$2)*(Upload_Indiv_PointsTot)))</f>
        <v/>
      </c>
      <c r="N207" s="2" t="str" cm="1">
        <f t="array" ref="N207">IF(SUMPRODUCT((Upload_Indiv_Player=$A205)*(Upload_Indiv_Date=N$2)*(Upload_Indiv_PointsTot))=0,"",SUMPRODUCT((Upload_Indiv_Player=$A205)*(Upload_Indiv_Date=N$2)*(Upload_Indiv_PointsTot)))</f>
        <v/>
      </c>
      <c r="O207" s="2" t="str" cm="1">
        <f t="array" ref="O207">IF(SUMPRODUCT((Upload_Indiv_Player=$A205)*(Upload_Indiv_Date=O$2)*(Upload_Indiv_PointsTot))=0,"",SUMPRODUCT((Upload_Indiv_Player=$A205)*(Upload_Indiv_Date=O$2)*(Upload_Indiv_PointsTot)))</f>
        <v/>
      </c>
      <c r="P207" s="2" t="str" cm="1">
        <f t="array" ref="P207">IF(SUMPRODUCT((Upload_Indiv_Player=$A205)*(Upload_Indiv_Date=P$2)*(Upload_Indiv_PointsTot))=0,"",SUMPRODUCT((Upload_Indiv_Player=$A205)*(Upload_Indiv_Date=P$2)*(Upload_Indiv_PointsTot)))</f>
        <v/>
      </c>
      <c r="Q207" s="2" t="str" cm="1">
        <f t="array" ref="Q207">IF(SUMPRODUCT((Upload_Indiv_Player=$A205)*(Upload_Indiv_Date=Q$2)*(Upload_Indiv_PointsTot))=0,"",SUMPRODUCT((Upload_Indiv_Player=$A205)*(Upload_Indiv_Date=Q$2)*(Upload_Indiv_PointsTot)))</f>
        <v/>
      </c>
      <c r="R207" s="2" t="str" cm="1">
        <f t="array" ref="R207">IF(SUMPRODUCT((Upload_Indiv_Player=$A205)*(Upload_Indiv_Date=R$2)*(Upload_Indiv_PointsTot))=0,"",SUMPRODUCT((Upload_Indiv_Player=$A205)*(Upload_Indiv_Date=R$2)*(Upload_Indiv_PointsTot)))</f>
        <v/>
      </c>
      <c r="S207" s="2" t="str" cm="1">
        <f t="array" ref="S207">IF(SUMPRODUCT((Upload_Indiv_Player=$A205)*(Upload_Indiv_Date=S$2)*(Upload_Indiv_PointsTot))=0,"",SUMPRODUCT((Upload_Indiv_Player=$A205)*(Upload_Indiv_Date=S$2)*(Upload_Indiv_PointsTot)))</f>
        <v/>
      </c>
      <c r="T207" s="2" t="str" cm="1">
        <f t="array" ref="T207">IF(SUMPRODUCT((Upload_Indiv_Player=$A205)*(Upload_Indiv_Date=T$2)*(Upload_Indiv_PointsTot))=0,"",SUMPRODUCT((Upload_Indiv_Player=$A205)*(Upload_Indiv_Date=T$2)*(Upload_Indiv_PointsTot)))</f>
        <v/>
      </c>
      <c r="U207" s="2" t="str" cm="1">
        <f t="array" ref="U207">IF(SUMPRODUCT((Upload_Indiv_Player=$A205)*(Upload_Indiv_Date=U$2)*(Upload_Indiv_PointsTot))=0,"",SUMPRODUCT((Upload_Indiv_Player=$A205)*(Upload_Indiv_Date=U$2)*(Upload_Indiv_PointsTot)))</f>
        <v/>
      </c>
      <c r="V207" s="276"/>
      <c r="W207" s="276"/>
      <c r="X207" s="276"/>
      <c r="Y207" s="277"/>
      <c r="Z207" s="277"/>
      <c r="AA207" s="277"/>
    </row>
    <row r="208" spans="1:27" x14ac:dyDescent="0.25">
      <c r="A208" s="14"/>
      <c r="B208" s="2" t="s">
        <v>174</v>
      </c>
      <c r="C208" s="2" t="str" cm="1">
        <f t="array" ref="C208">IF(SUMPRODUCT((Upload_Indiv_Player=$A205)*(Upload_Indiv_Date=C$2)*(Upload_Indiv_Tot_Birds))=0,"",SUMPRODUCT((Upload_Indiv_Player=$A205)*(Upload_Indiv_Date=C$2)*(Upload_Indiv_Tot_Birds)))</f>
        <v/>
      </c>
      <c r="D208" s="2" t="str" cm="1">
        <f t="array" ref="D208">IF(SUMPRODUCT((Upload_Indiv_Player=$A205)*(Upload_Indiv_Date=D$2)*(Upload_Indiv_Tot_Birds))=0,"",SUMPRODUCT((Upload_Indiv_Player=$A205)*(Upload_Indiv_Date=D$2)*(Upload_Indiv_Tot_Birds)))</f>
        <v/>
      </c>
      <c r="E208" s="2" t="str" cm="1">
        <f t="array" ref="E208">IF(SUMPRODUCT((Upload_Indiv_Player=$A205)*(Upload_Indiv_Date=E$2)*(Upload_Indiv_Tot_Birds))=0,"",SUMPRODUCT((Upload_Indiv_Player=$A205)*(Upload_Indiv_Date=E$2)*(Upload_Indiv_Tot_Birds)))</f>
        <v/>
      </c>
      <c r="F208" s="2" t="str" cm="1">
        <f t="array" ref="F208">IF(SUMPRODUCT((Upload_Indiv_Player=$A205)*(Upload_Indiv_Date=F$2)*(Upload_Indiv_Tot_Birds))=0,"",SUMPRODUCT((Upload_Indiv_Player=$A205)*(Upload_Indiv_Date=F$2)*(Upload_Indiv_Tot_Birds)))</f>
        <v/>
      </c>
      <c r="G208" s="2" t="str" cm="1">
        <f t="array" ref="G208">IF(SUMPRODUCT((Upload_Indiv_Player=$A205)*(Upload_Indiv_Date=G$2)*(Upload_Indiv_Tot_Birds))=0,"",SUMPRODUCT((Upload_Indiv_Player=$A205)*(Upload_Indiv_Date=G$2)*(Upload_Indiv_Tot_Birds)))</f>
        <v/>
      </c>
      <c r="H208" s="2" t="str" cm="1">
        <f t="array" ref="H208">IF(SUMPRODUCT((Upload_Indiv_Player=$A205)*(Upload_Indiv_Date=H$2)*(Upload_Indiv_Tot_Birds))=0,"",SUMPRODUCT((Upload_Indiv_Player=$A205)*(Upload_Indiv_Date=H$2)*(Upload_Indiv_Tot_Birds)))</f>
        <v/>
      </c>
      <c r="I208" s="2" t="str" cm="1">
        <f t="array" ref="I208">IF(SUMPRODUCT((Upload_Indiv_Player=$A205)*(Upload_Indiv_Date=I$2)*(Upload_Indiv_Tot_Birds))=0,"",SUMPRODUCT((Upload_Indiv_Player=$A205)*(Upload_Indiv_Date=I$2)*(Upload_Indiv_Tot_Birds)))</f>
        <v/>
      </c>
      <c r="J208" s="2" t="str" cm="1">
        <f t="array" ref="J208">IF(SUMPRODUCT((Upload_Indiv_Player=$A205)*(Upload_Indiv_Date=J$2)*(Upload_Indiv_Tot_Birds))=0,"",SUMPRODUCT((Upload_Indiv_Player=$A205)*(Upload_Indiv_Date=J$2)*(Upload_Indiv_Tot_Birds)))</f>
        <v/>
      </c>
      <c r="K208" s="2" t="str" cm="1">
        <f t="array" ref="K208">IF(SUMPRODUCT((Upload_Indiv_Player=$A205)*(Upload_Indiv_Date=K$2)*(Upload_Indiv_Tot_Birds))=0,"",SUMPRODUCT((Upload_Indiv_Player=$A205)*(Upload_Indiv_Date=K$2)*(Upload_Indiv_Tot_Birds)))</f>
        <v/>
      </c>
      <c r="L208" s="2" t="str" cm="1">
        <f t="array" ref="L208">IF(SUMPRODUCT((Upload_Indiv_Player=$A205)*(Upload_Indiv_Date=L$2)*(Upload_Indiv_Tot_Birds))=0,"",SUMPRODUCT((Upload_Indiv_Player=$A205)*(Upload_Indiv_Date=L$2)*(Upload_Indiv_Tot_Birds)))</f>
        <v/>
      </c>
      <c r="M208" s="2" t="str" cm="1">
        <f t="array" ref="M208">IF(SUMPRODUCT((Upload_Indiv_Player=$A205)*(Upload_Indiv_Date=M$2)*(Upload_Indiv_Tot_Birds))=0,"",SUMPRODUCT((Upload_Indiv_Player=$A205)*(Upload_Indiv_Date=M$2)*(Upload_Indiv_Tot_Birds)))</f>
        <v/>
      </c>
      <c r="N208" s="2" t="str" cm="1">
        <f t="array" ref="N208">IF(SUMPRODUCT((Upload_Indiv_Player=$A205)*(Upload_Indiv_Date=N$2)*(Upload_Indiv_Tot_Birds))=0,"",SUMPRODUCT((Upload_Indiv_Player=$A205)*(Upload_Indiv_Date=N$2)*(Upload_Indiv_Tot_Birds)))</f>
        <v/>
      </c>
      <c r="O208" s="2" t="str" cm="1">
        <f t="array" ref="O208">IF(SUMPRODUCT((Upload_Indiv_Player=$A205)*(Upload_Indiv_Date=O$2)*(Upload_Indiv_Tot_Birds))=0,"",SUMPRODUCT((Upload_Indiv_Player=$A205)*(Upload_Indiv_Date=O$2)*(Upload_Indiv_Tot_Birds)))</f>
        <v/>
      </c>
      <c r="P208" s="2" t="str" cm="1">
        <f t="array" ref="P208">IF(SUMPRODUCT((Upload_Indiv_Player=$A205)*(Upload_Indiv_Date=P$2)*(Upload_Indiv_Tot_Birds))=0,"",SUMPRODUCT((Upload_Indiv_Player=$A205)*(Upload_Indiv_Date=P$2)*(Upload_Indiv_Tot_Birds)))</f>
        <v/>
      </c>
      <c r="Q208" s="2" t="str" cm="1">
        <f t="array" ref="Q208">IF(SUMPRODUCT((Upload_Indiv_Player=$A205)*(Upload_Indiv_Date=Q$2)*(Upload_Indiv_Tot_Birds))=0,"",SUMPRODUCT((Upload_Indiv_Player=$A205)*(Upload_Indiv_Date=Q$2)*(Upload_Indiv_Tot_Birds)))</f>
        <v/>
      </c>
      <c r="R208" s="2" t="str" cm="1">
        <f t="array" ref="R208">IF(SUMPRODUCT((Upload_Indiv_Player=$A205)*(Upload_Indiv_Date=R$2)*(Upload_Indiv_Tot_Birds))=0,"",SUMPRODUCT((Upload_Indiv_Player=$A205)*(Upload_Indiv_Date=R$2)*(Upload_Indiv_Tot_Birds)))</f>
        <v/>
      </c>
      <c r="S208" s="2" t="str" cm="1">
        <f t="array" ref="S208">IF(SUMPRODUCT((Upload_Indiv_Player=$A205)*(Upload_Indiv_Date=S$2)*(Upload_Indiv_Tot_Birds))=0,"",SUMPRODUCT((Upload_Indiv_Player=$A205)*(Upload_Indiv_Date=S$2)*(Upload_Indiv_Tot_Birds)))</f>
        <v/>
      </c>
      <c r="T208" s="2" t="str" cm="1">
        <f t="array" ref="T208">IF(SUMPRODUCT((Upload_Indiv_Player=$A205)*(Upload_Indiv_Date=T$2)*(Upload_Indiv_Tot_Birds))=0,"",SUMPRODUCT((Upload_Indiv_Player=$A205)*(Upload_Indiv_Date=T$2)*(Upload_Indiv_Tot_Birds)))</f>
        <v/>
      </c>
      <c r="U208" s="2" t="str" cm="1">
        <f t="array" ref="U208">IF(SUMPRODUCT((Upload_Indiv_Player=$A205)*(Upload_Indiv_Date=U$2)*(Upload_Indiv_Tot_Birds))=0,"",SUMPRODUCT((Upload_Indiv_Player=$A205)*(Upload_Indiv_Date=U$2)*(Upload_Indiv_Tot_Birds)))</f>
        <v/>
      </c>
      <c r="V208" s="276"/>
      <c r="W208" s="276"/>
      <c r="X208" s="276"/>
      <c r="Y208" s="277"/>
      <c r="Z208" s="277"/>
      <c r="AA208" s="277"/>
    </row>
    <row r="209" spans="1:27" x14ac:dyDescent="0.25">
      <c r="A209" s="14"/>
      <c r="B209" s="8" t="s">
        <v>175</v>
      </c>
      <c r="C209" s="2" t="str" cm="1">
        <f t="array" ref="C209">IF(SUMPRODUCT((Upload_Indiv_Player=$A205)*(Upload_Indiv_Date=C$2)*(Upload_Indiv_Tot_Eagles))=0,"",SUMPRODUCT((Upload_Indiv_Player=$A205)*(Upload_Indiv_Date=C$2)*(Upload_Indiv_Tot_Eagles)))</f>
        <v/>
      </c>
      <c r="D209" s="2" t="str" cm="1">
        <f t="array" ref="D209">IF(SUMPRODUCT((Upload_Indiv_Player=$A205)*(Upload_Indiv_Date=D$2)*(Upload_Indiv_Tot_Eagles))=0,"",SUMPRODUCT((Upload_Indiv_Player=$A205)*(Upload_Indiv_Date=D$2)*(Upload_Indiv_Tot_Eagles)))</f>
        <v/>
      </c>
      <c r="E209" s="2" t="str" cm="1">
        <f t="array" ref="E209">IF(SUMPRODUCT((Upload_Indiv_Player=$A205)*(Upload_Indiv_Date=E$2)*(Upload_Indiv_Tot_Eagles))=0,"",SUMPRODUCT((Upload_Indiv_Player=$A205)*(Upload_Indiv_Date=E$2)*(Upload_Indiv_Tot_Eagles)))</f>
        <v/>
      </c>
      <c r="F209" s="2" t="str" cm="1">
        <f t="array" ref="F209">IF(SUMPRODUCT((Upload_Indiv_Player=$A205)*(Upload_Indiv_Date=F$2)*(Upload_Indiv_Tot_Eagles))=0,"",SUMPRODUCT((Upload_Indiv_Player=$A205)*(Upload_Indiv_Date=F$2)*(Upload_Indiv_Tot_Eagles)))</f>
        <v/>
      </c>
      <c r="G209" s="2" t="str" cm="1">
        <f t="array" ref="G209">IF(SUMPRODUCT((Upload_Indiv_Player=$A205)*(Upload_Indiv_Date=G$2)*(Upload_Indiv_Tot_Eagles))=0,"",SUMPRODUCT((Upload_Indiv_Player=$A205)*(Upload_Indiv_Date=G$2)*(Upload_Indiv_Tot_Eagles)))</f>
        <v/>
      </c>
      <c r="H209" s="2" t="str" cm="1">
        <f t="array" ref="H209">IF(SUMPRODUCT((Upload_Indiv_Player=$A205)*(Upload_Indiv_Date=H$2)*(Upload_Indiv_Tot_Eagles))=0,"",SUMPRODUCT((Upload_Indiv_Player=$A205)*(Upload_Indiv_Date=H$2)*(Upload_Indiv_Tot_Eagles)))</f>
        <v/>
      </c>
      <c r="I209" s="2" t="str" cm="1">
        <f t="array" ref="I209">IF(SUMPRODUCT((Upload_Indiv_Player=$A205)*(Upload_Indiv_Date=I$2)*(Upload_Indiv_Tot_Eagles))=0,"",SUMPRODUCT((Upload_Indiv_Player=$A205)*(Upload_Indiv_Date=I$2)*(Upload_Indiv_Tot_Eagles)))</f>
        <v/>
      </c>
      <c r="J209" s="2" t="str" cm="1">
        <f t="array" ref="J209">IF(SUMPRODUCT((Upload_Indiv_Player=$A205)*(Upload_Indiv_Date=J$2)*(Upload_Indiv_Tot_Eagles))=0,"",SUMPRODUCT((Upload_Indiv_Player=$A205)*(Upload_Indiv_Date=J$2)*(Upload_Indiv_Tot_Eagles)))</f>
        <v/>
      </c>
      <c r="K209" s="2" t="str" cm="1">
        <f t="array" ref="K209">IF(SUMPRODUCT((Upload_Indiv_Player=$A205)*(Upload_Indiv_Date=K$2)*(Upload_Indiv_Tot_Eagles))=0,"",SUMPRODUCT((Upload_Indiv_Player=$A205)*(Upload_Indiv_Date=K$2)*(Upload_Indiv_Tot_Eagles)))</f>
        <v/>
      </c>
      <c r="L209" s="2" t="str" cm="1">
        <f t="array" ref="L209">IF(SUMPRODUCT((Upload_Indiv_Player=$A205)*(Upload_Indiv_Date=L$2)*(Upload_Indiv_Tot_Eagles))=0,"",SUMPRODUCT((Upload_Indiv_Player=$A205)*(Upload_Indiv_Date=L$2)*(Upload_Indiv_Tot_Eagles)))</f>
        <v/>
      </c>
      <c r="M209" s="2" t="str" cm="1">
        <f t="array" ref="M209">IF(SUMPRODUCT((Upload_Indiv_Player=$A205)*(Upload_Indiv_Date=M$2)*(Upload_Indiv_Tot_Eagles))=0,"",SUMPRODUCT((Upload_Indiv_Player=$A205)*(Upload_Indiv_Date=M$2)*(Upload_Indiv_Tot_Eagles)))</f>
        <v/>
      </c>
      <c r="N209" s="2" t="str" cm="1">
        <f t="array" ref="N209">IF(SUMPRODUCT((Upload_Indiv_Player=$A205)*(Upload_Indiv_Date=N$2)*(Upload_Indiv_Tot_Eagles))=0,"",SUMPRODUCT((Upload_Indiv_Player=$A205)*(Upload_Indiv_Date=N$2)*(Upload_Indiv_Tot_Eagles)))</f>
        <v/>
      </c>
      <c r="O209" s="2" t="str" cm="1">
        <f t="array" ref="O209">IF(SUMPRODUCT((Upload_Indiv_Player=$A205)*(Upload_Indiv_Date=O$2)*(Upload_Indiv_Tot_Eagles))=0,"",SUMPRODUCT((Upload_Indiv_Player=$A205)*(Upload_Indiv_Date=O$2)*(Upload_Indiv_Tot_Eagles)))</f>
        <v/>
      </c>
      <c r="P209" s="2" t="str" cm="1">
        <f t="array" ref="P209">IF(SUMPRODUCT((Upload_Indiv_Player=$A205)*(Upload_Indiv_Date=P$2)*(Upload_Indiv_Tot_Eagles))=0,"",SUMPRODUCT((Upload_Indiv_Player=$A205)*(Upload_Indiv_Date=P$2)*(Upload_Indiv_Tot_Eagles)))</f>
        <v/>
      </c>
      <c r="Q209" s="2" t="str" cm="1">
        <f t="array" ref="Q209">IF(SUMPRODUCT((Upload_Indiv_Player=$A205)*(Upload_Indiv_Date=Q$2)*(Upload_Indiv_Tot_Eagles))=0,"",SUMPRODUCT((Upload_Indiv_Player=$A205)*(Upload_Indiv_Date=Q$2)*(Upload_Indiv_Tot_Eagles)))</f>
        <v/>
      </c>
      <c r="R209" s="2" t="str" cm="1">
        <f t="array" ref="R209">IF(SUMPRODUCT((Upload_Indiv_Player=$A205)*(Upload_Indiv_Date=R$2)*(Upload_Indiv_Tot_Eagles))=0,"",SUMPRODUCT((Upload_Indiv_Player=$A205)*(Upload_Indiv_Date=R$2)*(Upload_Indiv_Tot_Eagles)))</f>
        <v/>
      </c>
      <c r="S209" s="2" t="str" cm="1">
        <f t="array" ref="S209">IF(SUMPRODUCT((Upload_Indiv_Player=$A205)*(Upload_Indiv_Date=S$2)*(Upload_Indiv_Tot_Eagles))=0,"",SUMPRODUCT((Upload_Indiv_Player=$A205)*(Upload_Indiv_Date=S$2)*(Upload_Indiv_Tot_Eagles)))</f>
        <v/>
      </c>
      <c r="T209" s="2" t="str" cm="1">
        <f t="array" ref="T209">IF(SUMPRODUCT((Upload_Indiv_Player=$A205)*(Upload_Indiv_Date=T$2)*(Upload_Indiv_Tot_Eagles))=0,"",SUMPRODUCT((Upload_Indiv_Player=$A205)*(Upload_Indiv_Date=T$2)*(Upload_Indiv_Tot_Eagles)))</f>
        <v/>
      </c>
      <c r="U209" s="2" t="str" cm="1">
        <f t="array" ref="U209">IF(SUMPRODUCT((Upload_Indiv_Player=$A205)*(Upload_Indiv_Date=U$2)*(Upload_Indiv_Tot_Eagles))=0,"",SUMPRODUCT((Upload_Indiv_Player=$A205)*(Upload_Indiv_Date=U$2)*(Upload_Indiv_Tot_Eagles)))</f>
        <v/>
      </c>
      <c r="V209" s="276"/>
      <c r="W209" s="276"/>
      <c r="X209" s="276"/>
      <c r="Y209" s="277"/>
      <c r="Z209" s="278"/>
      <c r="AA209" s="277"/>
    </row>
    <row r="210" spans="1:27" x14ac:dyDescent="0.25">
      <c r="A210" s="14"/>
      <c r="B210" s="2" t="s">
        <v>176</v>
      </c>
      <c r="C210" s="2" t="str" cm="1">
        <f t="array" ref="C210">IF(SUMPRODUCT((Upload_Indiv_Player=$A205)*(Upload_Indiv_Date=C$2)*(Upload_Indiv_Excl_Score))=0,"",SUMPRODUCT((Upload_Indiv_Player=$A205)*(Upload_Indiv_Date=C$2)*(Upload_Indiv_Excl_Score)))</f>
        <v/>
      </c>
      <c r="D210" s="2" t="str" cm="1">
        <f t="array" ref="D210">IF(SUMPRODUCT((Upload_Indiv_Player=$A205)*(Upload_Indiv_Date=D$2)*(Upload_Indiv_Excl_Score))=0,"",SUMPRODUCT((Upload_Indiv_Player=$A205)*(Upload_Indiv_Date=D$2)*(Upload_Indiv_Excl_Score)))</f>
        <v/>
      </c>
      <c r="E210" s="2" t="str" cm="1">
        <f t="array" ref="E210">IF(SUMPRODUCT((Upload_Indiv_Player=$A205)*(Upload_Indiv_Date=E$2)*(Upload_Indiv_Excl_Score))=0,"",SUMPRODUCT((Upload_Indiv_Player=$A205)*(Upload_Indiv_Date=E$2)*(Upload_Indiv_Excl_Score)))</f>
        <v/>
      </c>
      <c r="F210" s="2" t="str" cm="1">
        <f t="array" ref="F210">IF(SUMPRODUCT((Upload_Indiv_Player=$A205)*(Upload_Indiv_Date=F$2)*(Upload_Indiv_Excl_Score))=0,"",SUMPRODUCT((Upload_Indiv_Player=$A205)*(Upload_Indiv_Date=F$2)*(Upload_Indiv_Excl_Score)))</f>
        <v/>
      </c>
      <c r="G210" s="2" t="str" cm="1">
        <f t="array" ref="G210">IF(SUMPRODUCT((Upload_Indiv_Player=$A205)*(Upload_Indiv_Date=G$2)*(Upload_Indiv_Excl_Score))=0,"",SUMPRODUCT((Upload_Indiv_Player=$A205)*(Upload_Indiv_Date=G$2)*(Upload_Indiv_Excl_Score)))</f>
        <v/>
      </c>
      <c r="H210" s="2" t="str" cm="1">
        <f t="array" ref="H210">IF(SUMPRODUCT((Upload_Indiv_Player=$A205)*(Upload_Indiv_Date=H$2)*(Upload_Indiv_Excl_Score))=0,"",SUMPRODUCT((Upload_Indiv_Player=$A205)*(Upload_Indiv_Date=H$2)*(Upload_Indiv_Excl_Score)))</f>
        <v/>
      </c>
      <c r="I210" s="2" t="str" cm="1">
        <f t="array" ref="I210">IF(SUMPRODUCT((Upload_Indiv_Player=$A205)*(Upload_Indiv_Date=I$2)*(Upload_Indiv_Excl_Score))=0,"",SUMPRODUCT((Upload_Indiv_Player=$A205)*(Upload_Indiv_Date=I$2)*(Upload_Indiv_Excl_Score)))</f>
        <v/>
      </c>
      <c r="J210" s="2" t="str" cm="1">
        <f t="array" ref="J210">IF(SUMPRODUCT((Upload_Indiv_Player=$A205)*(Upload_Indiv_Date=J$2)*(Upload_Indiv_Excl_Score))=0,"",SUMPRODUCT((Upload_Indiv_Player=$A205)*(Upload_Indiv_Date=J$2)*(Upload_Indiv_Excl_Score)))</f>
        <v/>
      </c>
      <c r="K210" s="2" t="str" cm="1">
        <f t="array" ref="K210">IF(SUMPRODUCT((Upload_Indiv_Player=$A205)*(Upload_Indiv_Date=K$2)*(Upload_Indiv_Excl_Score))=0,"",SUMPRODUCT((Upload_Indiv_Player=$A205)*(Upload_Indiv_Date=K$2)*(Upload_Indiv_Excl_Score)))</f>
        <v/>
      </c>
      <c r="L210" s="2" t="str" cm="1">
        <f t="array" ref="L210">IF(SUMPRODUCT((Upload_Indiv_Player=$A205)*(Upload_Indiv_Date=L$2)*(Upload_Indiv_Excl_Score))=0,"",SUMPRODUCT((Upload_Indiv_Player=$A205)*(Upload_Indiv_Date=L$2)*(Upload_Indiv_Excl_Score)))</f>
        <v/>
      </c>
      <c r="M210" s="2" t="str" cm="1">
        <f t="array" ref="M210">IF(SUMPRODUCT((Upload_Indiv_Player=$A205)*(Upload_Indiv_Date=M$2)*(Upload_Indiv_Excl_Score))=0,"",SUMPRODUCT((Upload_Indiv_Player=$A205)*(Upload_Indiv_Date=M$2)*(Upload_Indiv_Excl_Score)))</f>
        <v/>
      </c>
      <c r="N210" s="2" t="str" cm="1">
        <f t="array" ref="N210">IF(SUMPRODUCT((Upload_Indiv_Player=$A205)*(Upload_Indiv_Date=N$2)*(Upload_Indiv_Excl_Score))=0,"",SUMPRODUCT((Upload_Indiv_Player=$A205)*(Upload_Indiv_Date=N$2)*(Upload_Indiv_Excl_Score)))</f>
        <v/>
      </c>
      <c r="O210" s="2" t="str" cm="1">
        <f t="array" ref="O210">IF(SUMPRODUCT((Upload_Indiv_Player=$A205)*(Upload_Indiv_Date=O$2)*(Upload_Indiv_Excl_Score))=0,"",SUMPRODUCT((Upload_Indiv_Player=$A205)*(Upload_Indiv_Date=O$2)*(Upload_Indiv_Excl_Score)))</f>
        <v/>
      </c>
      <c r="P210" s="2" t="str" cm="1">
        <f t="array" ref="P210">IF(SUMPRODUCT((Upload_Indiv_Player=$A205)*(Upload_Indiv_Date=P$2)*(Upload_Indiv_Excl_Score))=0,"",SUMPRODUCT((Upload_Indiv_Player=$A205)*(Upload_Indiv_Date=P$2)*(Upload_Indiv_Excl_Score)))</f>
        <v/>
      </c>
      <c r="Q210" s="2" t="str" cm="1">
        <f t="array" ref="Q210">IF(SUMPRODUCT((Upload_Indiv_Player=$A205)*(Upload_Indiv_Date=Q$2)*(Upload_Indiv_Excl_Score))=0,"",SUMPRODUCT((Upload_Indiv_Player=$A205)*(Upload_Indiv_Date=Q$2)*(Upload_Indiv_Excl_Score)))</f>
        <v/>
      </c>
      <c r="R210" s="2" t="str" cm="1">
        <f t="array" ref="R210">IF(SUMPRODUCT((Upload_Indiv_Player=$A205)*(Upload_Indiv_Date=R$2)*(Upload_Indiv_Excl_Score))=0,"",SUMPRODUCT((Upload_Indiv_Player=$A205)*(Upload_Indiv_Date=R$2)*(Upload_Indiv_Excl_Score)))</f>
        <v/>
      </c>
      <c r="S210" s="2" t="str" cm="1">
        <f t="array" ref="S210">IF(SUMPRODUCT((Upload_Indiv_Player=$A205)*(Upload_Indiv_Date=S$2)*(Upload_Indiv_Excl_Score))=0,"",SUMPRODUCT((Upload_Indiv_Player=$A205)*(Upload_Indiv_Date=S$2)*(Upload_Indiv_Excl_Score)))</f>
        <v/>
      </c>
      <c r="T210" s="2" t="str" cm="1">
        <f t="array" ref="T210">IF(SUMPRODUCT((Upload_Indiv_Player=$A205)*(Upload_Indiv_Date=T$2)*(Upload_Indiv_Excl_Score))=0,"",SUMPRODUCT((Upload_Indiv_Player=$A205)*(Upload_Indiv_Date=T$2)*(Upload_Indiv_Excl_Score)))</f>
        <v/>
      </c>
      <c r="U210" s="2" t="str" cm="1">
        <f t="array" ref="U210">IF(SUMPRODUCT((Upload_Indiv_Player=$A205)*(Upload_Indiv_Date=U$2)*(Upload_Indiv_Excl_Score))=0,"",SUMPRODUCT((Upload_Indiv_Player=$A205)*(Upload_Indiv_Date=U$2)*(Upload_Indiv_Excl_Score)))</f>
        <v/>
      </c>
      <c r="V210" s="276"/>
      <c r="W210" s="276"/>
      <c r="X210" s="276"/>
      <c r="Y210" s="277"/>
      <c r="Z210" s="277"/>
      <c r="AA210" s="277"/>
    </row>
    <row r="211" spans="1:27" x14ac:dyDescent="0.25">
      <c r="A211" s="14"/>
      <c r="B211" s="2" t="s">
        <v>177</v>
      </c>
      <c r="C211" s="2" t="str" cm="1">
        <f t="array" ref="C211">IFERROR(INDEX(Upload_Indiv_Team,MATCH(1,($A205=Upload_Indiv_Player)*(C$2=Upload_Indiv_Date),0)),"")</f>
        <v/>
      </c>
      <c r="D211" s="2" t="str" cm="1">
        <f t="array" ref="D211">IFERROR(INDEX(Upload_Indiv_Team,MATCH(1,($A205=Upload_Indiv_Player)*(D$2=Upload_Indiv_Date),0)),"")</f>
        <v/>
      </c>
      <c r="E211" s="2" t="str" cm="1">
        <f t="array" ref="E211">IFERROR(INDEX(Upload_Indiv_Team,MATCH(1,($A205=Upload_Indiv_Player)*(E$2=Upload_Indiv_Date),0)),"")</f>
        <v/>
      </c>
      <c r="F211" s="2" t="str" cm="1">
        <f t="array" ref="F211">IFERROR(INDEX(Upload_Indiv_Team,MATCH(1,($A205=Upload_Indiv_Player)*(F$2=Upload_Indiv_Date),0)),"")</f>
        <v/>
      </c>
      <c r="G211" s="2" t="str" cm="1">
        <f t="array" ref="G211">IFERROR(INDEX(Upload_Indiv_Team,MATCH(1,($A205=Upload_Indiv_Player)*(G$2=Upload_Indiv_Date),0)),"")</f>
        <v/>
      </c>
      <c r="H211" s="2" t="str" cm="1">
        <f t="array" ref="H211">IFERROR(INDEX(Upload_Indiv_Team,MATCH(1,($A205=Upload_Indiv_Player)*(H$2=Upload_Indiv_Date),0)),"")</f>
        <v/>
      </c>
      <c r="I211" s="2" t="str" cm="1">
        <f t="array" ref="I211">IFERROR(INDEX(Upload_Indiv_Team,MATCH(1,($A205=Upload_Indiv_Player)*(I$2=Upload_Indiv_Date),0)),"")</f>
        <v/>
      </c>
      <c r="J211" s="2" t="str" cm="1">
        <f t="array" ref="J211">IFERROR(INDEX(Upload_Indiv_Team,MATCH(1,($A205=Upload_Indiv_Player)*(J$2=Upload_Indiv_Date),0)),"")</f>
        <v/>
      </c>
      <c r="K211" s="2" t="str" cm="1">
        <f t="array" ref="K211">IFERROR(INDEX(Upload_Indiv_Team,MATCH(1,($A205=Upload_Indiv_Player)*(K$2=Upload_Indiv_Date),0)),"")</f>
        <v/>
      </c>
      <c r="L211" s="2" t="str" cm="1">
        <f t="array" ref="L211">IFERROR(INDEX(Upload_Indiv_Team,MATCH(1,($A205=Upload_Indiv_Player)*(L$2=Upload_Indiv_Date),0)),"")</f>
        <v/>
      </c>
      <c r="M211" s="2" t="str" cm="1">
        <f t="array" ref="M211">IFERROR(INDEX(Upload_Indiv_Team,MATCH(1,($A205=Upload_Indiv_Player)*(M$2=Upload_Indiv_Date),0)),"")</f>
        <v/>
      </c>
      <c r="N211" s="2" t="str" cm="1">
        <f t="array" ref="N211">IFERROR(INDEX(Upload_Indiv_Team,MATCH(1,($A205=Upload_Indiv_Player)*(N$2=Upload_Indiv_Date),0)),"")</f>
        <v/>
      </c>
      <c r="O211" s="2" t="str" cm="1">
        <f t="array" ref="O211">IFERROR(INDEX(Upload_Indiv_Team,MATCH(1,($A205=Upload_Indiv_Player)*(O$2=Upload_Indiv_Date),0)),"")</f>
        <v/>
      </c>
      <c r="P211" s="2" t="str" cm="1">
        <f t="array" ref="P211">IFERROR(INDEX(Upload_Indiv_Team,MATCH(1,($A205=Upload_Indiv_Player)*(P$2=Upload_Indiv_Date),0)),"")</f>
        <v/>
      </c>
      <c r="Q211" s="2" t="str" cm="1">
        <f t="array" ref="Q211">IFERROR(INDEX(Upload_Indiv_Team,MATCH(1,($A205=Upload_Indiv_Player)*(Q$2=Upload_Indiv_Date),0)),"")</f>
        <v/>
      </c>
      <c r="R211" s="2" t="str" cm="1">
        <f t="array" ref="R211">IFERROR(INDEX(Upload_Indiv_Team,MATCH(1,($A205=Upload_Indiv_Player)*(R$2=Upload_Indiv_Date),0)),"")</f>
        <v/>
      </c>
      <c r="S211" s="2" t="str" cm="1">
        <f t="array" ref="S211">IFERROR(INDEX(Upload_Indiv_Team,MATCH(1,($A205=Upload_Indiv_Player)*(S$2=Upload_Indiv_Date),0)),"")</f>
        <v/>
      </c>
      <c r="T211" s="2" t="str" cm="1">
        <f t="array" ref="T211">IFERROR(INDEX(Upload_Indiv_Team,MATCH(1,($A205=Upload_Indiv_Player)*(T$2=Upload_Indiv_Date),0)),"")</f>
        <v/>
      </c>
      <c r="U211" s="2" t="str" cm="1">
        <f t="array" ref="U211">IFERROR(INDEX(Upload_Indiv_Team,MATCH(1,($A205=Upload_Indiv_Player)*(U$2=Upload_Indiv_Date),0)),"")</f>
        <v/>
      </c>
      <c r="V211" s="276"/>
      <c r="W211" s="276"/>
      <c r="X211" s="276"/>
      <c r="Y211" s="277"/>
      <c r="Z211" s="277"/>
      <c r="AA211" s="277"/>
    </row>
    <row r="212" spans="1:27" ht="13.8" thickBot="1" x14ac:dyDescent="0.3">
      <c r="A212" s="329" t="s">
        <v>160</v>
      </c>
      <c r="B212" s="8" t="s">
        <v>178</v>
      </c>
      <c r="C212" s="58" t="str">
        <f t="shared" ref="C212:U212" si="26">IF(C205="", "", IF(C207&gt;=11, "w", IF(C207&lt;=9, "l", "t")))</f>
        <v/>
      </c>
      <c r="D212" s="58" t="str">
        <f t="shared" si="26"/>
        <v/>
      </c>
      <c r="E212" s="58" t="str">
        <f t="shared" si="26"/>
        <v/>
      </c>
      <c r="F212" s="58" t="str">
        <f t="shared" si="26"/>
        <v/>
      </c>
      <c r="G212" s="58" t="str">
        <f t="shared" si="26"/>
        <v/>
      </c>
      <c r="H212" s="58" t="str">
        <f t="shared" si="26"/>
        <v/>
      </c>
      <c r="I212" s="58" t="str">
        <f t="shared" si="26"/>
        <v/>
      </c>
      <c r="J212" s="58" t="str">
        <f t="shared" si="26"/>
        <v/>
      </c>
      <c r="K212" s="58" t="str">
        <f t="shared" si="26"/>
        <v/>
      </c>
      <c r="L212" s="58" t="str">
        <f t="shared" si="26"/>
        <v/>
      </c>
      <c r="M212" s="58" t="str">
        <f t="shared" si="26"/>
        <v/>
      </c>
      <c r="N212" s="58" t="str">
        <f t="shared" si="26"/>
        <v/>
      </c>
      <c r="O212" s="58" t="str">
        <f t="shared" si="26"/>
        <v/>
      </c>
      <c r="P212" s="58" t="str">
        <f t="shared" si="26"/>
        <v/>
      </c>
      <c r="Q212" s="58" t="str">
        <f t="shared" si="26"/>
        <v/>
      </c>
      <c r="R212" s="58" t="str">
        <f t="shared" si="26"/>
        <v/>
      </c>
      <c r="S212" s="58" t="str">
        <f t="shared" si="26"/>
        <v/>
      </c>
      <c r="T212" s="58" t="str">
        <f t="shared" si="26"/>
        <v/>
      </c>
      <c r="U212" s="58" t="str">
        <f t="shared" si="26"/>
        <v/>
      </c>
      <c r="V212" s="276"/>
      <c r="W212" s="276"/>
      <c r="X212" s="276"/>
      <c r="Y212" s="277"/>
      <c r="Z212" s="277"/>
      <c r="AA212" s="277"/>
    </row>
    <row r="213" spans="1:27" x14ac:dyDescent="0.25">
      <c r="A213" s="11" t="s">
        <v>250</v>
      </c>
      <c r="B213" s="3" t="s">
        <v>170</v>
      </c>
      <c r="C213" s="3" t="str" cm="1">
        <f t="array" ref="C213">IF(SUMPRODUCT((Upload_Indiv_Player=$A213)*(Upload_Indiv_Date=C$2)*(Upload_Indiv_Gross))=0,"",SUMPRODUCT((Upload_Indiv_Player=$A213)*(Upload_Indiv_Date=C$2)*(Upload_Indiv_Gross)))</f>
        <v/>
      </c>
      <c r="D213" s="3" t="str" cm="1">
        <f t="array" ref="D213">IF(SUMPRODUCT((Upload_Indiv_Player=$A213)*(Upload_Indiv_Date=D$2)*(Upload_Indiv_Gross))=0,"",SUMPRODUCT((Upload_Indiv_Player=$A213)*(Upload_Indiv_Date=D$2)*(Upload_Indiv_Gross)))</f>
        <v/>
      </c>
      <c r="E213" s="3" t="str" cm="1">
        <f t="array" ref="E213">IF(SUMPRODUCT((Upload_Indiv_Player=$A213)*(Upload_Indiv_Date=E$2)*(Upload_Indiv_Gross))=0,"",SUMPRODUCT((Upload_Indiv_Player=$A213)*(Upload_Indiv_Date=E$2)*(Upload_Indiv_Gross)))</f>
        <v/>
      </c>
      <c r="F213" s="3" t="str" cm="1">
        <f t="array" ref="F213">IF(SUMPRODUCT((Upload_Indiv_Player=$A213)*(Upload_Indiv_Date=F$2)*(Upload_Indiv_Gross))=0,"",SUMPRODUCT((Upload_Indiv_Player=$A213)*(Upload_Indiv_Date=F$2)*(Upload_Indiv_Gross)))</f>
        <v/>
      </c>
      <c r="G213" s="3" t="str" cm="1">
        <f t="array" ref="G213">IF(SUMPRODUCT((Upload_Indiv_Player=$A213)*(Upload_Indiv_Date=G$2)*(Upload_Indiv_Gross))=0,"",SUMPRODUCT((Upload_Indiv_Player=$A213)*(Upload_Indiv_Date=G$2)*(Upload_Indiv_Gross)))</f>
        <v/>
      </c>
      <c r="H213" s="3" t="str" cm="1">
        <f t="array" ref="H213">IF(SUMPRODUCT((Upload_Indiv_Player=$A213)*(Upload_Indiv_Date=H$2)*(Upload_Indiv_Gross))=0,"",SUMPRODUCT((Upload_Indiv_Player=$A213)*(Upload_Indiv_Date=H$2)*(Upload_Indiv_Gross)))</f>
        <v/>
      </c>
      <c r="I213" s="3" t="str" cm="1">
        <f t="array" ref="I213">IF(SUMPRODUCT((Upload_Indiv_Player=$A213)*(Upload_Indiv_Date=I$2)*(Upload_Indiv_Gross))=0,"",SUMPRODUCT((Upload_Indiv_Player=$A213)*(Upload_Indiv_Date=I$2)*(Upload_Indiv_Gross)))</f>
        <v/>
      </c>
      <c r="J213" s="3" t="str" cm="1">
        <f t="array" ref="J213">IF(SUMPRODUCT((Upload_Indiv_Player=$A213)*(Upload_Indiv_Date=J$2)*(Upload_Indiv_Gross))=0,"",SUMPRODUCT((Upload_Indiv_Player=$A213)*(Upload_Indiv_Date=J$2)*(Upload_Indiv_Gross)))</f>
        <v/>
      </c>
      <c r="K213" s="3" t="str" cm="1">
        <f t="array" ref="K213">IF(SUMPRODUCT((Upload_Indiv_Player=$A213)*(Upload_Indiv_Date=K$2)*(Upload_Indiv_Gross))=0,"",SUMPRODUCT((Upload_Indiv_Player=$A213)*(Upload_Indiv_Date=K$2)*(Upload_Indiv_Gross)))</f>
        <v/>
      </c>
      <c r="L213" s="3" t="str" cm="1">
        <f t="array" ref="L213">IF(SUMPRODUCT((Upload_Indiv_Player=$A213)*(Upload_Indiv_Date=L$2)*(Upload_Indiv_Gross))=0,"",SUMPRODUCT((Upload_Indiv_Player=$A213)*(Upload_Indiv_Date=L$2)*(Upload_Indiv_Gross)))</f>
        <v/>
      </c>
      <c r="M213" s="3" t="str" cm="1">
        <f t="array" ref="M213">IF(SUMPRODUCT((Upload_Indiv_Player=$A213)*(Upload_Indiv_Date=M$2)*(Upload_Indiv_Gross))=0,"",SUMPRODUCT((Upload_Indiv_Player=$A213)*(Upload_Indiv_Date=M$2)*(Upload_Indiv_Gross)))</f>
        <v/>
      </c>
      <c r="N213" s="3" t="str" cm="1">
        <f t="array" ref="N213">IF(SUMPRODUCT((Upload_Indiv_Player=$A213)*(Upload_Indiv_Date=N$2)*(Upload_Indiv_Gross))=0,"",SUMPRODUCT((Upload_Indiv_Player=$A213)*(Upload_Indiv_Date=N$2)*(Upload_Indiv_Gross)))</f>
        <v/>
      </c>
      <c r="O213" s="3" t="str" cm="1">
        <f t="array" ref="O213">IF(SUMPRODUCT((Upload_Indiv_Player=$A213)*(Upload_Indiv_Date=O$2)*(Upload_Indiv_Gross))=0,"",SUMPRODUCT((Upload_Indiv_Player=$A213)*(Upload_Indiv_Date=O$2)*(Upload_Indiv_Gross)))</f>
        <v/>
      </c>
      <c r="P213" s="3" t="str" cm="1">
        <f t="array" ref="P213">IF(SUMPRODUCT((Upload_Indiv_Player=$A213)*(Upload_Indiv_Date=P$2)*(Upload_Indiv_Gross))=0,"",SUMPRODUCT((Upload_Indiv_Player=$A213)*(Upload_Indiv_Date=P$2)*(Upload_Indiv_Gross)))</f>
        <v/>
      </c>
      <c r="Q213" s="2" t="str" cm="1">
        <f t="array" ref="Q213">IF(SUMPRODUCT((Upload_Indiv_Player=$A213)*(Upload_Indiv_Date=Q$2)*(Upload_Indiv_Gross))=0,"",SUMPRODUCT((Upload_Indiv_Player=$A213)*(Upload_Indiv_Date=Q$2)*(Upload_Indiv_Gross)))</f>
        <v/>
      </c>
      <c r="R213" s="2" t="str" cm="1">
        <f t="array" ref="R213">IF(SUMPRODUCT((Upload_Indiv_Player=$A213)*(Upload_Indiv_Date=R$2)*(Upload_Indiv_Gross))=0,"",SUMPRODUCT((Upload_Indiv_Player=$A213)*(Upload_Indiv_Date=R$2)*(Upload_Indiv_Gross)))</f>
        <v/>
      </c>
      <c r="S213" s="2" t="str" cm="1">
        <f t="array" ref="S213">IF(SUMPRODUCT((Upload_Indiv_Player=$A213)*(Upload_Indiv_Date=S$2)*(Upload_Indiv_Gross))=0,"",SUMPRODUCT((Upload_Indiv_Player=$A213)*(Upload_Indiv_Date=S$2)*(Upload_Indiv_Gross)))</f>
        <v/>
      </c>
      <c r="T213" s="2" t="str" cm="1">
        <f t="array" ref="T213">IF(SUMPRODUCT((Upload_Indiv_Player=$A213)*(Upload_Indiv_Date=T$2)*(Upload_Indiv_Gross))=0,"",SUMPRODUCT((Upload_Indiv_Player=$A213)*(Upload_Indiv_Date=T$2)*(Upload_Indiv_Gross)))</f>
        <v/>
      </c>
      <c r="U213" s="2" t="str" cm="1">
        <f t="array" ref="U213">IF(SUMPRODUCT((Upload_Indiv_Player=$A213)*(Upload_Indiv_Date=U$2)*(Upload_Indiv_Gross))=0,"",SUMPRODUCT((Upload_Indiv_Player=$A213)*(Upload_Indiv_Date=U$2)*(Upload_Indiv_Gross)))</f>
        <v/>
      </c>
      <c r="V213" s="273">
        <v>0</v>
      </c>
      <c r="W213" s="273">
        <v>7</v>
      </c>
      <c r="X213" s="273">
        <v>0</v>
      </c>
      <c r="Y213" s="277">
        <v>0</v>
      </c>
      <c r="Z213" s="277">
        <v>0</v>
      </c>
      <c r="AA213" s="277">
        <v>0</v>
      </c>
    </row>
    <row r="214" spans="1:27" x14ac:dyDescent="0.25">
      <c r="A214" s="216">
        <v>3302680010</v>
      </c>
      <c r="B214" s="2" t="s">
        <v>171</v>
      </c>
      <c r="C214" s="2" t="str" cm="1">
        <f t="array" ref="C214">IF(SUMPRODUCT((Upload_Indiv_Player=$A213)*(Upload_Indiv_Date=C$2)*(Upload_Indiv_Net))=0,"",SUMPRODUCT((Upload_Indiv_Player=$A213)*(Upload_Indiv_Date=C$2)*(Upload_Indiv_Net)))</f>
        <v/>
      </c>
      <c r="D214" s="2" t="str" cm="1">
        <f t="array" ref="D214">IF(SUMPRODUCT((Upload_Indiv_Player=$A213)*(Upload_Indiv_Date=D$2)*(Upload_Indiv_Net))=0,"",SUMPRODUCT((Upload_Indiv_Player=$A213)*(Upload_Indiv_Date=D$2)*(Upload_Indiv_Net)))</f>
        <v/>
      </c>
      <c r="E214" s="2" t="str" cm="1">
        <f t="array" ref="E214">IF(SUMPRODUCT((Upload_Indiv_Player=$A213)*(Upload_Indiv_Date=E$2)*(Upload_Indiv_Net))=0,"",SUMPRODUCT((Upload_Indiv_Player=$A213)*(Upload_Indiv_Date=E$2)*(Upload_Indiv_Net)))</f>
        <v/>
      </c>
      <c r="F214" s="2" t="str" cm="1">
        <f t="array" ref="F214">IF(SUMPRODUCT((Upload_Indiv_Player=$A213)*(Upload_Indiv_Date=F$2)*(Upload_Indiv_Net))=0,"",SUMPRODUCT((Upload_Indiv_Player=$A213)*(Upload_Indiv_Date=F$2)*(Upload_Indiv_Net)))</f>
        <v/>
      </c>
      <c r="G214" s="2" t="str" cm="1">
        <f t="array" ref="G214">IF(SUMPRODUCT((Upload_Indiv_Player=$A213)*(Upload_Indiv_Date=G$2)*(Upload_Indiv_Net))=0,"",SUMPRODUCT((Upload_Indiv_Player=$A213)*(Upload_Indiv_Date=G$2)*(Upload_Indiv_Net)))</f>
        <v/>
      </c>
      <c r="H214" s="2" t="str" cm="1">
        <f t="array" ref="H214">IF(SUMPRODUCT((Upload_Indiv_Player=$A213)*(Upload_Indiv_Date=H$2)*(Upload_Indiv_Net))=0,"",SUMPRODUCT((Upload_Indiv_Player=$A213)*(Upload_Indiv_Date=H$2)*(Upload_Indiv_Net)))</f>
        <v/>
      </c>
      <c r="I214" s="2" t="str" cm="1">
        <f t="array" ref="I214">IF(SUMPRODUCT((Upload_Indiv_Player=$A213)*(Upload_Indiv_Date=I$2)*(Upload_Indiv_Net))=0,"",SUMPRODUCT((Upload_Indiv_Player=$A213)*(Upload_Indiv_Date=I$2)*(Upload_Indiv_Net)))</f>
        <v/>
      </c>
      <c r="J214" s="2" t="str" cm="1">
        <f t="array" ref="J214">IF(SUMPRODUCT((Upload_Indiv_Player=$A213)*(Upload_Indiv_Date=J$2)*(Upload_Indiv_Net))=0,"",SUMPRODUCT((Upload_Indiv_Player=$A213)*(Upload_Indiv_Date=J$2)*(Upload_Indiv_Net)))</f>
        <v/>
      </c>
      <c r="K214" s="2" t="str" cm="1">
        <f t="array" ref="K214">IF(SUMPRODUCT((Upload_Indiv_Player=$A213)*(Upload_Indiv_Date=K$2)*(Upload_Indiv_Net))=0,"",SUMPRODUCT((Upload_Indiv_Player=$A213)*(Upload_Indiv_Date=K$2)*(Upload_Indiv_Net)))</f>
        <v/>
      </c>
      <c r="L214" s="2" t="str" cm="1">
        <f t="array" ref="L214">IF(SUMPRODUCT((Upload_Indiv_Player=$A213)*(Upload_Indiv_Date=L$2)*(Upload_Indiv_Net))=0,"",SUMPRODUCT((Upload_Indiv_Player=$A213)*(Upload_Indiv_Date=L$2)*(Upload_Indiv_Net)))</f>
        <v/>
      </c>
      <c r="M214" s="2" t="str" cm="1">
        <f t="array" ref="M214">IF(SUMPRODUCT((Upload_Indiv_Player=$A213)*(Upload_Indiv_Date=M$2)*(Upload_Indiv_Net))=0,"",SUMPRODUCT((Upload_Indiv_Player=$A213)*(Upload_Indiv_Date=M$2)*(Upload_Indiv_Net)))</f>
        <v/>
      </c>
      <c r="N214" s="2" t="str" cm="1">
        <f t="array" ref="N214">IF(SUMPRODUCT((Upload_Indiv_Player=$A213)*(Upload_Indiv_Date=N$2)*(Upload_Indiv_Net))=0,"",SUMPRODUCT((Upload_Indiv_Player=$A213)*(Upload_Indiv_Date=N$2)*(Upload_Indiv_Net)))</f>
        <v/>
      </c>
      <c r="O214" s="2" t="str" cm="1">
        <f t="array" ref="O214">IF(SUMPRODUCT((Upload_Indiv_Player=$A213)*(Upload_Indiv_Date=O$2)*(Upload_Indiv_Net))=0,"",SUMPRODUCT((Upload_Indiv_Player=$A213)*(Upload_Indiv_Date=O$2)*(Upload_Indiv_Net)))</f>
        <v/>
      </c>
      <c r="P214" s="2" t="str" cm="1">
        <f t="array" ref="P214">IF(SUMPRODUCT((Upload_Indiv_Player=$A213)*(Upload_Indiv_Date=P$2)*(Upload_Indiv_Net))=0,"",SUMPRODUCT((Upload_Indiv_Player=$A213)*(Upload_Indiv_Date=P$2)*(Upload_Indiv_Net)))</f>
        <v/>
      </c>
      <c r="Q214" s="2" t="str" cm="1">
        <f t="array" ref="Q214">IF(SUMPRODUCT((Upload_Indiv_Player=$A213)*(Upload_Indiv_Date=Q$2)*(Upload_Indiv_Net))=0,"",SUMPRODUCT((Upload_Indiv_Player=$A213)*(Upload_Indiv_Date=Q$2)*(Upload_Indiv_Net)))</f>
        <v/>
      </c>
      <c r="R214" s="2" t="str" cm="1">
        <f t="array" ref="R214">IF(SUMPRODUCT((Upload_Indiv_Player=$A213)*(Upload_Indiv_Date=R$2)*(Upload_Indiv_Net))=0,"",SUMPRODUCT((Upload_Indiv_Player=$A213)*(Upload_Indiv_Date=R$2)*(Upload_Indiv_Net)))</f>
        <v/>
      </c>
      <c r="S214" s="2" t="str" cm="1">
        <f t="array" ref="S214">IF(SUMPRODUCT((Upload_Indiv_Player=$A213)*(Upload_Indiv_Date=S$2)*(Upload_Indiv_Net))=0,"",SUMPRODUCT((Upload_Indiv_Player=$A213)*(Upload_Indiv_Date=S$2)*(Upload_Indiv_Net)))</f>
        <v/>
      </c>
      <c r="T214" s="2" t="str" cm="1">
        <f t="array" ref="T214">IF(SUMPRODUCT((Upload_Indiv_Player=$A213)*(Upload_Indiv_Date=T$2)*(Upload_Indiv_Net))=0,"",SUMPRODUCT((Upload_Indiv_Player=$A213)*(Upload_Indiv_Date=T$2)*(Upload_Indiv_Net)))</f>
        <v/>
      </c>
      <c r="U214" s="2" t="str" cm="1">
        <f t="array" ref="U214">IF(SUMPRODUCT((Upload_Indiv_Player=$A213)*(Upload_Indiv_Date=U$2)*(Upload_Indiv_Net))=0,"",SUMPRODUCT((Upload_Indiv_Player=$A213)*(Upload_Indiv_Date=U$2)*(Upload_Indiv_Net)))</f>
        <v/>
      </c>
      <c r="V214" s="276"/>
      <c r="W214" s="276"/>
      <c r="X214" s="276"/>
      <c r="Y214" s="277"/>
      <c r="Z214" s="277"/>
      <c r="AA214" s="277"/>
    </row>
    <row r="215" spans="1:27" x14ac:dyDescent="0.25">
      <c r="A215" s="65" t="s">
        <v>251</v>
      </c>
      <c r="B215" s="2" t="s">
        <v>173</v>
      </c>
      <c r="C215" s="2" t="str" cm="1">
        <f t="array" ref="C215">IF(SUMPRODUCT((Upload_Indiv_Player=$A213)*(Upload_Indiv_Date=C$2)*(Upload_Indiv_PointsTot))=0,"",SUMPRODUCT((Upload_Indiv_Player=$A213)*(Upload_Indiv_Date=C$2)*(Upload_Indiv_PointsTot)))</f>
        <v/>
      </c>
      <c r="D215" s="2" t="str" cm="1">
        <f t="array" ref="D215">IF(SUMPRODUCT((Upload_Indiv_Player=$A213)*(Upload_Indiv_Date=D$2)*(Upload_Indiv_PointsTot))=0,"",SUMPRODUCT((Upload_Indiv_Player=$A213)*(Upload_Indiv_Date=D$2)*(Upload_Indiv_PointsTot)))</f>
        <v/>
      </c>
      <c r="E215" s="2" t="str" cm="1">
        <f t="array" ref="E215">IF(SUMPRODUCT((Upload_Indiv_Player=$A213)*(Upload_Indiv_Date=E$2)*(Upload_Indiv_PointsTot))=0,"",SUMPRODUCT((Upload_Indiv_Player=$A213)*(Upload_Indiv_Date=E$2)*(Upload_Indiv_PointsTot)))</f>
        <v/>
      </c>
      <c r="F215" s="2" t="str" cm="1">
        <f t="array" ref="F215">IF(SUMPRODUCT((Upload_Indiv_Player=$A213)*(Upload_Indiv_Date=F$2)*(Upload_Indiv_PointsTot))=0,"",SUMPRODUCT((Upload_Indiv_Player=$A213)*(Upload_Indiv_Date=F$2)*(Upload_Indiv_PointsTot)))</f>
        <v/>
      </c>
      <c r="G215" s="2" t="str" cm="1">
        <f t="array" ref="G215">IF(SUMPRODUCT((Upload_Indiv_Player=$A213)*(Upload_Indiv_Date=G$2)*(Upload_Indiv_PointsTot))=0,"",SUMPRODUCT((Upload_Indiv_Player=$A213)*(Upload_Indiv_Date=G$2)*(Upload_Indiv_PointsTot)))</f>
        <v/>
      </c>
      <c r="H215" s="2" t="str" cm="1">
        <f t="array" ref="H215">IF(SUMPRODUCT((Upload_Indiv_Player=$A213)*(Upload_Indiv_Date=H$2)*(Upload_Indiv_PointsTot))=0,"",SUMPRODUCT((Upload_Indiv_Player=$A213)*(Upload_Indiv_Date=H$2)*(Upload_Indiv_PointsTot)))</f>
        <v/>
      </c>
      <c r="I215" s="2" t="str" cm="1">
        <f t="array" ref="I215">IF(SUMPRODUCT((Upload_Indiv_Player=$A213)*(Upload_Indiv_Date=I$2)*(Upload_Indiv_PointsTot))=0,"",SUMPRODUCT((Upload_Indiv_Player=$A213)*(Upload_Indiv_Date=I$2)*(Upload_Indiv_PointsTot)))</f>
        <v/>
      </c>
      <c r="J215" s="2" t="str" cm="1">
        <f t="array" ref="J215">IF(SUMPRODUCT((Upload_Indiv_Player=$A213)*(Upload_Indiv_Date=J$2)*(Upload_Indiv_PointsTot))=0,"",SUMPRODUCT((Upload_Indiv_Player=$A213)*(Upload_Indiv_Date=J$2)*(Upload_Indiv_PointsTot)))</f>
        <v/>
      </c>
      <c r="K215" s="2" t="str" cm="1">
        <f t="array" ref="K215">IF(SUMPRODUCT((Upload_Indiv_Player=$A213)*(Upload_Indiv_Date=K$2)*(Upload_Indiv_PointsTot))=0,"",SUMPRODUCT((Upload_Indiv_Player=$A213)*(Upload_Indiv_Date=K$2)*(Upload_Indiv_PointsTot)))</f>
        <v/>
      </c>
      <c r="L215" s="2" t="str" cm="1">
        <f t="array" ref="L215">IF(SUMPRODUCT((Upload_Indiv_Player=$A213)*(Upload_Indiv_Date=L$2)*(Upload_Indiv_PointsTot))=0,"",SUMPRODUCT((Upload_Indiv_Player=$A213)*(Upload_Indiv_Date=L$2)*(Upload_Indiv_PointsTot)))</f>
        <v/>
      </c>
      <c r="M215" s="2" t="str" cm="1">
        <f t="array" ref="M215">IF(SUMPRODUCT((Upload_Indiv_Player=$A213)*(Upload_Indiv_Date=M$2)*(Upload_Indiv_PointsTot))=0,"",SUMPRODUCT((Upload_Indiv_Player=$A213)*(Upload_Indiv_Date=M$2)*(Upload_Indiv_PointsTot)))</f>
        <v/>
      </c>
      <c r="N215" s="2" t="str" cm="1">
        <f t="array" ref="N215">IF(SUMPRODUCT((Upload_Indiv_Player=$A213)*(Upload_Indiv_Date=N$2)*(Upload_Indiv_PointsTot))=0,"",SUMPRODUCT((Upload_Indiv_Player=$A213)*(Upload_Indiv_Date=N$2)*(Upload_Indiv_PointsTot)))</f>
        <v/>
      </c>
      <c r="O215" s="2" t="str" cm="1">
        <f t="array" ref="O215">IF(SUMPRODUCT((Upload_Indiv_Player=$A213)*(Upload_Indiv_Date=O$2)*(Upload_Indiv_PointsTot))=0,"",SUMPRODUCT((Upload_Indiv_Player=$A213)*(Upload_Indiv_Date=O$2)*(Upload_Indiv_PointsTot)))</f>
        <v/>
      </c>
      <c r="P215" s="2" t="str" cm="1">
        <f t="array" ref="P215">IF(SUMPRODUCT((Upload_Indiv_Player=$A213)*(Upload_Indiv_Date=P$2)*(Upload_Indiv_PointsTot))=0,"",SUMPRODUCT((Upload_Indiv_Player=$A213)*(Upload_Indiv_Date=P$2)*(Upload_Indiv_PointsTot)))</f>
        <v/>
      </c>
      <c r="Q215" s="2" t="str" cm="1">
        <f t="array" ref="Q215">IF(SUMPRODUCT((Upload_Indiv_Player=$A213)*(Upload_Indiv_Date=Q$2)*(Upload_Indiv_PointsTot))=0,"",SUMPRODUCT((Upload_Indiv_Player=$A213)*(Upload_Indiv_Date=Q$2)*(Upload_Indiv_PointsTot)))</f>
        <v/>
      </c>
      <c r="R215" s="2" t="str" cm="1">
        <f t="array" ref="R215">IF(SUMPRODUCT((Upload_Indiv_Player=$A213)*(Upload_Indiv_Date=R$2)*(Upload_Indiv_PointsTot))=0,"",SUMPRODUCT((Upload_Indiv_Player=$A213)*(Upload_Indiv_Date=R$2)*(Upload_Indiv_PointsTot)))</f>
        <v/>
      </c>
      <c r="S215" s="2" t="str" cm="1">
        <f t="array" ref="S215">IF(SUMPRODUCT((Upload_Indiv_Player=$A213)*(Upload_Indiv_Date=S$2)*(Upload_Indiv_PointsTot))=0,"",SUMPRODUCT((Upload_Indiv_Player=$A213)*(Upload_Indiv_Date=S$2)*(Upload_Indiv_PointsTot)))</f>
        <v/>
      </c>
      <c r="T215" s="2" t="str" cm="1">
        <f t="array" ref="T215">IF(SUMPRODUCT((Upload_Indiv_Player=$A213)*(Upload_Indiv_Date=T$2)*(Upload_Indiv_PointsTot))=0,"",SUMPRODUCT((Upload_Indiv_Player=$A213)*(Upload_Indiv_Date=T$2)*(Upload_Indiv_PointsTot)))</f>
        <v/>
      </c>
      <c r="U215" s="2" t="str" cm="1">
        <f t="array" ref="U215">IF(SUMPRODUCT((Upload_Indiv_Player=$A213)*(Upload_Indiv_Date=U$2)*(Upload_Indiv_PointsTot))=0,"",SUMPRODUCT((Upload_Indiv_Player=$A213)*(Upload_Indiv_Date=U$2)*(Upload_Indiv_PointsTot)))</f>
        <v/>
      </c>
      <c r="V215" s="276"/>
      <c r="W215" s="276"/>
      <c r="X215" s="276"/>
      <c r="Y215" s="277"/>
      <c r="Z215" s="277"/>
      <c r="AA215" s="277"/>
    </row>
    <row r="216" spans="1:27" x14ac:dyDescent="0.25">
      <c r="A216" s="14"/>
      <c r="B216" s="2" t="s">
        <v>174</v>
      </c>
      <c r="C216" s="2" t="str" cm="1">
        <f t="array" ref="C216">IF(SUMPRODUCT((Upload_Indiv_Player=$A213)*(Upload_Indiv_Date=C$2)*(Upload_Indiv_Tot_Birds))=0,"",SUMPRODUCT((Upload_Indiv_Player=$A213)*(Upload_Indiv_Date=C$2)*(Upload_Indiv_Tot_Birds)))</f>
        <v/>
      </c>
      <c r="D216" s="2" t="str" cm="1">
        <f t="array" ref="D216">IF(SUMPRODUCT((Upload_Indiv_Player=$A213)*(Upload_Indiv_Date=D$2)*(Upload_Indiv_Tot_Birds))=0,"",SUMPRODUCT((Upload_Indiv_Player=$A213)*(Upload_Indiv_Date=D$2)*(Upload_Indiv_Tot_Birds)))</f>
        <v/>
      </c>
      <c r="E216" s="2" t="str" cm="1">
        <f t="array" ref="E216">IF(SUMPRODUCT((Upload_Indiv_Player=$A213)*(Upload_Indiv_Date=E$2)*(Upload_Indiv_Tot_Birds))=0,"",SUMPRODUCT((Upload_Indiv_Player=$A213)*(Upload_Indiv_Date=E$2)*(Upload_Indiv_Tot_Birds)))</f>
        <v/>
      </c>
      <c r="F216" s="2" t="str" cm="1">
        <f t="array" ref="F216">IF(SUMPRODUCT((Upload_Indiv_Player=$A213)*(Upload_Indiv_Date=F$2)*(Upload_Indiv_Tot_Birds))=0,"",SUMPRODUCT((Upload_Indiv_Player=$A213)*(Upload_Indiv_Date=F$2)*(Upload_Indiv_Tot_Birds)))</f>
        <v/>
      </c>
      <c r="G216" s="2" t="str" cm="1">
        <f t="array" ref="G216">IF(SUMPRODUCT((Upload_Indiv_Player=$A213)*(Upload_Indiv_Date=G$2)*(Upload_Indiv_Tot_Birds))=0,"",SUMPRODUCT((Upload_Indiv_Player=$A213)*(Upload_Indiv_Date=G$2)*(Upload_Indiv_Tot_Birds)))</f>
        <v/>
      </c>
      <c r="H216" s="2" t="str" cm="1">
        <f t="array" ref="H216">IF(SUMPRODUCT((Upload_Indiv_Player=$A213)*(Upload_Indiv_Date=H$2)*(Upload_Indiv_Tot_Birds))=0,"",SUMPRODUCT((Upload_Indiv_Player=$A213)*(Upload_Indiv_Date=H$2)*(Upload_Indiv_Tot_Birds)))</f>
        <v/>
      </c>
      <c r="I216" s="2" t="str" cm="1">
        <f t="array" ref="I216">IF(SUMPRODUCT((Upload_Indiv_Player=$A213)*(Upload_Indiv_Date=I$2)*(Upload_Indiv_Tot_Birds))=0,"",SUMPRODUCT((Upload_Indiv_Player=$A213)*(Upload_Indiv_Date=I$2)*(Upload_Indiv_Tot_Birds)))</f>
        <v/>
      </c>
      <c r="J216" s="2" t="str" cm="1">
        <f t="array" ref="J216">IF(SUMPRODUCT((Upload_Indiv_Player=$A213)*(Upload_Indiv_Date=J$2)*(Upload_Indiv_Tot_Birds))=0,"",SUMPRODUCT((Upload_Indiv_Player=$A213)*(Upload_Indiv_Date=J$2)*(Upload_Indiv_Tot_Birds)))</f>
        <v/>
      </c>
      <c r="K216" s="2" t="str" cm="1">
        <f t="array" ref="K216">IF(SUMPRODUCT((Upload_Indiv_Player=$A213)*(Upload_Indiv_Date=K$2)*(Upload_Indiv_Tot_Birds))=0,"",SUMPRODUCT((Upload_Indiv_Player=$A213)*(Upload_Indiv_Date=K$2)*(Upload_Indiv_Tot_Birds)))</f>
        <v/>
      </c>
      <c r="L216" s="2" t="str" cm="1">
        <f t="array" ref="L216">IF(SUMPRODUCT((Upload_Indiv_Player=$A213)*(Upload_Indiv_Date=L$2)*(Upload_Indiv_Tot_Birds))=0,"",SUMPRODUCT((Upload_Indiv_Player=$A213)*(Upload_Indiv_Date=L$2)*(Upload_Indiv_Tot_Birds)))</f>
        <v/>
      </c>
      <c r="M216" s="2" t="str" cm="1">
        <f t="array" ref="M216">IF(SUMPRODUCT((Upload_Indiv_Player=$A213)*(Upload_Indiv_Date=M$2)*(Upload_Indiv_Tot_Birds))=0,"",SUMPRODUCT((Upload_Indiv_Player=$A213)*(Upload_Indiv_Date=M$2)*(Upload_Indiv_Tot_Birds)))</f>
        <v/>
      </c>
      <c r="N216" s="2" t="str" cm="1">
        <f t="array" ref="N216">IF(SUMPRODUCT((Upload_Indiv_Player=$A213)*(Upload_Indiv_Date=N$2)*(Upload_Indiv_Tot_Birds))=0,"",SUMPRODUCT((Upload_Indiv_Player=$A213)*(Upload_Indiv_Date=N$2)*(Upload_Indiv_Tot_Birds)))</f>
        <v/>
      </c>
      <c r="O216" s="2" t="str" cm="1">
        <f t="array" ref="O216">IF(SUMPRODUCT((Upload_Indiv_Player=$A213)*(Upload_Indiv_Date=O$2)*(Upload_Indiv_Tot_Birds))=0,"",SUMPRODUCT((Upload_Indiv_Player=$A213)*(Upload_Indiv_Date=O$2)*(Upload_Indiv_Tot_Birds)))</f>
        <v/>
      </c>
      <c r="P216" s="2" t="str" cm="1">
        <f t="array" ref="P216">IF(SUMPRODUCT((Upload_Indiv_Player=$A213)*(Upload_Indiv_Date=P$2)*(Upload_Indiv_Tot_Birds))=0,"",SUMPRODUCT((Upload_Indiv_Player=$A213)*(Upload_Indiv_Date=P$2)*(Upload_Indiv_Tot_Birds)))</f>
        <v/>
      </c>
      <c r="Q216" s="2" t="str" cm="1">
        <f t="array" ref="Q216">IF(SUMPRODUCT((Upload_Indiv_Player=$A213)*(Upload_Indiv_Date=Q$2)*(Upload_Indiv_Tot_Birds))=0,"",SUMPRODUCT((Upload_Indiv_Player=$A213)*(Upload_Indiv_Date=Q$2)*(Upload_Indiv_Tot_Birds)))</f>
        <v/>
      </c>
      <c r="R216" s="2" t="str" cm="1">
        <f t="array" ref="R216">IF(SUMPRODUCT((Upload_Indiv_Player=$A213)*(Upload_Indiv_Date=R$2)*(Upload_Indiv_Tot_Birds))=0,"",SUMPRODUCT((Upload_Indiv_Player=$A213)*(Upload_Indiv_Date=R$2)*(Upload_Indiv_Tot_Birds)))</f>
        <v/>
      </c>
      <c r="S216" s="2" t="str" cm="1">
        <f t="array" ref="S216">IF(SUMPRODUCT((Upload_Indiv_Player=$A213)*(Upload_Indiv_Date=S$2)*(Upload_Indiv_Tot_Birds))=0,"",SUMPRODUCT((Upload_Indiv_Player=$A213)*(Upload_Indiv_Date=S$2)*(Upload_Indiv_Tot_Birds)))</f>
        <v/>
      </c>
      <c r="T216" s="2" t="str" cm="1">
        <f t="array" ref="T216">IF(SUMPRODUCT((Upload_Indiv_Player=$A213)*(Upload_Indiv_Date=T$2)*(Upload_Indiv_Tot_Birds))=0,"",SUMPRODUCT((Upload_Indiv_Player=$A213)*(Upload_Indiv_Date=T$2)*(Upload_Indiv_Tot_Birds)))</f>
        <v/>
      </c>
      <c r="U216" s="2" t="str" cm="1">
        <f t="array" ref="U216">IF(SUMPRODUCT((Upload_Indiv_Player=$A213)*(Upload_Indiv_Date=U$2)*(Upload_Indiv_Tot_Birds))=0,"",SUMPRODUCT((Upload_Indiv_Player=$A213)*(Upload_Indiv_Date=U$2)*(Upload_Indiv_Tot_Birds)))</f>
        <v/>
      </c>
      <c r="V216" s="276"/>
      <c r="W216" s="276"/>
      <c r="X216" s="276"/>
      <c r="Y216" s="277"/>
      <c r="Z216" s="277"/>
      <c r="AA216" s="277"/>
    </row>
    <row r="217" spans="1:27" x14ac:dyDescent="0.25">
      <c r="A217" s="14"/>
      <c r="B217" s="8" t="s">
        <v>175</v>
      </c>
      <c r="C217" s="2" t="str" cm="1">
        <f t="array" ref="C217">IF(SUMPRODUCT((Upload_Indiv_Player=$A213)*(Upload_Indiv_Date=C$2)*(Upload_Indiv_Tot_Eagles))=0,"",SUMPRODUCT((Upload_Indiv_Player=$A213)*(Upload_Indiv_Date=C$2)*(Upload_Indiv_Tot_Eagles)))</f>
        <v/>
      </c>
      <c r="D217" s="2" t="str" cm="1">
        <f t="array" ref="D217">IF(SUMPRODUCT((Upload_Indiv_Player=$A213)*(Upload_Indiv_Date=D$2)*(Upload_Indiv_Tot_Eagles))=0,"",SUMPRODUCT((Upload_Indiv_Player=$A213)*(Upload_Indiv_Date=D$2)*(Upload_Indiv_Tot_Eagles)))</f>
        <v/>
      </c>
      <c r="E217" s="2" t="str" cm="1">
        <f t="array" ref="E217">IF(SUMPRODUCT((Upload_Indiv_Player=$A213)*(Upload_Indiv_Date=E$2)*(Upload_Indiv_Tot_Eagles))=0,"",SUMPRODUCT((Upload_Indiv_Player=$A213)*(Upload_Indiv_Date=E$2)*(Upload_Indiv_Tot_Eagles)))</f>
        <v/>
      </c>
      <c r="F217" s="2" t="str" cm="1">
        <f t="array" ref="F217">IF(SUMPRODUCT((Upload_Indiv_Player=$A213)*(Upload_Indiv_Date=F$2)*(Upload_Indiv_Tot_Eagles))=0,"",SUMPRODUCT((Upload_Indiv_Player=$A213)*(Upload_Indiv_Date=F$2)*(Upload_Indiv_Tot_Eagles)))</f>
        <v/>
      </c>
      <c r="G217" s="2" t="str" cm="1">
        <f t="array" ref="G217">IF(SUMPRODUCT((Upload_Indiv_Player=$A213)*(Upload_Indiv_Date=G$2)*(Upload_Indiv_Tot_Eagles))=0,"",SUMPRODUCT((Upload_Indiv_Player=$A213)*(Upload_Indiv_Date=G$2)*(Upload_Indiv_Tot_Eagles)))</f>
        <v/>
      </c>
      <c r="H217" s="2" t="str" cm="1">
        <f t="array" ref="H217">IF(SUMPRODUCT((Upload_Indiv_Player=$A213)*(Upload_Indiv_Date=H$2)*(Upload_Indiv_Tot_Eagles))=0,"",SUMPRODUCT((Upload_Indiv_Player=$A213)*(Upload_Indiv_Date=H$2)*(Upload_Indiv_Tot_Eagles)))</f>
        <v/>
      </c>
      <c r="I217" s="2" t="str" cm="1">
        <f t="array" ref="I217">IF(SUMPRODUCT((Upload_Indiv_Player=$A213)*(Upload_Indiv_Date=I$2)*(Upload_Indiv_Tot_Eagles))=0,"",SUMPRODUCT((Upload_Indiv_Player=$A213)*(Upload_Indiv_Date=I$2)*(Upload_Indiv_Tot_Eagles)))</f>
        <v/>
      </c>
      <c r="J217" s="2" t="str" cm="1">
        <f t="array" ref="J217">IF(SUMPRODUCT((Upload_Indiv_Player=$A213)*(Upload_Indiv_Date=J$2)*(Upload_Indiv_Tot_Eagles))=0,"",SUMPRODUCT((Upload_Indiv_Player=$A213)*(Upload_Indiv_Date=J$2)*(Upload_Indiv_Tot_Eagles)))</f>
        <v/>
      </c>
      <c r="K217" s="2" t="str" cm="1">
        <f t="array" ref="K217">IF(SUMPRODUCT((Upload_Indiv_Player=$A213)*(Upload_Indiv_Date=K$2)*(Upload_Indiv_Tot_Eagles))=0,"",SUMPRODUCT((Upload_Indiv_Player=$A213)*(Upload_Indiv_Date=K$2)*(Upload_Indiv_Tot_Eagles)))</f>
        <v/>
      </c>
      <c r="L217" s="2" t="str" cm="1">
        <f t="array" ref="L217">IF(SUMPRODUCT((Upload_Indiv_Player=$A213)*(Upload_Indiv_Date=L$2)*(Upload_Indiv_Tot_Eagles))=0,"",SUMPRODUCT((Upload_Indiv_Player=$A213)*(Upload_Indiv_Date=L$2)*(Upload_Indiv_Tot_Eagles)))</f>
        <v/>
      </c>
      <c r="M217" s="2" t="str" cm="1">
        <f t="array" ref="M217">IF(SUMPRODUCT((Upload_Indiv_Player=$A213)*(Upload_Indiv_Date=M$2)*(Upload_Indiv_Tot_Eagles))=0,"",SUMPRODUCT((Upload_Indiv_Player=$A213)*(Upload_Indiv_Date=M$2)*(Upload_Indiv_Tot_Eagles)))</f>
        <v/>
      </c>
      <c r="N217" s="2" t="str" cm="1">
        <f t="array" ref="N217">IF(SUMPRODUCT((Upload_Indiv_Player=$A213)*(Upload_Indiv_Date=N$2)*(Upload_Indiv_Tot_Eagles))=0,"",SUMPRODUCT((Upload_Indiv_Player=$A213)*(Upload_Indiv_Date=N$2)*(Upload_Indiv_Tot_Eagles)))</f>
        <v/>
      </c>
      <c r="O217" s="2" t="str" cm="1">
        <f t="array" ref="O217">IF(SUMPRODUCT((Upload_Indiv_Player=$A213)*(Upload_Indiv_Date=O$2)*(Upload_Indiv_Tot_Eagles))=0,"",SUMPRODUCT((Upload_Indiv_Player=$A213)*(Upload_Indiv_Date=O$2)*(Upload_Indiv_Tot_Eagles)))</f>
        <v/>
      </c>
      <c r="P217" s="2" t="str" cm="1">
        <f t="array" ref="P217">IF(SUMPRODUCT((Upload_Indiv_Player=$A213)*(Upload_Indiv_Date=P$2)*(Upload_Indiv_Tot_Eagles))=0,"",SUMPRODUCT((Upload_Indiv_Player=$A213)*(Upload_Indiv_Date=P$2)*(Upload_Indiv_Tot_Eagles)))</f>
        <v/>
      </c>
      <c r="Q217" s="2" t="str" cm="1">
        <f t="array" ref="Q217">IF(SUMPRODUCT((Upload_Indiv_Player=$A213)*(Upload_Indiv_Date=Q$2)*(Upload_Indiv_Tot_Eagles))=0,"",SUMPRODUCT((Upload_Indiv_Player=$A213)*(Upload_Indiv_Date=Q$2)*(Upload_Indiv_Tot_Eagles)))</f>
        <v/>
      </c>
      <c r="R217" s="2" t="str" cm="1">
        <f t="array" ref="R217">IF(SUMPRODUCT((Upload_Indiv_Player=$A213)*(Upload_Indiv_Date=R$2)*(Upload_Indiv_Tot_Eagles))=0,"",SUMPRODUCT((Upload_Indiv_Player=$A213)*(Upload_Indiv_Date=R$2)*(Upload_Indiv_Tot_Eagles)))</f>
        <v/>
      </c>
      <c r="S217" s="2" t="str" cm="1">
        <f t="array" ref="S217">IF(SUMPRODUCT((Upload_Indiv_Player=$A213)*(Upload_Indiv_Date=S$2)*(Upload_Indiv_Tot_Eagles))=0,"",SUMPRODUCT((Upload_Indiv_Player=$A213)*(Upload_Indiv_Date=S$2)*(Upload_Indiv_Tot_Eagles)))</f>
        <v/>
      </c>
      <c r="T217" s="2" t="str" cm="1">
        <f t="array" ref="T217">IF(SUMPRODUCT((Upload_Indiv_Player=$A213)*(Upload_Indiv_Date=T$2)*(Upload_Indiv_Tot_Eagles))=0,"",SUMPRODUCT((Upload_Indiv_Player=$A213)*(Upload_Indiv_Date=T$2)*(Upload_Indiv_Tot_Eagles)))</f>
        <v/>
      </c>
      <c r="U217" s="2" t="str" cm="1">
        <f t="array" ref="U217">IF(SUMPRODUCT((Upload_Indiv_Player=$A213)*(Upload_Indiv_Date=U$2)*(Upload_Indiv_Tot_Eagles))=0,"",SUMPRODUCT((Upload_Indiv_Player=$A213)*(Upload_Indiv_Date=U$2)*(Upload_Indiv_Tot_Eagles)))</f>
        <v/>
      </c>
      <c r="V217" s="276"/>
      <c r="W217" s="276"/>
      <c r="X217" s="276"/>
      <c r="Y217" s="277"/>
      <c r="Z217" s="278"/>
      <c r="AA217" s="277"/>
    </row>
    <row r="218" spans="1:27" x14ac:dyDescent="0.25">
      <c r="A218" s="14"/>
      <c r="B218" s="2" t="s">
        <v>176</v>
      </c>
      <c r="C218" s="2" t="str" cm="1">
        <f t="array" ref="C218">IF(SUMPRODUCT((Upload_Indiv_Player=$A213)*(Upload_Indiv_Date=C$2)*(Upload_Indiv_Excl_Score))=0,"",SUMPRODUCT((Upload_Indiv_Player=$A213)*(Upload_Indiv_Date=C$2)*(Upload_Indiv_Excl_Score)))</f>
        <v/>
      </c>
      <c r="D218" s="2" t="str" cm="1">
        <f t="array" ref="D218">IF(SUMPRODUCT((Upload_Indiv_Player=$A213)*(Upload_Indiv_Date=D$2)*(Upload_Indiv_Excl_Score))=0,"",SUMPRODUCT((Upload_Indiv_Player=$A213)*(Upload_Indiv_Date=D$2)*(Upload_Indiv_Excl_Score)))</f>
        <v/>
      </c>
      <c r="E218" s="2" t="str" cm="1">
        <f t="array" ref="E218">IF(SUMPRODUCT((Upload_Indiv_Player=$A213)*(Upload_Indiv_Date=E$2)*(Upload_Indiv_Excl_Score))=0,"",SUMPRODUCT((Upload_Indiv_Player=$A213)*(Upload_Indiv_Date=E$2)*(Upload_Indiv_Excl_Score)))</f>
        <v/>
      </c>
      <c r="F218" s="2" t="str" cm="1">
        <f t="array" ref="F218">IF(SUMPRODUCT((Upload_Indiv_Player=$A213)*(Upload_Indiv_Date=F$2)*(Upload_Indiv_Excl_Score))=0,"",SUMPRODUCT((Upload_Indiv_Player=$A213)*(Upload_Indiv_Date=F$2)*(Upload_Indiv_Excl_Score)))</f>
        <v/>
      </c>
      <c r="G218" s="2" t="str" cm="1">
        <f t="array" ref="G218">IF(SUMPRODUCT((Upload_Indiv_Player=$A213)*(Upload_Indiv_Date=G$2)*(Upload_Indiv_Excl_Score))=0,"",SUMPRODUCT((Upload_Indiv_Player=$A213)*(Upload_Indiv_Date=G$2)*(Upload_Indiv_Excl_Score)))</f>
        <v/>
      </c>
      <c r="H218" s="2" t="str" cm="1">
        <f t="array" ref="H218">IF(SUMPRODUCT((Upload_Indiv_Player=$A213)*(Upload_Indiv_Date=H$2)*(Upload_Indiv_Excl_Score))=0,"",SUMPRODUCT((Upload_Indiv_Player=$A213)*(Upload_Indiv_Date=H$2)*(Upload_Indiv_Excl_Score)))</f>
        <v/>
      </c>
      <c r="I218" s="2" t="str" cm="1">
        <f t="array" ref="I218">IF(SUMPRODUCT((Upload_Indiv_Player=$A213)*(Upload_Indiv_Date=I$2)*(Upload_Indiv_Excl_Score))=0,"",SUMPRODUCT((Upload_Indiv_Player=$A213)*(Upload_Indiv_Date=I$2)*(Upload_Indiv_Excl_Score)))</f>
        <v/>
      </c>
      <c r="J218" s="2" t="str" cm="1">
        <f t="array" ref="J218">IF(SUMPRODUCT((Upload_Indiv_Player=$A213)*(Upload_Indiv_Date=J$2)*(Upload_Indiv_Excl_Score))=0,"",SUMPRODUCT((Upload_Indiv_Player=$A213)*(Upload_Indiv_Date=J$2)*(Upload_Indiv_Excl_Score)))</f>
        <v/>
      </c>
      <c r="K218" s="2" t="str" cm="1">
        <f t="array" ref="K218">IF(SUMPRODUCT((Upload_Indiv_Player=$A213)*(Upload_Indiv_Date=K$2)*(Upload_Indiv_Excl_Score))=0,"",SUMPRODUCT((Upload_Indiv_Player=$A213)*(Upload_Indiv_Date=K$2)*(Upload_Indiv_Excl_Score)))</f>
        <v/>
      </c>
      <c r="L218" s="2" t="str" cm="1">
        <f t="array" ref="L218">IF(SUMPRODUCT((Upload_Indiv_Player=$A213)*(Upload_Indiv_Date=L$2)*(Upload_Indiv_Excl_Score))=0,"",SUMPRODUCT((Upload_Indiv_Player=$A213)*(Upload_Indiv_Date=L$2)*(Upload_Indiv_Excl_Score)))</f>
        <v/>
      </c>
      <c r="M218" s="2" t="str" cm="1">
        <f t="array" ref="M218">IF(SUMPRODUCT((Upload_Indiv_Player=$A213)*(Upload_Indiv_Date=M$2)*(Upload_Indiv_Excl_Score))=0,"",SUMPRODUCT((Upload_Indiv_Player=$A213)*(Upload_Indiv_Date=M$2)*(Upload_Indiv_Excl_Score)))</f>
        <v/>
      </c>
      <c r="N218" s="2" t="str" cm="1">
        <f t="array" ref="N218">IF(SUMPRODUCT((Upload_Indiv_Player=$A213)*(Upload_Indiv_Date=N$2)*(Upload_Indiv_Excl_Score))=0,"",SUMPRODUCT((Upload_Indiv_Player=$A213)*(Upload_Indiv_Date=N$2)*(Upload_Indiv_Excl_Score)))</f>
        <v/>
      </c>
      <c r="O218" s="2" t="str" cm="1">
        <f t="array" ref="O218">IF(SUMPRODUCT((Upload_Indiv_Player=$A213)*(Upload_Indiv_Date=O$2)*(Upload_Indiv_Excl_Score))=0,"",SUMPRODUCT((Upload_Indiv_Player=$A213)*(Upload_Indiv_Date=O$2)*(Upload_Indiv_Excl_Score)))</f>
        <v/>
      </c>
      <c r="P218" s="2" t="str" cm="1">
        <f t="array" ref="P218">IF(SUMPRODUCT((Upload_Indiv_Player=$A213)*(Upload_Indiv_Date=P$2)*(Upload_Indiv_Excl_Score))=0,"",SUMPRODUCT((Upload_Indiv_Player=$A213)*(Upload_Indiv_Date=P$2)*(Upload_Indiv_Excl_Score)))</f>
        <v/>
      </c>
      <c r="Q218" s="2" t="str" cm="1">
        <f t="array" ref="Q218">IF(SUMPRODUCT((Upload_Indiv_Player=$A213)*(Upload_Indiv_Date=Q$2)*(Upload_Indiv_Excl_Score))=0,"",SUMPRODUCT((Upload_Indiv_Player=$A213)*(Upload_Indiv_Date=Q$2)*(Upload_Indiv_Excl_Score)))</f>
        <v/>
      </c>
      <c r="R218" s="2" t="str" cm="1">
        <f t="array" ref="R218">IF(SUMPRODUCT((Upload_Indiv_Player=$A213)*(Upload_Indiv_Date=R$2)*(Upload_Indiv_Excl_Score))=0,"",SUMPRODUCT((Upload_Indiv_Player=$A213)*(Upload_Indiv_Date=R$2)*(Upload_Indiv_Excl_Score)))</f>
        <v/>
      </c>
      <c r="S218" s="2" t="str" cm="1">
        <f t="array" ref="S218">IF(SUMPRODUCT((Upload_Indiv_Player=$A213)*(Upload_Indiv_Date=S$2)*(Upload_Indiv_Excl_Score))=0,"",SUMPRODUCT((Upload_Indiv_Player=$A213)*(Upload_Indiv_Date=S$2)*(Upload_Indiv_Excl_Score)))</f>
        <v/>
      </c>
      <c r="T218" s="2" t="str" cm="1">
        <f t="array" ref="T218">IF(SUMPRODUCT((Upload_Indiv_Player=$A213)*(Upload_Indiv_Date=T$2)*(Upload_Indiv_Excl_Score))=0,"",SUMPRODUCT((Upload_Indiv_Player=$A213)*(Upload_Indiv_Date=T$2)*(Upload_Indiv_Excl_Score)))</f>
        <v/>
      </c>
      <c r="U218" s="2" t="str" cm="1">
        <f t="array" ref="U218">IF(SUMPRODUCT((Upload_Indiv_Player=$A213)*(Upload_Indiv_Date=U$2)*(Upload_Indiv_Excl_Score))=0,"",SUMPRODUCT((Upload_Indiv_Player=$A213)*(Upload_Indiv_Date=U$2)*(Upload_Indiv_Excl_Score)))</f>
        <v/>
      </c>
      <c r="V218" s="276"/>
      <c r="W218" s="276"/>
      <c r="X218" s="276"/>
      <c r="Y218" s="277"/>
      <c r="Z218" s="277"/>
      <c r="AA218" s="277"/>
    </row>
    <row r="219" spans="1:27" x14ac:dyDescent="0.25">
      <c r="A219" s="14"/>
      <c r="B219" s="2" t="s">
        <v>177</v>
      </c>
      <c r="C219" s="2" t="str" cm="1">
        <f t="array" ref="C219">IFERROR(INDEX(Upload_Indiv_Team,MATCH(1,($A213=Upload_Indiv_Player)*(C$2=Upload_Indiv_Date),0)),"")</f>
        <v/>
      </c>
      <c r="D219" s="2" t="str" cm="1">
        <f t="array" ref="D219">IFERROR(INDEX(Upload_Indiv_Team,MATCH(1,($A213=Upload_Indiv_Player)*(D$2=Upload_Indiv_Date),0)),"")</f>
        <v/>
      </c>
      <c r="E219" s="2" t="str" cm="1">
        <f t="array" ref="E219">IFERROR(INDEX(Upload_Indiv_Team,MATCH(1,($A213=Upload_Indiv_Player)*(E$2=Upload_Indiv_Date),0)),"")</f>
        <v/>
      </c>
      <c r="F219" s="2" t="str" cm="1">
        <f t="array" ref="F219">IFERROR(INDEX(Upload_Indiv_Team,MATCH(1,($A213=Upload_Indiv_Player)*(F$2=Upload_Indiv_Date),0)),"")</f>
        <v/>
      </c>
      <c r="G219" s="2" t="str" cm="1">
        <f t="array" ref="G219">IFERROR(INDEX(Upload_Indiv_Team,MATCH(1,($A213=Upload_Indiv_Player)*(G$2=Upload_Indiv_Date),0)),"")</f>
        <v/>
      </c>
      <c r="H219" s="2" t="str" cm="1">
        <f t="array" ref="H219">IFERROR(INDEX(Upload_Indiv_Team,MATCH(1,($A213=Upload_Indiv_Player)*(H$2=Upload_Indiv_Date),0)),"")</f>
        <v/>
      </c>
      <c r="I219" s="2" t="str" cm="1">
        <f t="array" ref="I219">IFERROR(INDEX(Upload_Indiv_Team,MATCH(1,($A213=Upload_Indiv_Player)*(I$2=Upload_Indiv_Date),0)),"")</f>
        <v/>
      </c>
      <c r="J219" s="2" t="str" cm="1">
        <f t="array" ref="J219">IFERROR(INDEX(Upload_Indiv_Team,MATCH(1,($A213=Upload_Indiv_Player)*(J$2=Upload_Indiv_Date),0)),"")</f>
        <v/>
      </c>
      <c r="K219" s="2" t="str" cm="1">
        <f t="array" ref="K219">IFERROR(INDEX(Upload_Indiv_Team,MATCH(1,($A213=Upload_Indiv_Player)*(K$2=Upload_Indiv_Date),0)),"")</f>
        <v/>
      </c>
      <c r="L219" s="2" t="str" cm="1">
        <f t="array" ref="L219">IFERROR(INDEX(Upload_Indiv_Team,MATCH(1,($A213=Upload_Indiv_Player)*(L$2=Upload_Indiv_Date),0)),"")</f>
        <v/>
      </c>
      <c r="M219" s="2" t="str" cm="1">
        <f t="array" ref="M219">IFERROR(INDEX(Upload_Indiv_Team,MATCH(1,($A213=Upload_Indiv_Player)*(M$2=Upload_Indiv_Date),0)),"")</f>
        <v/>
      </c>
      <c r="N219" s="2" t="str" cm="1">
        <f t="array" ref="N219">IFERROR(INDEX(Upload_Indiv_Team,MATCH(1,($A213=Upload_Indiv_Player)*(N$2=Upload_Indiv_Date),0)),"")</f>
        <v/>
      </c>
      <c r="O219" s="2" t="str" cm="1">
        <f t="array" ref="O219">IFERROR(INDEX(Upload_Indiv_Team,MATCH(1,($A213=Upload_Indiv_Player)*(O$2=Upload_Indiv_Date),0)),"")</f>
        <v/>
      </c>
      <c r="P219" s="2" t="str" cm="1">
        <f t="array" ref="P219">IFERROR(INDEX(Upload_Indiv_Team,MATCH(1,($A213=Upload_Indiv_Player)*(P$2=Upload_Indiv_Date),0)),"")</f>
        <v/>
      </c>
      <c r="Q219" s="2" t="str" cm="1">
        <f t="array" ref="Q219">IFERROR(INDEX(Upload_Indiv_Team,MATCH(1,($A213=Upload_Indiv_Player)*(Q$2=Upload_Indiv_Date),0)),"")</f>
        <v/>
      </c>
      <c r="R219" s="2" t="str" cm="1">
        <f t="array" ref="R219">IFERROR(INDEX(Upload_Indiv_Team,MATCH(1,($A213=Upload_Indiv_Player)*(R$2=Upload_Indiv_Date),0)),"")</f>
        <v/>
      </c>
      <c r="S219" s="2" t="str" cm="1">
        <f t="array" ref="S219">IFERROR(INDEX(Upload_Indiv_Team,MATCH(1,($A213=Upload_Indiv_Player)*(S$2=Upload_Indiv_Date),0)),"")</f>
        <v/>
      </c>
      <c r="T219" s="2" t="str" cm="1">
        <f t="array" ref="T219">IFERROR(INDEX(Upload_Indiv_Team,MATCH(1,($A213=Upload_Indiv_Player)*(T$2=Upload_Indiv_Date),0)),"")</f>
        <v/>
      </c>
      <c r="U219" s="2" t="str" cm="1">
        <f t="array" ref="U219">IFERROR(INDEX(Upload_Indiv_Team,MATCH(1,($A213=Upload_Indiv_Player)*(U$2=Upload_Indiv_Date),0)),"")</f>
        <v/>
      </c>
      <c r="V219" s="276"/>
      <c r="W219" s="276"/>
      <c r="X219" s="276"/>
      <c r="Y219" s="277"/>
      <c r="Z219" s="277"/>
      <c r="AA219" s="277"/>
    </row>
    <row r="220" spans="1:27" ht="13.8" thickBot="1" x14ac:dyDescent="0.3">
      <c r="A220" s="329" t="s">
        <v>160</v>
      </c>
      <c r="B220" s="8" t="s">
        <v>178</v>
      </c>
      <c r="C220" s="58" t="str">
        <f t="shared" ref="C220:U220" si="27">IF(C213="", "", IF(C215&gt;=11, "w", IF(C215&lt;=9, "l", "t")))</f>
        <v/>
      </c>
      <c r="D220" s="58" t="str">
        <f t="shared" si="27"/>
        <v/>
      </c>
      <c r="E220" s="58" t="str">
        <f t="shared" si="27"/>
        <v/>
      </c>
      <c r="F220" s="58" t="str">
        <f t="shared" si="27"/>
        <v/>
      </c>
      <c r="G220" s="58" t="str">
        <f t="shared" si="27"/>
        <v/>
      </c>
      <c r="H220" s="58" t="str">
        <f t="shared" si="27"/>
        <v/>
      </c>
      <c r="I220" s="58" t="str">
        <f t="shared" si="27"/>
        <v/>
      </c>
      <c r="J220" s="58" t="str">
        <f t="shared" si="27"/>
        <v/>
      </c>
      <c r="K220" s="58" t="str">
        <f t="shared" si="27"/>
        <v/>
      </c>
      <c r="L220" s="58" t="str">
        <f t="shared" si="27"/>
        <v/>
      </c>
      <c r="M220" s="58" t="str">
        <f t="shared" si="27"/>
        <v/>
      </c>
      <c r="N220" s="58" t="str">
        <f t="shared" si="27"/>
        <v/>
      </c>
      <c r="O220" s="58" t="str">
        <f t="shared" si="27"/>
        <v/>
      </c>
      <c r="P220" s="58" t="str">
        <f t="shared" si="27"/>
        <v/>
      </c>
      <c r="Q220" s="58" t="str">
        <f t="shared" si="27"/>
        <v/>
      </c>
      <c r="R220" s="58" t="str">
        <f t="shared" si="27"/>
        <v/>
      </c>
      <c r="S220" s="58" t="str">
        <f t="shared" si="27"/>
        <v/>
      </c>
      <c r="T220" s="58" t="str">
        <f t="shared" si="27"/>
        <v/>
      </c>
      <c r="U220" s="58" t="str">
        <f t="shared" si="27"/>
        <v/>
      </c>
      <c r="V220" s="276"/>
      <c r="W220" s="276"/>
      <c r="X220" s="276"/>
      <c r="Y220" s="277"/>
      <c r="Z220" s="277"/>
      <c r="AA220" s="277"/>
    </row>
    <row r="221" spans="1:27" x14ac:dyDescent="0.25">
      <c r="A221" s="11" t="s">
        <v>429</v>
      </c>
      <c r="B221" s="3" t="s">
        <v>170</v>
      </c>
      <c r="C221" s="3" t="str" cm="1">
        <f t="array" ref="C221">IF(SUMPRODUCT((Upload_Indiv_Player=$A221)*(Upload_Indiv_Date=C$2)*(Upload_Indiv_Gross))=0,"",SUMPRODUCT((Upload_Indiv_Player=$A221)*(Upload_Indiv_Date=C$2)*(Upload_Indiv_Gross)))</f>
        <v/>
      </c>
      <c r="D221" s="3" t="str" cm="1">
        <f t="array" ref="D221">IF(SUMPRODUCT((Upload_Indiv_Player=$A221)*(Upload_Indiv_Date=D$2)*(Upload_Indiv_Gross))=0,"",SUMPRODUCT((Upload_Indiv_Player=$A221)*(Upload_Indiv_Date=D$2)*(Upload_Indiv_Gross)))</f>
        <v/>
      </c>
      <c r="E221" s="3" t="str" cm="1">
        <f t="array" ref="E221">IF(SUMPRODUCT((Upload_Indiv_Player=$A221)*(Upload_Indiv_Date=E$2)*(Upload_Indiv_Gross))=0,"",SUMPRODUCT((Upload_Indiv_Player=$A221)*(Upload_Indiv_Date=E$2)*(Upload_Indiv_Gross)))</f>
        <v/>
      </c>
      <c r="F221" s="3" t="str" cm="1">
        <f t="array" ref="F221">IF(SUMPRODUCT((Upload_Indiv_Player=$A221)*(Upload_Indiv_Date=F$2)*(Upload_Indiv_Gross))=0,"",SUMPRODUCT((Upload_Indiv_Player=$A221)*(Upload_Indiv_Date=F$2)*(Upload_Indiv_Gross)))</f>
        <v/>
      </c>
      <c r="G221" s="3" t="str" cm="1">
        <f t="array" ref="G221">IF(SUMPRODUCT((Upload_Indiv_Player=$A221)*(Upload_Indiv_Date=G$2)*(Upload_Indiv_Gross))=0,"",SUMPRODUCT((Upload_Indiv_Player=$A221)*(Upload_Indiv_Date=G$2)*(Upload_Indiv_Gross)))</f>
        <v/>
      </c>
      <c r="H221" s="3" t="str" cm="1">
        <f t="array" ref="H221">IF(SUMPRODUCT((Upload_Indiv_Player=$A221)*(Upload_Indiv_Date=H$2)*(Upload_Indiv_Gross))=0,"",SUMPRODUCT((Upload_Indiv_Player=$A221)*(Upload_Indiv_Date=H$2)*(Upload_Indiv_Gross)))</f>
        <v/>
      </c>
      <c r="I221" s="3" t="str" cm="1">
        <f t="array" ref="I221">IF(SUMPRODUCT((Upload_Indiv_Player=$A221)*(Upload_Indiv_Date=I$2)*(Upload_Indiv_Gross))=0,"",SUMPRODUCT((Upload_Indiv_Player=$A221)*(Upload_Indiv_Date=I$2)*(Upload_Indiv_Gross)))</f>
        <v/>
      </c>
      <c r="J221" s="3" t="str" cm="1">
        <f t="array" ref="J221">IF(SUMPRODUCT((Upload_Indiv_Player=$A221)*(Upload_Indiv_Date=J$2)*(Upload_Indiv_Gross))=0,"",SUMPRODUCT((Upload_Indiv_Player=$A221)*(Upload_Indiv_Date=J$2)*(Upload_Indiv_Gross)))</f>
        <v/>
      </c>
      <c r="K221" s="3" t="str" cm="1">
        <f t="array" ref="K221">IF(SUMPRODUCT((Upload_Indiv_Player=$A221)*(Upload_Indiv_Date=K$2)*(Upload_Indiv_Gross))=0,"",SUMPRODUCT((Upload_Indiv_Player=$A221)*(Upload_Indiv_Date=K$2)*(Upload_Indiv_Gross)))</f>
        <v/>
      </c>
      <c r="L221" s="3" t="str" cm="1">
        <f t="array" ref="L221">IF(SUMPRODUCT((Upload_Indiv_Player=$A221)*(Upload_Indiv_Date=L$2)*(Upload_Indiv_Gross))=0,"",SUMPRODUCT((Upload_Indiv_Player=$A221)*(Upload_Indiv_Date=L$2)*(Upload_Indiv_Gross)))</f>
        <v/>
      </c>
      <c r="M221" s="3" cm="1">
        <f t="array" ref="M221">IF(SUMPRODUCT((Upload_Indiv_Player=$A221)*(Upload_Indiv_Date=M$2)*(Upload_Indiv_Gross))=0,"",SUMPRODUCT((Upload_Indiv_Player=$A221)*(Upload_Indiv_Date=M$2)*(Upload_Indiv_Gross)))</f>
        <v>52</v>
      </c>
      <c r="N221" s="3" t="str" cm="1">
        <f t="array" ref="N221">IF(SUMPRODUCT((Upload_Indiv_Player=$A221)*(Upload_Indiv_Date=N$2)*(Upload_Indiv_Gross))=0,"",SUMPRODUCT((Upload_Indiv_Player=$A221)*(Upload_Indiv_Date=N$2)*(Upload_Indiv_Gross)))</f>
        <v/>
      </c>
      <c r="O221" s="3" t="str" cm="1">
        <f t="array" ref="O221">IF(SUMPRODUCT((Upload_Indiv_Player=$A221)*(Upload_Indiv_Date=O$2)*(Upload_Indiv_Gross))=0,"",SUMPRODUCT((Upload_Indiv_Player=$A221)*(Upload_Indiv_Date=O$2)*(Upload_Indiv_Gross)))</f>
        <v/>
      </c>
      <c r="P221" s="3" t="str" cm="1">
        <f t="array" ref="P221">IF(SUMPRODUCT((Upload_Indiv_Player=$A221)*(Upload_Indiv_Date=P$2)*(Upload_Indiv_Gross))=0,"",SUMPRODUCT((Upload_Indiv_Player=$A221)*(Upload_Indiv_Date=P$2)*(Upload_Indiv_Gross)))</f>
        <v/>
      </c>
      <c r="Q221" s="2" t="str" cm="1">
        <f t="array" ref="Q221">IF(SUMPRODUCT((Upload_Indiv_Player=$A221)*(Upload_Indiv_Date=Q$2)*(Upload_Indiv_Gross))=0,"",SUMPRODUCT((Upload_Indiv_Player=$A221)*(Upload_Indiv_Date=Q$2)*(Upload_Indiv_Gross)))</f>
        <v/>
      </c>
      <c r="R221" s="2" t="str" cm="1">
        <f t="array" ref="R221">IF(SUMPRODUCT((Upload_Indiv_Player=$A221)*(Upload_Indiv_Date=R$2)*(Upload_Indiv_Gross))=0,"",SUMPRODUCT((Upload_Indiv_Player=$A221)*(Upload_Indiv_Date=R$2)*(Upload_Indiv_Gross)))</f>
        <v/>
      </c>
      <c r="S221" s="2" t="str" cm="1">
        <f t="array" ref="S221">IF(SUMPRODUCT((Upload_Indiv_Player=$A221)*(Upload_Indiv_Date=S$2)*(Upload_Indiv_Gross))=0,"",SUMPRODUCT((Upload_Indiv_Player=$A221)*(Upload_Indiv_Date=S$2)*(Upload_Indiv_Gross)))</f>
        <v/>
      </c>
      <c r="T221" s="2" t="str" cm="1">
        <f t="array" ref="T221">IF(SUMPRODUCT((Upload_Indiv_Player=$A221)*(Upload_Indiv_Date=T$2)*(Upload_Indiv_Gross))=0,"",SUMPRODUCT((Upload_Indiv_Player=$A221)*(Upload_Indiv_Date=T$2)*(Upload_Indiv_Gross)))</f>
        <v/>
      </c>
      <c r="U221" s="2" t="str" cm="1">
        <f t="array" ref="U221">IF(SUMPRODUCT((Upload_Indiv_Player=$A221)*(Upload_Indiv_Date=U$2)*(Upload_Indiv_Gross))=0,"",SUMPRODUCT((Upload_Indiv_Player=$A221)*(Upload_Indiv_Date=U$2)*(Upload_Indiv_Gross)))</f>
        <v/>
      </c>
      <c r="V221" s="273">
        <v>2</v>
      </c>
      <c r="W221" s="273">
        <v>0</v>
      </c>
      <c r="X221" s="273">
        <v>0</v>
      </c>
      <c r="Y221" s="277">
        <v>0</v>
      </c>
      <c r="Z221" s="277">
        <v>0</v>
      </c>
      <c r="AA221" s="277">
        <v>0</v>
      </c>
    </row>
    <row r="222" spans="1:27" x14ac:dyDescent="0.25">
      <c r="A222" s="216">
        <v>3308069128</v>
      </c>
      <c r="B222" s="2" t="s">
        <v>171</v>
      </c>
      <c r="C222" s="2" t="str" cm="1">
        <f t="array" ref="C222">IF(SUMPRODUCT((Upload_Indiv_Player=$A221)*(Upload_Indiv_Date=C$2)*(Upload_Indiv_Net))=0,"",SUMPRODUCT((Upload_Indiv_Player=$A221)*(Upload_Indiv_Date=C$2)*(Upload_Indiv_Net)))</f>
        <v/>
      </c>
      <c r="D222" s="2" t="str" cm="1">
        <f t="array" ref="D222">IF(SUMPRODUCT((Upload_Indiv_Player=$A221)*(Upload_Indiv_Date=D$2)*(Upload_Indiv_Net))=0,"",SUMPRODUCT((Upload_Indiv_Player=$A221)*(Upload_Indiv_Date=D$2)*(Upload_Indiv_Net)))</f>
        <v/>
      </c>
      <c r="E222" s="2" t="str" cm="1">
        <f t="array" ref="E222">IF(SUMPRODUCT((Upload_Indiv_Player=$A221)*(Upload_Indiv_Date=E$2)*(Upload_Indiv_Net))=0,"",SUMPRODUCT((Upload_Indiv_Player=$A221)*(Upload_Indiv_Date=E$2)*(Upload_Indiv_Net)))</f>
        <v/>
      </c>
      <c r="F222" s="2" t="str" cm="1">
        <f t="array" ref="F222">IF(SUMPRODUCT((Upload_Indiv_Player=$A221)*(Upload_Indiv_Date=F$2)*(Upload_Indiv_Net))=0,"",SUMPRODUCT((Upload_Indiv_Player=$A221)*(Upload_Indiv_Date=F$2)*(Upload_Indiv_Net)))</f>
        <v/>
      </c>
      <c r="G222" s="2" t="str" cm="1">
        <f t="array" ref="G222">IF(SUMPRODUCT((Upload_Indiv_Player=$A221)*(Upload_Indiv_Date=G$2)*(Upload_Indiv_Net))=0,"",SUMPRODUCT((Upload_Indiv_Player=$A221)*(Upload_Indiv_Date=G$2)*(Upload_Indiv_Net)))</f>
        <v/>
      </c>
      <c r="H222" s="2" t="str" cm="1">
        <f t="array" ref="H222">IF(SUMPRODUCT((Upload_Indiv_Player=$A221)*(Upload_Indiv_Date=H$2)*(Upload_Indiv_Net))=0,"",SUMPRODUCT((Upload_Indiv_Player=$A221)*(Upload_Indiv_Date=H$2)*(Upload_Indiv_Net)))</f>
        <v/>
      </c>
      <c r="I222" s="2" t="str" cm="1">
        <f t="array" ref="I222">IF(SUMPRODUCT((Upload_Indiv_Player=$A221)*(Upload_Indiv_Date=I$2)*(Upload_Indiv_Net))=0,"",SUMPRODUCT((Upload_Indiv_Player=$A221)*(Upload_Indiv_Date=I$2)*(Upload_Indiv_Net)))</f>
        <v/>
      </c>
      <c r="J222" s="2" t="str" cm="1">
        <f t="array" ref="J222">IF(SUMPRODUCT((Upload_Indiv_Player=$A221)*(Upload_Indiv_Date=J$2)*(Upload_Indiv_Net))=0,"",SUMPRODUCT((Upload_Indiv_Player=$A221)*(Upload_Indiv_Date=J$2)*(Upload_Indiv_Net)))</f>
        <v/>
      </c>
      <c r="K222" s="2" t="str" cm="1">
        <f t="array" ref="K222">IF(SUMPRODUCT((Upload_Indiv_Player=$A221)*(Upload_Indiv_Date=K$2)*(Upload_Indiv_Net))=0,"",SUMPRODUCT((Upload_Indiv_Player=$A221)*(Upload_Indiv_Date=K$2)*(Upload_Indiv_Net)))</f>
        <v/>
      </c>
      <c r="L222" s="2" t="str" cm="1">
        <f t="array" ref="L222">IF(SUMPRODUCT((Upload_Indiv_Player=$A221)*(Upload_Indiv_Date=L$2)*(Upload_Indiv_Net))=0,"",SUMPRODUCT((Upload_Indiv_Player=$A221)*(Upload_Indiv_Date=L$2)*(Upload_Indiv_Net)))</f>
        <v/>
      </c>
      <c r="M222" s="2" cm="1">
        <f t="array" ref="M222">IF(SUMPRODUCT((Upload_Indiv_Player=$A221)*(Upload_Indiv_Date=M$2)*(Upload_Indiv_Net))=0,"",SUMPRODUCT((Upload_Indiv_Player=$A221)*(Upload_Indiv_Date=M$2)*(Upload_Indiv_Net)))</f>
        <v>43</v>
      </c>
      <c r="N222" s="2" t="str" cm="1">
        <f t="array" ref="N222">IF(SUMPRODUCT((Upload_Indiv_Player=$A221)*(Upload_Indiv_Date=N$2)*(Upload_Indiv_Net))=0,"",SUMPRODUCT((Upload_Indiv_Player=$A221)*(Upload_Indiv_Date=N$2)*(Upload_Indiv_Net)))</f>
        <v/>
      </c>
      <c r="O222" s="2" t="str" cm="1">
        <f t="array" ref="O222">IF(SUMPRODUCT((Upload_Indiv_Player=$A221)*(Upload_Indiv_Date=O$2)*(Upload_Indiv_Net))=0,"",SUMPRODUCT((Upload_Indiv_Player=$A221)*(Upload_Indiv_Date=O$2)*(Upload_Indiv_Net)))</f>
        <v/>
      </c>
      <c r="P222" s="2" t="str" cm="1">
        <f t="array" ref="P222">IF(SUMPRODUCT((Upload_Indiv_Player=$A221)*(Upload_Indiv_Date=P$2)*(Upload_Indiv_Net))=0,"",SUMPRODUCT((Upload_Indiv_Player=$A221)*(Upload_Indiv_Date=P$2)*(Upload_Indiv_Net)))</f>
        <v/>
      </c>
      <c r="Q222" s="2" t="str" cm="1">
        <f t="array" ref="Q222">IF(SUMPRODUCT((Upload_Indiv_Player=$A221)*(Upload_Indiv_Date=Q$2)*(Upload_Indiv_Net))=0,"",SUMPRODUCT((Upload_Indiv_Player=$A221)*(Upload_Indiv_Date=Q$2)*(Upload_Indiv_Net)))</f>
        <v/>
      </c>
      <c r="R222" s="2" t="str" cm="1">
        <f t="array" ref="R222">IF(SUMPRODUCT((Upload_Indiv_Player=$A221)*(Upload_Indiv_Date=R$2)*(Upload_Indiv_Net))=0,"",SUMPRODUCT((Upload_Indiv_Player=$A221)*(Upload_Indiv_Date=R$2)*(Upload_Indiv_Net)))</f>
        <v/>
      </c>
      <c r="S222" s="2" t="str" cm="1">
        <f t="array" ref="S222">IF(SUMPRODUCT((Upload_Indiv_Player=$A221)*(Upload_Indiv_Date=S$2)*(Upload_Indiv_Net))=0,"",SUMPRODUCT((Upload_Indiv_Player=$A221)*(Upload_Indiv_Date=S$2)*(Upload_Indiv_Net)))</f>
        <v/>
      </c>
      <c r="T222" s="2" t="str" cm="1">
        <f t="array" ref="T222">IF(SUMPRODUCT((Upload_Indiv_Player=$A221)*(Upload_Indiv_Date=T$2)*(Upload_Indiv_Net))=0,"",SUMPRODUCT((Upload_Indiv_Player=$A221)*(Upload_Indiv_Date=T$2)*(Upload_Indiv_Net)))</f>
        <v/>
      </c>
      <c r="U222" s="2" t="str" cm="1">
        <f t="array" ref="U222">IF(SUMPRODUCT((Upload_Indiv_Player=$A221)*(Upload_Indiv_Date=U$2)*(Upload_Indiv_Net))=0,"",SUMPRODUCT((Upload_Indiv_Player=$A221)*(Upload_Indiv_Date=U$2)*(Upload_Indiv_Net)))</f>
        <v/>
      </c>
      <c r="V222" s="279">
        <v>45</v>
      </c>
      <c r="W222" s="276"/>
      <c r="X222" s="276"/>
      <c r="Y222" s="277"/>
      <c r="Z222" s="277"/>
      <c r="AA222" s="277"/>
    </row>
    <row r="223" spans="1:27" x14ac:dyDescent="0.25">
      <c r="A223" s="264" t="s">
        <v>430</v>
      </c>
      <c r="B223" s="2" t="s">
        <v>173</v>
      </c>
      <c r="C223" s="2" t="str" cm="1">
        <f t="array" ref="C223">IF(SUMPRODUCT((Upload_Indiv_Player=$A221)*(Upload_Indiv_Date=C$2)*(Upload_Indiv_PointsTot))=0,"",SUMPRODUCT((Upload_Indiv_Player=$A221)*(Upload_Indiv_Date=C$2)*(Upload_Indiv_PointsTot)))</f>
        <v/>
      </c>
      <c r="D223" s="2" t="str" cm="1">
        <f t="array" ref="D223">IF(SUMPRODUCT((Upload_Indiv_Player=$A221)*(Upload_Indiv_Date=D$2)*(Upload_Indiv_PointsTot))=0,"",SUMPRODUCT((Upload_Indiv_Player=$A221)*(Upload_Indiv_Date=D$2)*(Upload_Indiv_PointsTot)))</f>
        <v/>
      </c>
      <c r="E223" s="2" t="str" cm="1">
        <f t="array" ref="E223">IF(SUMPRODUCT((Upload_Indiv_Player=$A221)*(Upload_Indiv_Date=E$2)*(Upload_Indiv_PointsTot))=0,"",SUMPRODUCT((Upload_Indiv_Player=$A221)*(Upload_Indiv_Date=E$2)*(Upload_Indiv_PointsTot)))</f>
        <v/>
      </c>
      <c r="F223" s="2" t="str" cm="1">
        <f t="array" ref="F223">IF(SUMPRODUCT((Upload_Indiv_Player=$A221)*(Upload_Indiv_Date=F$2)*(Upload_Indiv_PointsTot))=0,"",SUMPRODUCT((Upload_Indiv_Player=$A221)*(Upload_Indiv_Date=F$2)*(Upload_Indiv_PointsTot)))</f>
        <v/>
      </c>
      <c r="G223" s="2" t="str" cm="1">
        <f t="array" ref="G223">IF(SUMPRODUCT((Upload_Indiv_Player=$A221)*(Upload_Indiv_Date=G$2)*(Upload_Indiv_PointsTot))=0,"",SUMPRODUCT((Upload_Indiv_Player=$A221)*(Upload_Indiv_Date=G$2)*(Upload_Indiv_PointsTot)))</f>
        <v/>
      </c>
      <c r="H223" s="2" t="str" cm="1">
        <f t="array" ref="H223">IF(SUMPRODUCT((Upload_Indiv_Player=$A221)*(Upload_Indiv_Date=H$2)*(Upload_Indiv_PointsTot))=0,"",SUMPRODUCT((Upload_Indiv_Player=$A221)*(Upload_Indiv_Date=H$2)*(Upload_Indiv_PointsTot)))</f>
        <v/>
      </c>
      <c r="I223" s="2" t="str" cm="1">
        <f t="array" ref="I223">IF(SUMPRODUCT((Upload_Indiv_Player=$A221)*(Upload_Indiv_Date=I$2)*(Upload_Indiv_PointsTot))=0,"",SUMPRODUCT((Upload_Indiv_Player=$A221)*(Upload_Indiv_Date=I$2)*(Upload_Indiv_PointsTot)))</f>
        <v/>
      </c>
      <c r="J223" s="2" t="str" cm="1">
        <f t="array" ref="J223">IF(SUMPRODUCT((Upload_Indiv_Player=$A221)*(Upload_Indiv_Date=J$2)*(Upload_Indiv_PointsTot))=0,"",SUMPRODUCT((Upload_Indiv_Player=$A221)*(Upload_Indiv_Date=J$2)*(Upload_Indiv_PointsTot)))</f>
        <v/>
      </c>
      <c r="K223" s="2" t="str" cm="1">
        <f t="array" ref="K223">IF(SUMPRODUCT((Upload_Indiv_Player=$A221)*(Upload_Indiv_Date=K$2)*(Upload_Indiv_PointsTot))=0,"",SUMPRODUCT((Upload_Indiv_Player=$A221)*(Upload_Indiv_Date=K$2)*(Upload_Indiv_PointsTot)))</f>
        <v/>
      </c>
      <c r="L223" s="2" t="str" cm="1">
        <f t="array" ref="L223">IF(SUMPRODUCT((Upload_Indiv_Player=$A221)*(Upload_Indiv_Date=L$2)*(Upload_Indiv_PointsTot))=0,"",SUMPRODUCT((Upload_Indiv_Player=$A221)*(Upload_Indiv_Date=L$2)*(Upload_Indiv_PointsTot)))</f>
        <v/>
      </c>
      <c r="M223" s="2" cm="1">
        <f t="array" ref="M223">IF(SUMPRODUCT((Upload_Indiv_Player=$A221)*(Upload_Indiv_Date=M$2)*(Upload_Indiv_PointsTot))=0,"",SUMPRODUCT((Upload_Indiv_Player=$A221)*(Upload_Indiv_Date=M$2)*(Upload_Indiv_PointsTot)))</f>
        <v>7</v>
      </c>
      <c r="N223" s="2" t="str" cm="1">
        <f t="array" ref="N223">IF(SUMPRODUCT((Upload_Indiv_Player=$A221)*(Upload_Indiv_Date=N$2)*(Upload_Indiv_PointsTot))=0,"",SUMPRODUCT((Upload_Indiv_Player=$A221)*(Upload_Indiv_Date=N$2)*(Upload_Indiv_PointsTot)))</f>
        <v/>
      </c>
      <c r="O223" s="2" t="str" cm="1">
        <f t="array" ref="O223">IF(SUMPRODUCT((Upload_Indiv_Player=$A221)*(Upload_Indiv_Date=O$2)*(Upload_Indiv_PointsTot))=0,"",SUMPRODUCT((Upload_Indiv_Player=$A221)*(Upload_Indiv_Date=O$2)*(Upload_Indiv_PointsTot)))</f>
        <v/>
      </c>
      <c r="P223" s="2" t="str" cm="1">
        <f t="array" ref="P223">IF(SUMPRODUCT((Upload_Indiv_Player=$A221)*(Upload_Indiv_Date=P$2)*(Upload_Indiv_PointsTot))=0,"",SUMPRODUCT((Upload_Indiv_Player=$A221)*(Upload_Indiv_Date=P$2)*(Upload_Indiv_PointsTot)))</f>
        <v/>
      </c>
      <c r="Q223" s="2" t="str" cm="1">
        <f t="array" ref="Q223">IF(SUMPRODUCT((Upload_Indiv_Player=$A221)*(Upload_Indiv_Date=Q$2)*(Upload_Indiv_PointsTot))=0,"",SUMPRODUCT((Upload_Indiv_Player=$A221)*(Upload_Indiv_Date=Q$2)*(Upload_Indiv_PointsTot)))</f>
        <v/>
      </c>
      <c r="R223" s="2" t="str" cm="1">
        <f t="array" ref="R223">IF(SUMPRODUCT((Upload_Indiv_Player=$A221)*(Upload_Indiv_Date=R$2)*(Upload_Indiv_PointsTot))=0,"",SUMPRODUCT((Upload_Indiv_Player=$A221)*(Upload_Indiv_Date=R$2)*(Upload_Indiv_PointsTot)))</f>
        <v/>
      </c>
      <c r="S223" s="2" t="str" cm="1">
        <f t="array" ref="S223">IF(SUMPRODUCT((Upload_Indiv_Player=$A221)*(Upload_Indiv_Date=S$2)*(Upload_Indiv_PointsTot))=0,"",SUMPRODUCT((Upload_Indiv_Player=$A221)*(Upload_Indiv_Date=S$2)*(Upload_Indiv_PointsTot)))</f>
        <v/>
      </c>
      <c r="T223" s="2" t="str" cm="1">
        <f t="array" ref="T223">IF(SUMPRODUCT((Upload_Indiv_Player=$A221)*(Upload_Indiv_Date=T$2)*(Upload_Indiv_PointsTot))=0,"",SUMPRODUCT((Upload_Indiv_Player=$A221)*(Upload_Indiv_Date=T$2)*(Upload_Indiv_PointsTot)))</f>
        <v/>
      </c>
      <c r="U223" s="2" t="str" cm="1">
        <f t="array" ref="U223">IF(SUMPRODUCT((Upload_Indiv_Player=$A221)*(Upload_Indiv_Date=U$2)*(Upload_Indiv_PointsTot))=0,"",SUMPRODUCT((Upload_Indiv_Player=$A221)*(Upload_Indiv_Date=U$2)*(Upload_Indiv_PointsTot)))</f>
        <v/>
      </c>
      <c r="V223" s="276"/>
      <c r="W223" s="276"/>
      <c r="X223" s="276"/>
      <c r="Y223" s="277"/>
      <c r="Z223" s="277"/>
      <c r="AA223" s="277"/>
    </row>
    <row r="224" spans="1:27" x14ac:dyDescent="0.25">
      <c r="A224" s="14" t="s">
        <v>160</v>
      </c>
      <c r="B224" s="2" t="s">
        <v>174</v>
      </c>
      <c r="C224" s="2" t="str" cm="1">
        <f t="array" ref="C224">IF(SUMPRODUCT((Upload_Indiv_Player=$A221)*(Upload_Indiv_Date=C$2)*(Upload_Indiv_Tot_Birds))=0,"",SUMPRODUCT((Upload_Indiv_Player=$A221)*(Upload_Indiv_Date=C$2)*(Upload_Indiv_Tot_Birds)))</f>
        <v/>
      </c>
      <c r="D224" s="2" t="str" cm="1">
        <f t="array" ref="D224">IF(SUMPRODUCT((Upload_Indiv_Player=$A221)*(Upload_Indiv_Date=D$2)*(Upload_Indiv_Tot_Birds))=0,"",SUMPRODUCT((Upload_Indiv_Player=$A221)*(Upload_Indiv_Date=D$2)*(Upload_Indiv_Tot_Birds)))</f>
        <v/>
      </c>
      <c r="E224" s="2" t="str" cm="1">
        <f t="array" ref="E224">IF(SUMPRODUCT((Upload_Indiv_Player=$A221)*(Upload_Indiv_Date=E$2)*(Upload_Indiv_Tot_Birds))=0,"",SUMPRODUCT((Upload_Indiv_Player=$A221)*(Upload_Indiv_Date=E$2)*(Upload_Indiv_Tot_Birds)))</f>
        <v/>
      </c>
      <c r="F224" s="2" t="str" cm="1">
        <f t="array" ref="F224">IF(SUMPRODUCT((Upload_Indiv_Player=$A221)*(Upload_Indiv_Date=F$2)*(Upload_Indiv_Tot_Birds))=0,"",SUMPRODUCT((Upload_Indiv_Player=$A221)*(Upload_Indiv_Date=F$2)*(Upload_Indiv_Tot_Birds)))</f>
        <v/>
      </c>
      <c r="G224" s="2" t="str" cm="1">
        <f t="array" ref="G224">IF(SUMPRODUCT((Upload_Indiv_Player=$A221)*(Upload_Indiv_Date=G$2)*(Upload_Indiv_Tot_Birds))=0,"",SUMPRODUCT((Upload_Indiv_Player=$A221)*(Upload_Indiv_Date=G$2)*(Upload_Indiv_Tot_Birds)))</f>
        <v/>
      </c>
      <c r="H224" s="2" t="str" cm="1">
        <f t="array" ref="H224">IF(SUMPRODUCT((Upload_Indiv_Player=$A221)*(Upload_Indiv_Date=H$2)*(Upload_Indiv_Tot_Birds))=0,"",SUMPRODUCT((Upload_Indiv_Player=$A221)*(Upload_Indiv_Date=H$2)*(Upload_Indiv_Tot_Birds)))</f>
        <v/>
      </c>
      <c r="I224" s="2" t="str" cm="1">
        <f t="array" ref="I224">IF(SUMPRODUCT((Upload_Indiv_Player=$A221)*(Upload_Indiv_Date=I$2)*(Upload_Indiv_Tot_Birds))=0,"",SUMPRODUCT((Upload_Indiv_Player=$A221)*(Upload_Indiv_Date=I$2)*(Upload_Indiv_Tot_Birds)))</f>
        <v/>
      </c>
      <c r="J224" s="2" t="str" cm="1">
        <f t="array" ref="J224">IF(SUMPRODUCT((Upload_Indiv_Player=$A221)*(Upload_Indiv_Date=J$2)*(Upload_Indiv_Tot_Birds))=0,"",SUMPRODUCT((Upload_Indiv_Player=$A221)*(Upload_Indiv_Date=J$2)*(Upload_Indiv_Tot_Birds)))</f>
        <v/>
      </c>
      <c r="K224" s="2" t="str" cm="1">
        <f t="array" ref="K224">IF(SUMPRODUCT((Upload_Indiv_Player=$A221)*(Upload_Indiv_Date=K$2)*(Upload_Indiv_Tot_Birds))=0,"",SUMPRODUCT((Upload_Indiv_Player=$A221)*(Upload_Indiv_Date=K$2)*(Upload_Indiv_Tot_Birds)))</f>
        <v/>
      </c>
      <c r="L224" s="2" t="str" cm="1">
        <f t="array" ref="L224">IF(SUMPRODUCT((Upload_Indiv_Player=$A221)*(Upload_Indiv_Date=L$2)*(Upload_Indiv_Tot_Birds))=0,"",SUMPRODUCT((Upload_Indiv_Player=$A221)*(Upload_Indiv_Date=L$2)*(Upload_Indiv_Tot_Birds)))</f>
        <v/>
      </c>
      <c r="M224" s="2" t="str" cm="1">
        <f t="array" ref="M224">IF(SUMPRODUCT((Upload_Indiv_Player=$A221)*(Upload_Indiv_Date=M$2)*(Upload_Indiv_Tot_Birds))=0,"",SUMPRODUCT((Upload_Indiv_Player=$A221)*(Upload_Indiv_Date=M$2)*(Upload_Indiv_Tot_Birds)))</f>
        <v/>
      </c>
      <c r="N224" s="2" t="str" cm="1">
        <f t="array" ref="N224">IF(SUMPRODUCT((Upload_Indiv_Player=$A221)*(Upload_Indiv_Date=N$2)*(Upload_Indiv_Tot_Birds))=0,"",SUMPRODUCT((Upload_Indiv_Player=$A221)*(Upload_Indiv_Date=N$2)*(Upload_Indiv_Tot_Birds)))</f>
        <v/>
      </c>
      <c r="O224" s="2" t="str" cm="1">
        <f t="array" ref="O224">IF(SUMPRODUCT((Upload_Indiv_Player=$A221)*(Upload_Indiv_Date=O$2)*(Upload_Indiv_Tot_Birds))=0,"",SUMPRODUCT((Upload_Indiv_Player=$A221)*(Upload_Indiv_Date=O$2)*(Upload_Indiv_Tot_Birds)))</f>
        <v/>
      </c>
      <c r="P224" s="2" t="str" cm="1">
        <f t="array" ref="P224">IF(SUMPRODUCT((Upload_Indiv_Player=$A221)*(Upload_Indiv_Date=P$2)*(Upload_Indiv_Tot_Birds))=0,"",SUMPRODUCT((Upload_Indiv_Player=$A221)*(Upload_Indiv_Date=P$2)*(Upload_Indiv_Tot_Birds)))</f>
        <v/>
      </c>
      <c r="Q224" s="2" t="str" cm="1">
        <f t="array" ref="Q224">IF(SUMPRODUCT((Upload_Indiv_Player=$A221)*(Upload_Indiv_Date=Q$2)*(Upload_Indiv_Tot_Birds))=0,"",SUMPRODUCT((Upload_Indiv_Player=$A221)*(Upload_Indiv_Date=Q$2)*(Upload_Indiv_Tot_Birds)))</f>
        <v/>
      </c>
      <c r="R224" s="2" t="str" cm="1">
        <f t="array" ref="R224">IF(SUMPRODUCT((Upload_Indiv_Player=$A221)*(Upload_Indiv_Date=R$2)*(Upload_Indiv_Tot_Birds))=0,"",SUMPRODUCT((Upload_Indiv_Player=$A221)*(Upload_Indiv_Date=R$2)*(Upload_Indiv_Tot_Birds)))</f>
        <v/>
      </c>
      <c r="S224" s="2" t="str" cm="1">
        <f t="array" ref="S224">IF(SUMPRODUCT((Upload_Indiv_Player=$A221)*(Upload_Indiv_Date=S$2)*(Upload_Indiv_Tot_Birds))=0,"",SUMPRODUCT((Upload_Indiv_Player=$A221)*(Upload_Indiv_Date=S$2)*(Upload_Indiv_Tot_Birds)))</f>
        <v/>
      </c>
      <c r="T224" s="2" t="str" cm="1">
        <f t="array" ref="T224">IF(SUMPRODUCT((Upload_Indiv_Player=$A221)*(Upload_Indiv_Date=T$2)*(Upload_Indiv_Tot_Birds))=0,"",SUMPRODUCT((Upload_Indiv_Player=$A221)*(Upload_Indiv_Date=T$2)*(Upload_Indiv_Tot_Birds)))</f>
        <v/>
      </c>
      <c r="U224" s="2" t="str" cm="1">
        <f t="array" ref="U224">IF(SUMPRODUCT((Upload_Indiv_Player=$A221)*(Upload_Indiv_Date=U$2)*(Upload_Indiv_Tot_Birds))=0,"",SUMPRODUCT((Upload_Indiv_Player=$A221)*(Upload_Indiv_Date=U$2)*(Upload_Indiv_Tot_Birds)))</f>
        <v/>
      </c>
      <c r="V224" s="276"/>
      <c r="W224" s="276"/>
      <c r="X224" s="276"/>
      <c r="Y224" s="277"/>
      <c r="Z224" s="277"/>
      <c r="AA224" s="277"/>
    </row>
    <row r="225" spans="1:27" x14ac:dyDescent="0.25">
      <c r="A225" s="14"/>
      <c r="B225" s="8" t="s">
        <v>175</v>
      </c>
      <c r="C225" s="2" t="str" cm="1">
        <f t="array" ref="C225">IF(SUMPRODUCT((Upload_Indiv_Player=$A221)*(Upload_Indiv_Date=C$2)*(Upload_Indiv_Tot_Eagles))=0,"",SUMPRODUCT((Upload_Indiv_Player=$A221)*(Upload_Indiv_Date=C$2)*(Upload_Indiv_Tot_Eagles)))</f>
        <v/>
      </c>
      <c r="D225" s="2" t="str" cm="1">
        <f t="array" ref="D225">IF(SUMPRODUCT((Upload_Indiv_Player=$A221)*(Upload_Indiv_Date=D$2)*(Upload_Indiv_Tot_Eagles))=0,"",SUMPRODUCT((Upload_Indiv_Player=$A221)*(Upload_Indiv_Date=D$2)*(Upload_Indiv_Tot_Eagles)))</f>
        <v/>
      </c>
      <c r="E225" s="2" t="str" cm="1">
        <f t="array" ref="E225">IF(SUMPRODUCT((Upload_Indiv_Player=$A221)*(Upload_Indiv_Date=E$2)*(Upload_Indiv_Tot_Eagles))=0,"",SUMPRODUCT((Upload_Indiv_Player=$A221)*(Upload_Indiv_Date=E$2)*(Upload_Indiv_Tot_Eagles)))</f>
        <v/>
      </c>
      <c r="F225" s="2" t="str" cm="1">
        <f t="array" ref="F225">IF(SUMPRODUCT((Upload_Indiv_Player=$A221)*(Upload_Indiv_Date=F$2)*(Upload_Indiv_Tot_Eagles))=0,"",SUMPRODUCT((Upload_Indiv_Player=$A221)*(Upload_Indiv_Date=F$2)*(Upload_Indiv_Tot_Eagles)))</f>
        <v/>
      </c>
      <c r="G225" s="2" t="str" cm="1">
        <f t="array" ref="G225">IF(SUMPRODUCT((Upload_Indiv_Player=$A221)*(Upload_Indiv_Date=G$2)*(Upload_Indiv_Tot_Eagles))=0,"",SUMPRODUCT((Upload_Indiv_Player=$A221)*(Upload_Indiv_Date=G$2)*(Upload_Indiv_Tot_Eagles)))</f>
        <v/>
      </c>
      <c r="H225" s="2" t="str" cm="1">
        <f t="array" ref="H225">IF(SUMPRODUCT((Upload_Indiv_Player=$A221)*(Upload_Indiv_Date=H$2)*(Upload_Indiv_Tot_Eagles))=0,"",SUMPRODUCT((Upload_Indiv_Player=$A221)*(Upload_Indiv_Date=H$2)*(Upload_Indiv_Tot_Eagles)))</f>
        <v/>
      </c>
      <c r="I225" s="2" t="str" cm="1">
        <f t="array" ref="I225">IF(SUMPRODUCT((Upload_Indiv_Player=$A221)*(Upload_Indiv_Date=I$2)*(Upload_Indiv_Tot_Eagles))=0,"",SUMPRODUCT((Upload_Indiv_Player=$A221)*(Upload_Indiv_Date=I$2)*(Upload_Indiv_Tot_Eagles)))</f>
        <v/>
      </c>
      <c r="J225" s="2" t="str" cm="1">
        <f t="array" ref="J225">IF(SUMPRODUCT((Upload_Indiv_Player=$A221)*(Upload_Indiv_Date=J$2)*(Upload_Indiv_Tot_Eagles))=0,"",SUMPRODUCT((Upload_Indiv_Player=$A221)*(Upload_Indiv_Date=J$2)*(Upload_Indiv_Tot_Eagles)))</f>
        <v/>
      </c>
      <c r="K225" s="2" t="str" cm="1">
        <f t="array" ref="K225">IF(SUMPRODUCT((Upload_Indiv_Player=$A221)*(Upload_Indiv_Date=K$2)*(Upload_Indiv_Tot_Eagles))=0,"",SUMPRODUCT((Upload_Indiv_Player=$A221)*(Upload_Indiv_Date=K$2)*(Upload_Indiv_Tot_Eagles)))</f>
        <v/>
      </c>
      <c r="L225" s="2" t="str" cm="1">
        <f t="array" ref="L225">IF(SUMPRODUCT((Upload_Indiv_Player=$A221)*(Upload_Indiv_Date=L$2)*(Upload_Indiv_Tot_Eagles))=0,"",SUMPRODUCT((Upload_Indiv_Player=$A221)*(Upload_Indiv_Date=L$2)*(Upload_Indiv_Tot_Eagles)))</f>
        <v/>
      </c>
      <c r="M225" s="2" t="str" cm="1">
        <f t="array" ref="M225">IF(SUMPRODUCT((Upload_Indiv_Player=$A221)*(Upload_Indiv_Date=M$2)*(Upload_Indiv_Tot_Eagles))=0,"",SUMPRODUCT((Upload_Indiv_Player=$A221)*(Upload_Indiv_Date=M$2)*(Upload_Indiv_Tot_Eagles)))</f>
        <v/>
      </c>
      <c r="N225" s="2" t="str" cm="1">
        <f t="array" ref="N225">IF(SUMPRODUCT((Upload_Indiv_Player=$A221)*(Upload_Indiv_Date=N$2)*(Upload_Indiv_Tot_Eagles))=0,"",SUMPRODUCT((Upload_Indiv_Player=$A221)*(Upload_Indiv_Date=N$2)*(Upload_Indiv_Tot_Eagles)))</f>
        <v/>
      </c>
      <c r="O225" s="2" t="str" cm="1">
        <f t="array" ref="O225">IF(SUMPRODUCT((Upload_Indiv_Player=$A221)*(Upload_Indiv_Date=O$2)*(Upload_Indiv_Tot_Eagles))=0,"",SUMPRODUCT((Upload_Indiv_Player=$A221)*(Upload_Indiv_Date=O$2)*(Upload_Indiv_Tot_Eagles)))</f>
        <v/>
      </c>
      <c r="P225" s="2" t="str" cm="1">
        <f t="array" ref="P225">IF(SUMPRODUCT((Upload_Indiv_Player=$A221)*(Upload_Indiv_Date=P$2)*(Upload_Indiv_Tot_Eagles))=0,"",SUMPRODUCT((Upload_Indiv_Player=$A221)*(Upload_Indiv_Date=P$2)*(Upload_Indiv_Tot_Eagles)))</f>
        <v/>
      </c>
      <c r="Q225" s="2" t="str" cm="1">
        <f t="array" ref="Q225">IF(SUMPRODUCT((Upload_Indiv_Player=$A221)*(Upload_Indiv_Date=Q$2)*(Upload_Indiv_Tot_Eagles))=0,"",SUMPRODUCT((Upload_Indiv_Player=$A221)*(Upload_Indiv_Date=Q$2)*(Upload_Indiv_Tot_Eagles)))</f>
        <v/>
      </c>
      <c r="R225" s="2" t="str" cm="1">
        <f t="array" ref="R225">IF(SUMPRODUCT((Upload_Indiv_Player=$A221)*(Upload_Indiv_Date=R$2)*(Upload_Indiv_Tot_Eagles))=0,"",SUMPRODUCT((Upload_Indiv_Player=$A221)*(Upload_Indiv_Date=R$2)*(Upload_Indiv_Tot_Eagles)))</f>
        <v/>
      </c>
      <c r="S225" s="2" t="str" cm="1">
        <f t="array" ref="S225">IF(SUMPRODUCT((Upload_Indiv_Player=$A221)*(Upload_Indiv_Date=S$2)*(Upload_Indiv_Tot_Eagles))=0,"",SUMPRODUCT((Upload_Indiv_Player=$A221)*(Upload_Indiv_Date=S$2)*(Upload_Indiv_Tot_Eagles)))</f>
        <v/>
      </c>
      <c r="T225" s="2" t="str" cm="1">
        <f t="array" ref="T225">IF(SUMPRODUCT((Upload_Indiv_Player=$A221)*(Upload_Indiv_Date=T$2)*(Upload_Indiv_Tot_Eagles))=0,"",SUMPRODUCT((Upload_Indiv_Player=$A221)*(Upload_Indiv_Date=T$2)*(Upload_Indiv_Tot_Eagles)))</f>
        <v/>
      </c>
      <c r="U225" s="2" t="str" cm="1">
        <f t="array" ref="U225">IF(SUMPRODUCT((Upload_Indiv_Player=$A221)*(Upload_Indiv_Date=U$2)*(Upload_Indiv_Tot_Eagles))=0,"",SUMPRODUCT((Upload_Indiv_Player=$A221)*(Upload_Indiv_Date=U$2)*(Upload_Indiv_Tot_Eagles)))</f>
        <v/>
      </c>
      <c r="V225" s="276"/>
      <c r="W225" s="276"/>
      <c r="X225" s="276"/>
      <c r="Y225" s="277"/>
      <c r="Z225" s="278"/>
      <c r="AA225" s="277"/>
    </row>
    <row r="226" spans="1:27" x14ac:dyDescent="0.25">
      <c r="A226" s="14"/>
      <c r="B226" s="2" t="s">
        <v>176</v>
      </c>
      <c r="C226" s="2" t="str" cm="1">
        <f t="array" ref="C226">IF(SUMPRODUCT((Upload_Indiv_Player=$A221)*(Upload_Indiv_Date=C$2)*(Upload_Indiv_Excl_Score))=0,"",SUMPRODUCT((Upload_Indiv_Player=$A221)*(Upload_Indiv_Date=C$2)*(Upload_Indiv_Excl_Score)))</f>
        <v/>
      </c>
      <c r="D226" s="2" t="str" cm="1">
        <f t="array" ref="D226">IF(SUMPRODUCT((Upload_Indiv_Player=$A221)*(Upload_Indiv_Date=D$2)*(Upload_Indiv_Excl_Score))=0,"",SUMPRODUCT((Upload_Indiv_Player=$A221)*(Upload_Indiv_Date=D$2)*(Upload_Indiv_Excl_Score)))</f>
        <v/>
      </c>
      <c r="E226" s="2" t="str" cm="1">
        <f t="array" ref="E226">IF(SUMPRODUCT((Upload_Indiv_Player=$A221)*(Upload_Indiv_Date=E$2)*(Upload_Indiv_Excl_Score))=0,"",SUMPRODUCT((Upload_Indiv_Player=$A221)*(Upload_Indiv_Date=E$2)*(Upload_Indiv_Excl_Score)))</f>
        <v/>
      </c>
      <c r="F226" s="2" t="str" cm="1">
        <f t="array" ref="F226">IF(SUMPRODUCT((Upload_Indiv_Player=$A221)*(Upload_Indiv_Date=F$2)*(Upload_Indiv_Excl_Score))=0,"",SUMPRODUCT((Upload_Indiv_Player=$A221)*(Upload_Indiv_Date=F$2)*(Upload_Indiv_Excl_Score)))</f>
        <v/>
      </c>
      <c r="G226" s="2" t="str" cm="1">
        <f t="array" ref="G226">IF(SUMPRODUCT((Upload_Indiv_Player=$A221)*(Upload_Indiv_Date=G$2)*(Upload_Indiv_Excl_Score))=0,"",SUMPRODUCT((Upload_Indiv_Player=$A221)*(Upload_Indiv_Date=G$2)*(Upload_Indiv_Excl_Score)))</f>
        <v/>
      </c>
      <c r="H226" s="2" t="str" cm="1">
        <f t="array" ref="H226">IF(SUMPRODUCT((Upload_Indiv_Player=$A221)*(Upload_Indiv_Date=H$2)*(Upload_Indiv_Excl_Score))=0,"",SUMPRODUCT((Upload_Indiv_Player=$A221)*(Upload_Indiv_Date=H$2)*(Upload_Indiv_Excl_Score)))</f>
        <v/>
      </c>
      <c r="I226" s="2" t="str" cm="1">
        <f t="array" ref="I226">IF(SUMPRODUCT((Upload_Indiv_Player=$A221)*(Upload_Indiv_Date=I$2)*(Upload_Indiv_Excl_Score))=0,"",SUMPRODUCT((Upload_Indiv_Player=$A221)*(Upload_Indiv_Date=I$2)*(Upload_Indiv_Excl_Score)))</f>
        <v/>
      </c>
      <c r="J226" s="2" t="str" cm="1">
        <f t="array" ref="J226">IF(SUMPRODUCT((Upload_Indiv_Player=$A221)*(Upload_Indiv_Date=J$2)*(Upload_Indiv_Excl_Score))=0,"",SUMPRODUCT((Upload_Indiv_Player=$A221)*(Upload_Indiv_Date=J$2)*(Upload_Indiv_Excl_Score)))</f>
        <v/>
      </c>
      <c r="K226" s="2" t="str" cm="1">
        <f t="array" ref="K226">IF(SUMPRODUCT((Upload_Indiv_Player=$A221)*(Upload_Indiv_Date=K$2)*(Upload_Indiv_Excl_Score))=0,"",SUMPRODUCT((Upload_Indiv_Player=$A221)*(Upload_Indiv_Date=K$2)*(Upload_Indiv_Excl_Score)))</f>
        <v/>
      </c>
      <c r="L226" s="2" t="str" cm="1">
        <f t="array" ref="L226">IF(SUMPRODUCT((Upload_Indiv_Player=$A221)*(Upload_Indiv_Date=L$2)*(Upload_Indiv_Excl_Score))=0,"",SUMPRODUCT((Upload_Indiv_Player=$A221)*(Upload_Indiv_Date=L$2)*(Upload_Indiv_Excl_Score)))</f>
        <v/>
      </c>
      <c r="M226" s="2" t="str" cm="1">
        <f t="array" ref="M226">IF(SUMPRODUCT((Upload_Indiv_Player=$A221)*(Upload_Indiv_Date=M$2)*(Upload_Indiv_Excl_Score))=0,"",SUMPRODUCT((Upload_Indiv_Player=$A221)*(Upload_Indiv_Date=M$2)*(Upload_Indiv_Excl_Score)))</f>
        <v/>
      </c>
      <c r="N226" s="2" t="str" cm="1">
        <f t="array" ref="N226">IF(SUMPRODUCT((Upload_Indiv_Player=$A221)*(Upload_Indiv_Date=N$2)*(Upload_Indiv_Excl_Score))=0,"",SUMPRODUCT((Upload_Indiv_Player=$A221)*(Upload_Indiv_Date=N$2)*(Upload_Indiv_Excl_Score)))</f>
        <v/>
      </c>
      <c r="O226" s="2" t="str" cm="1">
        <f t="array" ref="O226">IF(SUMPRODUCT((Upload_Indiv_Player=$A221)*(Upload_Indiv_Date=O$2)*(Upload_Indiv_Excl_Score))=0,"",SUMPRODUCT((Upload_Indiv_Player=$A221)*(Upload_Indiv_Date=O$2)*(Upload_Indiv_Excl_Score)))</f>
        <v/>
      </c>
      <c r="P226" s="2" t="str" cm="1">
        <f t="array" ref="P226">IF(SUMPRODUCT((Upload_Indiv_Player=$A221)*(Upload_Indiv_Date=P$2)*(Upload_Indiv_Excl_Score))=0,"",SUMPRODUCT((Upload_Indiv_Player=$A221)*(Upload_Indiv_Date=P$2)*(Upload_Indiv_Excl_Score)))</f>
        <v/>
      </c>
      <c r="Q226" s="2" t="str" cm="1">
        <f t="array" ref="Q226">IF(SUMPRODUCT((Upload_Indiv_Player=$A221)*(Upload_Indiv_Date=Q$2)*(Upload_Indiv_Excl_Score))=0,"",SUMPRODUCT((Upload_Indiv_Player=$A221)*(Upload_Indiv_Date=Q$2)*(Upload_Indiv_Excl_Score)))</f>
        <v/>
      </c>
      <c r="R226" s="2" t="str" cm="1">
        <f t="array" ref="R226">IF(SUMPRODUCT((Upload_Indiv_Player=$A221)*(Upload_Indiv_Date=R$2)*(Upload_Indiv_Excl_Score))=0,"",SUMPRODUCT((Upload_Indiv_Player=$A221)*(Upload_Indiv_Date=R$2)*(Upload_Indiv_Excl_Score)))</f>
        <v/>
      </c>
      <c r="S226" s="2" t="str" cm="1">
        <f t="array" ref="S226">IF(SUMPRODUCT((Upload_Indiv_Player=$A221)*(Upload_Indiv_Date=S$2)*(Upload_Indiv_Excl_Score))=0,"",SUMPRODUCT((Upload_Indiv_Player=$A221)*(Upload_Indiv_Date=S$2)*(Upload_Indiv_Excl_Score)))</f>
        <v/>
      </c>
      <c r="T226" s="2" t="str" cm="1">
        <f t="array" ref="T226">IF(SUMPRODUCT((Upload_Indiv_Player=$A221)*(Upload_Indiv_Date=T$2)*(Upload_Indiv_Excl_Score))=0,"",SUMPRODUCT((Upload_Indiv_Player=$A221)*(Upload_Indiv_Date=T$2)*(Upload_Indiv_Excl_Score)))</f>
        <v/>
      </c>
      <c r="U226" s="2" t="str" cm="1">
        <f t="array" ref="U226">IF(SUMPRODUCT((Upload_Indiv_Player=$A221)*(Upload_Indiv_Date=U$2)*(Upload_Indiv_Excl_Score))=0,"",SUMPRODUCT((Upload_Indiv_Player=$A221)*(Upload_Indiv_Date=U$2)*(Upload_Indiv_Excl_Score)))</f>
        <v/>
      </c>
      <c r="V226" s="276"/>
      <c r="W226" s="276"/>
      <c r="X226" s="276"/>
      <c r="Y226" s="277"/>
      <c r="Z226" s="277"/>
      <c r="AA226" s="277"/>
    </row>
    <row r="227" spans="1:27" x14ac:dyDescent="0.25">
      <c r="A227" s="14"/>
      <c r="B227" s="2" t="s">
        <v>177</v>
      </c>
      <c r="C227" s="2" t="str" cm="1">
        <f t="array" ref="C227">IFERROR(INDEX(Upload_Indiv_Team,MATCH(1,($A221=Upload_Indiv_Player)*(C$2=Upload_Indiv_Date),0)),"")</f>
        <v/>
      </c>
      <c r="D227" s="2" t="str" cm="1">
        <f t="array" ref="D227">IFERROR(INDEX(Upload_Indiv_Team,MATCH(1,($A221=Upload_Indiv_Player)*(D$2=Upload_Indiv_Date),0)),"")</f>
        <v/>
      </c>
      <c r="E227" s="2" t="str" cm="1">
        <f t="array" ref="E227">IFERROR(INDEX(Upload_Indiv_Team,MATCH(1,($A221=Upload_Indiv_Player)*(E$2=Upload_Indiv_Date),0)),"")</f>
        <v/>
      </c>
      <c r="F227" s="2" t="str" cm="1">
        <f t="array" ref="F227">IFERROR(INDEX(Upload_Indiv_Team,MATCH(1,($A221=Upload_Indiv_Player)*(F$2=Upload_Indiv_Date),0)),"")</f>
        <v/>
      </c>
      <c r="G227" s="2" t="str" cm="1">
        <f t="array" ref="G227">IFERROR(INDEX(Upload_Indiv_Team,MATCH(1,($A221=Upload_Indiv_Player)*(G$2=Upload_Indiv_Date),0)),"")</f>
        <v/>
      </c>
      <c r="H227" s="2" t="str" cm="1">
        <f t="array" ref="H227">IFERROR(INDEX(Upload_Indiv_Team,MATCH(1,($A221=Upload_Indiv_Player)*(H$2=Upload_Indiv_Date),0)),"")</f>
        <v/>
      </c>
      <c r="I227" s="2" t="str" cm="1">
        <f t="array" ref="I227">IFERROR(INDEX(Upload_Indiv_Team,MATCH(1,($A221=Upload_Indiv_Player)*(I$2=Upload_Indiv_Date),0)),"")</f>
        <v/>
      </c>
      <c r="J227" s="2" t="str" cm="1">
        <f t="array" ref="J227">IFERROR(INDEX(Upload_Indiv_Team,MATCH(1,($A221=Upload_Indiv_Player)*(J$2=Upload_Indiv_Date),0)),"")</f>
        <v/>
      </c>
      <c r="K227" s="2" t="str" cm="1">
        <f t="array" ref="K227">IFERROR(INDEX(Upload_Indiv_Team,MATCH(1,($A221=Upload_Indiv_Player)*(K$2=Upload_Indiv_Date),0)),"")</f>
        <v/>
      </c>
      <c r="L227" s="2" t="str" cm="1">
        <f t="array" ref="L227">IFERROR(INDEX(Upload_Indiv_Team,MATCH(1,($A221=Upload_Indiv_Player)*(L$2=Upload_Indiv_Date),0)),"")</f>
        <v/>
      </c>
      <c r="M227" s="2" t="str" cm="1">
        <f t="array" ref="M227">IFERROR(INDEX(Upload_Indiv_Team,MATCH(1,($A221=Upload_Indiv_Player)*(M$2=Upload_Indiv_Date),0)),"")</f>
        <v>Metheads</v>
      </c>
      <c r="N227" s="2" t="str" cm="1">
        <f t="array" ref="N227">IFERROR(INDEX(Upload_Indiv_Team,MATCH(1,($A221=Upload_Indiv_Player)*(N$2=Upload_Indiv_Date),0)),"")</f>
        <v/>
      </c>
      <c r="O227" s="2" t="str" cm="1">
        <f t="array" ref="O227">IFERROR(INDEX(Upload_Indiv_Team,MATCH(1,($A221=Upload_Indiv_Player)*(O$2=Upload_Indiv_Date),0)),"")</f>
        <v/>
      </c>
      <c r="P227" s="2" t="str" cm="1">
        <f t="array" ref="P227">IFERROR(INDEX(Upload_Indiv_Team,MATCH(1,($A221=Upload_Indiv_Player)*(P$2=Upload_Indiv_Date),0)),"")</f>
        <v/>
      </c>
      <c r="Q227" s="2" t="str" cm="1">
        <f t="array" ref="Q227">IFERROR(INDEX(Upload_Indiv_Team,MATCH(1,($A221=Upload_Indiv_Player)*(Q$2=Upload_Indiv_Date),0)),"")</f>
        <v/>
      </c>
      <c r="R227" s="2" t="str" cm="1">
        <f t="array" ref="R227">IFERROR(INDEX(Upload_Indiv_Team,MATCH(1,($A221=Upload_Indiv_Player)*(R$2=Upload_Indiv_Date),0)),"")</f>
        <v/>
      </c>
      <c r="S227" s="2" t="str" cm="1">
        <f t="array" ref="S227">IFERROR(INDEX(Upload_Indiv_Team,MATCH(1,($A221=Upload_Indiv_Player)*(S$2=Upload_Indiv_Date),0)),"")</f>
        <v/>
      </c>
      <c r="T227" s="2" t="str" cm="1">
        <f t="array" ref="T227">IFERROR(INDEX(Upload_Indiv_Team,MATCH(1,($A221=Upload_Indiv_Player)*(T$2=Upload_Indiv_Date),0)),"")</f>
        <v/>
      </c>
      <c r="U227" s="2" t="str" cm="1">
        <f t="array" ref="U227">IFERROR(INDEX(Upload_Indiv_Team,MATCH(1,($A221=Upload_Indiv_Player)*(U$2=Upload_Indiv_Date),0)),"")</f>
        <v/>
      </c>
      <c r="V227" s="276"/>
      <c r="W227" s="276"/>
      <c r="X227" s="276"/>
      <c r="Y227" s="277"/>
      <c r="Z227" s="277"/>
      <c r="AA227" s="277"/>
    </row>
    <row r="228" spans="1:27" ht="13.8" thickBot="1" x14ac:dyDescent="0.3">
      <c r="A228" s="329" t="s">
        <v>160</v>
      </c>
      <c r="B228" s="8" t="s">
        <v>178</v>
      </c>
      <c r="C228" s="58" t="str">
        <f t="shared" ref="C228:U228" si="28">IF(C221="", "", IF(C223&gt;=11, "w", IF(C223&lt;=9, "l", "t")))</f>
        <v/>
      </c>
      <c r="D228" s="58" t="str">
        <f t="shared" si="28"/>
        <v/>
      </c>
      <c r="E228" s="58" t="str">
        <f t="shared" si="28"/>
        <v/>
      </c>
      <c r="F228" s="58" t="str">
        <f t="shared" si="28"/>
        <v/>
      </c>
      <c r="G228" s="58" t="str">
        <f t="shared" si="28"/>
        <v/>
      </c>
      <c r="H228" s="58" t="str">
        <f t="shared" si="28"/>
        <v/>
      </c>
      <c r="I228" s="58" t="str">
        <f t="shared" si="28"/>
        <v/>
      </c>
      <c r="J228" s="58" t="str">
        <f t="shared" si="28"/>
        <v/>
      </c>
      <c r="K228" s="58" t="str">
        <f t="shared" si="28"/>
        <v/>
      </c>
      <c r="L228" s="58" t="str">
        <f t="shared" si="28"/>
        <v/>
      </c>
      <c r="M228" s="58" t="str">
        <f t="shared" si="28"/>
        <v>l</v>
      </c>
      <c r="N228" s="58" t="str">
        <f t="shared" si="28"/>
        <v/>
      </c>
      <c r="O228" s="58" t="str">
        <f t="shared" si="28"/>
        <v/>
      </c>
      <c r="P228" s="58" t="str">
        <f t="shared" si="28"/>
        <v/>
      </c>
      <c r="Q228" s="58" t="str">
        <f t="shared" si="28"/>
        <v/>
      </c>
      <c r="R228" s="58" t="str">
        <f t="shared" si="28"/>
        <v/>
      </c>
      <c r="S228" s="58" t="str">
        <f t="shared" si="28"/>
        <v/>
      </c>
      <c r="T228" s="58" t="str">
        <f t="shared" si="28"/>
        <v/>
      </c>
      <c r="U228" s="58" t="str">
        <f t="shared" si="28"/>
        <v/>
      </c>
      <c r="V228" s="276"/>
      <c r="W228" s="276"/>
      <c r="X228" s="276"/>
      <c r="Y228" s="277"/>
      <c r="Z228" s="277"/>
      <c r="AA228" s="277"/>
    </row>
    <row r="229" spans="1:27" x14ac:dyDescent="0.25">
      <c r="A229" s="11" t="s">
        <v>258</v>
      </c>
      <c r="B229" s="3" t="s">
        <v>170</v>
      </c>
      <c r="C229" s="3" cm="1">
        <f t="array" ref="C229">IF(SUMPRODUCT((Upload_Indiv_Player=$A229)*(Upload_Indiv_Date=C$2)*(Upload_Indiv_Gross))=0,"",SUMPRODUCT((Upload_Indiv_Player=$A229)*(Upload_Indiv_Date=C$2)*(Upload_Indiv_Gross)))</f>
        <v>46</v>
      </c>
      <c r="D229" s="3" cm="1">
        <f t="array" ref="D229">IF(SUMPRODUCT((Upload_Indiv_Player=$A229)*(Upload_Indiv_Date=D$2)*(Upload_Indiv_Gross))=0,"",SUMPRODUCT((Upload_Indiv_Player=$A229)*(Upload_Indiv_Date=D$2)*(Upload_Indiv_Gross)))</f>
        <v>49</v>
      </c>
      <c r="E229" s="3" cm="1">
        <f t="array" ref="E229">IF(SUMPRODUCT((Upload_Indiv_Player=$A229)*(Upload_Indiv_Date=E$2)*(Upload_Indiv_Gross))=0,"",SUMPRODUCT((Upload_Indiv_Player=$A229)*(Upload_Indiv_Date=E$2)*(Upload_Indiv_Gross)))</f>
        <v>53</v>
      </c>
      <c r="F229" s="3" cm="1">
        <f t="array" ref="F229">IF(SUMPRODUCT((Upload_Indiv_Player=$A229)*(Upload_Indiv_Date=F$2)*(Upload_Indiv_Gross))=0,"",SUMPRODUCT((Upload_Indiv_Player=$A229)*(Upload_Indiv_Date=F$2)*(Upload_Indiv_Gross)))</f>
        <v>54</v>
      </c>
      <c r="G229" s="3" t="str" cm="1">
        <f t="array" ref="G229">IF(SUMPRODUCT((Upload_Indiv_Player=$A229)*(Upload_Indiv_Date=G$2)*(Upload_Indiv_Gross))=0,"",SUMPRODUCT((Upload_Indiv_Player=$A229)*(Upload_Indiv_Date=G$2)*(Upload_Indiv_Gross)))</f>
        <v/>
      </c>
      <c r="H229" s="3" t="str" cm="1">
        <f t="array" ref="H229">IF(SUMPRODUCT((Upload_Indiv_Player=$A229)*(Upload_Indiv_Date=H$2)*(Upload_Indiv_Gross))=0,"",SUMPRODUCT((Upload_Indiv_Player=$A229)*(Upload_Indiv_Date=H$2)*(Upload_Indiv_Gross)))</f>
        <v/>
      </c>
      <c r="I229" s="3" cm="1">
        <f t="array" ref="I229">IF(SUMPRODUCT((Upload_Indiv_Player=$A229)*(Upload_Indiv_Date=I$2)*(Upload_Indiv_Gross))=0,"",SUMPRODUCT((Upload_Indiv_Player=$A229)*(Upload_Indiv_Date=I$2)*(Upload_Indiv_Gross)))</f>
        <v>46</v>
      </c>
      <c r="J229" s="3" t="str" cm="1">
        <f t="array" ref="J229">IF(SUMPRODUCT((Upload_Indiv_Player=$A229)*(Upload_Indiv_Date=J$2)*(Upload_Indiv_Gross))=0,"",SUMPRODUCT((Upload_Indiv_Player=$A229)*(Upload_Indiv_Date=J$2)*(Upload_Indiv_Gross)))</f>
        <v/>
      </c>
      <c r="K229" s="3" t="str" cm="1">
        <f t="array" ref="K229">IF(SUMPRODUCT((Upload_Indiv_Player=$A229)*(Upload_Indiv_Date=K$2)*(Upload_Indiv_Gross))=0,"",SUMPRODUCT((Upload_Indiv_Player=$A229)*(Upload_Indiv_Date=K$2)*(Upload_Indiv_Gross)))</f>
        <v/>
      </c>
      <c r="L229" s="3" cm="1">
        <f t="array" ref="L229">IF(SUMPRODUCT((Upload_Indiv_Player=$A229)*(Upload_Indiv_Date=L$2)*(Upload_Indiv_Gross))=0,"",SUMPRODUCT((Upload_Indiv_Player=$A229)*(Upload_Indiv_Date=L$2)*(Upload_Indiv_Gross)))</f>
        <v>46</v>
      </c>
      <c r="M229" s="3" cm="1">
        <f t="array" ref="M229">IF(SUMPRODUCT((Upload_Indiv_Player=$A229)*(Upload_Indiv_Date=M$2)*(Upload_Indiv_Gross))=0,"",SUMPRODUCT((Upload_Indiv_Player=$A229)*(Upload_Indiv_Date=M$2)*(Upload_Indiv_Gross)))</f>
        <v>47</v>
      </c>
      <c r="N229" s="3" t="str" cm="1">
        <f t="array" ref="N229">IF(SUMPRODUCT((Upload_Indiv_Player=$A229)*(Upload_Indiv_Date=N$2)*(Upload_Indiv_Gross))=0,"",SUMPRODUCT((Upload_Indiv_Player=$A229)*(Upload_Indiv_Date=N$2)*(Upload_Indiv_Gross)))</f>
        <v/>
      </c>
      <c r="O229" s="3" cm="1">
        <f t="array" ref="O229">IF(SUMPRODUCT((Upload_Indiv_Player=$A229)*(Upload_Indiv_Date=O$2)*(Upload_Indiv_Gross))=0,"",SUMPRODUCT((Upload_Indiv_Player=$A229)*(Upload_Indiv_Date=O$2)*(Upload_Indiv_Gross)))</f>
        <v>49</v>
      </c>
      <c r="P229" s="3" cm="1">
        <f t="array" ref="P229">IF(SUMPRODUCT((Upload_Indiv_Player=$A229)*(Upload_Indiv_Date=P$2)*(Upload_Indiv_Gross))=0,"",SUMPRODUCT((Upload_Indiv_Player=$A229)*(Upload_Indiv_Date=P$2)*(Upload_Indiv_Gross)))</f>
        <v>45</v>
      </c>
      <c r="Q229" s="2" cm="1">
        <f t="array" ref="Q229">IF(SUMPRODUCT((Upload_Indiv_Player=$A229)*(Upload_Indiv_Date=Q$2)*(Upload_Indiv_Gross))=0,"",SUMPRODUCT((Upload_Indiv_Player=$A229)*(Upload_Indiv_Date=Q$2)*(Upload_Indiv_Gross)))</f>
        <v>28</v>
      </c>
      <c r="R229" s="2" cm="1">
        <f t="array" ref="R229">IF(SUMPRODUCT((Upload_Indiv_Player=$A229)*(Upload_Indiv_Date=R$2)*(Upload_Indiv_Gross))=0,"",SUMPRODUCT((Upload_Indiv_Player=$A229)*(Upload_Indiv_Date=R$2)*(Upload_Indiv_Gross)))</f>
        <v>51</v>
      </c>
      <c r="S229" s="2" cm="1">
        <f t="array" ref="S229">IF(SUMPRODUCT((Upload_Indiv_Player=$A229)*(Upload_Indiv_Date=S$2)*(Upload_Indiv_Gross))=0,"",SUMPRODUCT((Upload_Indiv_Player=$A229)*(Upload_Indiv_Date=S$2)*(Upload_Indiv_Gross)))</f>
        <v>48</v>
      </c>
      <c r="T229" s="2" cm="1">
        <f t="array" ref="T229">IF(SUMPRODUCT((Upload_Indiv_Player=$A229)*(Upload_Indiv_Date=T$2)*(Upload_Indiv_Gross))=0,"",SUMPRODUCT((Upload_Indiv_Player=$A229)*(Upload_Indiv_Date=T$2)*(Upload_Indiv_Gross)))</f>
        <v>48</v>
      </c>
      <c r="U229" s="2">
        <v>46</v>
      </c>
      <c r="V229" s="273">
        <v>9</v>
      </c>
      <c r="W229" s="273">
        <v>9</v>
      </c>
      <c r="X229" s="273">
        <v>12</v>
      </c>
      <c r="Y229" s="277">
        <v>13</v>
      </c>
      <c r="Z229" s="277">
        <v>15</v>
      </c>
      <c r="AA229" s="277">
        <v>13</v>
      </c>
    </row>
    <row r="230" spans="1:27" x14ac:dyDescent="0.25">
      <c r="A230" s="216">
        <v>3304139314</v>
      </c>
      <c r="B230" s="2" t="s">
        <v>171</v>
      </c>
      <c r="C230" s="2" cm="1">
        <f t="array" ref="C230">IF(SUMPRODUCT((Upload_Indiv_Player=$A229)*(Upload_Indiv_Date=C$2)*(Upload_Indiv_Net))=0,"",SUMPRODUCT((Upload_Indiv_Player=$A229)*(Upload_Indiv_Date=C$2)*(Upload_Indiv_Net)))</f>
        <v>39</v>
      </c>
      <c r="D230" s="2" cm="1">
        <f t="array" ref="D230">IF(SUMPRODUCT((Upload_Indiv_Player=$A229)*(Upload_Indiv_Date=D$2)*(Upload_Indiv_Net))=0,"",SUMPRODUCT((Upload_Indiv_Player=$A229)*(Upload_Indiv_Date=D$2)*(Upload_Indiv_Net)))</f>
        <v>42</v>
      </c>
      <c r="E230" s="2" cm="1">
        <f t="array" ref="E230">IF(SUMPRODUCT((Upload_Indiv_Player=$A229)*(Upload_Indiv_Date=E$2)*(Upload_Indiv_Net))=0,"",SUMPRODUCT((Upload_Indiv_Player=$A229)*(Upload_Indiv_Date=E$2)*(Upload_Indiv_Net)))</f>
        <v>46</v>
      </c>
      <c r="F230" s="2" cm="1">
        <f t="array" ref="F230">IF(SUMPRODUCT((Upload_Indiv_Player=$A229)*(Upload_Indiv_Date=F$2)*(Upload_Indiv_Net))=0,"",SUMPRODUCT((Upload_Indiv_Player=$A229)*(Upload_Indiv_Date=F$2)*(Upload_Indiv_Net)))</f>
        <v>47</v>
      </c>
      <c r="G230" s="2" t="str" cm="1">
        <f t="array" ref="G230">IF(SUMPRODUCT((Upload_Indiv_Player=$A229)*(Upload_Indiv_Date=G$2)*(Upload_Indiv_Net))=0,"",SUMPRODUCT((Upload_Indiv_Player=$A229)*(Upload_Indiv_Date=G$2)*(Upload_Indiv_Net)))</f>
        <v/>
      </c>
      <c r="H230" s="2" t="str" cm="1">
        <f t="array" ref="H230">IF(SUMPRODUCT((Upload_Indiv_Player=$A229)*(Upload_Indiv_Date=H$2)*(Upload_Indiv_Net))=0,"",SUMPRODUCT((Upload_Indiv_Player=$A229)*(Upload_Indiv_Date=H$2)*(Upload_Indiv_Net)))</f>
        <v/>
      </c>
      <c r="I230" s="2" cm="1">
        <f t="array" ref="I230">IF(SUMPRODUCT((Upload_Indiv_Player=$A229)*(Upload_Indiv_Date=I$2)*(Upload_Indiv_Net))=0,"",SUMPRODUCT((Upload_Indiv_Player=$A229)*(Upload_Indiv_Date=I$2)*(Upload_Indiv_Net)))</f>
        <v>39</v>
      </c>
      <c r="J230" s="2" t="str" cm="1">
        <f t="array" ref="J230">IF(SUMPRODUCT((Upload_Indiv_Player=$A229)*(Upload_Indiv_Date=J$2)*(Upload_Indiv_Net))=0,"",SUMPRODUCT((Upload_Indiv_Player=$A229)*(Upload_Indiv_Date=J$2)*(Upload_Indiv_Net)))</f>
        <v/>
      </c>
      <c r="K230" s="2" t="str" cm="1">
        <f t="array" ref="K230">IF(SUMPRODUCT((Upload_Indiv_Player=$A229)*(Upload_Indiv_Date=K$2)*(Upload_Indiv_Net))=0,"",SUMPRODUCT((Upload_Indiv_Player=$A229)*(Upload_Indiv_Date=K$2)*(Upload_Indiv_Net)))</f>
        <v/>
      </c>
      <c r="L230" s="2" cm="1">
        <f t="array" ref="L230">IF(SUMPRODUCT((Upload_Indiv_Player=$A229)*(Upload_Indiv_Date=L$2)*(Upload_Indiv_Net))=0,"",SUMPRODUCT((Upload_Indiv_Player=$A229)*(Upload_Indiv_Date=L$2)*(Upload_Indiv_Net)))</f>
        <v>39</v>
      </c>
      <c r="M230" s="2" cm="1">
        <f t="array" ref="M230">IF(SUMPRODUCT((Upload_Indiv_Player=$A229)*(Upload_Indiv_Date=M$2)*(Upload_Indiv_Net))=0,"",SUMPRODUCT((Upload_Indiv_Player=$A229)*(Upload_Indiv_Date=M$2)*(Upload_Indiv_Net)))</f>
        <v>40</v>
      </c>
      <c r="N230" s="2" t="str" cm="1">
        <f t="array" ref="N230">IF(SUMPRODUCT((Upload_Indiv_Player=$A229)*(Upload_Indiv_Date=N$2)*(Upload_Indiv_Net))=0,"",SUMPRODUCT((Upload_Indiv_Player=$A229)*(Upload_Indiv_Date=N$2)*(Upload_Indiv_Net)))</f>
        <v/>
      </c>
      <c r="O230" s="2" cm="1">
        <f t="array" ref="O230">IF(SUMPRODUCT((Upload_Indiv_Player=$A229)*(Upload_Indiv_Date=O$2)*(Upload_Indiv_Net))=0,"",SUMPRODUCT((Upload_Indiv_Player=$A229)*(Upload_Indiv_Date=O$2)*(Upload_Indiv_Net)))</f>
        <v>41</v>
      </c>
      <c r="P230" s="2" cm="1">
        <f t="array" ref="P230">IF(SUMPRODUCT((Upload_Indiv_Player=$A229)*(Upload_Indiv_Date=P$2)*(Upload_Indiv_Net))=0,"",SUMPRODUCT((Upload_Indiv_Player=$A229)*(Upload_Indiv_Date=P$2)*(Upload_Indiv_Net)))</f>
        <v>36</v>
      </c>
      <c r="Q230" s="2" cm="1">
        <f t="array" ref="Q230">IF(SUMPRODUCT((Upload_Indiv_Player=$A229)*(Upload_Indiv_Date=Q$2)*(Upload_Indiv_Net))=0,"",SUMPRODUCT((Upload_Indiv_Player=$A229)*(Upload_Indiv_Date=Q$2)*(Upload_Indiv_Net)))</f>
        <v>19</v>
      </c>
      <c r="R230" s="2" cm="1">
        <f t="array" ref="R230">IF(SUMPRODUCT((Upload_Indiv_Player=$A229)*(Upload_Indiv_Date=R$2)*(Upload_Indiv_Net))=0,"",SUMPRODUCT((Upload_Indiv_Player=$A229)*(Upload_Indiv_Date=R$2)*(Upload_Indiv_Net)))</f>
        <v>42</v>
      </c>
      <c r="S230" s="2" cm="1">
        <f t="array" ref="S230">IF(SUMPRODUCT((Upload_Indiv_Player=$A229)*(Upload_Indiv_Date=S$2)*(Upload_Indiv_Net))=0,"",SUMPRODUCT((Upload_Indiv_Player=$A229)*(Upload_Indiv_Date=S$2)*(Upload_Indiv_Net)))</f>
        <v>38</v>
      </c>
      <c r="T230" s="2" cm="1">
        <f t="array" ref="T230">IF(SUMPRODUCT((Upload_Indiv_Player=$A229)*(Upload_Indiv_Date=T$2)*(Upload_Indiv_Net))=0,"",SUMPRODUCT((Upload_Indiv_Player=$A229)*(Upload_Indiv_Date=T$2)*(Upload_Indiv_Net)))</f>
        <v>38</v>
      </c>
      <c r="U230" s="2">
        <v>36</v>
      </c>
      <c r="V230" s="279">
        <v>47.22</v>
      </c>
      <c r="W230" s="276"/>
      <c r="X230" s="276"/>
      <c r="Y230" s="277"/>
      <c r="Z230" s="277"/>
      <c r="AA230" s="277"/>
    </row>
    <row r="231" spans="1:27" x14ac:dyDescent="0.25">
      <c r="A231" s="65" t="s">
        <v>259</v>
      </c>
      <c r="B231" s="2" t="s">
        <v>173</v>
      </c>
      <c r="C231" s="2" cm="1">
        <f t="array" ref="C231">IF(SUMPRODUCT((Upload_Indiv_Player=$A229)*(Upload_Indiv_Date=C$2)*(Upload_Indiv_PointsTot))=0,"",SUMPRODUCT((Upload_Indiv_Player=$A229)*(Upload_Indiv_Date=C$2)*(Upload_Indiv_PointsTot)))</f>
        <v>14</v>
      </c>
      <c r="D231" s="2" cm="1">
        <f t="array" ref="D231">IF(SUMPRODUCT((Upload_Indiv_Player=$A229)*(Upload_Indiv_Date=D$2)*(Upload_Indiv_PointsTot))=0,"",SUMPRODUCT((Upload_Indiv_Player=$A229)*(Upload_Indiv_Date=D$2)*(Upload_Indiv_PointsTot)))</f>
        <v>12</v>
      </c>
      <c r="E231" s="2" cm="1">
        <f t="array" ref="E231">IF(SUMPRODUCT((Upload_Indiv_Player=$A229)*(Upload_Indiv_Date=E$2)*(Upload_Indiv_PointsTot))=0,"",SUMPRODUCT((Upload_Indiv_Player=$A229)*(Upload_Indiv_Date=E$2)*(Upload_Indiv_PointsTot)))</f>
        <v>4</v>
      </c>
      <c r="F231" s="2" cm="1">
        <f t="array" ref="F231">IF(SUMPRODUCT((Upload_Indiv_Player=$A229)*(Upload_Indiv_Date=F$2)*(Upload_Indiv_PointsTot))=0,"",SUMPRODUCT((Upload_Indiv_Player=$A229)*(Upload_Indiv_Date=F$2)*(Upload_Indiv_PointsTot)))</f>
        <v>9</v>
      </c>
      <c r="G231" s="2" t="str" cm="1">
        <f t="array" ref="G231">IF(SUMPRODUCT((Upload_Indiv_Player=$A229)*(Upload_Indiv_Date=G$2)*(Upload_Indiv_PointsTot))=0,"",SUMPRODUCT((Upload_Indiv_Player=$A229)*(Upload_Indiv_Date=G$2)*(Upload_Indiv_PointsTot)))</f>
        <v/>
      </c>
      <c r="H231" s="2" t="str" cm="1">
        <f t="array" ref="H231">IF(SUMPRODUCT((Upload_Indiv_Player=$A229)*(Upload_Indiv_Date=H$2)*(Upload_Indiv_PointsTot))=0,"",SUMPRODUCT((Upload_Indiv_Player=$A229)*(Upload_Indiv_Date=H$2)*(Upload_Indiv_PointsTot)))</f>
        <v/>
      </c>
      <c r="I231" s="2" cm="1">
        <f t="array" ref="I231">IF(SUMPRODUCT((Upload_Indiv_Player=$A229)*(Upload_Indiv_Date=I$2)*(Upload_Indiv_PointsTot))=0,"",SUMPRODUCT((Upload_Indiv_Player=$A229)*(Upload_Indiv_Date=I$2)*(Upload_Indiv_PointsTot)))</f>
        <v>8</v>
      </c>
      <c r="J231" s="2" t="str" cm="1">
        <f t="array" ref="J231">IF(SUMPRODUCT((Upload_Indiv_Player=$A229)*(Upload_Indiv_Date=J$2)*(Upload_Indiv_PointsTot))=0,"",SUMPRODUCT((Upload_Indiv_Player=$A229)*(Upload_Indiv_Date=J$2)*(Upload_Indiv_PointsTot)))</f>
        <v/>
      </c>
      <c r="K231" s="2" t="str" cm="1">
        <f t="array" ref="K231">IF(SUMPRODUCT((Upload_Indiv_Player=$A229)*(Upload_Indiv_Date=K$2)*(Upload_Indiv_PointsTot))=0,"",SUMPRODUCT((Upload_Indiv_Player=$A229)*(Upload_Indiv_Date=K$2)*(Upload_Indiv_PointsTot)))</f>
        <v/>
      </c>
      <c r="L231" s="2" cm="1">
        <f t="array" ref="L231">IF(SUMPRODUCT((Upload_Indiv_Player=$A229)*(Upload_Indiv_Date=L$2)*(Upload_Indiv_PointsTot))=0,"",SUMPRODUCT((Upload_Indiv_Player=$A229)*(Upload_Indiv_Date=L$2)*(Upload_Indiv_PointsTot)))</f>
        <v>9</v>
      </c>
      <c r="M231" s="2" cm="1">
        <f t="array" ref="M231">IF(SUMPRODUCT((Upload_Indiv_Player=$A229)*(Upload_Indiv_Date=M$2)*(Upload_Indiv_PointsTot))=0,"",SUMPRODUCT((Upload_Indiv_Player=$A229)*(Upload_Indiv_Date=M$2)*(Upload_Indiv_PointsTot)))</f>
        <v>13</v>
      </c>
      <c r="N231" s="2" t="str" cm="1">
        <f t="array" ref="N231">IF(SUMPRODUCT((Upload_Indiv_Player=$A229)*(Upload_Indiv_Date=N$2)*(Upload_Indiv_PointsTot))=0,"",SUMPRODUCT((Upload_Indiv_Player=$A229)*(Upload_Indiv_Date=N$2)*(Upload_Indiv_PointsTot)))</f>
        <v/>
      </c>
      <c r="O231" s="2" cm="1">
        <f t="array" ref="O231">IF(SUMPRODUCT((Upload_Indiv_Player=$A229)*(Upload_Indiv_Date=O$2)*(Upload_Indiv_PointsTot))=0,"",SUMPRODUCT((Upload_Indiv_Player=$A229)*(Upload_Indiv_Date=O$2)*(Upload_Indiv_PointsTot)))</f>
        <v>5</v>
      </c>
      <c r="P231" s="2" cm="1">
        <f t="array" ref="P231">IF(SUMPRODUCT((Upload_Indiv_Player=$A229)*(Upload_Indiv_Date=P$2)*(Upload_Indiv_PointsTot))=0,"",SUMPRODUCT((Upload_Indiv_Player=$A229)*(Upload_Indiv_Date=P$2)*(Upload_Indiv_PointsTot)))</f>
        <v>12</v>
      </c>
      <c r="Q231" s="2" cm="1">
        <f t="array" ref="Q231">IF(SUMPRODUCT((Upload_Indiv_Player=$A229)*(Upload_Indiv_Date=Q$2)*(Upload_Indiv_PointsTot))=0,"",SUMPRODUCT((Upload_Indiv_Player=$A229)*(Upload_Indiv_Date=Q$2)*(Upload_Indiv_PointsTot)))</f>
        <v>12</v>
      </c>
      <c r="R231" s="2" cm="1">
        <f t="array" ref="R231">IF(SUMPRODUCT((Upload_Indiv_Player=$A229)*(Upload_Indiv_Date=R$2)*(Upload_Indiv_PointsTot))=0,"",SUMPRODUCT((Upload_Indiv_Player=$A229)*(Upload_Indiv_Date=R$2)*(Upload_Indiv_PointsTot)))</f>
        <v>13</v>
      </c>
      <c r="S231" s="2" cm="1">
        <f t="array" ref="S231">IF(SUMPRODUCT((Upload_Indiv_Player=$A229)*(Upload_Indiv_Date=S$2)*(Upload_Indiv_PointsTot))=0,"",SUMPRODUCT((Upload_Indiv_Player=$A229)*(Upload_Indiv_Date=S$2)*(Upload_Indiv_PointsTot)))</f>
        <v>10</v>
      </c>
      <c r="T231" s="2" cm="1">
        <f t="array" ref="T231">IF(SUMPRODUCT((Upload_Indiv_Player=$A229)*(Upload_Indiv_Date=T$2)*(Upload_Indiv_PointsTot))=0,"",SUMPRODUCT((Upload_Indiv_Player=$A229)*(Upload_Indiv_Date=T$2)*(Upload_Indiv_PointsTot)))</f>
        <v>9</v>
      </c>
      <c r="U231" s="2" t="str" cm="1">
        <f t="array" ref="U231">IF(SUMPRODUCT((Upload_Indiv_Player=$A229)*(Upload_Indiv_Date=U$2)*(Upload_Indiv_PointsTot))=0,"",SUMPRODUCT((Upload_Indiv_Player=$A229)*(Upload_Indiv_Date=U$2)*(Upload_Indiv_PointsTot)))</f>
        <v/>
      </c>
      <c r="V231" s="276"/>
      <c r="W231" s="276"/>
      <c r="X231" s="276"/>
      <c r="Y231" s="277"/>
      <c r="Z231" s="277"/>
      <c r="AA231" s="277"/>
    </row>
    <row r="232" spans="1:27" x14ac:dyDescent="0.25">
      <c r="A232" s="14"/>
      <c r="B232" s="2" t="s">
        <v>174</v>
      </c>
      <c r="C232" s="2" t="str" cm="1">
        <f t="array" ref="C232">IF(SUMPRODUCT((Upload_Indiv_Player=$A229)*(Upload_Indiv_Date=C$2)*(Upload_Indiv_Tot_Birds))=0,"",SUMPRODUCT((Upload_Indiv_Player=$A229)*(Upload_Indiv_Date=C$2)*(Upload_Indiv_Tot_Birds)))</f>
        <v/>
      </c>
      <c r="D232" s="2" t="str" cm="1">
        <f t="array" ref="D232">IF(SUMPRODUCT((Upload_Indiv_Player=$A229)*(Upload_Indiv_Date=D$2)*(Upload_Indiv_Tot_Birds))=0,"",SUMPRODUCT((Upload_Indiv_Player=$A229)*(Upload_Indiv_Date=D$2)*(Upload_Indiv_Tot_Birds)))</f>
        <v/>
      </c>
      <c r="E232" s="2" t="str" cm="1">
        <f t="array" ref="E232">IF(SUMPRODUCT((Upload_Indiv_Player=$A229)*(Upload_Indiv_Date=E$2)*(Upload_Indiv_Tot_Birds))=0,"",SUMPRODUCT((Upload_Indiv_Player=$A229)*(Upload_Indiv_Date=E$2)*(Upload_Indiv_Tot_Birds)))</f>
        <v/>
      </c>
      <c r="F232" s="2" t="str" cm="1">
        <f t="array" ref="F232">IF(SUMPRODUCT((Upload_Indiv_Player=$A229)*(Upload_Indiv_Date=F$2)*(Upload_Indiv_Tot_Birds))=0,"",SUMPRODUCT((Upload_Indiv_Player=$A229)*(Upload_Indiv_Date=F$2)*(Upload_Indiv_Tot_Birds)))</f>
        <v/>
      </c>
      <c r="G232" s="2" t="str" cm="1">
        <f t="array" ref="G232">IF(SUMPRODUCT((Upload_Indiv_Player=$A229)*(Upload_Indiv_Date=G$2)*(Upload_Indiv_Tot_Birds))=0,"",SUMPRODUCT((Upload_Indiv_Player=$A229)*(Upload_Indiv_Date=G$2)*(Upload_Indiv_Tot_Birds)))</f>
        <v/>
      </c>
      <c r="H232" s="2" t="str" cm="1">
        <f t="array" ref="H232">IF(SUMPRODUCT((Upload_Indiv_Player=$A229)*(Upload_Indiv_Date=H$2)*(Upload_Indiv_Tot_Birds))=0,"",SUMPRODUCT((Upload_Indiv_Player=$A229)*(Upload_Indiv_Date=H$2)*(Upload_Indiv_Tot_Birds)))</f>
        <v/>
      </c>
      <c r="I232" s="2" t="str" cm="1">
        <f t="array" ref="I232">IF(SUMPRODUCT((Upload_Indiv_Player=$A229)*(Upload_Indiv_Date=I$2)*(Upload_Indiv_Tot_Birds))=0,"",SUMPRODUCT((Upload_Indiv_Player=$A229)*(Upload_Indiv_Date=I$2)*(Upload_Indiv_Tot_Birds)))</f>
        <v/>
      </c>
      <c r="J232" s="2" t="str" cm="1">
        <f t="array" ref="J232">IF(SUMPRODUCT((Upload_Indiv_Player=$A229)*(Upload_Indiv_Date=J$2)*(Upload_Indiv_Tot_Birds))=0,"",SUMPRODUCT((Upload_Indiv_Player=$A229)*(Upload_Indiv_Date=J$2)*(Upload_Indiv_Tot_Birds)))</f>
        <v/>
      </c>
      <c r="K232" s="2" t="str" cm="1">
        <f t="array" ref="K232">IF(SUMPRODUCT((Upload_Indiv_Player=$A229)*(Upload_Indiv_Date=K$2)*(Upload_Indiv_Tot_Birds))=0,"",SUMPRODUCT((Upload_Indiv_Player=$A229)*(Upload_Indiv_Date=K$2)*(Upload_Indiv_Tot_Birds)))</f>
        <v/>
      </c>
      <c r="L232" s="2" cm="1">
        <f t="array" ref="L232">IF(SUMPRODUCT((Upload_Indiv_Player=$A229)*(Upload_Indiv_Date=L$2)*(Upload_Indiv_Tot_Birds))=0,"",SUMPRODUCT((Upload_Indiv_Player=$A229)*(Upload_Indiv_Date=L$2)*(Upload_Indiv_Tot_Birds)))</f>
        <v>1</v>
      </c>
      <c r="M232" s="2" t="str" cm="1">
        <f t="array" ref="M232">IF(SUMPRODUCT((Upload_Indiv_Player=$A229)*(Upload_Indiv_Date=M$2)*(Upload_Indiv_Tot_Birds))=0,"",SUMPRODUCT((Upload_Indiv_Player=$A229)*(Upload_Indiv_Date=M$2)*(Upload_Indiv_Tot_Birds)))</f>
        <v/>
      </c>
      <c r="N232" s="2" t="str" cm="1">
        <f t="array" ref="N232">IF(SUMPRODUCT((Upload_Indiv_Player=$A229)*(Upload_Indiv_Date=N$2)*(Upload_Indiv_Tot_Birds))=0,"",SUMPRODUCT((Upload_Indiv_Player=$A229)*(Upload_Indiv_Date=N$2)*(Upload_Indiv_Tot_Birds)))</f>
        <v/>
      </c>
      <c r="O232" s="2" t="str" cm="1">
        <f t="array" ref="O232">IF(SUMPRODUCT((Upload_Indiv_Player=$A229)*(Upload_Indiv_Date=O$2)*(Upload_Indiv_Tot_Birds))=0,"",SUMPRODUCT((Upload_Indiv_Player=$A229)*(Upload_Indiv_Date=O$2)*(Upload_Indiv_Tot_Birds)))</f>
        <v/>
      </c>
      <c r="P232" s="2" t="str" cm="1">
        <f t="array" ref="P232">IF(SUMPRODUCT((Upload_Indiv_Player=$A229)*(Upload_Indiv_Date=P$2)*(Upload_Indiv_Tot_Birds))=0,"",SUMPRODUCT((Upload_Indiv_Player=$A229)*(Upload_Indiv_Date=P$2)*(Upload_Indiv_Tot_Birds)))</f>
        <v/>
      </c>
      <c r="Q232" s="2" cm="1">
        <f t="array" ref="Q232">IF(SUMPRODUCT((Upload_Indiv_Player=$A229)*(Upload_Indiv_Date=Q$2)*(Upload_Indiv_Tot_Birds))=0,"",SUMPRODUCT((Upload_Indiv_Player=$A229)*(Upload_Indiv_Date=Q$2)*(Upload_Indiv_Tot_Birds)))</f>
        <v>1</v>
      </c>
      <c r="R232" s="2" t="str" cm="1">
        <f t="array" ref="R232">IF(SUMPRODUCT((Upload_Indiv_Player=$A229)*(Upload_Indiv_Date=R$2)*(Upload_Indiv_Tot_Birds))=0,"",SUMPRODUCT((Upload_Indiv_Player=$A229)*(Upload_Indiv_Date=R$2)*(Upload_Indiv_Tot_Birds)))</f>
        <v/>
      </c>
      <c r="S232" s="2" t="str" cm="1">
        <f t="array" ref="S232">IF(SUMPRODUCT((Upload_Indiv_Player=$A229)*(Upload_Indiv_Date=S$2)*(Upload_Indiv_Tot_Birds))=0,"",SUMPRODUCT((Upload_Indiv_Player=$A229)*(Upload_Indiv_Date=S$2)*(Upload_Indiv_Tot_Birds)))</f>
        <v/>
      </c>
      <c r="T232" s="2" t="str" cm="1">
        <f t="array" ref="T232">IF(SUMPRODUCT((Upload_Indiv_Player=$A229)*(Upload_Indiv_Date=T$2)*(Upload_Indiv_Tot_Birds))=0,"",SUMPRODUCT((Upload_Indiv_Player=$A229)*(Upload_Indiv_Date=T$2)*(Upload_Indiv_Tot_Birds)))</f>
        <v/>
      </c>
      <c r="U232" s="2">
        <v>1</v>
      </c>
      <c r="V232" s="276"/>
      <c r="W232" s="276"/>
      <c r="X232" s="276"/>
      <c r="Y232" s="277"/>
      <c r="Z232" s="277"/>
      <c r="AA232" s="277"/>
    </row>
    <row r="233" spans="1:27" x14ac:dyDescent="0.25">
      <c r="A233" s="14"/>
      <c r="B233" s="8" t="s">
        <v>175</v>
      </c>
      <c r="C233" s="2" t="str" cm="1">
        <f t="array" ref="C233">IF(SUMPRODUCT((Upload_Indiv_Player=$A229)*(Upload_Indiv_Date=C$2)*(Upload_Indiv_Tot_Eagles))=0,"",SUMPRODUCT((Upload_Indiv_Player=$A229)*(Upload_Indiv_Date=C$2)*(Upload_Indiv_Tot_Eagles)))</f>
        <v/>
      </c>
      <c r="D233" s="2" t="str" cm="1">
        <f t="array" ref="D233">IF(SUMPRODUCT((Upload_Indiv_Player=$A229)*(Upload_Indiv_Date=D$2)*(Upload_Indiv_Tot_Eagles))=0,"",SUMPRODUCT((Upload_Indiv_Player=$A229)*(Upload_Indiv_Date=D$2)*(Upload_Indiv_Tot_Eagles)))</f>
        <v/>
      </c>
      <c r="E233" s="2" t="str" cm="1">
        <f t="array" ref="E233">IF(SUMPRODUCT((Upload_Indiv_Player=$A229)*(Upload_Indiv_Date=E$2)*(Upload_Indiv_Tot_Eagles))=0,"",SUMPRODUCT((Upload_Indiv_Player=$A229)*(Upload_Indiv_Date=E$2)*(Upload_Indiv_Tot_Eagles)))</f>
        <v/>
      </c>
      <c r="F233" s="2" t="str" cm="1">
        <f t="array" ref="F233">IF(SUMPRODUCT((Upload_Indiv_Player=$A229)*(Upload_Indiv_Date=F$2)*(Upload_Indiv_Tot_Eagles))=0,"",SUMPRODUCT((Upload_Indiv_Player=$A229)*(Upload_Indiv_Date=F$2)*(Upload_Indiv_Tot_Eagles)))</f>
        <v/>
      </c>
      <c r="G233" s="2" t="str" cm="1">
        <f t="array" ref="G233">IF(SUMPRODUCT((Upload_Indiv_Player=$A229)*(Upload_Indiv_Date=G$2)*(Upload_Indiv_Tot_Eagles))=0,"",SUMPRODUCT((Upload_Indiv_Player=$A229)*(Upload_Indiv_Date=G$2)*(Upload_Indiv_Tot_Eagles)))</f>
        <v/>
      </c>
      <c r="H233" s="2" t="str" cm="1">
        <f t="array" ref="H233">IF(SUMPRODUCT((Upload_Indiv_Player=$A229)*(Upload_Indiv_Date=H$2)*(Upload_Indiv_Tot_Eagles))=0,"",SUMPRODUCT((Upload_Indiv_Player=$A229)*(Upload_Indiv_Date=H$2)*(Upload_Indiv_Tot_Eagles)))</f>
        <v/>
      </c>
      <c r="I233" s="2" t="str" cm="1">
        <f t="array" ref="I233">IF(SUMPRODUCT((Upload_Indiv_Player=$A229)*(Upload_Indiv_Date=I$2)*(Upload_Indiv_Tot_Eagles))=0,"",SUMPRODUCT((Upload_Indiv_Player=$A229)*(Upload_Indiv_Date=I$2)*(Upload_Indiv_Tot_Eagles)))</f>
        <v/>
      </c>
      <c r="J233" s="2" t="str" cm="1">
        <f t="array" ref="J233">IF(SUMPRODUCT((Upload_Indiv_Player=$A229)*(Upload_Indiv_Date=J$2)*(Upload_Indiv_Tot_Eagles))=0,"",SUMPRODUCT((Upload_Indiv_Player=$A229)*(Upload_Indiv_Date=J$2)*(Upload_Indiv_Tot_Eagles)))</f>
        <v/>
      </c>
      <c r="K233" s="2" t="str" cm="1">
        <f t="array" ref="K233">IF(SUMPRODUCT((Upload_Indiv_Player=$A229)*(Upload_Indiv_Date=K$2)*(Upload_Indiv_Tot_Eagles))=0,"",SUMPRODUCT((Upload_Indiv_Player=$A229)*(Upload_Indiv_Date=K$2)*(Upload_Indiv_Tot_Eagles)))</f>
        <v/>
      </c>
      <c r="L233" s="2" t="str" cm="1">
        <f t="array" ref="L233">IF(SUMPRODUCT((Upload_Indiv_Player=$A229)*(Upload_Indiv_Date=L$2)*(Upload_Indiv_Tot_Eagles))=0,"",SUMPRODUCT((Upload_Indiv_Player=$A229)*(Upload_Indiv_Date=L$2)*(Upload_Indiv_Tot_Eagles)))</f>
        <v/>
      </c>
      <c r="M233" s="2" t="str" cm="1">
        <f t="array" ref="M233">IF(SUMPRODUCT((Upload_Indiv_Player=$A229)*(Upload_Indiv_Date=M$2)*(Upload_Indiv_Tot_Eagles))=0,"",SUMPRODUCT((Upload_Indiv_Player=$A229)*(Upload_Indiv_Date=M$2)*(Upload_Indiv_Tot_Eagles)))</f>
        <v/>
      </c>
      <c r="N233" s="2" t="str" cm="1">
        <f t="array" ref="N233">IF(SUMPRODUCT((Upload_Indiv_Player=$A229)*(Upload_Indiv_Date=N$2)*(Upload_Indiv_Tot_Eagles))=0,"",SUMPRODUCT((Upload_Indiv_Player=$A229)*(Upload_Indiv_Date=N$2)*(Upload_Indiv_Tot_Eagles)))</f>
        <v/>
      </c>
      <c r="O233" s="2" t="str" cm="1">
        <f t="array" ref="O233">IF(SUMPRODUCT((Upload_Indiv_Player=$A229)*(Upload_Indiv_Date=O$2)*(Upload_Indiv_Tot_Eagles))=0,"",SUMPRODUCT((Upload_Indiv_Player=$A229)*(Upload_Indiv_Date=O$2)*(Upload_Indiv_Tot_Eagles)))</f>
        <v/>
      </c>
      <c r="P233" s="2" t="str" cm="1">
        <f t="array" ref="P233">IF(SUMPRODUCT((Upload_Indiv_Player=$A229)*(Upload_Indiv_Date=P$2)*(Upload_Indiv_Tot_Eagles))=0,"",SUMPRODUCT((Upload_Indiv_Player=$A229)*(Upload_Indiv_Date=P$2)*(Upload_Indiv_Tot_Eagles)))</f>
        <v/>
      </c>
      <c r="Q233" s="2" t="str" cm="1">
        <f t="array" ref="Q233">IF(SUMPRODUCT((Upload_Indiv_Player=$A229)*(Upload_Indiv_Date=Q$2)*(Upload_Indiv_Tot_Eagles))=0,"",SUMPRODUCT((Upload_Indiv_Player=$A229)*(Upload_Indiv_Date=Q$2)*(Upload_Indiv_Tot_Eagles)))</f>
        <v/>
      </c>
      <c r="R233" s="2" t="str" cm="1">
        <f t="array" ref="R233">IF(SUMPRODUCT((Upload_Indiv_Player=$A229)*(Upload_Indiv_Date=R$2)*(Upload_Indiv_Tot_Eagles))=0,"",SUMPRODUCT((Upload_Indiv_Player=$A229)*(Upload_Indiv_Date=R$2)*(Upload_Indiv_Tot_Eagles)))</f>
        <v/>
      </c>
      <c r="S233" s="2" t="str" cm="1">
        <f t="array" ref="S233">IF(SUMPRODUCT((Upload_Indiv_Player=$A229)*(Upload_Indiv_Date=S$2)*(Upload_Indiv_Tot_Eagles))=0,"",SUMPRODUCT((Upload_Indiv_Player=$A229)*(Upload_Indiv_Date=S$2)*(Upload_Indiv_Tot_Eagles)))</f>
        <v/>
      </c>
      <c r="T233" s="2" t="str" cm="1">
        <f t="array" ref="T233">IF(SUMPRODUCT((Upload_Indiv_Player=$A229)*(Upload_Indiv_Date=T$2)*(Upload_Indiv_Tot_Eagles))=0,"",SUMPRODUCT((Upload_Indiv_Player=$A229)*(Upload_Indiv_Date=T$2)*(Upload_Indiv_Tot_Eagles)))</f>
        <v/>
      </c>
      <c r="U233" s="2" t="str" cm="1">
        <f t="array" ref="U233">IF(SUMPRODUCT((Upload_Indiv_Player=$A229)*(Upload_Indiv_Date=U$2)*(Upload_Indiv_Tot_Eagles))=0,"",SUMPRODUCT((Upload_Indiv_Player=$A229)*(Upload_Indiv_Date=U$2)*(Upload_Indiv_Tot_Eagles)))</f>
        <v/>
      </c>
      <c r="V233" s="276"/>
      <c r="W233" s="276"/>
      <c r="X233" s="276"/>
      <c r="Y233" s="277"/>
      <c r="Z233" s="278"/>
      <c r="AA233" s="277"/>
    </row>
    <row r="234" spans="1:27" x14ac:dyDescent="0.25">
      <c r="A234" s="14"/>
      <c r="B234" s="2" t="s">
        <v>176</v>
      </c>
      <c r="C234" s="2" t="str" cm="1">
        <f t="array" ref="C234">IF(SUMPRODUCT((Upload_Indiv_Player=$A229)*(Upload_Indiv_Date=C$2)*(Upload_Indiv_Excl_Score))=0,"",SUMPRODUCT((Upload_Indiv_Player=$A229)*(Upload_Indiv_Date=C$2)*(Upload_Indiv_Excl_Score)))</f>
        <v/>
      </c>
      <c r="D234" s="2" t="str" cm="1">
        <f t="array" ref="D234">IF(SUMPRODUCT((Upload_Indiv_Player=$A229)*(Upload_Indiv_Date=D$2)*(Upload_Indiv_Excl_Score))=0,"",SUMPRODUCT((Upload_Indiv_Player=$A229)*(Upload_Indiv_Date=D$2)*(Upload_Indiv_Excl_Score)))</f>
        <v/>
      </c>
      <c r="E234" s="2" t="str" cm="1">
        <f t="array" ref="E234">IF(SUMPRODUCT((Upload_Indiv_Player=$A229)*(Upload_Indiv_Date=E$2)*(Upload_Indiv_Excl_Score))=0,"",SUMPRODUCT((Upload_Indiv_Player=$A229)*(Upload_Indiv_Date=E$2)*(Upload_Indiv_Excl_Score)))</f>
        <v/>
      </c>
      <c r="F234" s="2" t="str" cm="1">
        <f t="array" ref="F234">IF(SUMPRODUCT((Upload_Indiv_Player=$A229)*(Upload_Indiv_Date=F$2)*(Upload_Indiv_Excl_Score))=0,"",SUMPRODUCT((Upload_Indiv_Player=$A229)*(Upload_Indiv_Date=F$2)*(Upload_Indiv_Excl_Score)))</f>
        <v/>
      </c>
      <c r="G234" s="2" t="str" cm="1">
        <f t="array" ref="G234">IF(SUMPRODUCT((Upload_Indiv_Player=$A229)*(Upload_Indiv_Date=G$2)*(Upload_Indiv_Excl_Score))=0,"",SUMPRODUCT((Upload_Indiv_Player=$A229)*(Upload_Indiv_Date=G$2)*(Upload_Indiv_Excl_Score)))</f>
        <v/>
      </c>
      <c r="H234" s="2" t="str" cm="1">
        <f t="array" ref="H234">IF(SUMPRODUCT((Upload_Indiv_Player=$A229)*(Upload_Indiv_Date=H$2)*(Upload_Indiv_Excl_Score))=0,"",SUMPRODUCT((Upload_Indiv_Player=$A229)*(Upload_Indiv_Date=H$2)*(Upload_Indiv_Excl_Score)))</f>
        <v/>
      </c>
      <c r="I234" s="2" t="str" cm="1">
        <f t="array" ref="I234">IF(SUMPRODUCT((Upload_Indiv_Player=$A229)*(Upload_Indiv_Date=I$2)*(Upload_Indiv_Excl_Score))=0,"",SUMPRODUCT((Upload_Indiv_Player=$A229)*(Upload_Indiv_Date=I$2)*(Upload_Indiv_Excl_Score)))</f>
        <v/>
      </c>
      <c r="J234" s="2" t="str" cm="1">
        <f t="array" ref="J234">IF(SUMPRODUCT((Upload_Indiv_Player=$A229)*(Upload_Indiv_Date=J$2)*(Upload_Indiv_Excl_Score))=0,"",SUMPRODUCT((Upload_Indiv_Player=$A229)*(Upload_Indiv_Date=J$2)*(Upload_Indiv_Excl_Score)))</f>
        <v/>
      </c>
      <c r="K234" s="2" t="str" cm="1">
        <f t="array" ref="K234">IF(SUMPRODUCT((Upload_Indiv_Player=$A229)*(Upload_Indiv_Date=K$2)*(Upload_Indiv_Excl_Score))=0,"",SUMPRODUCT((Upload_Indiv_Player=$A229)*(Upload_Indiv_Date=K$2)*(Upload_Indiv_Excl_Score)))</f>
        <v/>
      </c>
      <c r="L234" s="2" t="str" cm="1">
        <f t="array" ref="L234">IF(SUMPRODUCT((Upload_Indiv_Player=$A229)*(Upload_Indiv_Date=L$2)*(Upload_Indiv_Excl_Score))=0,"",SUMPRODUCT((Upload_Indiv_Player=$A229)*(Upload_Indiv_Date=L$2)*(Upload_Indiv_Excl_Score)))</f>
        <v/>
      </c>
      <c r="M234" s="2" t="str" cm="1">
        <f t="array" ref="M234">IF(SUMPRODUCT((Upload_Indiv_Player=$A229)*(Upload_Indiv_Date=M$2)*(Upload_Indiv_Excl_Score))=0,"",SUMPRODUCT((Upload_Indiv_Player=$A229)*(Upload_Indiv_Date=M$2)*(Upload_Indiv_Excl_Score)))</f>
        <v/>
      </c>
      <c r="N234" s="2" t="str" cm="1">
        <f t="array" ref="N234">IF(SUMPRODUCT((Upload_Indiv_Player=$A229)*(Upload_Indiv_Date=N$2)*(Upload_Indiv_Excl_Score))=0,"",SUMPRODUCT((Upload_Indiv_Player=$A229)*(Upload_Indiv_Date=N$2)*(Upload_Indiv_Excl_Score)))</f>
        <v/>
      </c>
      <c r="O234" s="2" t="str" cm="1">
        <f t="array" ref="O234">IF(SUMPRODUCT((Upload_Indiv_Player=$A229)*(Upload_Indiv_Date=O$2)*(Upload_Indiv_Excl_Score))=0,"",SUMPRODUCT((Upload_Indiv_Player=$A229)*(Upload_Indiv_Date=O$2)*(Upload_Indiv_Excl_Score)))</f>
        <v/>
      </c>
      <c r="P234" s="2" t="str" cm="1">
        <f t="array" ref="P234">IF(SUMPRODUCT((Upload_Indiv_Player=$A229)*(Upload_Indiv_Date=P$2)*(Upload_Indiv_Excl_Score))=0,"",SUMPRODUCT((Upload_Indiv_Player=$A229)*(Upload_Indiv_Date=P$2)*(Upload_Indiv_Excl_Score)))</f>
        <v/>
      </c>
      <c r="Q234" s="2" cm="1">
        <f t="array" ref="Q234">IF(SUMPRODUCT((Upload_Indiv_Player=$A229)*(Upload_Indiv_Date=Q$2)*(Upload_Indiv_Excl_Score))=0,"",SUMPRODUCT((Upload_Indiv_Player=$A229)*(Upload_Indiv_Date=Q$2)*(Upload_Indiv_Excl_Score)))</f>
        <v>1</v>
      </c>
      <c r="R234" s="2" t="str" cm="1">
        <f t="array" ref="R234">IF(SUMPRODUCT((Upload_Indiv_Player=$A229)*(Upload_Indiv_Date=R$2)*(Upload_Indiv_Excl_Score))=0,"",SUMPRODUCT((Upload_Indiv_Player=$A229)*(Upload_Indiv_Date=R$2)*(Upload_Indiv_Excl_Score)))</f>
        <v/>
      </c>
      <c r="S234" s="2" t="str" cm="1">
        <f t="array" ref="S234">IF(SUMPRODUCT((Upload_Indiv_Player=$A229)*(Upload_Indiv_Date=S$2)*(Upload_Indiv_Excl_Score))=0,"",SUMPRODUCT((Upload_Indiv_Player=$A229)*(Upload_Indiv_Date=S$2)*(Upload_Indiv_Excl_Score)))</f>
        <v/>
      </c>
      <c r="T234" s="2" cm="1">
        <f t="array" ref="T234">IF(SUMPRODUCT((Upload_Indiv_Player=$A229)*(Upload_Indiv_Date=T$2)*(Upload_Indiv_Excl_Score))=0,"",SUMPRODUCT((Upload_Indiv_Player=$A229)*(Upload_Indiv_Date=T$2)*(Upload_Indiv_Excl_Score)))</f>
        <v>1</v>
      </c>
      <c r="U234" s="2" t="str" cm="1">
        <f t="array" ref="U234">IF(SUMPRODUCT((Upload_Indiv_Player=$A229)*(Upload_Indiv_Date=U$2)*(Upload_Indiv_Excl_Score))=0,"",SUMPRODUCT((Upload_Indiv_Player=$A229)*(Upload_Indiv_Date=U$2)*(Upload_Indiv_Excl_Score)))</f>
        <v/>
      </c>
      <c r="V234" s="276"/>
      <c r="W234" s="276"/>
      <c r="X234" s="276"/>
      <c r="Y234" s="277"/>
      <c r="Z234" s="277"/>
      <c r="AA234" s="277"/>
    </row>
    <row r="235" spans="1:27" x14ac:dyDescent="0.25">
      <c r="A235" s="14"/>
      <c r="B235" s="2" t="s">
        <v>177</v>
      </c>
      <c r="C235" s="2" t="str" cm="1">
        <f t="array" ref="C235">IFERROR(INDEX(Upload_Indiv_Team,MATCH(1,($A229=Upload_Indiv_Player)*(C$2=Upload_Indiv_Date),0)),"")</f>
        <v>Metheads</v>
      </c>
      <c r="D235" s="2" t="str" cm="1">
        <f t="array" ref="D235">IFERROR(INDEX(Upload_Indiv_Team,MATCH(1,($A229=Upload_Indiv_Player)*(D$2=Upload_Indiv_Date),0)),"")</f>
        <v>Aceholes</v>
      </c>
      <c r="E235" s="2" t="str" cm="1">
        <f t="array" ref="E235">IFERROR(INDEX(Upload_Indiv_Team,MATCH(1,($A229=Upload_Indiv_Player)*(E$2=Upload_Indiv_Date),0)),"")</f>
        <v>Aceholes</v>
      </c>
      <c r="F235" s="2" t="str" cm="1">
        <f t="array" ref="F235">IFERROR(INDEX(Upload_Indiv_Team,MATCH(1,($A229=Upload_Indiv_Player)*(F$2=Upload_Indiv_Date),0)),"")</f>
        <v>Who's Your Caddy?</v>
      </c>
      <c r="G235" s="2" t="str" cm="1">
        <f t="array" ref="G235">IFERROR(INDEX(Upload_Indiv_Team,MATCH(1,($A229=Upload_Indiv_Player)*(G$2=Upload_Indiv_Date),0)),"")</f>
        <v/>
      </c>
      <c r="H235" s="2" t="str" cm="1">
        <f t="array" ref="H235">IFERROR(INDEX(Upload_Indiv_Team,MATCH(1,($A229=Upload_Indiv_Player)*(H$2=Upload_Indiv_Date),0)),"")</f>
        <v/>
      </c>
      <c r="I235" s="2" t="str" cm="1">
        <f t="array" ref="I235">IFERROR(INDEX(Upload_Indiv_Team,MATCH(1,($A229=Upload_Indiv_Player)*(I$2=Upload_Indiv_Date),0)),"")</f>
        <v>Stymies</v>
      </c>
      <c r="J235" s="2" t="str" cm="1">
        <f t="array" ref="J235">IFERROR(INDEX(Upload_Indiv_Team,MATCH(1,($A229=Upload_Indiv_Player)*(J$2=Upload_Indiv_Date),0)),"")</f>
        <v/>
      </c>
      <c r="K235" s="2" t="str" cm="1">
        <f t="array" ref="K235">IFERROR(INDEX(Upload_Indiv_Team,MATCH(1,($A229=Upload_Indiv_Player)*(K$2=Upload_Indiv_Date),0)),"")</f>
        <v/>
      </c>
      <c r="L235" s="2" t="str" cm="1">
        <f t="array" ref="L235">IFERROR(INDEX(Upload_Indiv_Team,MATCH(1,($A229=Upload_Indiv_Player)*(L$2=Upload_Indiv_Date),0)),"")</f>
        <v>Stymies</v>
      </c>
      <c r="M235" s="2" t="str" cm="1">
        <f t="array" ref="M235">IFERROR(INDEX(Upload_Indiv_Team,MATCH(1,($A229=Upload_Indiv_Player)*(M$2=Upload_Indiv_Date),0)),"")</f>
        <v>Who's Your Caddy?</v>
      </c>
      <c r="N235" s="2" t="str" cm="1">
        <f t="array" ref="N235">IFERROR(INDEX(Upload_Indiv_Team,MATCH(1,($A229=Upload_Indiv_Player)*(N$2=Upload_Indiv_Date),0)),"")</f>
        <v/>
      </c>
      <c r="O235" s="2" t="str" cm="1">
        <f t="array" ref="O235">IFERROR(INDEX(Upload_Indiv_Team,MATCH(1,($A229=Upload_Indiv_Player)*(O$2=Upload_Indiv_Date),0)),"")</f>
        <v>Who's Your Caddy?</v>
      </c>
      <c r="P235" s="2" t="str" cm="1">
        <f t="array" ref="P235">IFERROR(INDEX(Upload_Indiv_Team,MATCH(1,($A229=Upload_Indiv_Player)*(P$2=Upload_Indiv_Date),0)),"")</f>
        <v>Who's Your Caddy?</v>
      </c>
      <c r="Q235" s="2" t="str" cm="1">
        <f t="array" ref="Q235">IFERROR(INDEX(Upload_Indiv_Team,MATCH(1,($A229=Upload_Indiv_Player)*(Q$2=Upload_Indiv_Date),0)),"")</f>
        <v>Stymies</v>
      </c>
      <c r="R235" s="2" t="str" cm="1">
        <f t="array" ref="R235">IFERROR(INDEX(Upload_Indiv_Team,MATCH(1,($A229=Upload_Indiv_Player)*(R$2=Upload_Indiv_Date),0)),"")</f>
        <v>Stymies</v>
      </c>
      <c r="S235" s="2" t="str" cm="1">
        <f t="array" ref="S235">IFERROR(INDEX(Upload_Indiv_Team,MATCH(1,($A229=Upload_Indiv_Player)*(S$2=Upload_Indiv_Date),0)),"")</f>
        <v>Stymies</v>
      </c>
      <c r="T235" s="2" t="str" cm="1">
        <f t="array" ref="T235">IFERROR(INDEX(Upload_Indiv_Team,MATCH(1,($A229=Upload_Indiv_Player)*(T$2=Upload_Indiv_Date),0)),"")</f>
        <v>Stymies</v>
      </c>
      <c r="U235" s="2" t="str" cm="1">
        <f t="array" ref="U235">IFERROR(INDEX(Upload_Indiv_Team,MATCH(1,($A229=Upload_Indiv_Player)*(U$2=Upload_Indiv_Date),0)),"")</f>
        <v/>
      </c>
      <c r="V235" s="276"/>
      <c r="W235" s="276"/>
      <c r="X235" s="276"/>
      <c r="Y235" s="277"/>
      <c r="Z235" s="277"/>
      <c r="AA235" s="277"/>
    </row>
    <row r="236" spans="1:27" ht="13.8" thickBot="1" x14ac:dyDescent="0.3">
      <c r="A236" s="329" t="s">
        <v>160</v>
      </c>
      <c r="B236" s="8" t="s">
        <v>178</v>
      </c>
      <c r="C236" s="58" t="str">
        <f>IF(C229="", "", IF(C231&gt;=11, "w", IF(C231&lt;=9, "l", "t")))</f>
        <v>w</v>
      </c>
      <c r="D236" s="58" t="str">
        <f t="shared" ref="D236:T236" si="29">IF(D229="", "", IF(D231&gt;=11, "w", IF(D231&lt;=9, "l", "t")))</f>
        <v>w</v>
      </c>
      <c r="E236" s="58" t="str">
        <f t="shared" si="29"/>
        <v>l</v>
      </c>
      <c r="F236" s="58" t="str">
        <f t="shared" si="29"/>
        <v>l</v>
      </c>
      <c r="G236" s="58" t="str">
        <f t="shared" si="29"/>
        <v/>
      </c>
      <c r="H236" s="58" t="str">
        <f t="shared" si="29"/>
        <v/>
      </c>
      <c r="I236" s="58" t="str">
        <f t="shared" si="29"/>
        <v>l</v>
      </c>
      <c r="J236" s="58" t="str">
        <f t="shared" si="29"/>
        <v/>
      </c>
      <c r="K236" s="58" t="str">
        <f t="shared" si="29"/>
        <v/>
      </c>
      <c r="L236" s="58" t="str">
        <f t="shared" si="29"/>
        <v>l</v>
      </c>
      <c r="M236" s="58" t="str">
        <f t="shared" si="29"/>
        <v>w</v>
      </c>
      <c r="N236" s="58" t="str">
        <f t="shared" si="29"/>
        <v/>
      </c>
      <c r="O236" s="58" t="str">
        <f t="shared" si="29"/>
        <v>l</v>
      </c>
      <c r="P236" s="58" t="str">
        <f t="shared" si="29"/>
        <v>w</v>
      </c>
      <c r="Q236" s="58" t="str">
        <f t="shared" si="29"/>
        <v>w</v>
      </c>
      <c r="R236" s="58" t="str">
        <f t="shared" si="29"/>
        <v>w</v>
      </c>
      <c r="S236" s="58" t="str">
        <f t="shared" si="29"/>
        <v>t</v>
      </c>
      <c r="T236" s="58" t="str">
        <f t="shared" si="29"/>
        <v>l</v>
      </c>
      <c r="U236" s="58" t="str">
        <f>IF(U229="", "", IF(U231&gt;=11, "w", IF(U231&lt;=9, "l", "t")))</f>
        <v>w</v>
      </c>
      <c r="V236" s="276"/>
      <c r="W236" s="276"/>
      <c r="X236" s="276"/>
      <c r="Y236" s="277"/>
      <c r="Z236" s="277"/>
      <c r="AA236" s="277"/>
    </row>
  </sheetData>
  <hyperlinks>
    <hyperlink ref="A79" r:id="rId1" xr:uid="{A34A40B8-A636-4304-AB11-D2626D546A8A}"/>
    <hyperlink ref="A159" r:id="rId2" xr:uid="{58B1EE64-9EB1-481C-8DF5-95398A91573E}"/>
    <hyperlink ref="A111" r:id="rId3" xr:uid="{C9CE7117-2F2D-4942-9C2E-D33ACAE4E2BE}"/>
    <hyperlink ref="A231" r:id="rId4" xr:uid="{C17F156B-3147-48B7-BCF0-AA616A812543}"/>
    <hyperlink ref="A23" r:id="rId5" display="mavery1763@gmail.com" xr:uid="{B71976A0-D1F1-44F3-9FC5-F19032028464}"/>
    <hyperlink ref="A95" r:id="rId6" display="oh1jesse@yahoo.com" xr:uid="{A9A320D3-D394-4932-8B53-3B5128213121}"/>
    <hyperlink ref="A215" r:id="rId7" display="dethoma3@aol.com" xr:uid="{9AD0CE2A-6C1D-4AA6-950E-D2E42E037E04}"/>
    <hyperlink ref="A55" r:id="rId8" display="raymond.fryan@timkensteel.com" xr:uid="{28165F04-D061-40BC-A11E-C8230D7EF463}"/>
    <hyperlink ref="A135" r:id="rId9" xr:uid="{44AB7B6D-9783-4A0A-918F-E25E153918B9}"/>
    <hyperlink ref="A207" r:id="rId10" xr:uid="{D91768E6-6B9E-4771-95BF-1C735F06A9C7}"/>
    <hyperlink ref="A39" r:id="rId11" display="Jerybud@gmail.com" xr:uid="{0D29535F-EE61-4B40-90C0-C55BAA5000D2}"/>
    <hyperlink ref="A223" r:id="rId12" xr:uid="{4FBBD9AD-356F-4335-9F95-A468B1FC39FD}"/>
    <hyperlink ref="A167" r:id="rId13" xr:uid="{CB7883B8-EA95-4DB3-9088-CC706B8A9E5E}"/>
    <hyperlink ref="A143" r:id="rId14" display="ebn44720@gmail.com" xr:uid="{7F9D0602-F65C-4A3C-86AB-AA9EEA45E1E0}"/>
    <hyperlink ref="A63" r:id="rId15" display="davehaslar@gmail.com" xr:uid="{31F79DD5-B1AF-41BE-BF81-B5391B8BC337}"/>
    <hyperlink ref="A175" r:id="rId16" display="rockrlr@sssnet.com" xr:uid="{47477ECF-CA78-45D1-B04E-A2DD1D602444}"/>
    <hyperlink ref="A199" r:id="rId17" xr:uid="{F089010E-8C96-461C-B212-C4D171347951}"/>
    <hyperlink ref="A15" r:id="rId18" xr:uid="{01E9A79B-D5EF-4FF2-8356-CCA15D50A01A}"/>
  </hyperlinks>
  <pageMargins left="0.75" right="0.75" top="1" bottom="1" header="0.5" footer="0.5"/>
  <pageSetup orientation="portrait" r:id="rId19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A46"/>
  <sheetViews>
    <sheetView workbookViewId="0"/>
  </sheetViews>
  <sheetFormatPr defaultRowHeight="13.2" x14ac:dyDescent="0.25"/>
  <cols>
    <col min="1" max="1" width="29.8867187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17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26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28</v>
      </c>
      <c r="D3" s="5" cm="1">
        <f t="array" ref="D3">IF(SUMPRODUCT((Upload_Team_Team=$A$3)*(Upload_Team_Date=D$2)*(Upload_Team_Tm_Tot_Points))=0,"",SUMPRODUCT((Upload_Team_Team=$A$3)*(Upload_Team_Date=D$2)*(Upload_Team_Tm_Tot_Points)))</f>
        <v>51</v>
      </c>
      <c r="E3" s="5" cm="1">
        <f t="array" ref="E3">IF(SUMPRODUCT((Upload_Team_Team=$A$3)*(Upload_Team_Date=E$2)*(Upload_Team_Tm_Tot_Points))=0,"",SUMPRODUCT((Upload_Team_Team=$A$3)*(Upload_Team_Date=E$2)*(Upload_Team_Tm_Tot_Points)))</f>
        <v>44</v>
      </c>
      <c r="F3" s="5" cm="1">
        <f t="array" ref="F3">IF(SUMPRODUCT((Upload_Team_Team=$A$3)*(Upload_Team_Date=F$2)*(Upload_Team_Tm_Tot_Points))=0,"",SUMPRODUCT((Upload_Team_Team=$A$3)*(Upload_Team_Date=F$2)*(Upload_Team_Tm_Tot_Points)))</f>
        <v>49</v>
      </c>
      <c r="G3" s="5" cm="1">
        <f t="array" ref="G3">IF(SUMPRODUCT((Upload_Team_Team=$A$3)*(Upload_Team_Date=G$2)*(Upload_Team_Tm_Tot_Points))=0,"",SUMPRODUCT((Upload_Team_Team=$A$3)*(Upload_Team_Date=G$2)*(Upload_Team_Tm_Tot_Points)))</f>
        <v>46</v>
      </c>
      <c r="H3" s="5" cm="1">
        <f t="array" ref="H3">IF(SUMPRODUCT((Upload_Team_Team=$A$3)*(Upload_Team_Date=H$2)*(Upload_Team_Tm_Tot_Points))=0,"",SUMPRODUCT((Upload_Team_Team=$A$3)*(Upload_Team_Date=H$2)*(Upload_Team_Tm_Tot_Points)))</f>
        <v>58</v>
      </c>
      <c r="I3" s="5" cm="1">
        <f t="array" ref="I3">IF(SUMPRODUCT((Upload_Team_Team=$A$3)*(Upload_Team_Date=I$2)*(Upload_Team_Tm_Tot_Points))=0,"",SUMPRODUCT((Upload_Team_Team=$A$3)*(Upload_Team_Date=I$2)*(Upload_Team_Tm_Tot_Points)))</f>
        <v>55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35</v>
      </c>
      <c r="L3" s="5" cm="1">
        <f t="array" ref="L3">IF(SUMPRODUCT((Upload_Team_Team=$A$3)*(Upload_Team_Date=L$2)*(Upload_Team_Tm_Tot_Points))=0,"",SUMPRODUCT((Upload_Team_Team=$A$3)*(Upload_Team_Date=L$2)*(Upload_Team_Tm_Tot_Points)))</f>
        <v>54</v>
      </c>
      <c r="M3" s="5" cm="1">
        <f t="array" ref="M3">IF(SUMPRODUCT((Upload_Team_Team=$A$3)*(Upload_Team_Date=M$2)*(Upload_Team_Tm_Tot_Points))=0,"",SUMPRODUCT((Upload_Team_Team=$A$3)*(Upload_Team_Date=M$2)*(Upload_Team_Tm_Tot_Points)))</f>
        <v>36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52</v>
      </c>
      <c r="P3" s="5" cm="1">
        <f t="array" ref="P3">IF(SUMPRODUCT((Upload_Team_Team=$A$3)*(Upload_Team_Date=P$2)*(Upload_Team_Tm_Tot_Points))=0,"",SUMPRODUCT((Upload_Team_Team=$A$3)*(Upload_Team_Date=P$2)*(Upload_Team_Tm_Tot_Points)))</f>
        <v>37</v>
      </c>
      <c r="Q3" s="5" cm="1">
        <f t="array" ref="Q3">IF(SUMPRODUCT((Upload_Team_Team=$A$3)*(Upload_Team_Date=Q$2)*(Upload_Team_Tm_Tot_Points))=0,"",SUMPRODUCT((Upload_Team_Team=$A$3)*(Upload_Team_Date=Q$2)*(Upload_Team_Tm_Tot_Points)))</f>
        <v>58</v>
      </c>
      <c r="R3" s="5" cm="1">
        <f t="array" ref="R3">IF(SUMPRODUCT((Upload_Team_Team=$A$3)*(Upload_Team_Date=R$2)*(Upload_Team_Tm_Tot_Points))=0,"",SUMPRODUCT((Upload_Team_Team=$A$3)*(Upload_Team_Date=R$2)*(Upload_Team_Tm_Tot_Points)))</f>
        <v>31</v>
      </c>
      <c r="S3" s="5" cm="1">
        <f t="array" ref="S3">IF(SUMPRODUCT((Upload_Team_Team=$A$3)*(Upload_Team_Date=S$2)*(Upload_Team_Tm_Tot_Points))=0,"",SUMPRODUCT((Upload_Team_Team=$A$3)*(Upload_Team_Date=S$2)*(Upload_Team_Tm_Tot_Points)))</f>
        <v>45</v>
      </c>
      <c r="T3" s="5" cm="1">
        <f t="array" ref="T3">IF(SUMPRODUCT((Upload_Team_Team=$A$3)*(Upload_Team_Date=T$2)*(Upload_Team_Tm_Tot_Points))=0,"",SUMPRODUCT((Upload_Team_Team=$A$3)*(Upload_Team_Date=T$2)*(Upload_Team_Tm_Tot_Points)))</f>
        <v>30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163</v>
      </c>
      <c r="D4" s="7" cm="1">
        <f t="array" ref="D4">IF(SUMPRODUCT((Upload_Team_Team=$A$3)*(Upload_Team_Date=D$2)*(Upload_Team_Tm_Net))=0,"",SUMPRODUCT((Upload_Team_Team=$A$3)*(Upload_Team_Date=D$2)*(Upload_Team_Tm_Net)))</f>
        <v>171</v>
      </c>
      <c r="E4" s="7" cm="1">
        <f t="array" ref="E4">IF(SUMPRODUCT((Upload_Team_Team=$A$3)*(Upload_Team_Date=E$2)*(Upload_Team_Tm_Net))=0,"",SUMPRODUCT((Upload_Team_Team=$A$3)*(Upload_Team_Date=E$2)*(Upload_Team_Tm_Net)))</f>
        <v>163</v>
      </c>
      <c r="F4" s="7" cm="1">
        <f t="array" ref="F4">IF(SUMPRODUCT((Upload_Team_Team=$A$3)*(Upload_Team_Date=F$2)*(Upload_Team_Tm_Net))=0,"",SUMPRODUCT((Upload_Team_Team=$A$3)*(Upload_Team_Date=F$2)*(Upload_Team_Tm_Net)))</f>
        <v>150</v>
      </c>
      <c r="G4" s="7" cm="1">
        <f t="array" ref="G4">IF(SUMPRODUCT((Upload_Team_Team=$A$3)*(Upload_Team_Date=G$2)*(Upload_Team_Tm_Net))=0,"",SUMPRODUCT((Upload_Team_Team=$A$3)*(Upload_Team_Date=G$2)*(Upload_Team_Tm_Net)))</f>
        <v>157</v>
      </c>
      <c r="H4" s="7" cm="1">
        <f t="array" ref="H4">IF(SUMPRODUCT((Upload_Team_Team=$A$3)*(Upload_Team_Date=H$2)*(Upload_Team_Tm_Net))=0,"",SUMPRODUCT((Upload_Team_Team=$A$3)*(Upload_Team_Date=H$2)*(Upload_Team_Tm_Net)))</f>
        <v>153</v>
      </c>
      <c r="I4" s="7" cm="1">
        <f t="array" ref="I4">IF(SUMPRODUCT((Upload_Team_Team=$A$3)*(Upload_Team_Date=I$2)*(Upload_Team_Tm_Net))=0,"",SUMPRODUCT((Upload_Team_Team=$A$3)*(Upload_Team_Date=I$2)*(Upload_Team_Tm_Net)))</f>
        <v>154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161</v>
      </c>
      <c r="L4" s="7" cm="1">
        <f t="array" ref="L4">IF(SUMPRODUCT((Upload_Team_Team=$A$3)*(Upload_Team_Date=L$2)*(Upload_Team_Tm_Net))=0,"",SUMPRODUCT((Upload_Team_Team=$A$3)*(Upload_Team_Date=L$2)*(Upload_Team_Tm_Net)))</f>
        <v>142</v>
      </c>
      <c r="M4" s="7" cm="1">
        <f t="array" ref="M4">IF(SUMPRODUCT((Upload_Team_Team=$A$3)*(Upload_Team_Date=M$2)*(Upload_Team_Tm_Net))=0,"",SUMPRODUCT((Upload_Team_Team=$A$3)*(Upload_Team_Date=M$2)*(Upload_Team_Tm_Net)))</f>
        <v>162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150</v>
      </c>
      <c r="P4" s="7" cm="1">
        <f t="array" ref="P4">IF(SUMPRODUCT((Upload_Team_Team=$A$3)*(Upload_Team_Date=P$2)*(Upload_Team_Tm_Net))=0,"",SUMPRODUCT((Upload_Team_Team=$A$3)*(Upload_Team_Date=P$2)*(Upload_Team_Tm_Net)))</f>
        <v>154</v>
      </c>
      <c r="Q4" s="7" t="str" cm="1">
        <f t="array" ref="Q4">IF(SUMPRODUCT((Upload_Team_Team=$A$3)*(Upload_Team_Date=Q$2)*(Upload_Team_Tm_Net))=0,"",SUMPRODUCT((Upload_Team_Team=$A$3)*(Upload_Team_Date=Q$2)*(Upload_Team_Tm_Net)))</f>
        <v/>
      </c>
      <c r="R4" s="7" cm="1">
        <f t="array" ref="R4">IF(SUMPRODUCT((Upload_Team_Team=$A$3)*(Upload_Team_Date=R$2)*(Upload_Team_Tm_Net))=0,"",SUMPRODUCT((Upload_Team_Team=$A$3)*(Upload_Team_Date=R$2)*(Upload_Team_Tm_Net)))</f>
        <v>152</v>
      </c>
      <c r="S4" s="7" cm="1">
        <f t="array" ref="S4">IF(SUMPRODUCT((Upload_Team_Team=$A$3)*(Upload_Team_Date=S$2)*(Upload_Team_Tm_Net))=0,"",SUMPRODUCT((Upload_Team_Team=$A$3)*(Upload_Team_Date=S$2)*(Upload_Team_Tm_Net)))</f>
        <v>144</v>
      </c>
      <c r="T4" s="7" cm="1">
        <f t="array" ref="T4">IF(SUMPRODUCT((Upload_Team_Team=$A$3)*(Upload_Team_Date=T$2)*(Upload_Team_Tm_Net))=0,"",SUMPRODUCT((Upload_Team_Team=$A$3)*(Upload_Team_Date=T$2)*(Upload_Team_Tm_Net)))</f>
        <v>166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03" t="s">
        <v>146</v>
      </c>
      <c r="B5" s="3" t="s">
        <v>170</v>
      </c>
      <c r="C5" s="3" cm="1">
        <f t="array" ref="C5">IF(SUMPRODUCT((Upload_Indiv_Player=$A5)*(Upload_Indiv_Date=C$2)*(Upload_Indiv_Gross))=0,"",SUMPRODUCT((Upload_Indiv_Player=$A5)*(Upload_Indiv_Date=C$2)*(Upload_Indiv_Gross)))</f>
        <v>45</v>
      </c>
      <c r="D5" s="3" t="str" cm="1">
        <f t="array" ref="D5">IF(SUMPRODUCT((Upload_Indiv_Player=$A5)*(Upload_Indiv_Date=D$2)*(Upload_Indiv_Gross))=0,"",SUMPRODUCT((Upload_Indiv_Player=$A5)*(Upload_Indiv_Date=D$2)*(Upload_Indiv_Gross)))</f>
        <v/>
      </c>
      <c r="E5" s="3" t="str" cm="1">
        <f t="array" ref="E5">IF(SUMPRODUCT((Upload_Indiv_Player=$A5)*(Upload_Indiv_Date=E$2)*(Upload_Indiv_Gross))=0,"",SUMPRODUCT((Upload_Indiv_Player=$A5)*(Upload_Indiv_Date=E$2)*(Upload_Indiv_Gross)))</f>
        <v/>
      </c>
      <c r="F5" s="3" t="str" cm="1">
        <f t="array" ref="F5">IF(SUMPRODUCT((Upload_Indiv_Player=$A5)*(Upload_Indiv_Date=F$2)*(Upload_Indiv_Gross))=0,"",SUMPRODUCT((Upload_Indiv_Player=$A5)*(Upload_Indiv_Date=F$2)*(Upload_Indiv_Gross)))</f>
        <v/>
      </c>
      <c r="G5" s="3" cm="1">
        <f t="array" ref="G5">IF(SUMPRODUCT((Upload_Indiv_Player=$A5)*(Upload_Indiv_Date=G$2)*(Upload_Indiv_Gross))=0,"",SUMPRODUCT((Upload_Indiv_Player=$A5)*(Upload_Indiv_Date=G$2)*(Upload_Indiv_Gross)))</f>
        <v>40</v>
      </c>
      <c r="H5" s="3" cm="1">
        <f t="array" ref="H5">IF(SUMPRODUCT((Upload_Indiv_Player=$A5)*(Upload_Indiv_Date=H$2)*(Upload_Indiv_Gross))=0,"",SUMPRODUCT((Upload_Indiv_Player=$A5)*(Upload_Indiv_Date=H$2)*(Upload_Indiv_Gross)))</f>
        <v>41</v>
      </c>
      <c r="I5" s="3" cm="1">
        <f t="array" ref="I5">IF(SUMPRODUCT((Upload_Indiv_Player=$A5)*(Upload_Indiv_Date=I$2)*(Upload_Indiv_Gross))=0,"",SUMPRODUCT((Upload_Indiv_Player=$A5)*(Upload_Indiv_Date=I$2)*(Upload_Indiv_Gross)))</f>
        <v>39</v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cm="1">
        <f t="array" ref="K5">IF(SUMPRODUCT((Upload_Indiv_Player=$A5)*(Upload_Indiv_Date=K$2)*(Upload_Indiv_Gross))=0,"",SUMPRODUCT((Upload_Indiv_Player=$A5)*(Upload_Indiv_Date=K$2)*(Upload_Indiv_Gross)))</f>
        <v>40</v>
      </c>
      <c r="L5" s="3" cm="1">
        <f t="array" ref="L5">IF(SUMPRODUCT((Upload_Indiv_Player=$A5)*(Upload_Indiv_Date=L$2)*(Upload_Indiv_Gross))=0,"",SUMPRODUCT((Upload_Indiv_Player=$A5)*(Upload_Indiv_Date=L$2)*(Upload_Indiv_Gross)))</f>
        <v>42</v>
      </c>
      <c r="M5" s="3" cm="1">
        <f t="array" ref="M5">IF(SUMPRODUCT((Upload_Indiv_Player=$A5)*(Upload_Indiv_Date=M$2)*(Upload_Indiv_Gross))=0,"",SUMPRODUCT((Upload_Indiv_Player=$A5)*(Upload_Indiv_Date=M$2)*(Upload_Indiv_Gross)))</f>
        <v>41</v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t="str" cm="1">
        <f t="array" ref="O5">IF(SUMPRODUCT((Upload_Indiv_Player=$A5)*(Upload_Indiv_Date=O$2)*(Upload_Indiv_Gross))=0,"",SUMPRODUCT((Upload_Indiv_Player=$A5)*(Upload_Indiv_Date=O$2)*(Upload_Indiv_Gross)))</f>
        <v/>
      </c>
      <c r="P5" s="3" cm="1">
        <f t="array" ref="P5">IF(SUMPRODUCT((Upload_Indiv_Player=$A5)*(Upload_Indiv_Date=P$2)*(Upload_Indiv_Gross))=0,"",SUMPRODUCT((Upload_Indiv_Player=$A5)*(Upload_Indiv_Date=P$2)*(Upload_Indiv_Gross)))</f>
        <v>42</v>
      </c>
      <c r="Q5" s="3" cm="1">
        <f t="array" ref="Q5">IF(SUMPRODUCT((Upload_Indiv_Player=$A5)*(Upload_Indiv_Date=Q$2)*(Upload_Indiv_Gross))=0,"",SUMPRODUCT((Upload_Indiv_Player=$A5)*(Upload_Indiv_Date=Q$2)*(Upload_Indiv_Gross)))</f>
        <v>31</v>
      </c>
      <c r="R5" s="3" cm="1">
        <f t="array" ref="R5">IF(SUMPRODUCT((Upload_Indiv_Player=$A5)*(Upload_Indiv_Date=R$2)*(Upload_Indiv_Gross))=0,"",SUMPRODUCT((Upload_Indiv_Player=$A5)*(Upload_Indiv_Date=R$2)*(Upload_Indiv_Gross)))</f>
        <v>40</v>
      </c>
      <c r="S5" s="3" cm="1">
        <f t="array" ref="S5">IF(SUMPRODUCT((Upload_Indiv_Player=$A5)*(Upload_Indiv_Date=S$2)*(Upload_Indiv_Gross))=0,"",SUMPRODUCT((Upload_Indiv_Player=$A5)*(Upload_Indiv_Date=S$2)*(Upload_Indiv_Gross)))</f>
        <v>37</v>
      </c>
      <c r="T5" s="3" t="str" cm="1">
        <f t="array" ref="T5">IF(SUMPRODUCT((Upload_Indiv_Player=$A5)*(Upload_Indiv_Date=T$2)*(Upload_Indiv_Gross))=0,"",SUMPRODUCT((Upload_Indiv_Player=$A5)*(Upload_Indiv_Date=T$2)*(Upload_Indiv_Gross)))</f>
        <v/>
      </c>
      <c r="U5" s="3">
        <v>37</v>
      </c>
      <c r="V5" s="273">
        <v>15</v>
      </c>
      <c r="W5" s="273">
        <v>10</v>
      </c>
      <c r="X5" s="273">
        <v>12</v>
      </c>
      <c r="Y5" s="277">
        <v>16</v>
      </c>
      <c r="Z5" s="277">
        <v>15</v>
      </c>
      <c r="AA5" s="277">
        <v>13</v>
      </c>
    </row>
    <row r="6" spans="1:27" x14ac:dyDescent="0.25">
      <c r="A6" s="304">
        <v>3302842638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42</v>
      </c>
      <c r="D6" s="2" t="str" cm="1">
        <f t="array" ref="D6">IF(SUMPRODUCT((Upload_Indiv_Player=$A5)*(Upload_Indiv_Date=D$2)*(Upload_Indiv_Net))=0,"",SUMPRODUCT((Upload_Indiv_Player=$A5)*(Upload_Indiv_Date=D$2)*(Upload_Indiv_Net)))</f>
        <v/>
      </c>
      <c r="E6" s="2" t="str" cm="1">
        <f t="array" ref="E6">IF(SUMPRODUCT((Upload_Indiv_Player=$A5)*(Upload_Indiv_Date=E$2)*(Upload_Indiv_Net))=0,"",SUMPRODUCT((Upload_Indiv_Player=$A5)*(Upload_Indiv_Date=E$2)*(Upload_Indiv_Net)))</f>
        <v/>
      </c>
      <c r="F6" s="2" t="str" cm="1">
        <f t="array" ref="F6">IF(SUMPRODUCT((Upload_Indiv_Player=$A5)*(Upload_Indiv_Date=F$2)*(Upload_Indiv_Net))=0,"",SUMPRODUCT((Upload_Indiv_Player=$A5)*(Upload_Indiv_Date=F$2)*(Upload_Indiv_Net)))</f>
        <v/>
      </c>
      <c r="G6" s="2" cm="1">
        <f t="array" ref="G6">IF(SUMPRODUCT((Upload_Indiv_Player=$A5)*(Upload_Indiv_Date=G$2)*(Upload_Indiv_Net))=0,"",SUMPRODUCT((Upload_Indiv_Player=$A5)*(Upload_Indiv_Date=G$2)*(Upload_Indiv_Net)))</f>
        <v>37</v>
      </c>
      <c r="H6" s="2" cm="1">
        <f t="array" ref="H6">IF(SUMPRODUCT((Upload_Indiv_Player=$A5)*(Upload_Indiv_Date=H$2)*(Upload_Indiv_Net))=0,"",SUMPRODUCT((Upload_Indiv_Player=$A5)*(Upload_Indiv_Date=H$2)*(Upload_Indiv_Net)))</f>
        <v>38</v>
      </c>
      <c r="I6" s="2" cm="1">
        <f t="array" ref="I6">IF(SUMPRODUCT((Upload_Indiv_Player=$A5)*(Upload_Indiv_Date=I$2)*(Upload_Indiv_Net))=0,"",SUMPRODUCT((Upload_Indiv_Player=$A5)*(Upload_Indiv_Date=I$2)*(Upload_Indiv_Net)))</f>
        <v>36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37</v>
      </c>
      <c r="L6" s="2" cm="1">
        <f t="array" ref="L6">IF(SUMPRODUCT((Upload_Indiv_Player=$A5)*(Upload_Indiv_Date=L$2)*(Upload_Indiv_Net))=0,"",SUMPRODUCT((Upload_Indiv_Player=$A5)*(Upload_Indiv_Date=L$2)*(Upload_Indiv_Net)))</f>
        <v>39</v>
      </c>
      <c r="M6" s="2" cm="1">
        <f t="array" ref="M6">IF(SUMPRODUCT((Upload_Indiv_Player=$A5)*(Upload_Indiv_Date=M$2)*(Upload_Indiv_Net))=0,"",SUMPRODUCT((Upload_Indiv_Player=$A5)*(Upload_Indiv_Date=M$2)*(Upload_Indiv_Net)))</f>
        <v>38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t="str" cm="1">
        <f t="array" ref="O6">IF(SUMPRODUCT((Upload_Indiv_Player=$A5)*(Upload_Indiv_Date=O$2)*(Upload_Indiv_Net))=0,"",SUMPRODUCT((Upload_Indiv_Player=$A5)*(Upload_Indiv_Date=O$2)*(Upload_Indiv_Net)))</f>
        <v/>
      </c>
      <c r="P6" s="2" cm="1">
        <f t="array" ref="P6">IF(SUMPRODUCT((Upload_Indiv_Player=$A5)*(Upload_Indiv_Date=P$2)*(Upload_Indiv_Net))=0,"",SUMPRODUCT((Upload_Indiv_Player=$A5)*(Upload_Indiv_Date=P$2)*(Upload_Indiv_Net)))</f>
        <v>38</v>
      </c>
      <c r="Q6" s="2" cm="1">
        <f t="array" ref="Q6">IF(SUMPRODUCT((Upload_Indiv_Player=$A5)*(Upload_Indiv_Date=Q$2)*(Upload_Indiv_Net))=0,"",SUMPRODUCT((Upload_Indiv_Player=$A5)*(Upload_Indiv_Date=Q$2)*(Upload_Indiv_Net)))</f>
        <v>27</v>
      </c>
      <c r="R6" s="2" cm="1">
        <f t="array" ref="R6">IF(SUMPRODUCT((Upload_Indiv_Player=$A5)*(Upload_Indiv_Date=R$2)*(Upload_Indiv_Net))=0,"",SUMPRODUCT((Upload_Indiv_Player=$A5)*(Upload_Indiv_Date=R$2)*(Upload_Indiv_Net)))</f>
        <v>36</v>
      </c>
      <c r="S6" s="2" cm="1">
        <f t="array" ref="S6">IF(SUMPRODUCT((Upload_Indiv_Player=$A5)*(Upload_Indiv_Date=S$2)*(Upload_Indiv_Net))=0,"",SUMPRODUCT((Upload_Indiv_Player=$A5)*(Upload_Indiv_Date=S$2)*(Upload_Indiv_Net)))</f>
        <v>33</v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>
        <v>34</v>
      </c>
      <c r="V6" s="279">
        <v>41.53</v>
      </c>
      <c r="W6" s="279"/>
      <c r="X6" s="279"/>
      <c r="Y6" s="277"/>
      <c r="Z6" s="277"/>
      <c r="AA6" s="277"/>
    </row>
    <row r="7" spans="1:27" x14ac:dyDescent="0.25">
      <c r="A7" s="305" t="s">
        <v>521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6</v>
      </c>
      <c r="D7" s="2" t="str" cm="1">
        <f t="array" ref="D7">IF(SUMPRODUCT((Upload_Indiv_Player=$A5)*(Upload_Indiv_Date=D$2)*(Upload_Indiv_PointsTot))=0,"",SUMPRODUCT((Upload_Indiv_Player=$A5)*(Upload_Indiv_Date=D$2)*(Upload_Indiv_PointsTot)))</f>
        <v/>
      </c>
      <c r="E7" s="2" t="str" cm="1">
        <f t="array" ref="E7">IF(SUMPRODUCT((Upload_Indiv_Player=$A5)*(Upload_Indiv_Date=E$2)*(Upload_Indiv_PointsTot))=0,"",SUMPRODUCT((Upload_Indiv_Player=$A5)*(Upload_Indiv_Date=E$2)*(Upload_Indiv_PointsTot)))</f>
        <v/>
      </c>
      <c r="F7" s="2" t="str" cm="1">
        <f t="array" ref="F7">IF(SUMPRODUCT((Upload_Indiv_Player=$A5)*(Upload_Indiv_Date=F$2)*(Upload_Indiv_PointsTot))=0,"",SUMPRODUCT((Upload_Indiv_Player=$A5)*(Upload_Indiv_Date=F$2)*(Upload_Indiv_PointsTot)))</f>
        <v/>
      </c>
      <c r="G7" s="2" cm="1">
        <f t="array" ref="G7">IF(SUMPRODUCT((Upload_Indiv_Player=$A5)*(Upload_Indiv_Date=G$2)*(Upload_Indiv_PointsTot))=0,"",SUMPRODUCT((Upload_Indiv_Player=$A5)*(Upload_Indiv_Date=G$2)*(Upload_Indiv_PointsTot)))</f>
        <v>10</v>
      </c>
      <c r="H7" s="2" cm="1">
        <f t="array" ref="H7">IF(SUMPRODUCT((Upload_Indiv_Player=$A5)*(Upload_Indiv_Date=H$2)*(Upload_Indiv_PointsTot))=0,"",SUMPRODUCT((Upload_Indiv_Player=$A5)*(Upload_Indiv_Date=H$2)*(Upload_Indiv_PointsTot)))</f>
        <v>17</v>
      </c>
      <c r="I7" s="2" cm="1">
        <f t="array" ref="I7">IF(SUMPRODUCT((Upload_Indiv_Player=$A5)*(Upload_Indiv_Date=I$2)*(Upload_Indiv_PointsTot))=0,"",SUMPRODUCT((Upload_Indiv_Player=$A5)*(Upload_Indiv_Date=I$2)*(Upload_Indiv_PointsTot)))</f>
        <v>12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12</v>
      </c>
      <c r="L7" s="2" cm="1">
        <f t="array" ref="L7">IF(SUMPRODUCT((Upload_Indiv_Player=$A5)*(Upload_Indiv_Date=L$2)*(Upload_Indiv_PointsTot))=0,"",SUMPRODUCT((Upload_Indiv_Player=$A5)*(Upload_Indiv_Date=L$2)*(Upload_Indiv_PointsTot)))</f>
        <v>8</v>
      </c>
      <c r="M7" s="2" cm="1">
        <f t="array" ref="M7">IF(SUMPRODUCT((Upload_Indiv_Player=$A5)*(Upload_Indiv_Date=M$2)*(Upload_Indiv_PointsTot))=0,"",SUMPRODUCT((Upload_Indiv_Player=$A5)*(Upload_Indiv_Date=M$2)*(Upload_Indiv_PointsTot)))</f>
        <v>15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t="str" cm="1">
        <f t="array" ref="O7">IF(SUMPRODUCT((Upload_Indiv_Player=$A5)*(Upload_Indiv_Date=O$2)*(Upload_Indiv_PointsTot))=0,"",SUMPRODUCT((Upload_Indiv_Player=$A5)*(Upload_Indiv_Date=O$2)*(Upload_Indiv_PointsTot)))</f>
        <v/>
      </c>
      <c r="P7" s="2" cm="1">
        <f t="array" ref="P7">IF(SUMPRODUCT((Upload_Indiv_Player=$A5)*(Upload_Indiv_Date=P$2)*(Upload_Indiv_PointsTot))=0,"",SUMPRODUCT((Upload_Indiv_Player=$A5)*(Upload_Indiv_Date=P$2)*(Upload_Indiv_PointsTot)))</f>
        <v>13</v>
      </c>
      <c r="Q7" s="2" cm="1">
        <f t="array" ref="Q7">IF(SUMPRODUCT((Upload_Indiv_Player=$A5)*(Upload_Indiv_Date=Q$2)*(Upload_Indiv_PointsTot))=0,"",SUMPRODUCT((Upload_Indiv_Player=$A5)*(Upload_Indiv_Date=Q$2)*(Upload_Indiv_PointsTot)))</f>
        <v>14</v>
      </c>
      <c r="R7" s="2" cm="1">
        <f t="array" ref="R7">IF(SUMPRODUCT((Upload_Indiv_Player=$A5)*(Upload_Indiv_Date=R$2)*(Upload_Indiv_PointsTot))=0,"",SUMPRODUCT((Upload_Indiv_Player=$A5)*(Upload_Indiv_Date=R$2)*(Upload_Indiv_PointsTot)))</f>
        <v>11</v>
      </c>
      <c r="S7" s="2" cm="1">
        <f t="array" ref="S7">IF(SUMPRODUCT((Upload_Indiv_Player=$A5)*(Upload_Indiv_Date=S$2)*(Upload_Indiv_PointsTot))=0,"",SUMPRODUCT((Upload_Indiv_Player=$A5)*(Upload_Indiv_Date=S$2)*(Upload_Indiv_PointsTot)))</f>
        <v>10</v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9"/>
      <c r="W7" s="279"/>
      <c r="X7" s="279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cm="1">
        <f t="array" ref="G8">IF(SUMPRODUCT((Upload_Indiv_Player=$A5)*(Upload_Indiv_Date=G$2)*(Upload_Indiv_Tot_Birds))=0,"",SUMPRODUCT((Upload_Indiv_Player=$A5)*(Upload_Indiv_Date=G$2)*(Upload_Indiv_Tot_Birds)))</f>
        <v>2</v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cm="1">
        <f t="array" ref="I8">IF(SUMPRODUCT((Upload_Indiv_Player=$A5)*(Upload_Indiv_Date=I$2)*(Upload_Indiv_Tot_Birds))=0,"",SUMPRODUCT((Upload_Indiv_Player=$A5)*(Upload_Indiv_Date=I$2)*(Upload_Indiv_Tot_Birds)))</f>
        <v>1</v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cm="1">
        <f t="array" ref="R8">IF(SUMPRODUCT((Upload_Indiv_Player=$A5)*(Upload_Indiv_Date=R$2)*(Upload_Indiv_Tot_Birds))=0,"",SUMPRODUCT((Upload_Indiv_Player=$A5)*(Upload_Indiv_Date=R$2)*(Upload_Indiv_Tot_Birds)))</f>
        <v>2</v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9"/>
      <c r="W8" s="279"/>
      <c r="X8" s="279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9"/>
      <c r="W9" s="279"/>
      <c r="X9" s="279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cm="1">
        <f t="array" ref="Q10">IF(SUMPRODUCT((Upload_Indiv_Player=$A5)*(Upload_Indiv_Date=Q$2)*(Upload_Indiv_Excl_Score))=0,"",SUMPRODUCT((Upload_Indiv_Player=$A5)*(Upload_Indiv_Date=Q$2)*(Upload_Indiv_Excl_Score)))</f>
        <v>1</v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t="str" cm="1">
        <f t="array" ref="T10">IF(SUMPRODUCT((Upload_Indiv_Player=$A5)*(Upload_Indiv_Date=T$2)*(Upload_Indiv_Excl_Score))=0,"",SUMPRODUCT((Upload_Indiv_Player=$A5)*(Upload_Indiv_Date=T$2)*(Upload_Indiv_Excl_Score)))</f>
        <v/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9"/>
      <c r="W10" s="279"/>
      <c r="X10" s="279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l</v>
      </c>
      <c r="D11" s="58" t="str">
        <f t="shared" ref="D11:S11" si="1">IF(D5="", "", IF(D7&gt;=11, "w", IF(D7&lt;=9, "l", "t")))</f>
        <v/>
      </c>
      <c r="E11" s="58" t="str">
        <f t="shared" si="1"/>
        <v/>
      </c>
      <c r="F11" s="58" t="str">
        <f t="shared" si="1"/>
        <v/>
      </c>
      <c r="G11" s="58" t="str">
        <f t="shared" si="1"/>
        <v>t</v>
      </c>
      <c r="H11" s="58" t="str">
        <f t="shared" si="1"/>
        <v>w</v>
      </c>
      <c r="I11" s="58" t="str">
        <f t="shared" si="1"/>
        <v>w</v>
      </c>
      <c r="J11" s="58" t="str">
        <f t="shared" si="1"/>
        <v/>
      </c>
      <c r="K11" s="58" t="str">
        <f t="shared" si="1"/>
        <v>w</v>
      </c>
      <c r="L11" s="58" t="str">
        <f t="shared" si="1"/>
        <v>l</v>
      </c>
      <c r="M11" s="58" t="str">
        <f t="shared" si="1"/>
        <v>w</v>
      </c>
      <c r="N11" s="58" t="str">
        <f t="shared" si="1"/>
        <v/>
      </c>
      <c r="O11" s="58" t="str">
        <f t="shared" si="1"/>
        <v/>
      </c>
      <c r="P11" s="58" t="str">
        <f t="shared" si="1"/>
        <v>w</v>
      </c>
      <c r="Q11" s="58" t="str">
        <f t="shared" si="1"/>
        <v>w</v>
      </c>
      <c r="R11" s="58" t="str">
        <f t="shared" si="1"/>
        <v>w</v>
      </c>
      <c r="S11" s="58" t="str">
        <f t="shared" si="1"/>
        <v>t</v>
      </c>
      <c r="T11" s="58" t="str">
        <f>IF(T5="", "", IF(T7&gt;=11, "w", IF(T7&lt;=9, "l", "t")))</f>
        <v/>
      </c>
      <c r="U11" s="58" t="str">
        <f>IF(U5="", "", IF(U7&gt;=11, "w", IF(U7&lt;=9, "l", "t")))</f>
        <v>w</v>
      </c>
      <c r="V11" s="279"/>
      <c r="W11" s="279"/>
      <c r="X11" s="279"/>
      <c r="Y11" s="277"/>
      <c r="Z11" s="277"/>
      <c r="AA11" s="277"/>
    </row>
    <row r="12" spans="1:27" x14ac:dyDescent="0.25">
      <c r="A12" s="303" t="s">
        <v>100</v>
      </c>
      <c r="B12" s="3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46</v>
      </c>
      <c r="D12" s="3" t="str" cm="1">
        <f t="array" ref="D12">IF(SUMPRODUCT((Upload_Indiv_Player=$A12)*(Upload_Indiv_Date=D$2)*(Upload_Indiv_Gross))=0,"",SUMPRODUCT((Upload_Indiv_Player=$A12)*(Upload_Indiv_Date=D$2)*(Upload_Indiv_Gross)))</f>
        <v/>
      </c>
      <c r="E12" s="3" cm="1">
        <f t="array" ref="E12">IF(SUMPRODUCT((Upload_Indiv_Player=$A12)*(Upload_Indiv_Date=E$2)*(Upload_Indiv_Gross))=0,"",SUMPRODUCT((Upload_Indiv_Player=$A12)*(Upload_Indiv_Date=E$2)*(Upload_Indiv_Gross)))</f>
        <v>44</v>
      </c>
      <c r="F12" s="3" cm="1">
        <f t="array" ref="F12">IF(SUMPRODUCT((Upload_Indiv_Player=$A12)*(Upload_Indiv_Date=F$2)*(Upload_Indiv_Gross))=0,"",SUMPRODUCT((Upload_Indiv_Player=$A12)*(Upload_Indiv_Date=F$2)*(Upload_Indiv_Gross)))</f>
        <v>39</v>
      </c>
      <c r="G12" s="3" t="str" cm="1">
        <f t="array" ref="G12">IF(SUMPRODUCT((Upload_Indiv_Player=$A12)*(Upload_Indiv_Date=G$2)*(Upload_Indiv_Gross))=0,"",SUMPRODUCT((Upload_Indiv_Player=$A12)*(Upload_Indiv_Date=G$2)*(Upload_Indiv_Gross)))</f>
        <v/>
      </c>
      <c r="H12" s="3" cm="1">
        <f t="array" ref="H12">IF(SUMPRODUCT((Upload_Indiv_Player=$A12)*(Upload_Indiv_Date=H$2)*(Upload_Indiv_Gross))=0,"",SUMPRODUCT((Upload_Indiv_Player=$A12)*(Upload_Indiv_Date=H$2)*(Upload_Indiv_Gross)))</f>
        <v>51</v>
      </c>
      <c r="I12" s="3" cm="1">
        <f t="array" ref="I12">IF(SUMPRODUCT((Upload_Indiv_Player=$A12)*(Upload_Indiv_Date=I$2)*(Upload_Indiv_Gross))=0,"",SUMPRODUCT((Upload_Indiv_Player=$A12)*(Upload_Indiv_Date=I$2)*(Upload_Indiv_Gross)))</f>
        <v>46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47</v>
      </c>
      <c r="L12" s="3" cm="1">
        <f t="array" ref="L12">IF(SUMPRODUCT((Upload_Indiv_Player=$A12)*(Upload_Indiv_Date=L$2)*(Upload_Indiv_Gross))=0,"",SUMPRODUCT((Upload_Indiv_Player=$A12)*(Upload_Indiv_Date=L$2)*(Upload_Indiv_Gross)))</f>
        <v>39</v>
      </c>
      <c r="M12" s="3" cm="1">
        <f t="array" ref="M12">IF(SUMPRODUCT((Upload_Indiv_Player=$A12)*(Upload_Indiv_Date=M$2)*(Upload_Indiv_Gross))=0,"",SUMPRODUCT((Upload_Indiv_Player=$A12)*(Upload_Indiv_Date=M$2)*(Upload_Indiv_Gross)))</f>
        <v>44</v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45</v>
      </c>
      <c r="P12" s="3" t="str" cm="1">
        <f t="array" ref="P12">IF(SUMPRODUCT((Upload_Indiv_Player=$A12)*(Upload_Indiv_Date=P$2)*(Upload_Indiv_Gross))=0,"",SUMPRODUCT((Upload_Indiv_Player=$A12)*(Upload_Indiv_Date=P$2)*(Upload_Indiv_Gross)))</f>
        <v/>
      </c>
      <c r="Q12" s="2" cm="1">
        <f t="array" ref="Q12">IF(SUMPRODUCT((Upload_Indiv_Player=$A12)*(Upload_Indiv_Date=Q$2)*(Upload_Indiv_Gross))=0,"",SUMPRODUCT((Upload_Indiv_Player=$A12)*(Upload_Indiv_Date=Q$2)*(Upload_Indiv_Gross)))</f>
        <v>34</v>
      </c>
      <c r="R12" s="2" cm="1">
        <f t="array" ref="R12">IF(SUMPRODUCT((Upload_Indiv_Player=$A12)*(Upload_Indiv_Date=R$2)*(Upload_Indiv_Gross))=0,"",SUMPRODUCT((Upload_Indiv_Player=$A12)*(Upload_Indiv_Date=R$2)*(Upload_Indiv_Gross)))</f>
        <v>48</v>
      </c>
      <c r="S12" s="2" cm="1">
        <f t="array" ref="S12">IF(SUMPRODUCT((Upload_Indiv_Player=$A12)*(Upload_Indiv_Date=S$2)*(Upload_Indiv_Gross))=0,"",SUMPRODUCT((Upload_Indiv_Player=$A12)*(Upload_Indiv_Date=S$2)*(Upload_Indiv_Gross)))</f>
        <v>40</v>
      </c>
      <c r="T12" s="2" cm="1">
        <f t="array" ref="T12">IF(SUMPRODUCT((Upload_Indiv_Player=$A12)*(Upload_Indiv_Date=T$2)*(Upload_Indiv_Gross))=0,"",SUMPRODUCT((Upload_Indiv_Player=$A12)*(Upload_Indiv_Date=T$2)*(Upload_Indiv_Gross)))</f>
        <v>44</v>
      </c>
      <c r="U12" s="2">
        <v>41</v>
      </c>
      <c r="V12" s="273">
        <v>13</v>
      </c>
      <c r="W12" s="273">
        <v>7</v>
      </c>
      <c r="X12" s="273">
        <v>3</v>
      </c>
      <c r="Y12" s="277">
        <v>2</v>
      </c>
      <c r="Z12" s="277">
        <v>3</v>
      </c>
      <c r="AA12" s="277">
        <v>4</v>
      </c>
    </row>
    <row r="13" spans="1:27" x14ac:dyDescent="0.25">
      <c r="A13" s="304">
        <v>3303216062</v>
      </c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40</v>
      </c>
      <c r="D13" s="2" t="str" cm="1">
        <f t="array" ref="D13">IF(SUMPRODUCT((Upload_Indiv_Player=$A12)*(Upload_Indiv_Date=D$2)*(Upload_Indiv_Net))=0,"",SUMPRODUCT((Upload_Indiv_Player=$A12)*(Upload_Indiv_Date=D$2)*(Upload_Indiv_Net)))</f>
        <v/>
      </c>
      <c r="E13" s="2" cm="1">
        <f t="array" ref="E13">IF(SUMPRODUCT((Upload_Indiv_Player=$A12)*(Upload_Indiv_Date=E$2)*(Upload_Indiv_Net))=0,"",SUMPRODUCT((Upload_Indiv_Player=$A12)*(Upload_Indiv_Date=E$2)*(Upload_Indiv_Net)))</f>
        <v>37</v>
      </c>
      <c r="F13" s="2" cm="1">
        <f t="array" ref="F13">IF(SUMPRODUCT((Upload_Indiv_Player=$A12)*(Upload_Indiv_Date=F$2)*(Upload_Indiv_Net))=0,"",SUMPRODUCT((Upload_Indiv_Player=$A12)*(Upload_Indiv_Date=F$2)*(Upload_Indiv_Net)))</f>
        <v>32</v>
      </c>
      <c r="G13" s="2" t="str" cm="1">
        <f t="array" ref="G13">IF(SUMPRODUCT((Upload_Indiv_Player=$A12)*(Upload_Indiv_Date=G$2)*(Upload_Indiv_Net))=0,"",SUMPRODUCT((Upload_Indiv_Player=$A12)*(Upload_Indiv_Date=G$2)*(Upload_Indiv_Net)))</f>
        <v/>
      </c>
      <c r="H13" s="2" cm="1">
        <f t="array" ref="H13">IF(SUMPRODUCT((Upload_Indiv_Player=$A12)*(Upload_Indiv_Date=H$2)*(Upload_Indiv_Net))=0,"",SUMPRODUCT((Upload_Indiv_Player=$A12)*(Upload_Indiv_Date=H$2)*(Upload_Indiv_Net)))</f>
        <v>46</v>
      </c>
      <c r="I13" s="2" cm="1">
        <f t="array" ref="I13">IF(SUMPRODUCT((Upload_Indiv_Player=$A12)*(Upload_Indiv_Date=I$2)*(Upload_Indiv_Net))=0,"",SUMPRODUCT((Upload_Indiv_Player=$A12)*(Upload_Indiv_Date=I$2)*(Upload_Indiv_Net)))</f>
        <v>41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41</v>
      </c>
      <c r="L13" s="2" cm="1">
        <f t="array" ref="L13">IF(SUMPRODUCT((Upload_Indiv_Player=$A12)*(Upload_Indiv_Date=L$2)*(Upload_Indiv_Net))=0,"",SUMPRODUCT((Upload_Indiv_Player=$A12)*(Upload_Indiv_Date=L$2)*(Upload_Indiv_Net)))</f>
        <v>33</v>
      </c>
      <c r="M13" s="2" cm="1">
        <f t="array" ref="M13">IF(SUMPRODUCT((Upload_Indiv_Player=$A12)*(Upload_Indiv_Date=M$2)*(Upload_Indiv_Net))=0,"",SUMPRODUCT((Upload_Indiv_Player=$A12)*(Upload_Indiv_Date=M$2)*(Upload_Indiv_Net)))</f>
        <v>40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41</v>
      </c>
      <c r="P13" s="2" t="str" cm="1">
        <f t="array" ref="P13">IF(SUMPRODUCT((Upload_Indiv_Player=$A12)*(Upload_Indiv_Date=P$2)*(Upload_Indiv_Net))=0,"",SUMPRODUCT((Upload_Indiv_Player=$A12)*(Upload_Indiv_Date=P$2)*(Upload_Indiv_Net)))</f>
        <v/>
      </c>
      <c r="Q13" s="2" cm="1">
        <f t="array" ref="Q13">IF(SUMPRODUCT((Upload_Indiv_Player=$A12)*(Upload_Indiv_Date=Q$2)*(Upload_Indiv_Net))=0,"",SUMPRODUCT((Upload_Indiv_Player=$A12)*(Upload_Indiv_Date=Q$2)*(Upload_Indiv_Net)))</f>
        <v>29</v>
      </c>
      <c r="R13" s="2" cm="1">
        <f t="array" ref="R13">IF(SUMPRODUCT((Upload_Indiv_Player=$A12)*(Upload_Indiv_Date=R$2)*(Upload_Indiv_Net))=0,"",SUMPRODUCT((Upload_Indiv_Player=$A12)*(Upload_Indiv_Date=R$2)*(Upload_Indiv_Net)))</f>
        <v>43</v>
      </c>
      <c r="S13" s="2" cm="1">
        <f t="array" ref="S13">IF(SUMPRODUCT((Upload_Indiv_Player=$A12)*(Upload_Indiv_Date=S$2)*(Upload_Indiv_Net))=0,"",SUMPRODUCT((Upload_Indiv_Player=$A12)*(Upload_Indiv_Date=S$2)*(Upload_Indiv_Net)))</f>
        <v>34</v>
      </c>
      <c r="T13" s="2" cm="1">
        <f t="array" ref="T13">IF(SUMPRODUCT((Upload_Indiv_Player=$A12)*(Upload_Indiv_Date=T$2)*(Upload_Indiv_Net))=0,"",SUMPRODUCT((Upload_Indiv_Player=$A12)*(Upload_Indiv_Date=T$2)*(Upload_Indiv_Net)))</f>
        <v>39</v>
      </c>
      <c r="U13" s="2">
        <v>36</v>
      </c>
      <c r="V13" s="279">
        <v>44.85</v>
      </c>
      <c r="W13" s="276"/>
      <c r="X13" s="276"/>
      <c r="Y13" s="277"/>
      <c r="Z13" s="277"/>
      <c r="AA13" s="277"/>
    </row>
    <row r="14" spans="1:27" x14ac:dyDescent="0.25">
      <c r="A14" s="305" t="s">
        <v>308</v>
      </c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9</v>
      </c>
      <c r="D14" s="2" t="str" cm="1">
        <f t="array" ref="D14">IF(SUMPRODUCT((Upload_Indiv_Player=$A12)*(Upload_Indiv_Date=D$2)*(Upload_Indiv_PointsTot))=0,"",SUMPRODUCT((Upload_Indiv_Player=$A12)*(Upload_Indiv_Date=D$2)*(Upload_Indiv_PointsTot)))</f>
        <v/>
      </c>
      <c r="E14" s="2" cm="1">
        <f t="array" ref="E14">IF(SUMPRODUCT((Upload_Indiv_Player=$A12)*(Upload_Indiv_Date=E$2)*(Upload_Indiv_PointsTot))=0,"",SUMPRODUCT((Upload_Indiv_Player=$A12)*(Upload_Indiv_Date=E$2)*(Upload_Indiv_PointsTot)))</f>
        <v>17</v>
      </c>
      <c r="F14" s="2" cm="1">
        <f t="array" ref="F14">IF(SUMPRODUCT((Upload_Indiv_Player=$A12)*(Upload_Indiv_Date=F$2)*(Upload_Indiv_PointsTot))=0,"",SUMPRODUCT((Upload_Indiv_Player=$A12)*(Upload_Indiv_Date=F$2)*(Upload_Indiv_PointsTot)))</f>
        <v>12</v>
      </c>
      <c r="G14" s="2" t="str" cm="1">
        <f t="array" ref="G14">IF(SUMPRODUCT((Upload_Indiv_Player=$A12)*(Upload_Indiv_Date=G$2)*(Upload_Indiv_PointsTot))=0,"",SUMPRODUCT((Upload_Indiv_Player=$A12)*(Upload_Indiv_Date=G$2)*(Upload_Indiv_PointsTot)))</f>
        <v/>
      </c>
      <c r="H14" s="2" cm="1">
        <f t="array" ref="H14">IF(SUMPRODUCT((Upload_Indiv_Player=$A12)*(Upload_Indiv_Date=H$2)*(Upload_Indiv_PointsTot))=0,"",SUMPRODUCT((Upload_Indiv_Player=$A12)*(Upload_Indiv_Date=H$2)*(Upload_Indiv_PointsTot)))</f>
        <v>6</v>
      </c>
      <c r="I14" s="2" cm="1">
        <f t="array" ref="I14">IF(SUMPRODUCT((Upload_Indiv_Player=$A12)*(Upload_Indiv_Date=I$2)*(Upload_Indiv_PointsTot))=0,"",SUMPRODUCT((Upload_Indiv_Player=$A12)*(Upload_Indiv_Date=I$2)*(Upload_Indiv_PointsTot)))</f>
        <v>11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6</v>
      </c>
      <c r="L14" s="2" cm="1">
        <f t="array" ref="L14">IF(SUMPRODUCT((Upload_Indiv_Player=$A12)*(Upload_Indiv_Date=L$2)*(Upload_Indiv_PointsTot))=0,"",SUMPRODUCT((Upload_Indiv_Player=$A12)*(Upload_Indiv_Date=L$2)*(Upload_Indiv_PointsTot)))</f>
        <v>12</v>
      </c>
      <c r="M14" s="2" cm="1">
        <f t="array" ref="M14">IF(SUMPRODUCT((Upload_Indiv_Player=$A12)*(Upload_Indiv_Date=M$2)*(Upload_Indiv_PointsTot))=0,"",SUMPRODUCT((Upload_Indiv_Player=$A12)*(Upload_Indiv_Date=M$2)*(Upload_Indiv_PointsTot)))</f>
        <v>7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11</v>
      </c>
      <c r="P14" s="2" t="str" cm="1">
        <f t="array" ref="P14">IF(SUMPRODUCT((Upload_Indiv_Player=$A12)*(Upload_Indiv_Date=P$2)*(Upload_Indiv_PointsTot))=0,"",SUMPRODUCT((Upload_Indiv_Player=$A12)*(Upload_Indiv_Date=P$2)*(Upload_Indiv_PointsTot)))</f>
        <v/>
      </c>
      <c r="Q14" s="2" cm="1">
        <f t="array" ref="Q14">IF(SUMPRODUCT((Upload_Indiv_Player=$A12)*(Upload_Indiv_Date=Q$2)*(Upload_Indiv_PointsTot))=0,"",SUMPRODUCT((Upload_Indiv_Player=$A12)*(Upload_Indiv_Date=Q$2)*(Upload_Indiv_PointsTot)))</f>
        <v>13</v>
      </c>
      <c r="R14" s="2" cm="1">
        <f t="array" ref="R14">IF(SUMPRODUCT((Upload_Indiv_Player=$A12)*(Upload_Indiv_Date=R$2)*(Upload_Indiv_PointsTot))=0,"",SUMPRODUCT((Upload_Indiv_Player=$A12)*(Upload_Indiv_Date=R$2)*(Upload_Indiv_PointsTot)))</f>
        <v>2</v>
      </c>
      <c r="S14" s="2" cm="1">
        <f t="array" ref="S14">IF(SUMPRODUCT((Upload_Indiv_Player=$A12)*(Upload_Indiv_Date=S$2)*(Upload_Indiv_PointsTot))=0,"",SUMPRODUCT((Upload_Indiv_Player=$A12)*(Upload_Indiv_Date=S$2)*(Upload_Indiv_PointsTot)))</f>
        <v>8</v>
      </c>
      <c r="T14" s="2" cm="1">
        <f t="array" ref="T14">IF(SUMPRODUCT((Upload_Indiv_Player=$A12)*(Upload_Indiv_Date=T$2)*(Upload_Indiv_PointsTot))=0,"",SUMPRODUCT((Upload_Indiv_Player=$A12)*(Upload_Indiv_Date=T$2)*(Upload_Indiv_PointsTot)))</f>
        <v>8</v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2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cm="1">
        <f t="array" ref="L15">IF(SUMPRODUCT((Upload_Indiv_Player=$A12)*(Upload_Indiv_Date=L$2)*(Upload_Indiv_Tot_Birds))=0,"",SUMPRODUCT((Upload_Indiv_Player=$A12)*(Upload_Indiv_Date=L$2)*(Upload_Indiv_Tot_Birds)))</f>
        <v>2</v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cm="1">
        <f t="array" ref="Q15">IF(SUMPRODUCT((Upload_Indiv_Player=$A12)*(Upload_Indiv_Date=Q$2)*(Upload_Indiv_Tot_Birds))=0,"",SUMPRODUCT((Upload_Indiv_Player=$A12)*(Upload_Indiv_Date=Q$2)*(Upload_Indiv_Tot_Birds)))</f>
        <v>1</v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cm="1">
        <f t="array" ref="S15">IF(SUMPRODUCT((Upload_Indiv_Player=$A12)*(Upload_Indiv_Date=S$2)*(Upload_Indiv_Tot_Birds))=0,"",SUMPRODUCT((Upload_Indiv_Player=$A12)*(Upload_Indiv_Date=S$2)*(Upload_Indiv_Tot_Birds)))</f>
        <v>1</v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>
        <v>1</v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cm="1">
        <f t="array" ref="Q17">IF(SUMPRODUCT((Upload_Indiv_Player=$A12)*(Upload_Indiv_Date=Q$2)*(Upload_Indiv_Excl_Score))=0,"",SUMPRODUCT((Upload_Indiv_Player=$A12)*(Upload_Indiv_Date=Q$2)*(Upload_Indiv_Excl_Score)))</f>
        <v>1</v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9"/>
      <c r="B18" s="8" t="s">
        <v>178</v>
      </c>
      <c r="C18" s="58" t="str">
        <f>IF(C12="", "", IF(C14&gt;=11, "w", IF(C14&lt;=9, "l", "t")))</f>
        <v>l</v>
      </c>
      <c r="D18" s="58" t="str">
        <f t="shared" ref="D18:S18" si="2">IF(D12="", "", IF(D14&gt;=11, "w", IF(D14&lt;=9, "l", "t")))</f>
        <v/>
      </c>
      <c r="E18" s="58" t="str">
        <f t="shared" si="2"/>
        <v>w</v>
      </c>
      <c r="F18" s="58" t="str">
        <f t="shared" si="2"/>
        <v>w</v>
      </c>
      <c r="G18" s="58" t="str">
        <f t="shared" si="2"/>
        <v/>
      </c>
      <c r="H18" s="58" t="str">
        <f t="shared" si="2"/>
        <v>l</v>
      </c>
      <c r="I18" s="58" t="str">
        <f t="shared" si="2"/>
        <v>w</v>
      </c>
      <c r="J18" s="58" t="str">
        <f t="shared" si="2"/>
        <v/>
      </c>
      <c r="K18" s="58" t="str">
        <f t="shared" si="2"/>
        <v>l</v>
      </c>
      <c r="L18" s="58" t="str">
        <f t="shared" si="2"/>
        <v>w</v>
      </c>
      <c r="M18" s="58" t="str">
        <f t="shared" si="2"/>
        <v>l</v>
      </c>
      <c r="N18" s="58" t="str">
        <f t="shared" si="2"/>
        <v/>
      </c>
      <c r="O18" s="58" t="str">
        <f t="shared" si="2"/>
        <v>w</v>
      </c>
      <c r="P18" s="58" t="str">
        <f t="shared" si="2"/>
        <v/>
      </c>
      <c r="Q18" s="58" t="str">
        <f t="shared" si="2"/>
        <v>w</v>
      </c>
      <c r="R18" s="58" t="str">
        <f t="shared" si="2"/>
        <v>l</v>
      </c>
      <c r="S18" s="58" t="str">
        <f t="shared" si="2"/>
        <v>l</v>
      </c>
      <c r="T18" s="58" t="str">
        <f>IF(T12="", "", IF(T14&gt;=11, "w", IF(T14&lt;=9, "l", "t")))</f>
        <v>l</v>
      </c>
      <c r="U18" s="58" t="str">
        <f>IF(U12="", "", IF(U14&gt;=11, "w", IF(U14&lt;=9, "l", "t")))</f>
        <v>w</v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309</v>
      </c>
      <c r="B19" s="3" t="s">
        <v>170</v>
      </c>
      <c r="C19" s="2" cm="1">
        <f t="array" ref="C19">IF(SUMPRODUCT((Upload_Indiv_Player=$A19)*(Upload_Indiv_Date=C$2)*(Upload_Indiv_Gross))=0,"",SUMPRODUCT((Upload_Indiv_Player=$A19)*(Upload_Indiv_Date=C$2)*(Upload_Indiv_Gross)))</f>
        <v>54</v>
      </c>
      <c r="D19" s="2" cm="1">
        <f t="array" ref="D19">IF(SUMPRODUCT((Upload_Indiv_Player=$A19)*(Upload_Indiv_Date=D$2)*(Upload_Indiv_Gross))=0,"",SUMPRODUCT((Upload_Indiv_Player=$A19)*(Upload_Indiv_Date=D$2)*(Upload_Indiv_Gross)))</f>
        <v>62</v>
      </c>
      <c r="E19" s="2" cm="1">
        <f t="array" ref="E19">IF(SUMPRODUCT((Upload_Indiv_Player=$A19)*(Upload_Indiv_Date=E$2)*(Upload_Indiv_Gross))=0,"",SUMPRODUCT((Upload_Indiv_Player=$A19)*(Upload_Indiv_Date=E$2)*(Upload_Indiv_Gross)))</f>
        <v>57</v>
      </c>
      <c r="F19" s="2" cm="1">
        <f t="array" ref="F19">IF(SUMPRODUCT((Upload_Indiv_Player=$A19)*(Upload_Indiv_Date=F$2)*(Upload_Indiv_Gross))=0,"",SUMPRODUCT((Upload_Indiv_Player=$A19)*(Upload_Indiv_Date=F$2)*(Upload_Indiv_Gross)))</f>
        <v>59</v>
      </c>
      <c r="G19" s="2" cm="1">
        <f t="array" ref="G19">IF(SUMPRODUCT((Upload_Indiv_Player=$A19)*(Upload_Indiv_Date=G$2)*(Upload_Indiv_Gross))=0,"",SUMPRODUCT((Upload_Indiv_Player=$A19)*(Upload_Indiv_Date=G$2)*(Upload_Indiv_Gross)))</f>
        <v>56</v>
      </c>
      <c r="H19" s="2" cm="1">
        <f t="array" ref="H19">IF(SUMPRODUCT((Upload_Indiv_Player=$A19)*(Upload_Indiv_Date=H$2)*(Upload_Indiv_Gross))=0,"",SUMPRODUCT((Upload_Indiv_Player=$A19)*(Upload_Indiv_Date=H$2)*(Upload_Indiv_Gross)))</f>
        <v>49</v>
      </c>
      <c r="I19" s="2" cm="1">
        <f t="array" ref="I19">IF(SUMPRODUCT((Upload_Indiv_Player=$A19)*(Upload_Indiv_Date=I$2)*(Upload_Indiv_Gross))=0,"",SUMPRODUCT((Upload_Indiv_Player=$A19)*(Upload_Indiv_Date=I$2)*(Upload_Indiv_Gross)))</f>
        <v>55</v>
      </c>
      <c r="J19" s="2" t="str" cm="1">
        <f t="array" ref="J19">IF(SUMPRODUCT((Upload_Indiv_Player=$A19)*(Upload_Indiv_Date=J$2)*(Upload_Indiv_Gross))=0,"",SUMPRODUCT((Upload_Indiv_Player=$A19)*(Upload_Indiv_Date=J$2)*(Upload_Indiv_Gross)))</f>
        <v/>
      </c>
      <c r="K19" s="2" cm="1">
        <f t="array" ref="K19">IF(SUMPRODUCT((Upload_Indiv_Player=$A19)*(Upload_Indiv_Date=K$2)*(Upload_Indiv_Gross))=0,"",SUMPRODUCT((Upload_Indiv_Player=$A19)*(Upload_Indiv_Date=K$2)*(Upload_Indiv_Gross)))</f>
        <v>61</v>
      </c>
      <c r="L19" s="2" cm="1">
        <f t="array" ref="L19">IF(SUMPRODUCT((Upload_Indiv_Player=$A19)*(Upload_Indiv_Date=L$2)*(Upload_Indiv_Gross))=0,"",SUMPRODUCT((Upload_Indiv_Player=$A19)*(Upload_Indiv_Date=L$2)*(Upload_Indiv_Gross)))</f>
        <v>50</v>
      </c>
      <c r="M19" s="2" cm="1">
        <f t="array" ref="M19">IF(SUMPRODUCT((Upload_Indiv_Player=$A19)*(Upload_Indiv_Date=M$2)*(Upload_Indiv_Gross))=0,"",SUMPRODUCT((Upload_Indiv_Player=$A19)*(Upload_Indiv_Date=M$2)*(Upload_Indiv_Gross)))</f>
        <v>53</v>
      </c>
      <c r="N19" s="2" t="str" cm="1">
        <f t="array" ref="N19">IF(SUMPRODUCT((Upload_Indiv_Player=$A19)*(Upload_Indiv_Date=N$2)*(Upload_Indiv_Gross))=0,"",SUMPRODUCT((Upload_Indiv_Player=$A19)*(Upload_Indiv_Date=N$2)*(Upload_Indiv_Gross)))</f>
        <v/>
      </c>
      <c r="O19" s="2" cm="1">
        <f t="array" ref="O19">IF(SUMPRODUCT((Upload_Indiv_Player=$A19)*(Upload_Indiv_Date=O$2)*(Upload_Indiv_Gross))=0,"",SUMPRODUCT((Upload_Indiv_Player=$A19)*(Upload_Indiv_Date=O$2)*(Upload_Indiv_Gross)))</f>
        <v>50</v>
      </c>
      <c r="P19" s="2" cm="1">
        <f t="array" ref="P19">IF(SUMPRODUCT((Upload_Indiv_Player=$A19)*(Upload_Indiv_Date=P$2)*(Upload_Indiv_Gross))=0,"",SUMPRODUCT((Upload_Indiv_Player=$A19)*(Upload_Indiv_Date=P$2)*(Upload_Indiv_Gross)))</f>
        <v>54</v>
      </c>
      <c r="Q19" s="2" cm="1">
        <f t="array" ref="Q19">IF(SUMPRODUCT((Upload_Indiv_Player=$A19)*(Upload_Indiv_Date=Q$2)*(Upload_Indiv_Gross))=0,"",SUMPRODUCT((Upload_Indiv_Player=$A19)*(Upload_Indiv_Date=Q$2)*(Upload_Indiv_Gross)))</f>
        <v>43</v>
      </c>
      <c r="R19" s="2" cm="1">
        <f t="array" ref="R19">IF(SUMPRODUCT((Upload_Indiv_Player=$A19)*(Upload_Indiv_Date=R$2)*(Upload_Indiv_Gross))=0,"",SUMPRODUCT((Upload_Indiv_Player=$A19)*(Upload_Indiv_Date=R$2)*(Upload_Indiv_Gross)))</f>
        <v>50</v>
      </c>
      <c r="S19" s="2" cm="1">
        <f t="array" ref="S19">IF(SUMPRODUCT((Upload_Indiv_Player=$A19)*(Upload_Indiv_Date=S$2)*(Upload_Indiv_Gross))=0,"",SUMPRODUCT((Upload_Indiv_Player=$A19)*(Upload_Indiv_Date=S$2)*(Upload_Indiv_Gross)))</f>
        <v>52</v>
      </c>
      <c r="T19" s="2" cm="1">
        <f t="array" ref="T19">IF(SUMPRODUCT((Upload_Indiv_Player=$A19)*(Upload_Indiv_Date=T$2)*(Upload_Indiv_Gross))=0,"",SUMPRODUCT((Upload_Indiv_Player=$A19)*(Upload_Indiv_Date=T$2)*(Upload_Indiv_Gross)))</f>
        <v>57</v>
      </c>
      <c r="U19" s="2">
        <v>50</v>
      </c>
      <c r="V19" s="273">
        <v>14</v>
      </c>
      <c r="W19" s="273">
        <v>11</v>
      </c>
      <c r="X19" s="273">
        <v>9</v>
      </c>
      <c r="Y19" s="277">
        <v>16</v>
      </c>
      <c r="Z19" s="277">
        <v>9</v>
      </c>
      <c r="AA19" s="277">
        <v>12</v>
      </c>
    </row>
    <row r="20" spans="1:27" x14ac:dyDescent="0.25">
      <c r="A20" s="304">
        <v>3308261720</v>
      </c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41</v>
      </c>
      <c r="D20" s="2" cm="1">
        <f t="array" ref="D20">IF(SUMPRODUCT((Upload_Indiv_Player=$A19)*(Upload_Indiv_Date=D$2)*(Upload_Indiv_Net))=0,"",SUMPRODUCT((Upload_Indiv_Player=$A19)*(Upload_Indiv_Date=D$2)*(Upload_Indiv_Net)))</f>
        <v>49</v>
      </c>
      <c r="E20" s="2" cm="1">
        <f t="array" ref="E20">IF(SUMPRODUCT((Upload_Indiv_Player=$A19)*(Upload_Indiv_Date=E$2)*(Upload_Indiv_Net))=0,"",SUMPRODUCT((Upload_Indiv_Player=$A19)*(Upload_Indiv_Date=E$2)*(Upload_Indiv_Net)))</f>
        <v>43</v>
      </c>
      <c r="F20" s="2" cm="1">
        <f t="array" ref="F20">IF(SUMPRODUCT((Upload_Indiv_Player=$A19)*(Upload_Indiv_Date=F$2)*(Upload_Indiv_Net))=0,"",SUMPRODUCT((Upload_Indiv_Player=$A19)*(Upload_Indiv_Date=F$2)*(Upload_Indiv_Net)))</f>
        <v>45</v>
      </c>
      <c r="G20" s="2" cm="1">
        <f t="array" ref="G20">IF(SUMPRODUCT((Upload_Indiv_Player=$A19)*(Upload_Indiv_Date=G$2)*(Upload_Indiv_Net))=0,"",SUMPRODUCT((Upload_Indiv_Player=$A19)*(Upload_Indiv_Date=G$2)*(Upload_Indiv_Net)))</f>
        <v>41</v>
      </c>
      <c r="H20" s="2" cm="1">
        <f t="array" ref="H20">IF(SUMPRODUCT((Upload_Indiv_Player=$A19)*(Upload_Indiv_Date=H$2)*(Upload_Indiv_Net))=0,"",SUMPRODUCT((Upload_Indiv_Player=$A19)*(Upload_Indiv_Date=H$2)*(Upload_Indiv_Net)))</f>
        <v>33</v>
      </c>
      <c r="I20" s="2" cm="1">
        <f t="array" ref="I20">IF(SUMPRODUCT((Upload_Indiv_Player=$A19)*(Upload_Indiv_Date=I$2)*(Upload_Indiv_Net))=0,"",SUMPRODUCT((Upload_Indiv_Player=$A19)*(Upload_Indiv_Date=I$2)*(Upload_Indiv_Net)))</f>
        <v>40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45</v>
      </c>
      <c r="L20" s="2" cm="1">
        <f t="array" ref="L20">IF(SUMPRODUCT((Upload_Indiv_Player=$A19)*(Upload_Indiv_Date=L$2)*(Upload_Indiv_Net))=0,"",SUMPRODUCT((Upload_Indiv_Player=$A19)*(Upload_Indiv_Date=L$2)*(Upload_Indiv_Net)))</f>
        <v>34</v>
      </c>
      <c r="M20" s="2" cm="1">
        <f t="array" ref="M20">IF(SUMPRODUCT((Upload_Indiv_Player=$A19)*(Upload_Indiv_Date=M$2)*(Upload_Indiv_Net))=0,"",SUMPRODUCT((Upload_Indiv_Player=$A19)*(Upload_Indiv_Date=M$2)*(Upload_Indiv_Net)))</f>
        <v>38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34</v>
      </c>
      <c r="P20" s="2" cm="1">
        <f t="array" ref="P20">IF(SUMPRODUCT((Upload_Indiv_Player=$A19)*(Upload_Indiv_Date=P$2)*(Upload_Indiv_Net))=0,"",SUMPRODUCT((Upload_Indiv_Player=$A19)*(Upload_Indiv_Date=P$2)*(Upload_Indiv_Net)))</f>
        <v>39</v>
      </c>
      <c r="Q20" s="2" cm="1">
        <f t="array" ref="Q20">IF(SUMPRODUCT((Upload_Indiv_Player=$A19)*(Upload_Indiv_Date=Q$2)*(Upload_Indiv_Net))=0,"",SUMPRODUCT((Upload_Indiv_Player=$A19)*(Upload_Indiv_Date=Q$2)*(Upload_Indiv_Net)))</f>
        <v>28</v>
      </c>
      <c r="R20" s="2" cm="1">
        <f t="array" ref="R20">IF(SUMPRODUCT((Upload_Indiv_Player=$A19)*(Upload_Indiv_Date=R$2)*(Upload_Indiv_Net))=0,"",SUMPRODUCT((Upload_Indiv_Player=$A19)*(Upload_Indiv_Date=R$2)*(Upload_Indiv_Net)))</f>
        <v>35</v>
      </c>
      <c r="S20" s="2" cm="1">
        <f t="array" ref="S20">IF(SUMPRODUCT((Upload_Indiv_Player=$A19)*(Upload_Indiv_Date=S$2)*(Upload_Indiv_Net))=0,"",SUMPRODUCT((Upload_Indiv_Player=$A19)*(Upload_Indiv_Date=S$2)*(Upload_Indiv_Net)))</f>
        <v>38</v>
      </c>
      <c r="T20" s="2" cm="1">
        <f t="array" ref="T20">IF(SUMPRODUCT((Upload_Indiv_Player=$A19)*(Upload_Indiv_Date=T$2)*(Upload_Indiv_Net))=0,"",SUMPRODUCT((Upload_Indiv_Player=$A19)*(Upload_Indiv_Date=T$2)*(Upload_Indiv_Net)))</f>
        <v>43</v>
      </c>
      <c r="U20" s="2">
        <v>36</v>
      </c>
      <c r="V20" s="279">
        <v>52.93</v>
      </c>
      <c r="W20" s="276"/>
      <c r="X20" s="276"/>
      <c r="Y20" s="277"/>
      <c r="Z20" s="277"/>
      <c r="AA20" s="277"/>
    </row>
    <row r="21" spans="1:27" x14ac:dyDescent="0.25">
      <c r="A21" s="305" t="s">
        <v>310</v>
      </c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6</v>
      </c>
      <c r="D21" s="2" cm="1">
        <f t="array" ref="D21">IF(SUMPRODUCT((Upload_Indiv_Player=$A19)*(Upload_Indiv_Date=D$2)*(Upload_Indiv_PointsTot))=0,"",SUMPRODUCT((Upload_Indiv_Player=$A19)*(Upload_Indiv_Date=D$2)*(Upload_Indiv_PointsTot)))</f>
        <v>12</v>
      </c>
      <c r="E21" s="2" cm="1">
        <f t="array" ref="E21">IF(SUMPRODUCT((Upload_Indiv_Player=$A19)*(Upload_Indiv_Date=E$2)*(Upload_Indiv_PointsTot))=0,"",SUMPRODUCT((Upload_Indiv_Player=$A19)*(Upload_Indiv_Date=E$2)*(Upload_Indiv_PointsTot)))</f>
        <v>5</v>
      </c>
      <c r="F21" s="2" cm="1">
        <f t="array" ref="F21">IF(SUMPRODUCT((Upload_Indiv_Player=$A19)*(Upload_Indiv_Date=F$2)*(Upload_Indiv_PointsTot))=0,"",SUMPRODUCT((Upload_Indiv_Player=$A19)*(Upload_Indiv_Date=F$2)*(Upload_Indiv_PointsTot)))</f>
        <v>7</v>
      </c>
      <c r="G21" s="2" cm="1">
        <f t="array" ref="G21">IF(SUMPRODUCT((Upload_Indiv_Player=$A19)*(Upload_Indiv_Date=G$2)*(Upload_Indiv_PointsTot))=0,"",SUMPRODUCT((Upload_Indiv_Player=$A19)*(Upload_Indiv_Date=G$2)*(Upload_Indiv_PointsTot)))</f>
        <v>6</v>
      </c>
      <c r="H21" s="2" cm="1">
        <f t="array" ref="H21">IF(SUMPRODUCT((Upload_Indiv_Player=$A19)*(Upload_Indiv_Date=H$2)*(Upload_Indiv_PointsTot))=0,"",SUMPRODUCT((Upload_Indiv_Player=$A19)*(Upload_Indiv_Date=H$2)*(Upload_Indiv_PointsTot)))</f>
        <v>16</v>
      </c>
      <c r="I21" s="2" cm="1">
        <f t="array" ref="I21">IF(SUMPRODUCT((Upload_Indiv_Player=$A19)*(Upload_Indiv_Date=I$2)*(Upload_Indiv_PointsTot))=0,"",SUMPRODUCT((Upload_Indiv_Player=$A19)*(Upload_Indiv_Date=I$2)*(Upload_Indiv_PointsTot)))</f>
        <v>20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7</v>
      </c>
      <c r="L21" s="2" cm="1">
        <f t="array" ref="L21">IF(SUMPRODUCT((Upload_Indiv_Player=$A19)*(Upload_Indiv_Date=L$2)*(Upload_Indiv_PointsTot))=0,"",SUMPRODUCT((Upload_Indiv_Player=$A19)*(Upload_Indiv_Date=L$2)*(Upload_Indiv_PointsTot)))</f>
        <v>18</v>
      </c>
      <c r="M21" s="2" cm="1">
        <f t="array" ref="M21">IF(SUMPRODUCT((Upload_Indiv_Player=$A19)*(Upload_Indiv_Date=M$2)*(Upload_Indiv_PointsTot))=0,"",SUMPRODUCT((Upload_Indiv_Player=$A19)*(Upload_Indiv_Date=M$2)*(Upload_Indiv_PointsTot)))</f>
        <v>8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11</v>
      </c>
      <c r="P21" s="2" cm="1">
        <f t="array" ref="P21">IF(SUMPRODUCT((Upload_Indiv_Player=$A19)*(Upload_Indiv_Date=P$2)*(Upload_Indiv_PointsTot))=0,"",SUMPRODUCT((Upload_Indiv_Player=$A19)*(Upload_Indiv_Date=P$2)*(Upload_Indiv_PointsTot)))</f>
        <v>5</v>
      </c>
      <c r="Q21" s="2" cm="1">
        <f t="array" ref="Q21">IF(SUMPRODUCT((Upload_Indiv_Player=$A19)*(Upload_Indiv_Date=Q$2)*(Upload_Indiv_PointsTot))=0,"",SUMPRODUCT((Upload_Indiv_Player=$A19)*(Upload_Indiv_Date=Q$2)*(Upload_Indiv_PointsTot)))</f>
        <v>14</v>
      </c>
      <c r="R21" s="2" cm="1">
        <f t="array" ref="R21">IF(SUMPRODUCT((Upload_Indiv_Player=$A19)*(Upload_Indiv_Date=R$2)*(Upload_Indiv_PointsTot))=0,"",SUMPRODUCT((Upload_Indiv_Player=$A19)*(Upload_Indiv_Date=R$2)*(Upload_Indiv_PointsTot)))</f>
        <v>12</v>
      </c>
      <c r="S21" s="2" cm="1">
        <f t="array" ref="S21">IF(SUMPRODUCT((Upload_Indiv_Player=$A19)*(Upload_Indiv_Date=S$2)*(Upload_Indiv_PointsTot))=0,"",SUMPRODUCT((Upload_Indiv_Player=$A19)*(Upload_Indiv_Date=S$2)*(Upload_Indiv_PointsTot)))</f>
        <v>13</v>
      </c>
      <c r="T21" s="2" cm="1">
        <f t="array" ref="T21">IF(SUMPRODUCT((Upload_Indiv_Player=$A19)*(Upload_Indiv_Date=T$2)*(Upload_Indiv_PointsTot))=0,"",SUMPRODUCT((Upload_Indiv_Player=$A19)*(Upload_Indiv_Date=T$2)*(Upload_Indiv_PointsTot)))</f>
        <v>6</v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2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cm="1">
        <f t="array" ref="O22">IF(SUMPRODUCT((Upload_Indiv_Player=$A19)*(Upload_Indiv_Date=O$2)*(Upload_Indiv_Tot_Birds))=0,"",SUMPRODUCT((Upload_Indiv_Player=$A19)*(Upload_Indiv_Date=O$2)*(Upload_Indiv_Tot_Birds)))</f>
        <v>1</v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1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9"/>
      <c r="B25" s="8" t="s">
        <v>178</v>
      </c>
      <c r="C25" s="58" t="str">
        <f>IF(C19="", "", IF(C21&gt;=11, "w", IF(C21&lt;=9, "l", "t")))</f>
        <v>l</v>
      </c>
      <c r="D25" s="58" t="str">
        <f t="shared" ref="D25:S25" si="3">IF(D19="", "", IF(D21&gt;=11, "w", IF(D21&lt;=9, "l", "t")))</f>
        <v>w</v>
      </c>
      <c r="E25" s="58" t="str">
        <f t="shared" si="3"/>
        <v>l</v>
      </c>
      <c r="F25" s="58" t="str">
        <f t="shared" si="3"/>
        <v>l</v>
      </c>
      <c r="G25" s="58" t="str">
        <f t="shared" si="3"/>
        <v>l</v>
      </c>
      <c r="H25" s="58" t="str">
        <f t="shared" si="3"/>
        <v>w</v>
      </c>
      <c r="I25" s="58" t="str">
        <f t="shared" si="3"/>
        <v>w</v>
      </c>
      <c r="J25" s="58" t="str">
        <f t="shared" si="3"/>
        <v/>
      </c>
      <c r="K25" s="58" t="str">
        <f t="shared" si="3"/>
        <v>l</v>
      </c>
      <c r="L25" s="58" t="str">
        <f t="shared" si="3"/>
        <v>w</v>
      </c>
      <c r="M25" s="58" t="str">
        <f t="shared" si="3"/>
        <v>l</v>
      </c>
      <c r="N25" s="58" t="str">
        <f t="shared" si="3"/>
        <v/>
      </c>
      <c r="O25" s="58" t="str">
        <f t="shared" si="3"/>
        <v>w</v>
      </c>
      <c r="P25" s="58" t="str">
        <f t="shared" si="3"/>
        <v>l</v>
      </c>
      <c r="Q25" s="58" t="str">
        <f t="shared" si="3"/>
        <v>w</v>
      </c>
      <c r="R25" s="58" t="str">
        <f t="shared" si="3"/>
        <v>w</v>
      </c>
      <c r="S25" s="58" t="str">
        <f t="shared" si="3"/>
        <v>w</v>
      </c>
      <c r="T25" s="58" t="str">
        <f>IF(T19="", "", IF(T21&gt;=11, "w", IF(T21&lt;=9, "l", "t")))</f>
        <v>l</v>
      </c>
      <c r="U25" s="58" t="str">
        <f>IF(U19="", "", IF(U21&gt;=11, "w", IF(U21&lt;=9, "l", "t")))</f>
        <v>w</v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311</v>
      </c>
      <c r="B26" s="17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45</v>
      </c>
      <c r="D26" s="3" cm="1">
        <f t="array" ref="D26">IF(SUMPRODUCT((Upload_Indiv_Player=$A26)*(Upload_Indiv_Date=D$2)*(Upload_Indiv_Gross))=0,"",SUMPRODUCT((Upload_Indiv_Player=$A26)*(Upload_Indiv_Date=D$2)*(Upload_Indiv_Gross)))</f>
        <v>43</v>
      </c>
      <c r="E26" s="3" cm="1">
        <f t="array" ref="E26">IF(SUMPRODUCT((Upload_Indiv_Player=$A26)*(Upload_Indiv_Date=E$2)*(Upload_Indiv_Gross))=0,"",SUMPRODUCT((Upload_Indiv_Player=$A26)*(Upload_Indiv_Date=E$2)*(Upload_Indiv_Gross)))</f>
        <v>42</v>
      </c>
      <c r="F26" s="3" cm="1">
        <f t="array" ref="F26">IF(SUMPRODUCT((Upload_Indiv_Player=$A26)*(Upload_Indiv_Date=F$2)*(Upload_Indiv_Gross))=0,"",SUMPRODUCT((Upload_Indiv_Player=$A26)*(Upload_Indiv_Date=F$2)*(Upload_Indiv_Gross)))</f>
        <v>39</v>
      </c>
      <c r="G26" s="3" cm="1">
        <f t="array" ref="G26">IF(SUMPRODUCT((Upload_Indiv_Player=$A26)*(Upload_Indiv_Date=G$2)*(Upload_Indiv_Gross))=0,"",SUMPRODUCT((Upload_Indiv_Player=$A26)*(Upload_Indiv_Date=G$2)*(Upload_Indiv_Gross)))</f>
        <v>42</v>
      </c>
      <c r="H26" s="3" cm="1">
        <f t="array" ref="H26">IF(SUMPRODUCT((Upload_Indiv_Player=$A26)*(Upload_Indiv_Date=H$2)*(Upload_Indiv_Gross))=0,"",SUMPRODUCT((Upload_Indiv_Player=$A26)*(Upload_Indiv_Date=H$2)*(Upload_Indiv_Gross)))</f>
        <v>40</v>
      </c>
      <c r="I26" s="3" cm="1">
        <f t="array" ref="I26">IF(SUMPRODUCT((Upload_Indiv_Player=$A26)*(Upload_Indiv_Date=I$2)*(Upload_Indiv_Gross))=0,"",SUMPRODUCT((Upload_Indiv_Player=$A26)*(Upload_Indiv_Date=I$2)*(Upload_Indiv_Gross)))</f>
        <v>41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42</v>
      </c>
      <c r="L26" s="3" cm="1">
        <f t="array" ref="L26">IF(SUMPRODUCT((Upload_Indiv_Player=$A26)*(Upload_Indiv_Date=L$2)*(Upload_Indiv_Gross))=0,"",SUMPRODUCT((Upload_Indiv_Player=$A26)*(Upload_Indiv_Date=L$2)*(Upload_Indiv_Gross)))</f>
        <v>40</v>
      </c>
      <c r="M26" s="3" cm="1">
        <f t="array" ref="M26">IF(SUMPRODUCT((Upload_Indiv_Player=$A26)*(Upload_Indiv_Date=M$2)*(Upload_Indiv_Gross))=0,"",SUMPRODUCT((Upload_Indiv_Player=$A26)*(Upload_Indiv_Date=M$2)*(Upload_Indiv_Gross)))</f>
        <v>50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41</v>
      </c>
      <c r="P26" s="2" cm="1">
        <f t="array" ref="P26">IF(SUMPRODUCT((Upload_Indiv_Player=$A26)*(Upload_Indiv_Date=P$2)*(Upload_Indiv_Gross))=0,"",SUMPRODUCT((Upload_Indiv_Player=$A26)*(Upload_Indiv_Date=P$2)*(Upload_Indiv_Gross)))</f>
        <v>42</v>
      </c>
      <c r="Q26" s="2" t="str" cm="1">
        <f t="array" ref="Q26">IF(SUMPRODUCT((Upload_Indiv_Player=$A26)*(Upload_Indiv_Date=Q$2)*(Upload_Indiv_Gross))=0,"",SUMPRODUCT((Upload_Indiv_Player=$A26)*(Upload_Indiv_Date=Q$2)*(Upload_Indiv_Gross)))</f>
        <v/>
      </c>
      <c r="R26" s="2" cm="1">
        <f t="array" ref="R26">IF(SUMPRODUCT((Upload_Indiv_Player=$A26)*(Upload_Indiv_Date=R$2)*(Upload_Indiv_Gross))=0,"",SUMPRODUCT((Upload_Indiv_Player=$A26)*(Upload_Indiv_Date=R$2)*(Upload_Indiv_Gross)))</f>
        <v>42</v>
      </c>
      <c r="S26" s="2" cm="1">
        <f t="array" ref="S26">IF(SUMPRODUCT((Upload_Indiv_Player=$A26)*(Upload_Indiv_Date=S$2)*(Upload_Indiv_Gross))=0,"",SUMPRODUCT((Upload_Indiv_Player=$A26)*(Upload_Indiv_Date=S$2)*(Upload_Indiv_Gross)))</f>
        <v>43</v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>
        <v>38</v>
      </c>
      <c r="V26" s="273">
        <v>15</v>
      </c>
      <c r="W26" s="273">
        <v>3</v>
      </c>
      <c r="X26" s="276">
        <v>0</v>
      </c>
      <c r="Y26" s="277">
        <v>0</v>
      </c>
      <c r="Z26" s="277">
        <v>0</v>
      </c>
      <c r="AA26" s="277">
        <v>6</v>
      </c>
    </row>
    <row r="27" spans="1:27" x14ac:dyDescent="0.25">
      <c r="A27" s="304">
        <v>3303126140</v>
      </c>
      <c r="B27" s="8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40</v>
      </c>
      <c r="D27" s="2" cm="1">
        <f t="array" ref="D27">IF(SUMPRODUCT((Upload_Indiv_Player=$A26)*(Upload_Indiv_Date=D$2)*(Upload_Indiv_Net))=0,"",SUMPRODUCT((Upload_Indiv_Player=$A26)*(Upload_Indiv_Date=D$2)*(Upload_Indiv_Net)))</f>
        <v>38</v>
      </c>
      <c r="E27" s="2" cm="1">
        <f t="array" ref="E27">IF(SUMPRODUCT((Upload_Indiv_Player=$A26)*(Upload_Indiv_Date=E$2)*(Upload_Indiv_Net))=0,"",SUMPRODUCT((Upload_Indiv_Player=$A26)*(Upload_Indiv_Date=E$2)*(Upload_Indiv_Net)))</f>
        <v>37</v>
      </c>
      <c r="F27" s="2" cm="1">
        <f t="array" ref="F27">IF(SUMPRODUCT((Upload_Indiv_Player=$A26)*(Upload_Indiv_Date=F$2)*(Upload_Indiv_Net))=0,"",SUMPRODUCT((Upload_Indiv_Player=$A26)*(Upload_Indiv_Date=F$2)*(Upload_Indiv_Net)))</f>
        <v>34</v>
      </c>
      <c r="G27" s="2" cm="1">
        <f t="array" ref="G27">IF(SUMPRODUCT((Upload_Indiv_Player=$A26)*(Upload_Indiv_Date=G$2)*(Upload_Indiv_Net))=0,"",SUMPRODUCT((Upload_Indiv_Player=$A26)*(Upload_Indiv_Date=G$2)*(Upload_Indiv_Net)))</f>
        <v>38</v>
      </c>
      <c r="H27" s="2" cm="1">
        <f t="array" ref="H27">IF(SUMPRODUCT((Upload_Indiv_Player=$A26)*(Upload_Indiv_Date=H$2)*(Upload_Indiv_Net))=0,"",SUMPRODUCT((Upload_Indiv_Player=$A26)*(Upload_Indiv_Date=H$2)*(Upload_Indiv_Net)))</f>
        <v>36</v>
      </c>
      <c r="I27" s="2" cm="1">
        <f t="array" ref="I27">IF(SUMPRODUCT((Upload_Indiv_Player=$A26)*(Upload_Indiv_Date=I$2)*(Upload_Indiv_Net))=0,"",SUMPRODUCT((Upload_Indiv_Player=$A26)*(Upload_Indiv_Date=I$2)*(Upload_Indiv_Net)))</f>
        <v>37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38</v>
      </c>
      <c r="L27" s="2" cm="1">
        <f t="array" ref="L27">IF(SUMPRODUCT((Upload_Indiv_Player=$A26)*(Upload_Indiv_Date=L$2)*(Upload_Indiv_Net))=0,"",SUMPRODUCT((Upload_Indiv_Player=$A26)*(Upload_Indiv_Date=L$2)*(Upload_Indiv_Net)))</f>
        <v>36</v>
      </c>
      <c r="M27" s="2" cm="1">
        <f t="array" ref="M27">IF(SUMPRODUCT((Upload_Indiv_Player=$A26)*(Upload_Indiv_Date=M$2)*(Upload_Indiv_Net))=0,"",SUMPRODUCT((Upload_Indiv_Player=$A26)*(Upload_Indiv_Date=M$2)*(Upload_Indiv_Net)))</f>
        <v>46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37</v>
      </c>
      <c r="P27" s="2" cm="1">
        <f t="array" ref="P27">IF(SUMPRODUCT((Upload_Indiv_Player=$A26)*(Upload_Indiv_Date=P$2)*(Upload_Indiv_Net))=0,"",SUMPRODUCT((Upload_Indiv_Player=$A26)*(Upload_Indiv_Date=P$2)*(Upload_Indiv_Net)))</f>
        <v>38</v>
      </c>
      <c r="Q27" s="2" t="str" cm="1">
        <f t="array" ref="Q27">IF(SUMPRODUCT((Upload_Indiv_Player=$A26)*(Upload_Indiv_Date=Q$2)*(Upload_Indiv_Net))=0,"",SUMPRODUCT((Upload_Indiv_Player=$A26)*(Upload_Indiv_Date=Q$2)*(Upload_Indiv_Net)))</f>
        <v/>
      </c>
      <c r="R27" s="2" cm="1">
        <f t="array" ref="R27">IF(SUMPRODUCT((Upload_Indiv_Player=$A26)*(Upload_Indiv_Date=R$2)*(Upload_Indiv_Net))=0,"",SUMPRODUCT((Upload_Indiv_Player=$A26)*(Upload_Indiv_Date=R$2)*(Upload_Indiv_Net)))</f>
        <v>38</v>
      </c>
      <c r="S27" s="2" cm="1">
        <f t="array" ref="S27">IF(SUMPRODUCT((Upload_Indiv_Player=$A26)*(Upload_Indiv_Date=S$2)*(Upload_Indiv_Net))=0,"",SUMPRODUCT((Upload_Indiv_Player=$A26)*(Upload_Indiv_Date=S$2)*(Upload_Indiv_Net)))</f>
        <v>39</v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>
        <v>33</v>
      </c>
      <c r="V27" s="279">
        <v>42.4</v>
      </c>
      <c r="W27" s="276"/>
      <c r="X27" s="276"/>
      <c r="Y27" s="277"/>
      <c r="Z27" s="277"/>
      <c r="AA27" s="277"/>
    </row>
    <row r="28" spans="1:27" x14ac:dyDescent="0.25">
      <c r="A28" s="305" t="s">
        <v>312</v>
      </c>
      <c r="B28" s="8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7</v>
      </c>
      <c r="D28" s="2" cm="1">
        <f t="array" ref="D28">IF(SUMPRODUCT((Upload_Indiv_Player=$A26)*(Upload_Indiv_Date=D$2)*(Upload_Indiv_PointsTot))=0,"",SUMPRODUCT((Upload_Indiv_Player=$A26)*(Upload_Indiv_Date=D$2)*(Upload_Indiv_PointsTot)))</f>
        <v>14</v>
      </c>
      <c r="E28" s="2" cm="1">
        <f t="array" ref="E28">IF(SUMPRODUCT((Upload_Indiv_Player=$A26)*(Upload_Indiv_Date=E$2)*(Upload_Indiv_PointsTot))=0,"",SUMPRODUCT((Upload_Indiv_Player=$A26)*(Upload_Indiv_Date=E$2)*(Upload_Indiv_PointsTot)))</f>
        <v>14</v>
      </c>
      <c r="F28" s="2" cm="1">
        <f t="array" ref="F28">IF(SUMPRODUCT((Upload_Indiv_Player=$A26)*(Upload_Indiv_Date=F$2)*(Upload_Indiv_PointsTot))=0,"",SUMPRODUCT((Upload_Indiv_Player=$A26)*(Upload_Indiv_Date=F$2)*(Upload_Indiv_PointsTot)))</f>
        <v>15</v>
      </c>
      <c r="G28" s="2" cm="1">
        <f t="array" ref="G28">IF(SUMPRODUCT((Upload_Indiv_Player=$A26)*(Upload_Indiv_Date=G$2)*(Upload_Indiv_PointsTot))=0,"",SUMPRODUCT((Upload_Indiv_Player=$A26)*(Upload_Indiv_Date=G$2)*(Upload_Indiv_PointsTot)))</f>
        <v>15</v>
      </c>
      <c r="H28" s="2" cm="1">
        <f t="array" ref="H28">IF(SUMPRODUCT((Upload_Indiv_Player=$A26)*(Upload_Indiv_Date=H$2)*(Upload_Indiv_PointsTot))=0,"",SUMPRODUCT((Upload_Indiv_Player=$A26)*(Upload_Indiv_Date=H$2)*(Upload_Indiv_PointsTot)))</f>
        <v>15</v>
      </c>
      <c r="I28" s="2" cm="1">
        <f t="array" ref="I28">IF(SUMPRODUCT((Upload_Indiv_Player=$A26)*(Upload_Indiv_Date=I$2)*(Upload_Indiv_PointsTot))=0,"",SUMPRODUCT((Upload_Indiv_Player=$A26)*(Upload_Indiv_Date=I$2)*(Upload_Indiv_PointsTot)))</f>
        <v>8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10</v>
      </c>
      <c r="L28" s="2" cm="1">
        <f t="array" ref="L28">IF(SUMPRODUCT((Upload_Indiv_Player=$A26)*(Upload_Indiv_Date=L$2)*(Upload_Indiv_PointsTot))=0,"",SUMPRODUCT((Upload_Indiv_Player=$A26)*(Upload_Indiv_Date=L$2)*(Upload_Indiv_PointsTot)))</f>
        <v>12</v>
      </c>
      <c r="M28" s="2" cm="1">
        <f t="array" ref="M28">IF(SUMPRODUCT((Upload_Indiv_Player=$A26)*(Upload_Indiv_Date=M$2)*(Upload_Indiv_PointsTot))=0,"",SUMPRODUCT((Upload_Indiv_Player=$A26)*(Upload_Indiv_Date=M$2)*(Upload_Indiv_PointsTot)))</f>
        <v>6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13</v>
      </c>
      <c r="P28" s="2" cm="1">
        <f t="array" ref="P28">IF(SUMPRODUCT((Upload_Indiv_Player=$A26)*(Upload_Indiv_Date=P$2)*(Upload_Indiv_PointsTot))=0,"",SUMPRODUCT((Upload_Indiv_Player=$A26)*(Upload_Indiv_Date=P$2)*(Upload_Indiv_PointsTot)))</f>
        <v>8</v>
      </c>
      <c r="Q28" s="2" t="str" cm="1">
        <f t="array" ref="Q28">IF(SUMPRODUCT((Upload_Indiv_Player=$A26)*(Upload_Indiv_Date=Q$2)*(Upload_Indiv_PointsTot))=0,"",SUMPRODUCT((Upload_Indiv_Player=$A26)*(Upload_Indiv_Date=Q$2)*(Upload_Indiv_PointsTot)))</f>
        <v/>
      </c>
      <c r="R28" s="2" cm="1">
        <f t="array" ref="R28">IF(SUMPRODUCT((Upload_Indiv_Player=$A26)*(Upload_Indiv_Date=R$2)*(Upload_Indiv_PointsTot))=0,"",SUMPRODUCT((Upload_Indiv_Player=$A26)*(Upload_Indiv_Date=R$2)*(Upload_Indiv_PointsTot)))</f>
        <v>6</v>
      </c>
      <c r="S28" s="2" cm="1">
        <f t="array" ref="S28">IF(SUMPRODUCT((Upload_Indiv_Player=$A26)*(Upload_Indiv_Date=S$2)*(Upload_Indiv_PointsTot))=0,"",SUMPRODUCT((Upload_Indiv_Player=$A26)*(Upload_Indiv_Date=S$2)*(Upload_Indiv_PointsTot)))</f>
        <v>10</v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3">
        <v>11</v>
      </c>
      <c r="Y28" s="277">
        <v>16</v>
      </c>
      <c r="Z28" s="277">
        <v>15</v>
      </c>
      <c r="AA28" s="277">
        <v>14</v>
      </c>
    </row>
    <row r="29" spans="1:27" x14ac:dyDescent="0.25">
      <c r="A29" s="306"/>
      <c r="B29" s="8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cm="1">
        <f t="array" ref="E29">IF(SUMPRODUCT((Upload_Indiv_Player=$A26)*(Upload_Indiv_Date=E$2)*(Upload_Indiv_Tot_Birds))=0,"",SUMPRODUCT((Upload_Indiv_Player=$A26)*(Upload_Indiv_Date=E$2)*(Upload_Indiv_Tot_Birds)))</f>
        <v>1</v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cm="1">
        <f t="array" ref="G29">IF(SUMPRODUCT((Upload_Indiv_Player=$A26)*(Upload_Indiv_Date=G$2)*(Upload_Indiv_Tot_Birds))=0,"",SUMPRODUCT((Upload_Indiv_Player=$A26)*(Upload_Indiv_Date=G$2)*(Upload_Indiv_Tot_Birds)))</f>
        <v>1</v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cm="1">
        <f t="array" ref="I29">IF(SUMPRODUCT((Upload_Indiv_Player=$A26)*(Upload_Indiv_Date=I$2)*(Upload_Indiv_Tot_Birds))=0,"",SUMPRODUCT((Upload_Indiv_Player=$A26)*(Upload_Indiv_Date=I$2)*(Upload_Indiv_Tot_Birds)))</f>
        <v>1</v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cm="1">
        <f t="array" ref="K29">IF(SUMPRODUCT((Upload_Indiv_Player=$A26)*(Upload_Indiv_Date=K$2)*(Upload_Indiv_Tot_Birds))=0,"",SUMPRODUCT((Upload_Indiv_Player=$A26)*(Upload_Indiv_Date=K$2)*(Upload_Indiv_Tot_Birds)))</f>
        <v>1</v>
      </c>
      <c r="L29" s="2" cm="1">
        <f t="array" ref="L29">IF(SUMPRODUCT((Upload_Indiv_Player=$A26)*(Upload_Indiv_Date=L$2)*(Upload_Indiv_Tot_Birds))=0,"",SUMPRODUCT((Upload_Indiv_Player=$A26)*(Upload_Indiv_Date=L$2)*(Upload_Indiv_Tot_Birds)))</f>
        <v>1</v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cm="1">
        <f t="array" ref="O29">IF(SUMPRODUCT((Upload_Indiv_Player=$A26)*(Upload_Indiv_Date=O$2)*(Upload_Indiv_Tot_Birds))=0,"",SUMPRODUCT((Upload_Indiv_Player=$A26)*(Upload_Indiv_Date=O$2)*(Upload_Indiv_Tot_Birds)))</f>
        <v>1</v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cm="1">
        <f t="array" ref="S29">IF(SUMPRODUCT((Upload_Indiv_Player=$A26)*(Upload_Indiv_Date=S$2)*(Upload_Indiv_Tot_Birds))=0,"",SUMPRODUCT((Upload_Indiv_Player=$A26)*(Upload_Indiv_Date=S$2)*(Upload_Indiv_Tot_Birds)))</f>
        <v>1</v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>
        <v>1</v>
      </c>
      <c r="V29" s="276"/>
      <c r="W29" s="276"/>
      <c r="X29" s="276">
        <v>11</v>
      </c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9">
        <v>54.82</v>
      </c>
      <c r="Y30" s="277"/>
      <c r="Z30" s="277"/>
      <c r="AA30" s="277"/>
    </row>
    <row r="31" spans="1:27" x14ac:dyDescent="0.25">
      <c r="A31" s="306"/>
      <c r="B31" s="2" t="s">
        <v>176</v>
      </c>
      <c r="C31" s="8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t="str" cm="1">
        <f t="array" ref="T31">IF(SUMPRODUCT((Upload_Indiv_Player=$A26)*(Upload_Indiv_Date=T$2)*(Upload_Indiv_Excl_Score))=0,"",SUMPRODUCT((Upload_Indiv_Player=$A26)*(Upload_Indiv_Date=T$2)*(Upload_Indiv_Excl_Score)))</f>
        <v/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9"/>
      <c r="B32" s="8" t="s">
        <v>178</v>
      </c>
      <c r="C32" s="58" t="str">
        <f>IF(C26="", "", IF(C28&gt;=11, "w", IF(C28&lt;=9, "l", "t")))</f>
        <v>l</v>
      </c>
      <c r="D32" s="58" t="str">
        <f t="shared" ref="D32:S32" si="4">IF(D26="", "", IF(D28&gt;=11, "w", IF(D28&lt;=9, "l", "t")))</f>
        <v>w</v>
      </c>
      <c r="E32" s="58" t="str">
        <f t="shared" si="4"/>
        <v>w</v>
      </c>
      <c r="F32" s="58" t="str">
        <f t="shared" si="4"/>
        <v>w</v>
      </c>
      <c r="G32" s="58" t="str">
        <f t="shared" si="4"/>
        <v>w</v>
      </c>
      <c r="H32" s="58" t="str">
        <f t="shared" si="4"/>
        <v>w</v>
      </c>
      <c r="I32" s="58" t="str">
        <f t="shared" si="4"/>
        <v>l</v>
      </c>
      <c r="J32" s="58" t="str">
        <f t="shared" si="4"/>
        <v/>
      </c>
      <c r="K32" s="58" t="str">
        <f t="shared" si="4"/>
        <v>t</v>
      </c>
      <c r="L32" s="58" t="str">
        <f t="shared" si="4"/>
        <v>w</v>
      </c>
      <c r="M32" s="58" t="str">
        <f t="shared" si="4"/>
        <v>l</v>
      </c>
      <c r="N32" s="58" t="str">
        <f t="shared" si="4"/>
        <v/>
      </c>
      <c r="O32" s="58" t="str">
        <f t="shared" si="4"/>
        <v>w</v>
      </c>
      <c r="P32" s="58" t="str">
        <f t="shared" si="4"/>
        <v>l</v>
      </c>
      <c r="Q32" s="58" t="str">
        <f t="shared" si="4"/>
        <v/>
      </c>
      <c r="R32" s="58" t="str">
        <f t="shared" si="4"/>
        <v>l</v>
      </c>
      <c r="S32" s="58" t="str">
        <f t="shared" si="4"/>
        <v>t</v>
      </c>
      <c r="T32" s="58" t="str">
        <f>IF(T26="", "", IF(T28&gt;=11, "w", IF(T28&lt;=9, "l", "t")))</f>
        <v/>
      </c>
      <c r="U32" s="58" t="str">
        <f>IF(U26="", "", IF(U28&gt;=11, "w", IF(U28&lt;=9, "l", "t")))</f>
        <v>w</v>
      </c>
      <c r="V32" s="276"/>
      <c r="W32" s="276"/>
      <c r="X32" s="276"/>
      <c r="Y32" s="277"/>
      <c r="Z32" s="277"/>
      <c r="AA32" s="277"/>
    </row>
    <row r="33" spans="1:27" x14ac:dyDescent="0.25">
      <c r="A33" s="303" t="s">
        <v>165</v>
      </c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cm="1">
        <f t="array" ref="D33">IF(SUMPRODUCT((Upload_Indiv_Player=$A33)*(Upload_Indiv_Date=D$2)*(Upload_Indiv_Gross))=0,"",SUMPRODUCT((Upload_Indiv_Player=$A33)*(Upload_Indiv_Date=D$2)*(Upload_Indiv_Gross)))</f>
        <v>57</v>
      </c>
      <c r="E33" s="3" t="str" cm="1">
        <f t="array" ref="E33">IF(SUMPRODUCT((Upload_Indiv_Player=$A33)*(Upload_Indiv_Date=E$2)*(Upload_Indiv_Gross))=0,"",SUMPRODUCT((Upload_Indiv_Player=$A33)*(Upload_Indiv_Date=E$2)*(Upload_Indiv_Gross)))</f>
        <v/>
      </c>
      <c r="F33" s="3" cm="1">
        <f t="array" ref="F33">IF(SUMPRODUCT((Upload_Indiv_Player=$A33)*(Upload_Indiv_Date=F$2)*(Upload_Indiv_Gross))=0,"",SUMPRODUCT((Upload_Indiv_Player=$A33)*(Upload_Indiv_Date=F$2)*(Upload_Indiv_Gross)))</f>
        <v>56</v>
      </c>
      <c r="G33" s="3" cm="1">
        <f t="array" ref="G33">IF(SUMPRODUCT((Upload_Indiv_Player=$A33)*(Upload_Indiv_Date=G$2)*(Upload_Indiv_Gross))=0,"",SUMPRODUCT((Upload_Indiv_Player=$A33)*(Upload_Indiv_Date=G$2)*(Upload_Indiv_Gross)))</f>
        <v>59</v>
      </c>
      <c r="H33" s="3" t="str" cm="1">
        <f t="array" ref="H33">IF(SUMPRODUCT((Upload_Indiv_Player=$A33)*(Upload_Indiv_Date=H$2)*(Upload_Indiv_Gross))=0,"",SUMPRODUCT((Upload_Indiv_Player=$A33)*(Upload_Indiv_Date=H$2)*(Upload_Indiv_Gross)))</f>
        <v/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cm="1">
        <f t="array" ref="O33">IF(SUMPRODUCT((Upload_Indiv_Player=$A33)*(Upload_Indiv_Date=O$2)*(Upload_Indiv_Gross))=0,"",SUMPRODUCT((Upload_Indiv_Player=$A33)*(Upload_Indiv_Date=O$2)*(Upload_Indiv_Gross)))</f>
        <v>56</v>
      </c>
      <c r="P33" s="3" cm="1">
        <f t="array" ref="P33">IF(SUMPRODUCT((Upload_Indiv_Player=$A33)*(Upload_Indiv_Date=P$2)*(Upload_Indiv_Gross))=0,"",SUMPRODUCT((Upload_Indiv_Player=$A33)*(Upload_Indiv_Date=P$2)*(Upload_Indiv_Gross)))</f>
        <v>57</v>
      </c>
      <c r="Q33" s="2" cm="1">
        <f t="array" ref="Q33">IF(SUMPRODUCT((Upload_Indiv_Player=$A33)*(Upload_Indiv_Date=Q$2)*(Upload_Indiv_Gross))=0,"",SUMPRODUCT((Upload_Indiv_Player=$A33)*(Upload_Indiv_Date=Q$2)*(Upload_Indiv_Gross)))</f>
        <v>44</v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t="str" cm="1">
        <f t="array" ref="S33">IF(SUMPRODUCT((Upload_Indiv_Player=$A33)*(Upload_Indiv_Date=S$2)*(Upload_Indiv_Gross))=0,"",SUMPRODUCT((Upload_Indiv_Player=$A33)*(Upload_Indiv_Date=S$2)*(Upload_Indiv_Gross)))</f>
        <v/>
      </c>
      <c r="T33" s="2" cm="1">
        <f t="array" ref="T33">IF(SUMPRODUCT((Upload_Indiv_Player=$A33)*(Upload_Indiv_Date=T$2)*(Upload_Indiv_Gross))=0,"",SUMPRODUCT((Upload_Indiv_Player=$A33)*(Upload_Indiv_Date=T$2)*(Upload_Indiv_Gross)))</f>
        <v>57</v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>
        <v>5</v>
      </c>
      <c r="W33" s="273">
        <v>14</v>
      </c>
      <c r="X33" s="273">
        <v>11</v>
      </c>
      <c r="Y33" s="277">
        <v>16</v>
      </c>
      <c r="Z33" s="277">
        <v>15</v>
      </c>
      <c r="AA33" s="277">
        <v>14</v>
      </c>
    </row>
    <row r="34" spans="1:27" x14ac:dyDescent="0.25">
      <c r="A34" s="304">
        <v>3302803266</v>
      </c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cm="1">
        <f t="array" ref="D34">IF(SUMPRODUCT((Upload_Indiv_Player=$A33)*(Upload_Indiv_Date=D$2)*(Upload_Indiv_Net))=0,"",SUMPRODUCT((Upload_Indiv_Player=$A33)*(Upload_Indiv_Date=D$2)*(Upload_Indiv_Net)))</f>
        <v>42</v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cm="1">
        <f t="array" ref="F34">IF(SUMPRODUCT((Upload_Indiv_Player=$A33)*(Upload_Indiv_Date=F$2)*(Upload_Indiv_Net))=0,"",SUMPRODUCT((Upload_Indiv_Player=$A33)*(Upload_Indiv_Date=F$2)*(Upload_Indiv_Net)))</f>
        <v>39</v>
      </c>
      <c r="G34" s="2" cm="1">
        <f t="array" ref="G34">IF(SUMPRODUCT((Upload_Indiv_Player=$A33)*(Upload_Indiv_Date=G$2)*(Upload_Indiv_Net))=0,"",SUMPRODUCT((Upload_Indiv_Player=$A33)*(Upload_Indiv_Date=G$2)*(Upload_Indiv_Net)))</f>
        <v>41</v>
      </c>
      <c r="H34" s="2" t="str" cm="1">
        <f t="array" ref="H34">IF(SUMPRODUCT((Upload_Indiv_Player=$A33)*(Upload_Indiv_Date=H$2)*(Upload_Indiv_Net))=0,"",SUMPRODUCT((Upload_Indiv_Player=$A33)*(Upload_Indiv_Date=H$2)*(Upload_Indiv_Net)))</f>
        <v/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cm="1">
        <f t="array" ref="O34">IF(SUMPRODUCT((Upload_Indiv_Player=$A33)*(Upload_Indiv_Date=O$2)*(Upload_Indiv_Net))=0,"",SUMPRODUCT((Upload_Indiv_Player=$A33)*(Upload_Indiv_Date=O$2)*(Upload_Indiv_Net)))</f>
        <v>38</v>
      </c>
      <c r="P34" s="2" cm="1">
        <f t="array" ref="P34">IF(SUMPRODUCT((Upload_Indiv_Player=$A33)*(Upload_Indiv_Date=P$2)*(Upload_Indiv_Net))=0,"",SUMPRODUCT((Upload_Indiv_Player=$A33)*(Upload_Indiv_Date=P$2)*(Upload_Indiv_Net)))</f>
        <v>39</v>
      </c>
      <c r="Q34" s="2" cm="1">
        <f t="array" ref="Q34">IF(SUMPRODUCT((Upload_Indiv_Player=$A33)*(Upload_Indiv_Date=Q$2)*(Upload_Indiv_Net))=0,"",SUMPRODUCT((Upload_Indiv_Player=$A33)*(Upload_Indiv_Date=Q$2)*(Upload_Indiv_Net)))</f>
        <v>25</v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t="str" cm="1">
        <f t="array" ref="S34">IF(SUMPRODUCT((Upload_Indiv_Player=$A33)*(Upload_Indiv_Date=S$2)*(Upload_Indiv_Net))=0,"",SUMPRODUCT((Upload_Indiv_Player=$A33)*(Upload_Indiv_Date=S$2)*(Upload_Indiv_Net)))</f>
        <v/>
      </c>
      <c r="T34" s="2" cm="1">
        <f t="array" ref="T34">IF(SUMPRODUCT((Upload_Indiv_Player=$A33)*(Upload_Indiv_Date=T$2)*(Upload_Indiv_Net))=0,"",SUMPRODUCT((Upload_Indiv_Player=$A33)*(Upload_Indiv_Date=T$2)*(Upload_Indiv_Net)))</f>
        <v>38</v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9">
        <v>57</v>
      </c>
      <c r="W34" s="276"/>
      <c r="X34" s="276"/>
      <c r="Y34" s="277"/>
      <c r="Z34" s="277"/>
      <c r="AA34" s="277"/>
    </row>
    <row r="35" spans="1:27" x14ac:dyDescent="0.25">
      <c r="A35" s="308" t="s">
        <v>313</v>
      </c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cm="1">
        <f t="array" ref="D35">IF(SUMPRODUCT((Upload_Indiv_Player=$A33)*(Upload_Indiv_Date=D$2)*(Upload_Indiv_PointsTot))=0,"",SUMPRODUCT((Upload_Indiv_Player=$A33)*(Upload_Indiv_Date=D$2)*(Upload_Indiv_PointsTot)))</f>
        <v>9</v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cm="1">
        <f t="array" ref="F35">IF(SUMPRODUCT((Upload_Indiv_Player=$A33)*(Upload_Indiv_Date=F$2)*(Upload_Indiv_PointsTot))=0,"",SUMPRODUCT((Upload_Indiv_Player=$A33)*(Upload_Indiv_Date=F$2)*(Upload_Indiv_PointsTot)))</f>
        <v>11</v>
      </c>
      <c r="G35" s="2" cm="1">
        <f t="array" ref="G35">IF(SUMPRODUCT((Upload_Indiv_Player=$A33)*(Upload_Indiv_Date=G$2)*(Upload_Indiv_PointsTot))=0,"",SUMPRODUCT((Upload_Indiv_Player=$A33)*(Upload_Indiv_Date=G$2)*(Upload_Indiv_PointsTot)))</f>
        <v>11</v>
      </c>
      <c r="H35" s="2" t="str" cm="1">
        <f t="array" ref="H35">IF(SUMPRODUCT((Upload_Indiv_Player=$A33)*(Upload_Indiv_Date=H$2)*(Upload_Indiv_PointsTot))=0,"",SUMPRODUCT((Upload_Indiv_Player=$A33)*(Upload_Indiv_Date=H$2)*(Upload_Indiv_PointsTot)))</f>
        <v/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cm="1">
        <f t="array" ref="O35">IF(SUMPRODUCT((Upload_Indiv_Player=$A33)*(Upload_Indiv_Date=O$2)*(Upload_Indiv_PointsTot))=0,"",SUMPRODUCT((Upload_Indiv_Player=$A33)*(Upload_Indiv_Date=O$2)*(Upload_Indiv_PointsTot)))</f>
        <v>13</v>
      </c>
      <c r="P35" s="2" cm="1">
        <f t="array" ref="P35">IF(SUMPRODUCT((Upload_Indiv_Player=$A33)*(Upload_Indiv_Date=P$2)*(Upload_Indiv_PointsTot))=0,"",SUMPRODUCT((Upload_Indiv_Player=$A33)*(Upload_Indiv_Date=P$2)*(Upload_Indiv_PointsTot)))</f>
        <v>11</v>
      </c>
      <c r="Q35" s="2" cm="1">
        <f t="array" ref="Q35">IF(SUMPRODUCT((Upload_Indiv_Player=$A33)*(Upload_Indiv_Date=Q$2)*(Upload_Indiv_PointsTot))=0,"",SUMPRODUCT((Upload_Indiv_Player=$A33)*(Upload_Indiv_Date=Q$2)*(Upload_Indiv_PointsTot)))</f>
        <v>15</v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t="str" cm="1">
        <f t="array" ref="S35">IF(SUMPRODUCT((Upload_Indiv_Player=$A33)*(Upload_Indiv_Date=S$2)*(Upload_Indiv_PointsTot))=0,"",SUMPRODUCT((Upload_Indiv_Player=$A33)*(Upload_Indiv_Date=S$2)*(Upload_Indiv_PointsTot)))</f>
        <v/>
      </c>
      <c r="T35" s="2" cm="1">
        <f t="array" ref="T35">IF(SUMPRODUCT((Upload_Indiv_Player=$A33)*(Upload_Indiv_Date=T$2)*(Upload_Indiv_PointsTot))=0,"",SUMPRODUCT((Upload_Indiv_Player=$A33)*(Upload_Indiv_Date=T$2)*(Upload_Indiv_PointsTot)))</f>
        <v>10</v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9"/>
      <c r="W35" s="279"/>
      <c r="X35" s="279"/>
      <c r="Y35" s="277"/>
      <c r="Z35" s="277"/>
      <c r="AA35" s="277"/>
    </row>
    <row r="36" spans="1:27" x14ac:dyDescent="0.25">
      <c r="A36" s="306"/>
      <c r="B36" s="8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9"/>
      <c r="W36" s="279"/>
      <c r="X36" s="279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9"/>
      <c r="W37" s="279"/>
      <c r="X37" s="279"/>
      <c r="Y37" s="277"/>
      <c r="Z37" s="277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cm="1">
        <f t="array" ref="Q38">IF(SUMPRODUCT((Upload_Indiv_Player=$A33)*(Upload_Indiv_Date=Q$2)*(Upload_Indiv_Excl_Score))=0,"",SUMPRODUCT((Upload_Indiv_Player=$A33)*(Upload_Indiv_Date=Q$2)*(Upload_Indiv_Excl_Score)))</f>
        <v>1</v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cm="1">
        <f t="array" ref="T38">IF(SUMPRODUCT((Upload_Indiv_Player=$A33)*(Upload_Indiv_Date=T$2)*(Upload_Indiv_Excl_Score))=0,"",SUMPRODUCT((Upload_Indiv_Player=$A33)*(Upload_Indiv_Date=T$2)*(Upload_Indiv_Excl_Score)))</f>
        <v>1</v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9"/>
      <c r="W38" s="279"/>
      <c r="X38" s="279"/>
      <c r="Y38" s="277"/>
      <c r="Z38" s="277"/>
      <c r="AA38" s="277"/>
    </row>
    <row r="39" spans="1:27" ht="13.8" thickBot="1" x14ac:dyDescent="0.3">
      <c r="A39" s="307"/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>l</v>
      </c>
      <c r="E39" s="58" t="str">
        <f t="shared" si="5"/>
        <v/>
      </c>
      <c r="F39" s="58" t="str">
        <f t="shared" si="5"/>
        <v>w</v>
      </c>
      <c r="G39" s="58" t="str">
        <f t="shared" si="5"/>
        <v>w</v>
      </c>
      <c r="H39" s="58" t="str">
        <f t="shared" si="5"/>
        <v/>
      </c>
      <c r="I39" s="58" t="str">
        <f t="shared" si="5"/>
        <v/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>w</v>
      </c>
      <c r="P39" s="58" t="str">
        <f t="shared" si="5"/>
        <v>w</v>
      </c>
      <c r="Q39" s="58" t="str">
        <f t="shared" si="5"/>
        <v>w</v>
      </c>
      <c r="R39" s="58" t="str">
        <f t="shared" si="5"/>
        <v/>
      </c>
      <c r="S39" s="58" t="str">
        <f t="shared" si="5"/>
        <v/>
      </c>
      <c r="T39" s="58" t="str">
        <f>IF(T33="", "", IF(T35&gt;=11, "w", IF(T35&lt;=9, "l", "t")))</f>
        <v>t</v>
      </c>
      <c r="U39" s="58" t="str">
        <f>IF(U33="", "", IF(U35&gt;=11, "w", IF(U35&lt;=9, "l", "t")))</f>
        <v/>
      </c>
      <c r="V39" s="279"/>
      <c r="W39" s="279"/>
      <c r="X39" s="279"/>
      <c r="Y39" s="277"/>
      <c r="Z39" s="277"/>
      <c r="AA39" s="277"/>
    </row>
    <row r="40" spans="1:27" x14ac:dyDescent="0.25">
      <c r="A40" s="294" t="s">
        <v>314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7" r:id="rId1" xr:uid="{00000000-0004-0000-0900-000002000000}"/>
    <hyperlink ref="A35" r:id="rId2" display="jerrod.fowkes@timkensteel.com" xr:uid="{636F65AC-BCE2-4BB0-9CB1-95CDFBEA3DDC}"/>
  </hyperlinks>
  <pageMargins left="0.75" right="0.75" top="1" bottom="1" header="0.5" footer="0.5"/>
  <pageSetup orientation="portrait" r:id="rId3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AA46"/>
  <sheetViews>
    <sheetView workbookViewId="0"/>
  </sheetViews>
  <sheetFormatPr defaultRowHeight="13.2" x14ac:dyDescent="0.25"/>
  <cols>
    <col min="1" max="1" width="25.4414062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3" width="9" style="50"/>
    <col min="24" max="24" width="9" style="122"/>
  </cols>
  <sheetData>
    <row r="1" spans="1:27" x14ac:dyDescent="0.25">
      <c r="A1" s="9" t="s">
        <v>19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20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48</v>
      </c>
      <c r="D3" s="5" cm="1">
        <f t="array" ref="D3">IF(SUMPRODUCT((Upload_Team_Team=$A$3)*(Upload_Team_Date=D$2)*(Upload_Team_Tm_Tot_Points))=0,"",SUMPRODUCT((Upload_Team_Team=$A$3)*(Upload_Team_Date=D$2)*(Upload_Team_Tm_Tot_Points)))</f>
        <v>54</v>
      </c>
      <c r="E3" s="5" cm="1">
        <f t="array" ref="E3">IF(SUMPRODUCT((Upload_Team_Team=$A$3)*(Upload_Team_Date=E$2)*(Upload_Team_Tm_Tot_Points))=0,"",SUMPRODUCT((Upload_Team_Team=$A$3)*(Upload_Team_Date=E$2)*(Upload_Team_Tm_Tot_Points)))</f>
        <v>50</v>
      </c>
      <c r="F3" s="5" cm="1">
        <f t="array" ref="F3">IF(SUMPRODUCT((Upload_Team_Team=$A$3)*(Upload_Team_Date=F$2)*(Upload_Team_Tm_Tot_Points))=0,"",SUMPRODUCT((Upload_Team_Team=$A$3)*(Upload_Team_Date=F$2)*(Upload_Team_Tm_Tot_Points)))</f>
        <v>50</v>
      </c>
      <c r="G3" s="5" cm="1">
        <f t="array" ref="G3">IF(SUMPRODUCT((Upload_Team_Team=$A$3)*(Upload_Team_Date=G$2)*(Upload_Team_Tm_Tot_Points))=0,"",SUMPRODUCT((Upload_Team_Team=$A$3)*(Upload_Team_Date=G$2)*(Upload_Team_Tm_Tot_Points)))</f>
        <v>38</v>
      </c>
      <c r="H3" s="5" cm="1">
        <f t="array" ref="H3">IF(SUMPRODUCT((Upload_Team_Team=$A$3)*(Upload_Team_Date=H$2)*(Upload_Team_Tm_Tot_Points))=0,"",SUMPRODUCT((Upload_Team_Team=$A$3)*(Upload_Team_Date=H$2)*(Upload_Team_Tm_Tot_Points)))</f>
        <v>38</v>
      </c>
      <c r="I3" s="5" cm="1">
        <f t="array" ref="I3">IF(SUMPRODUCT((Upload_Team_Team=$A$3)*(Upload_Team_Date=I$2)*(Upload_Team_Tm_Tot_Points))=0,"",SUMPRODUCT((Upload_Team_Team=$A$3)*(Upload_Team_Date=I$2)*(Upload_Team_Tm_Tot_Points)))</f>
        <v>37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53</v>
      </c>
      <c r="L3" s="5" cm="1">
        <f t="array" ref="L3">IF(SUMPRODUCT((Upload_Team_Team=$A$3)*(Upload_Team_Date=L$2)*(Upload_Team_Tm_Tot_Points))=0,"",SUMPRODUCT((Upload_Team_Team=$A$3)*(Upload_Team_Date=L$2)*(Upload_Team_Tm_Tot_Points)))</f>
        <v>32</v>
      </c>
      <c r="M3" s="5" cm="1">
        <f t="array" ref="M3">IF(SUMPRODUCT((Upload_Team_Team=$A$3)*(Upload_Team_Date=M$2)*(Upload_Team_Tm_Tot_Points))=0,"",SUMPRODUCT((Upload_Team_Team=$A$3)*(Upload_Team_Date=M$2)*(Upload_Team_Tm_Tot_Points)))</f>
        <v>49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40</v>
      </c>
      <c r="P3" s="5" cm="1">
        <f t="array" ref="P3">IF(SUMPRODUCT((Upload_Team_Team=$A$3)*(Upload_Team_Date=P$2)*(Upload_Team_Tm_Tot_Points))=0,"",SUMPRODUCT((Upload_Team_Team=$A$3)*(Upload_Team_Date=P$2)*(Upload_Team_Tm_Tot_Points)))</f>
        <v>51</v>
      </c>
      <c r="Q3" s="5" cm="1">
        <f t="array" ref="Q3">IF(SUMPRODUCT((Upload_Team_Team=$A$3)*(Upload_Team_Date=Q$2)*(Upload_Team_Tm_Tot_Points))=0,"",SUMPRODUCT((Upload_Team_Team=$A$3)*(Upload_Team_Date=Q$2)*(Upload_Team_Tm_Tot_Points)))</f>
        <v>33</v>
      </c>
      <c r="R3" s="5" cm="1">
        <f t="array" ref="R3">IF(SUMPRODUCT((Upload_Team_Team=$A$3)*(Upload_Team_Date=R$2)*(Upload_Team_Tm_Tot_Points))=0,"",SUMPRODUCT((Upload_Team_Team=$A$3)*(Upload_Team_Date=R$2)*(Upload_Team_Tm_Tot_Points)))</f>
        <v>53</v>
      </c>
      <c r="S3" s="5" cm="1">
        <f t="array" ref="S3">IF(SUMPRODUCT((Upload_Team_Team=$A$3)*(Upload_Team_Date=S$2)*(Upload_Team_Tm_Tot_Points))=0,"",SUMPRODUCT((Upload_Team_Team=$A$3)*(Upload_Team_Date=S$2)*(Upload_Team_Tm_Tot_Points)))</f>
        <v>35</v>
      </c>
      <c r="T3" s="5" cm="1">
        <f t="array" ref="T3">IF(SUMPRODUCT((Upload_Team_Team=$A$3)*(Upload_Team_Date=T$2)*(Upload_Team_Tm_Tot_Points))=0,"",SUMPRODUCT((Upload_Team_Team=$A$3)*(Upload_Team_Date=T$2)*(Upload_Team_Tm_Tot_Points)))</f>
        <v>4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6"/>
      <c r="W3" s="276"/>
      <c r="X3" s="276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164</v>
      </c>
      <c r="D4" s="7" cm="1">
        <f t="array" ref="D4">IF(SUMPRODUCT((Upload_Team_Team=$A$3)*(Upload_Team_Date=D$2)*(Upload_Team_Tm_Net))=0,"",SUMPRODUCT((Upload_Team_Team=$A$3)*(Upload_Team_Date=D$2)*(Upload_Team_Tm_Net)))</f>
        <v>159</v>
      </c>
      <c r="E4" s="7" cm="1">
        <f t="array" ref="E4">IF(SUMPRODUCT((Upload_Team_Team=$A$3)*(Upload_Team_Date=E$2)*(Upload_Team_Tm_Net))=0,"",SUMPRODUCT((Upload_Team_Team=$A$3)*(Upload_Team_Date=E$2)*(Upload_Team_Tm_Net)))</f>
        <v>160</v>
      </c>
      <c r="F4" s="7" cm="1">
        <f t="array" ref="F4">IF(SUMPRODUCT((Upload_Team_Team=$A$3)*(Upload_Team_Date=F$2)*(Upload_Team_Tm_Net))=0,"",SUMPRODUCT((Upload_Team_Team=$A$3)*(Upload_Team_Date=F$2)*(Upload_Team_Tm_Net)))</f>
        <v>160</v>
      </c>
      <c r="G4" s="7" cm="1">
        <f t="array" ref="G4">IF(SUMPRODUCT((Upload_Team_Team=$A$3)*(Upload_Team_Date=G$2)*(Upload_Team_Tm_Net))=0,"",SUMPRODUCT((Upload_Team_Team=$A$3)*(Upload_Team_Date=G$2)*(Upload_Team_Tm_Net)))</f>
        <v>163</v>
      </c>
      <c r="H4" s="7" cm="1">
        <f t="array" ref="H4">IF(SUMPRODUCT((Upload_Team_Team=$A$3)*(Upload_Team_Date=H$2)*(Upload_Team_Tm_Net))=0,"",SUMPRODUCT((Upload_Team_Team=$A$3)*(Upload_Team_Date=H$2)*(Upload_Team_Tm_Net)))</f>
        <v>155</v>
      </c>
      <c r="I4" s="7" cm="1">
        <f t="array" ref="I4">IF(SUMPRODUCT((Upload_Team_Team=$A$3)*(Upload_Team_Date=I$2)*(Upload_Team_Tm_Net))=0,"",SUMPRODUCT((Upload_Team_Team=$A$3)*(Upload_Team_Date=I$2)*(Upload_Team_Tm_Net)))</f>
        <v>159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151</v>
      </c>
      <c r="L4" s="7" cm="1">
        <f t="array" ref="L4">IF(SUMPRODUCT((Upload_Team_Team=$A$3)*(Upload_Team_Date=L$2)*(Upload_Team_Tm_Net))=0,"",SUMPRODUCT((Upload_Team_Team=$A$3)*(Upload_Team_Date=L$2)*(Upload_Team_Tm_Net)))</f>
        <v>154</v>
      </c>
      <c r="M4" s="7" cm="1">
        <f t="array" ref="M4">IF(SUMPRODUCT((Upload_Team_Team=$A$3)*(Upload_Team_Date=M$2)*(Upload_Team_Tm_Net))=0,"",SUMPRODUCT((Upload_Team_Team=$A$3)*(Upload_Team_Date=M$2)*(Upload_Team_Tm_Net)))</f>
        <v>153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155</v>
      </c>
      <c r="P4" s="7" cm="1">
        <f t="array" ref="P4">IF(SUMPRODUCT((Upload_Team_Team=$A$3)*(Upload_Team_Date=P$2)*(Upload_Team_Tm_Net))=0,"",SUMPRODUCT((Upload_Team_Team=$A$3)*(Upload_Team_Date=P$2)*(Upload_Team_Tm_Net)))</f>
        <v>150</v>
      </c>
      <c r="Q4" s="7" t="str" cm="1">
        <f t="array" ref="Q4">IF(SUMPRODUCT((Upload_Team_Team=$A$3)*(Upload_Team_Date=Q$2)*(Upload_Team_Tm_Net))=0,"",SUMPRODUCT((Upload_Team_Team=$A$3)*(Upload_Team_Date=Q$2)*(Upload_Team_Tm_Net)))</f>
        <v/>
      </c>
      <c r="R4" s="7" cm="1">
        <f t="array" ref="R4">IF(SUMPRODUCT((Upload_Team_Team=$A$3)*(Upload_Team_Date=R$2)*(Upload_Team_Tm_Net))=0,"",SUMPRODUCT((Upload_Team_Team=$A$3)*(Upload_Team_Date=R$2)*(Upload_Team_Tm_Net)))</f>
        <v>139</v>
      </c>
      <c r="S4" s="7" cm="1">
        <f t="array" ref="S4">IF(SUMPRODUCT((Upload_Team_Team=$A$3)*(Upload_Team_Date=S$2)*(Upload_Team_Tm_Net))=0,"",SUMPRODUCT((Upload_Team_Team=$A$3)*(Upload_Team_Date=S$2)*(Upload_Team_Tm_Net)))</f>
        <v>157</v>
      </c>
      <c r="T4" s="7" cm="1">
        <f t="array" ref="T4">IF(SUMPRODUCT((Upload_Team_Team=$A$3)*(Upload_Team_Date=T$2)*(Upload_Team_Tm_Net))=0,"",SUMPRODUCT((Upload_Team_Team=$A$3)*(Upload_Team_Date=T$2)*(Upload_Team_Tm_Net)))</f>
        <v>150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6"/>
      <c r="W4" s="276"/>
      <c r="X4" s="276"/>
      <c r="Y4" s="277"/>
      <c r="Z4" s="278"/>
      <c r="AA4" s="277"/>
    </row>
    <row r="5" spans="1:27" x14ac:dyDescent="0.25">
      <c r="A5" s="303" t="s">
        <v>153</v>
      </c>
      <c r="B5" s="3" t="s">
        <v>170</v>
      </c>
      <c r="C5" s="3" cm="1">
        <f t="array" ref="C5">IF(SUMPRODUCT((Upload_Indiv_Player=$A5)*(Upload_Indiv_Date=C$2)*(Upload_Indiv_Gross))=0,"",SUMPRODUCT((Upload_Indiv_Player=$A5)*(Upload_Indiv_Date=C$2)*(Upload_Indiv_Gross)))</f>
        <v>47</v>
      </c>
      <c r="D5" s="3" cm="1">
        <f t="array" ref="D5">IF(SUMPRODUCT((Upload_Indiv_Player=$A5)*(Upload_Indiv_Date=D$2)*(Upload_Indiv_Gross))=0,"",SUMPRODUCT((Upload_Indiv_Player=$A5)*(Upload_Indiv_Date=D$2)*(Upload_Indiv_Gross)))</f>
        <v>46</v>
      </c>
      <c r="E5" s="3" cm="1">
        <f t="array" ref="E5">IF(SUMPRODUCT((Upload_Indiv_Player=$A5)*(Upload_Indiv_Date=E$2)*(Upload_Indiv_Gross))=0,"",SUMPRODUCT((Upload_Indiv_Player=$A5)*(Upload_Indiv_Date=E$2)*(Upload_Indiv_Gross)))</f>
        <v>46</v>
      </c>
      <c r="F5" s="3" cm="1">
        <f t="array" ref="F5">IF(SUMPRODUCT((Upload_Indiv_Player=$A5)*(Upload_Indiv_Date=F$2)*(Upload_Indiv_Gross))=0,"",SUMPRODUCT((Upload_Indiv_Player=$A5)*(Upload_Indiv_Date=F$2)*(Upload_Indiv_Gross)))</f>
        <v>47</v>
      </c>
      <c r="G5" s="3" cm="1">
        <f t="array" ref="G5">IF(SUMPRODUCT((Upload_Indiv_Player=$A5)*(Upload_Indiv_Date=G$2)*(Upload_Indiv_Gross))=0,"",SUMPRODUCT((Upload_Indiv_Player=$A5)*(Upload_Indiv_Date=G$2)*(Upload_Indiv_Gross)))</f>
        <v>43</v>
      </c>
      <c r="H5" s="3" cm="1">
        <f t="array" ref="H5">IF(SUMPRODUCT((Upload_Indiv_Player=$A5)*(Upload_Indiv_Date=H$2)*(Upload_Indiv_Gross))=0,"",SUMPRODUCT((Upload_Indiv_Player=$A5)*(Upload_Indiv_Date=H$2)*(Upload_Indiv_Gross)))</f>
        <v>45</v>
      </c>
      <c r="I5" s="3" cm="1">
        <f t="array" ref="I5">IF(SUMPRODUCT((Upload_Indiv_Player=$A5)*(Upload_Indiv_Date=I$2)*(Upload_Indiv_Gross))=0,"",SUMPRODUCT((Upload_Indiv_Player=$A5)*(Upload_Indiv_Date=I$2)*(Upload_Indiv_Gross)))</f>
        <v>44</v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cm="1">
        <f t="array" ref="K5">IF(SUMPRODUCT((Upload_Indiv_Player=$A5)*(Upload_Indiv_Date=K$2)*(Upload_Indiv_Gross))=0,"",SUMPRODUCT((Upload_Indiv_Player=$A5)*(Upload_Indiv_Date=K$2)*(Upload_Indiv_Gross)))</f>
        <v>46</v>
      </c>
      <c r="L5" s="3" cm="1">
        <f t="array" ref="L5">IF(SUMPRODUCT((Upload_Indiv_Player=$A5)*(Upload_Indiv_Date=L$2)*(Upload_Indiv_Gross))=0,"",SUMPRODUCT((Upload_Indiv_Player=$A5)*(Upload_Indiv_Date=L$2)*(Upload_Indiv_Gross)))</f>
        <v>49</v>
      </c>
      <c r="M5" s="3" t="str" cm="1">
        <f t="array" ref="M5">IF(SUMPRODUCT((Upload_Indiv_Player=$A5)*(Upload_Indiv_Date=M$2)*(Upload_Indiv_Gross))=0,"",SUMPRODUCT((Upload_Indiv_Player=$A5)*(Upload_Indiv_Date=M$2)*(Upload_Indiv_Gross)))</f>
        <v/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cm="1">
        <f t="array" ref="O5">IF(SUMPRODUCT((Upload_Indiv_Player=$A5)*(Upload_Indiv_Date=O$2)*(Upload_Indiv_Gross))=0,"",SUMPRODUCT((Upload_Indiv_Player=$A5)*(Upload_Indiv_Date=O$2)*(Upload_Indiv_Gross)))</f>
        <v>49</v>
      </c>
      <c r="P5" s="3" cm="1">
        <f t="array" ref="P5">IF(SUMPRODUCT((Upload_Indiv_Player=$A5)*(Upload_Indiv_Date=P$2)*(Upload_Indiv_Gross))=0,"",SUMPRODUCT((Upload_Indiv_Player=$A5)*(Upload_Indiv_Date=P$2)*(Upload_Indiv_Gross)))</f>
        <v>44</v>
      </c>
      <c r="Q5" s="3" cm="1">
        <f t="array" ref="Q5">IF(SUMPRODUCT((Upload_Indiv_Player=$A5)*(Upload_Indiv_Date=Q$2)*(Upload_Indiv_Gross))=0,"",SUMPRODUCT((Upload_Indiv_Player=$A5)*(Upload_Indiv_Date=Q$2)*(Upload_Indiv_Gross)))</f>
        <v>29</v>
      </c>
      <c r="R5" s="3" cm="1">
        <f t="array" ref="R5">IF(SUMPRODUCT((Upload_Indiv_Player=$A5)*(Upload_Indiv_Date=R$2)*(Upload_Indiv_Gross))=0,"",SUMPRODUCT((Upload_Indiv_Player=$A5)*(Upload_Indiv_Date=R$2)*(Upload_Indiv_Gross)))</f>
        <v>44</v>
      </c>
      <c r="S5" s="3" cm="1">
        <f t="array" ref="S5">IF(SUMPRODUCT((Upload_Indiv_Player=$A5)*(Upload_Indiv_Date=S$2)*(Upload_Indiv_Gross))=0,"",SUMPRODUCT((Upload_Indiv_Player=$A5)*(Upload_Indiv_Date=S$2)*(Upload_Indiv_Gross)))</f>
        <v>38</v>
      </c>
      <c r="T5" s="3" t="str" cm="1">
        <f t="array" ref="T5">IF(SUMPRODUCT((Upload_Indiv_Player=$A5)*(Upload_Indiv_Date=T$2)*(Upload_Indiv_Gross))=0,"",SUMPRODUCT((Upload_Indiv_Player=$A5)*(Upload_Indiv_Date=T$2)*(Upload_Indiv_Gross)))</f>
        <v/>
      </c>
      <c r="U5" s="3">
        <v>43</v>
      </c>
      <c r="V5" s="273">
        <v>14</v>
      </c>
      <c r="W5" s="273">
        <v>10</v>
      </c>
      <c r="X5" s="273">
        <v>12</v>
      </c>
      <c r="Y5" s="277">
        <v>12</v>
      </c>
      <c r="Z5" s="277">
        <v>12</v>
      </c>
      <c r="AA5" s="277">
        <v>12</v>
      </c>
    </row>
    <row r="6" spans="1:27" x14ac:dyDescent="0.25">
      <c r="A6" s="304">
        <v>2342627349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43</v>
      </c>
      <c r="D6" s="2" cm="1">
        <f t="array" ref="D6">IF(SUMPRODUCT((Upload_Indiv_Player=$A5)*(Upload_Indiv_Date=D$2)*(Upload_Indiv_Net))=0,"",SUMPRODUCT((Upload_Indiv_Player=$A5)*(Upload_Indiv_Date=D$2)*(Upload_Indiv_Net)))</f>
        <v>42</v>
      </c>
      <c r="E6" s="2" cm="1">
        <f t="array" ref="E6">IF(SUMPRODUCT((Upload_Indiv_Player=$A5)*(Upload_Indiv_Date=E$2)*(Upload_Indiv_Net))=0,"",SUMPRODUCT((Upload_Indiv_Player=$A5)*(Upload_Indiv_Date=E$2)*(Upload_Indiv_Net)))</f>
        <v>42</v>
      </c>
      <c r="F6" s="2" cm="1">
        <f t="array" ref="F6">IF(SUMPRODUCT((Upload_Indiv_Player=$A5)*(Upload_Indiv_Date=F$2)*(Upload_Indiv_Net))=0,"",SUMPRODUCT((Upload_Indiv_Player=$A5)*(Upload_Indiv_Date=F$2)*(Upload_Indiv_Net)))</f>
        <v>43</v>
      </c>
      <c r="G6" s="2" cm="1">
        <f t="array" ref="G6">IF(SUMPRODUCT((Upload_Indiv_Player=$A5)*(Upload_Indiv_Date=G$2)*(Upload_Indiv_Net))=0,"",SUMPRODUCT((Upload_Indiv_Player=$A5)*(Upload_Indiv_Date=G$2)*(Upload_Indiv_Net)))</f>
        <v>37</v>
      </c>
      <c r="H6" s="2" cm="1">
        <f t="array" ref="H6">IF(SUMPRODUCT((Upload_Indiv_Player=$A5)*(Upload_Indiv_Date=H$2)*(Upload_Indiv_Net))=0,"",SUMPRODUCT((Upload_Indiv_Player=$A5)*(Upload_Indiv_Date=H$2)*(Upload_Indiv_Net)))</f>
        <v>39</v>
      </c>
      <c r="I6" s="2" cm="1">
        <f t="array" ref="I6">IF(SUMPRODUCT((Upload_Indiv_Player=$A5)*(Upload_Indiv_Date=I$2)*(Upload_Indiv_Net))=0,"",SUMPRODUCT((Upload_Indiv_Player=$A5)*(Upload_Indiv_Date=I$2)*(Upload_Indiv_Net)))</f>
        <v>37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38</v>
      </c>
      <c r="L6" s="2" cm="1">
        <f t="array" ref="L6">IF(SUMPRODUCT((Upload_Indiv_Player=$A5)*(Upload_Indiv_Date=L$2)*(Upload_Indiv_Net))=0,"",SUMPRODUCT((Upload_Indiv_Player=$A5)*(Upload_Indiv_Date=L$2)*(Upload_Indiv_Net)))</f>
        <v>41</v>
      </c>
      <c r="M6" s="2" t="str" cm="1">
        <f t="array" ref="M6">IF(SUMPRODUCT((Upload_Indiv_Player=$A5)*(Upload_Indiv_Date=M$2)*(Upload_Indiv_Net))=0,"",SUMPRODUCT((Upload_Indiv_Player=$A5)*(Upload_Indiv_Date=M$2)*(Upload_Indiv_Net)))</f>
        <v/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41</v>
      </c>
      <c r="P6" s="2" cm="1">
        <f t="array" ref="P6">IF(SUMPRODUCT((Upload_Indiv_Player=$A5)*(Upload_Indiv_Date=P$2)*(Upload_Indiv_Net))=0,"",SUMPRODUCT((Upload_Indiv_Player=$A5)*(Upload_Indiv_Date=P$2)*(Upload_Indiv_Net)))</f>
        <v>36</v>
      </c>
      <c r="Q6" s="2" cm="1">
        <f t="array" ref="Q6">IF(SUMPRODUCT((Upload_Indiv_Player=$A5)*(Upload_Indiv_Date=Q$2)*(Upload_Indiv_Net))=0,"",SUMPRODUCT((Upload_Indiv_Player=$A5)*(Upload_Indiv_Date=Q$2)*(Upload_Indiv_Net)))</f>
        <v>21</v>
      </c>
      <c r="R6" s="2" cm="1">
        <f t="array" ref="R6">IF(SUMPRODUCT((Upload_Indiv_Player=$A5)*(Upload_Indiv_Date=R$2)*(Upload_Indiv_Net))=0,"",SUMPRODUCT((Upload_Indiv_Player=$A5)*(Upload_Indiv_Date=R$2)*(Upload_Indiv_Net)))</f>
        <v>36</v>
      </c>
      <c r="S6" s="2" cm="1">
        <f t="array" ref="S6">IF(SUMPRODUCT((Upload_Indiv_Player=$A5)*(Upload_Indiv_Date=S$2)*(Upload_Indiv_Net))=0,"",SUMPRODUCT((Upload_Indiv_Player=$A5)*(Upload_Indiv_Date=S$2)*(Upload_Indiv_Net)))</f>
        <v>30</v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>
        <v>37</v>
      </c>
      <c r="V6" s="279">
        <v>43.79</v>
      </c>
      <c r="W6" s="276"/>
      <c r="X6" s="276"/>
      <c r="Y6" s="277"/>
      <c r="Z6" s="277"/>
      <c r="AA6" s="277"/>
    </row>
    <row r="7" spans="1:27" x14ac:dyDescent="0.25">
      <c r="A7" s="305" t="s">
        <v>282</v>
      </c>
      <c r="B7" s="2" t="s">
        <v>173</v>
      </c>
      <c r="C7" s="1"/>
      <c r="D7" s="2" cm="1">
        <f t="array" ref="D7">IF(SUMPRODUCT((Upload_Indiv_Player=$A5)*(Upload_Indiv_Date=D$2)*(Upload_Indiv_PointsTot))=0,"",SUMPRODUCT((Upload_Indiv_Player=$A5)*(Upload_Indiv_Date=D$2)*(Upload_Indiv_PointsTot)))</f>
        <v>14</v>
      </c>
      <c r="E7" s="2" cm="1">
        <f t="array" ref="E7">IF(SUMPRODUCT((Upload_Indiv_Player=$A5)*(Upload_Indiv_Date=E$2)*(Upload_Indiv_PointsTot))=0,"",SUMPRODUCT((Upload_Indiv_Player=$A5)*(Upload_Indiv_Date=E$2)*(Upload_Indiv_PointsTot)))</f>
        <v>8</v>
      </c>
      <c r="F7" s="2" cm="1">
        <f t="array" ref="F7">IF(SUMPRODUCT((Upload_Indiv_Player=$A5)*(Upload_Indiv_Date=F$2)*(Upload_Indiv_PointsTot))=0,"",SUMPRODUCT((Upload_Indiv_Player=$A5)*(Upload_Indiv_Date=F$2)*(Upload_Indiv_PointsTot)))</f>
        <v>11</v>
      </c>
      <c r="G7" s="2" cm="1">
        <f t="array" ref="G7">IF(SUMPRODUCT((Upload_Indiv_Player=$A5)*(Upload_Indiv_Date=G$2)*(Upload_Indiv_PointsTot))=0,"",SUMPRODUCT((Upload_Indiv_Player=$A5)*(Upload_Indiv_Date=G$2)*(Upload_Indiv_PointsTot)))</f>
        <v>10</v>
      </c>
      <c r="H7" s="2" cm="1">
        <f t="array" ref="H7">IF(SUMPRODUCT((Upload_Indiv_Player=$A5)*(Upload_Indiv_Date=H$2)*(Upload_Indiv_PointsTot))=0,"",SUMPRODUCT((Upload_Indiv_Player=$A5)*(Upload_Indiv_Date=H$2)*(Upload_Indiv_PointsTot)))</f>
        <v>9</v>
      </c>
      <c r="I7" s="2" cm="1">
        <f t="array" ref="I7">IF(SUMPRODUCT((Upload_Indiv_Player=$A5)*(Upload_Indiv_Date=I$2)*(Upload_Indiv_PointsTot))=0,"",SUMPRODUCT((Upload_Indiv_Player=$A5)*(Upload_Indiv_Date=I$2)*(Upload_Indiv_PointsTot)))</f>
        <v>8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13</v>
      </c>
      <c r="L7" s="2" cm="1">
        <f t="array" ref="L7">IF(SUMPRODUCT((Upload_Indiv_Player=$A5)*(Upload_Indiv_Date=L$2)*(Upload_Indiv_PointsTot))=0,"",SUMPRODUCT((Upload_Indiv_Player=$A5)*(Upload_Indiv_Date=L$2)*(Upload_Indiv_PointsTot)))</f>
        <v>7</v>
      </c>
      <c r="M7" s="2" t="str" cm="1">
        <f t="array" ref="M7">IF(SUMPRODUCT((Upload_Indiv_Player=$A5)*(Upload_Indiv_Date=M$2)*(Upload_Indiv_PointsTot))=0,"",SUMPRODUCT((Upload_Indiv_Player=$A5)*(Upload_Indiv_Date=M$2)*(Upload_Indiv_PointsTot)))</f>
        <v/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7</v>
      </c>
      <c r="P7" s="2" cm="1">
        <f t="array" ref="P7">IF(SUMPRODUCT((Upload_Indiv_Player=$A5)*(Upload_Indiv_Date=P$2)*(Upload_Indiv_PointsTot))=0,"",SUMPRODUCT((Upload_Indiv_Player=$A5)*(Upload_Indiv_Date=P$2)*(Upload_Indiv_PointsTot)))</f>
        <v>11</v>
      </c>
      <c r="Q7" s="2" cm="1">
        <f t="array" ref="Q7">IF(SUMPRODUCT((Upload_Indiv_Player=$A5)*(Upload_Indiv_Date=Q$2)*(Upload_Indiv_PointsTot))=0,"",SUMPRODUCT((Upload_Indiv_Player=$A5)*(Upload_Indiv_Date=Q$2)*(Upload_Indiv_PointsTot)))</f>
        <v>8</v>
      </c>
      <c r="R7" s="2" cm="1">
        <f t="array" ref="R7">IF(SUMPRODUCT((Upload_Indiv_Player=$A5)*(Upload_Indiv_Date=R$2)*(Upload_Indiv_PointsTot))=0,"",SUMPRODUCT((Upload_Indiv_Player=$A5)*(Upload_Indiv_Date=R$2)*(Upload_Indiv_PointsTot)))</f>
        <v>9</v>
      </c>
      <c r="S7" s="2" cm="1">
        <f t="array" ref="S7">IF(SUMPRODUCT((Upload_Indiv_Player=$A5)*(Upload_Indiv_Date=S$2)*(Upload_Indiv_PointsTot))=0,"",SUMPRODUCT((Upload_Indiv_Player=$A5)*(Upload_Indiv_Date=S$2)*(Upload_Indiv_PointsTot)))</f>
        <v>14</v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cm="1">
        <f t="array" ref="I8">IF(SUMPRODUCT((Upload_Indiv_Player=$A5)*(Upload_Indiv_Date=I$2)*(Upload_Indiv_Tot_Birds))=0,"",SUMPRODUCT((Upload_Indiv_Player=$A5)*(Upload_Indiv_Date=I$2)*(Upload_Indiv_Tot_Birds)))</f>
        <v>1</v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cm="1">
        <f t="array" ref="S9">IF(SUMPRODUCT((Upload_Indiv_Player=$A5)*(Upload_Indiv_Date=S$2)*(Upload_Indiv_Tot_Eagles))=0,"",SUMPRODUCT((Upload_Indiv_Player=$A5)*(Upload_Indiv_Date=S$2)*(Upload_Indiv_Tot_Eagles)))</f>
        <v>1</v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cm="1">
        <f t="array" ref="Q10">IF(SUMPRODUCT((Upload_Indiv_Player=$A5)*(Upload_Indiv_Date=Q$2)*(Upload_Indiv_Excl_Score))=0,"",SUMPRODUCT((Upload_Indiv_Player=$A5)*(Upload_Indiv_Date=Q$2)*(Upload_Indiv_Excl_Score)))</f>
        <v>1</v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cm="1">
        <f t="array" ref="T10">IF(SUMPRODUCT((Upload_Indiv_Player=$A5)*(Upload_Indiv_Date=T$2)*(Upload_Indiv_Excl_Score))=0,"",SUMPRODUCT((Upload_Indiv_Player=$A5)*(Upload_Indiv_Date=T$2)*(Upload_Indiv_Excl_Score)))</f>
        <v>1</v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l</v>
      </c>
      <c r="D11" s="58" t="str">
        <f t="shared" ref="D11:S11" si="1">IF(D5="", "", IF(D7&gt;=11, "w", IF(D7&lt;=9, "l", "t")))</f>
        <v>w</v>
      </c>
      <c r="E11" s="58" t="str">
        <f t="shared" si="1"/>
        <v>l</v>
      </c>
      <c r="F11" s="58" t="str">
        <f t="shared" si="1"/>
        <v>w</v>
      </c>
      <c r="G11" s="58" t="str">
        <f t="shared" si="1"/>
        <v>t</v>
      </c>
      <c r="H11" s="58" t="str">
        <f t="shared" si="1"/>
        <v>l</v>
      </c>
      <c r="I11" s="58" t="str">
        <f t="shared" si="1"/>
        <v>l</v>
      </c>
      <c r="J11" s="58" t="str">
        <f t="shared" si="1"/>
        <v/>
      </c>
      <c r="K11" s="58" t="str">
        <f t="shared" si="1"/>
        <v>w</v>
      </c>
      <c r="L11" s="58" t="str">
        <f t="shared" si="1"/>
        <v>l</v>
      </c>
      <c r="M11" s="58" t="str">
        <f t="shared" si="1"/>
        <v/>
      </c>
      <c r="N11" s="58" t="str">
        <f t="shared" si="1"/>
        <v/>
      </c>
      <c r="O11" s="58" t="str">
        <f t="shared" si="1"/>
        <v>l</v>
      </c>
      <c r="P11" s="58" t="str">
        <f t="shared" si="1"/>
        <v>w</v>
      </c>
      <c r="Q11" s="58" t="str">
        <f t="shared" si="1"/>
        <v>l</v>
      </c>
      <c r="R11" s="58" t="str">
        <f t="shared" si="1"/>
        <v>l</v>
      </c>
      <c r="S11" s="58" t="str">
        <f t="shared" si="1"/>
        <v>w</v>
      </c>
      <c r="T11" s="58" t="str">
        <f>IF(T5="", "", IF(T7&gt;=11, "w", IF(T7&lt;=9, "l", "t")))</f>
        <v/>
      </c>
      <c r="U11" s="58" t="str">
        <f>IF(U5="", "", IF(U7&gt;=11, "w", IF(U7&lt;=9, "l", "t")))</f>
        <v>w</v>
      </c>
      <c r="V11" s="276"/>
      <c r="W11" s="276"/>
      <c r="X11" s="276"/>
      <c r="Y11" s="277"/>
      <c r="Z11" s="277"/>
      <c r="AA11" s="277"/>
    </row>
    <row r="12" spans="1:27" x14ac:dyDescent="0.25">
      <c r="A12" s="303" t="s">
        <v>283</v>
      </c>
      <c r="B12" s="3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47</v>
      </c>
      <c r="D12" s="3" cm="1">
        <f t="array" ref="D12">IF(SUMPRODUCT((Upload_Indiv_Player=$A12)*(Upload_Indiv_Date=D$2)*(Upload_Indiv_Gross))=0,"",SUMPRODUCT((Upload_Indiv_Player=$A12)*(Upload_Indiv_Date=D$2)*(Upload_Indiv_Gross)))</f>
        <v>48</v>
      </c>
      <c r="E12" s="3" cm="1">
        <f t="array" ref="E12">IF(SUMPRODUCT((Upload_Indiv_Player=$A12)*(Upload_Indiv_Date=E$2)*(Upload_Indiv_Gross))=0,"",SUMPRODUCT((Upload_Indiv_Player=$A12)*(Upload_Indiv_Date=E$2)*(Upload_Indiv_Gross)))</f>
        <v>43</v>
      </c>
      <c r="F12" s="3" cm="1">
        <f t="array" ref="F12">IF(SUMPRODUCT((Upload_Indiv_Player=$A12)*(Upload_Indiv_Date=F$2)*(Upload_Indiv_Gross))=0,"",SUMPRODUCT((Upload_Indiv_Player=$A12)*(Upload_Indiv_Date=F$2)*(Upload_Indiv_Gross)))</f>
        <v>49</v>
      </c>
      <c r="G12" s="3" cm="1">
        <f t="array" ref="G12">IF(SUMPRODUCT((Upload_Indiv_Player=$A12)*(Upload_Indiv_Date=G$2)*(Upload_Indiv_Gross))=0,"",SUMPRODUCT((Upload_Indiv_Player=$A12)*(Upload_Indiv_Date=G$2)*(Upload_Indiv_Gross)))</f>
        <v>53</v>
      </c>
      <c r="H12" s="3" cm="1">
        <f t="array" ref="H12">IF(SUMPRODUCT((Upload_Indiv_Player=$A12)*(Upload_Indiv_Date=H$2)*(Upload_Indiv_Gross))=0,"",SUMPRODUCT((Upload_Indiv_Player=$A12)*(Upload_Indiv_Date=H$2)*(Upload_Indiv_Gross)))</f>
        <v>47</v>
      </c>
      <c r="I12" s="3" cm="1">
        <f t="array" ref="I12">IF(SUMPRODUCT((Upload_Indiv_Player=$A12)*(Upload_Indiv_Date=I$2)*(Upload_Indiv_Gross))=0,"",SUMPRODUCT((Upload_Indiv_Player=$A12)*(Upload_Indiv_Date=I$2)*(Upload_Indiv_Gross)))</f>
        <v>46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45</v>
      </c>
      <c r="L12" s="3" cm="1">
        <f t="array" ref="L12">IF(SUMPRODUCT((Upload_Indiv_Player=$A12)*(Upload_Indiv_Date=L$2)*(Upload_Indiv_Gross))=0,"",SUMPRODUCT((Upload_Indiv_Player=$A12)*(Upload_Indiv_Date=L$2)*(Upload_Indiv_Gross)))</f>
        <v>46</v>
      </c>
      <c r="M12" s="3" t="str" cm="1">
        <f t="array" ref="M12">IF(SUMPRODUCT((Upload_Indiv_Player=$A12)*(Upload_Indiv_Date=M$2)*(Upload_Indiv_Gross))=0,"",SUMPRODUCT((Upload_Indiv_Player=$A12)*(Upload_Indiv_Date=M$2)*(Upload_Indiv_Gross)))</f>
        <v/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43</v>
      </c>
      <c r="P12" s="3" cm="1">
        <f t="array" ref="P12">IF(SUMPRODUCT((Upload_Indiv_Player=$A12)*(Upload_Indiv_Date=P$2)*(Upload_Indiv_Gross))=0,"",SUMPRODUCT((Upload_Indiv_Player=$A12)*(Upload_Indiv_Date=P$2)*(Upload_Indiv_Gross)))</f>
        <v>45</v>
      </c>
      <c r="Q12" s="2" cm="1">
        <f t="array" ref="Q12">IF(SUMPRODUCT((Upload_Indiv_Player=$A12)*(Upload_Indiv_Date=Q$2)*(Upload_Indiv_Gross))=0,"",SUMPRODUCT((Upload_Indiv_Player=$A12)*(Upload_Indiv_Date=Q$2)*(Upload_Indiv_Gross)))</f>
        <v>36</v>
      </c>
      <c r="R12" s="2" cm="1">
        <f t="array" ref="R12">IF(SUMPRODUCT((Upload_Indiv_Player=$A12)*(Upload_Indiv_Date=R$2)*(Upload_Indiv_Gross))=0,"",SUMPRODUCT((Upload_Indiv_Player=$A12)*(Upload_Indiv_Date=R$2)*(Upload_Indiv_Gross)))</f>
        <v>43</v>
      </c>
      <c r="S12" s="2" cm="1">
        <f t="array" ref="S12">IF(SUMPRODUCT((Upload_Indiv_Player=$A12)*(Upload_Indiv_Date=S$2)*(Upload_Indiv_Gross))=0,"",SUMPRODUCT((Upload_Indiv_Player=$A12)*(Upload_Indiv_Date=S$2)*(Upload_Indiv_Gross)))</f>
        <v>47</v>
      </c>
      <c r="T12" s="2" t="str" cm="1">
        <f t="array" ref="T12">IF(SUMPRODUCT((Upload_Indiv_Player=$A12)*(Upload_Indiv_Date=T$2)*(Upload_Indiv_Gross))=0,"",SUMPRODUCT((Upload_Indiv_Player=$A12)*(Upload_Indiv_Date=T$2)*(Upload_Indiv_Gross)))</f>
        <v/>
      </c>
      <c r="U12" s="2">
        <v>39</v>
      </c>
      <c r="V12" s="273">
        <v>6</v>
      </c>
      <c r="W12" s="273">
        <v>10</v>
      </c>
      <c r="X12" s="273">
        <v>10</v>
      </c>
      <c r="Y12" s="277">
        <v>11</v>
      </c>
      <c r="Z12" s="277">
        <v>12</v>
      </c>
      <c r="AA12" s="277">
        <v>9</v>
      </c>
    </row>
    <row r="13" spans="1:27" x14ac:dyDescent="0.25">
      <c r="A13" s="304">
        <v>2342622677</v>
      </c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42</v>
      </c>
      <c r="D13" s="2" cm="1">
        <f t="array" ref="D13">IF(SUMPRODUCT((Upload_Indiv_Player=$A12)*(Upload_Indiv_Date=D$2)*(Upload_Indiv_Net))=0,"",SUMPRODUCT((Upload_Indiv_Player=$A12)*(Upload_Indiv_Date=D$2)*(Upload_Indiv_Net)))</f>
        <v>42</v>
      </c>
      <c r="E13" s="2" cm="1">
        <f t="array" ref="E13">IF(SUMPRODUCT((Upload_Indiv_Player=$A12)*(Upload_Indiv_Date=E$2)*(Upload_Indiv_Net))=0,"",SUMPRODUCT((Upload_Indiv_Player=$A12)*(Upload_Indiv_Date=E$2)*(Upload_Indiv_Net)))</f>
        <v>37</v>
      </c>
      <c r="F13" s="2" cm="1">
        <f t="array" ref="F13">IF(SUMPRODUCT((Upload_Indiv_Player=$A12)*(Upload_Indiv_Date=F$2)*(Upload_Indiv_Net))=0,"",SUMPRODUCT((Upload_Indiv_Player=$A12)*(Upload_Indiv_Date=F$2)*(Upload_Indiv_Net)))</f>
        <v>43</v>
      </c>
      <c r="G13" s="2" cm="1">
        <f t="array" ref="G13">IF(SUMPRODUCT((Upload_Indiv_Player=$A12)*(Upload_Indiv_Date=G$2)*(Upload_Indiv_Net))=0,"",SUMPRODUCT((Upload_Indiv_Player=$A12)*(Upload_Indiv_Date=G$2)*(Upload_Indiv_Net)))</f>
        <v>46</v>
      </c>
      <c r="H13" s="2" cm="1">
        <f t="array" ref="H13">IF(SUMPRODUCT((Upload_Indiv_Player=$A12)*(Upload_Indiv_Date=H$2)*(Upload_Indiv_Net))=0,"",SUMPRODUCT((Upload_Indiv_Player=$A12)*(Upload_Indiv_Date=H$2)*(Upload_Indiv_Net)))</f>
        <v>40</v>
      </c>
      <c r="I13" s="2" cm="1">
        <f t="array" ref="I13">IF(SUMPRODUCT((Upload_Indiv_Player=$A12)*(Upload_Indiv_Date=I$2)*(Upload_Indiv_Net))=0,"",SUMPRODUCT((Upload_Indiv_Player=$A12)*(Upload_Indiv_Date=I$2)*(Upload_Indiv_Net)))</f>
        <v>39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38</v>
      </c>
      <c r="L13" s="2" cm="1">
        <f t="array" ref="L13">IF(SUMPRODUCT((Upload_Indiv_Player=$A12)*(Upload_Indiv_Date=L$2)*(Upload_Indiv_Net))=0,"",SUMPRODUCT((Upload_Indiv_Player=$A12)*(Upload_Indiv_Date=L$2)*(Upload_Indiv_Net)))</f>
        <v>39</v>
      </c>
      <c r="M13" s="2" t="str" cm="1">
        <f t="array" ref="M13">IF(SUMPRODUCT((Upload_Indiv_Player=$A12)*(Upload_Indiv_Date=M$2)*(Upload_Indiv_Net))=0,"",SUMPRODUCT((Upload_Indiv_Player=$A12)*(Upload_Indiv_Date=M$2)*(Upload_Indiv_Net)))</f>
        <v/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35</v>
      </c>
      <c r="P13" s="2" cm="1">
        <f t="array" ref="P13">IF(SUMPRODUCT((Upload_Indiv_Player=$A12)*(Upload_Indiv_Date=P$2)*(Upload_Indiv_Net))=0,"",SUMPRODUCT((Upload_Indiv_Player=$A12)*(Upload_Indiv_Date=P$2)*(Upload_Indiv_Net)))</f>
        <v>37</v>
      </c>
      <c r="Q13" s="2" cm="1">
        <f t="array" ref="Q13">IF(SUMPRODUCT((Upload_Indiv_Player=$A12)*(Upload_Indiv_Date=Q$2)*(Upload_Indiv_Net))=0,"",SUMPRODUCT((Upload_Indiv_Player=$A12)*(Upload_Indiv_Date=Q$2)*(Upload_Indiv_Net)))</f>
        <v>28</v>
      </c>
      <c r="R13" s="2" cm="1">
        <f t="array" ref="R13">IF(SUMPRODUCT((Upload_Indiv_Player=$A12)*(Upload_Indiv_Date=R$2)*(Upload_Indiv_Net))=0,"",SUMPRODUCT((Upload_Indiv_Player=$A12)*(Upload_Indiv_Date=R$2)*(Upload_Indiv_Net)))</f>
        <v>35</v>
      </c>
      <c r="S13" s="2" cm="1">
        <f t="array" ref="S13">IF(SUMPRODUCT((Upload_Indiv_Player=$A12)*(Upload_Indiv_Date=S$2)*(Upload_Indiv_Net))=0,"",SUMPRODUCT((Upload_Indiv_Player=$A12)*(Upload_Indiv_Date=S$2)*(Upload_Indiv_Net)))</f>
        <v>40</v>
      </c>
      <c r="T13" s="2" t="str" cm="1">
        <f t="array" ref="T13">IF(SUMPRODUCT((Upload_Indiv_Player=$A12)*(Upload_Indiv_Date=T$2)*(Upload_Indiv_Net))=0,"",SUMPRODUCT((Upload_Indiv_Player=$A12)*(Upload_Indiv_Date=T$2)*(Upload_Indiv_Net)))</f>
        <v/>
      </c>
      <c r="U13" s="2">
        <v>31</v>
      </c>
      <c r="V13" s="279">
        <v>43.5</v>
      </c>
      <c r="W13" s="276"/>
      <c r="X13" s="276"/>
      <c r="Y13" s="277"/>
      <c r="Z13" s="277"/>
      <c r="AA13" s="277"/>
    </row>
    <row r="14" spans="1:27" x14ac:dyDescent="0.25">
      <c r="A14" s="305" t="s">
        <v>284</v>
      </c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9</v>
      </c>
      <c r="D14" s="2" cm="1">
        <f t="array" ref="D14">IF(SUMPRODUCT((Upload_Indiv_Player=$A12)*(Upload_Indiv_Date=D$2)*(Upload_Indiv_PointsTot))=0,"",SUMPRODUCT((Upload_Indiv_Player=$A12)*(Upload_Indiv_Date=D$2)*(Upload_Indiv_PointsTot)))</f>
        <v>6</v>
      </c>
      <c r="E14" s="2" cm="1">
        <f t="array" ref="E14">IF(SUMPRODUCT((Upload_Indiv_Player=$A12)*(Upload_Indiv_Date=E$2)*(Upload_Indiv_PointsTot))=0,"",SUMPRODUCT((Upload_Indiv_Player=$A12)*(Upload_Indiv_Date=E$2)*(Upload_Indiv_PointsTot)))</f>
        <v>14</v>
      </c>
      <c r="F14" s="2" cm="1">
        <f t="array" ref="F14">IF(SUMPRODUCT((Upload_Indiv_Player=$A12)*(Upload_Indiv_Date=F$2)*(Upload_Indiv_PointsTot))=0,"",SUMPRODUCT((Upload_Indiv_Player=$A12)*(Upload_Indiv_Date=F$2)*(Upload_Indiv_PointsTot)))</f>
        <v>5</v>
      </c>
      <c r="G14" s="2" cm="1">
        <f t="array" ref="G14">IF(SUMPRODUCT((Upload_Indiv_Player=$A12)*(Upload_Indiv_Date=G$2)*(Upload_Indiv_PointsTot))=0,"",SUMPRODUCT((Upload_Indiv_Player=$A12)*(Upload_Indiv_Date=G$2)*(Upload_Indiv_PointsTot)))</f>
        <v>5</v>
      </c>
      <c r="H14" s="2" cm="1">
        <f t="array" ref="H14">IF(SUMPRODUCT((Upload_Indiv_Player=$A12)*(Upload_Indiv_Date=H$2)*(Upload_Indiv_PointsTot))=0,"",SUMPRODUCT((Upload_Indiv_Player=$A12)*(Upload_Indiv_Date=H$2)*(Upload_Indiv_PointsTot)))</f>
        <v>8</v>
      </c>
      <c r="I14" s="2" cm="1">
        <f t="array" ref="I14">IF(SUMPRODUCT((Upload_Indiv_Player=$A12)*(Upload_Indiv_Date=I$2)*(Upload_Indiv_PointsTot))=0,"",SUMPRODUCT((Upload_Indiv_Player=$A12)*(Upload_Indiv_Date=I$2)*(Upload_Indiv_PointsTot)))</f>
        <v>17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12</v>
      </c>
      <c r="L14" s="2" cm="1">
        <f t="array" ref="L14">IF(SUMPRODUCT((Upload_Indiv_Player=$A12)*(Upload_Indiv_Date=L$2)*(Upload_Indiv_PointsTot))=0,"",SUMPRODUCT((Upload_Indiv_Player=$A12)*(Upload_Indiv_Date=L$2)*(Upload_Indiv_PointsTot)))</f>
        <v>8</v>
      </c>
      <c r="M14" s="2" t="str" cm="1">
        <f t="array" ref="M14">IF(SUMPRODUCT((Upload_Indiv_Player=$A12)*(Upload_Indiv_Date=M$2)*(Upload_Indiv_PointsTot))=0,"",SUMPRODUCT((Upload_Indiv_Player=$A12)*(Upload_Indiv_Date=M$2)*(Upload_Indiv_PointsTot)))</f>
        <v/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14</v>
      </c>
      <c r="P14" s="2" cm="1">
        <f t="array" ref="P14">IF(SUMPRODUCT((Upload_Indiv_Player=$A12)*(Upload_Indiv_Date=P$2)*(Upload_Indiv_PointsTot))=0,"",SUMPRODUCT((Upload_Indiv_Player=$A12)*(Upload_Indiv_Date=P$2)*(Upload_Indiv_PointsTot)))</f>
        <v>13</v>
      </c>
      <c r="Q14" s="2" cm="1">
        <f t="array" ref="Q14">IF(SUMPRODUCT((Upload_Indiv_Player=$A12)*(Upload_Indiv_Date=Q$2)*(Upload_Indiv_PointsTot))=0,"",SUMPRODUCT((Upload_Indiv_Player=$A12)*(Upload_Indiv_Date=Q$2)*(Upload_Indiv_PointsTot)))</f>
        <v>6</v>
      </c>
      <c r="R14" s="2" cm="1">
        <f t="array" ref="R14">IF(SUMPRODUCT((Upload_Indiv_Player=$A12)*(Upload_Indiv_Date=R$2)*(Upload_Indiv_PointsTot))=0,"",SUMPRODUCT((Upload_Indiv_Player=$A12)*(Upload_Indiv_Date=R$2)*(Upload_Indiv_PointsTot)))</f>
        <v>14</v>
      </c>
      <c r="S14" s="2" cm="1">
        <f t="array" ref="S14">IF(SUMPRODUCT((Upload_Indiv_Player=$A12)*(Upload_Indiv_Date=S$2)*(Upload_Indiv_PointsTot))=0,"",SUMPRODUCT((Upload_Indiv_Player=$A12)*(Upload_Indiv_Date=S$2)*(Upload_Indiv_PointsTot)))</f>
        <v>10</v>
      </c>
      <c r="T14" s="2" t="str" cm="1">
        <f t="array" ref="T14">IF(SUMPRODUCT((Upload_Indiv_Player=$A12)*(Upload_Indiv_Date=T$2)*(Upload_Indiv_PointsTot))=0,"",SUMPRODUCT((Upload_Indiv_Player=$A12)*(Upload_Indiv_Date=T$2)*(Upload_Indiv_PointsTot)))</f>
        <v/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8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>
        <v>1</v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cm="1">
        <f t="array" ref="Q17">IF(SUMPRODUCT((Upload_Indiv_Player=$A12)*(Upload_Indiv_Date=Q$2)*(Upload_Indiv_Excl_Score))=0,"",SUMPRODUCT((Upload_Indiv_Player=$A12)*(Upload_Indiv_Date=Q$2)*(Upload_Indiv_Excl_Score)))</f>
        <v>1</v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307"/>
      <c r="B18" s="16" t="s">
        <v>178</v>
      </c>
      <c r="C18" s="58" t="str">
        <f>IF(C12="", "", IF(C14&gt;=11, "w", IF(C14&lt;=9, "l", "t")))</f>
        <v>l</v>
      </c>
      <c r="D18" s="58" t="str">
        <f t="shared" ref="D18:S18" si="2">IF(D12="", "", IF(D14&gt;=11, "w", IF(D14&lt;=9, "l", "t")))</f>
        <v>l</v>
      </c>
      <c r="E18" s="58" t="str">
        <f t="shared" si="2"/>
        <v>w</v>
      </c>
      <c r="F18" s="58" t="str">
        <f t="shared" si="2"/>
        <v>l</v>
      </c>
      <c r="G18" s="58" t="str">
        <f t="shared" si="2"/>
        <v>l</v>
      </c>
      <c r="H18" s="58" t="str">
        <f t="shared" si="2"/>
        <v>l</v>
      </c>
      <c r="I18" s="58" t="str">
        <f t="shared" si="2"/>
        <v>w</v>
      </c>
      <c r="J18" s="58" t="str">
        <f t="shared" si="2"/>
        <v/>
      </c>
      <c r="K18" s="58" t="str">
        <f t="shared" si="2"/>
        <v>w</v>
      </c>
      <c r="L18" s="58" t="str">
        <f t="shared" si="2"/>
        <v>l</v>
      </c>
      <c r="M18" s="58" t="str">
        <f t="shared" si="2"/>
        <v/>
      </c>
      <c r="N18" s="58" t="str">
        <f t="shared" si="2"/>
        <v/>
      </c>
      <c r="O18" s="58" t="str">
        <f t="shared" si="2"/>
        <v>w</v>
      </c>
      <c r="P18" s="58" t="str">
        <f t="shared" si="2"/>
        <v>w</v>
      </c>
      <c r="Q18" s="58" t="str">
        <f t="shared" si="2"/>
        <v>l</v>
      </c>
      <c r="R18" s="58" t="str">
        <f t="shared" si="2"/>
        <v>w</v>
      </c>
      <c r="S18" s="58" t="str">
        <f t="shared" si="2"/>
        <v>t</v>
      </c>
      <c r="T18" s="58" t="str">
        <f>IF(T12="", "", IF(T14&gt;=11, "w", IF(T14&lt;=9, "l", "t")))</f>
        <v/>
      </c>
      <c r="U18" s="58" t="str">
        <f>IF(U12="", "", IF(U14&gt;=11, "w", IF(U14&lt;=9, "l", "t")))</f>
        <v>w</v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163</v>
      </c>
      <c r="B19" s="17" t="s">
        <v>170</v>
      </c>
      <c r="C19" s="3" cm="1">
        <f t="array" ref="C19">IF(SUMPRODUCT((Upload_Indiv_Player=$A19)*(Upload_Indiv_Date=C$2)*(Upload_Indiv_Gross))=0,"",SUMPRODUCT((Upload_Indiv_Player=$A19)*(Upload_Indiv_Date=C$2)*(Upload_Indiv_Gross)))</f>
        <v>49</v>
      </c>
      <c r="D19" s="3" cm="1">
        <f t="array" ref="D19">IF(SUMPRODUCT((Upload_Indiv_Player=$A19)*(Upload_Indiv_Date=D$2)*(Upload_Indiv_Gross))=0,"",SUMPRODUCT((Upload_Indiv_Player=$A19)*(Upload_Indiv_Date=D$2)*(Upload_Indiv_Gross)))</f>
        <v>45</v>
      </c>
      <c r="E19" s="3" cm="1">
        <f t="array" ref="E19">IF(SUMPRODUCT((Upload_Indiv_Player=$A19)*(Upload_Indiv_Date=E$2)*(Upload_Indiv_Gross))=0,"",SUMPRODUCT((Upload_Indiv_Player=$A19)*(Upload_Indiv_Date=E$2)*(Upload_Indiv_Gross)))</f>
        <v>46</v>
      </c>
      <c r="F19" s="3" cm="1">
        <f t="array" ref="F19">IF(SUMPRODUCT((Upload_Indiv_Player=$A19)*(Upload_Indiv_Date=F$2)*(Upload_Indiv_Gross))=0,"",SUMPRODUCT((Upload_Indiv_Player=$A19)*(Upload_Indiv_Date=F$2)*(Upload_Indiv_Gross)))</f>
        <v>46</v>
      </c>
      <c r="G19" s="3" cm="1">
        <f t="array" ref="G19">IF(SUMPRODUCT((Upload_Indiv_Player=$A19)*(Upload_Indiv_Date=G$2)*(Upload_Indiv_Gross))=0,"",SUMPRODUCT((Upload_Indiv_Player=$A19)*(Upload_Indiv_Date=G$2)*(Upload_Indiv_Gross)))</f>
        <v>46</v>
      </c>
      <c r="H19" s="3" cm="1">
        <f t="array" ref="H19">IF(SUMPRODUCT((Upload_Indiv_Player=$A19)*(Upload_Indiv_Date=H$2)*(Upload_Indiv_Gross))=0,"",SUMPRODUCT((Upload_Indiv_Player=$A19)*(Upload_Indiv_Date=H$2)*(Upload_Indiv_Gross)))</f>
        <v>46</v>
      </c>
      <c r="I19" s="3" cm="1">
        <f t="array" ref="I19">IF(SUMPRODUCT((Upload_Indiv_Player=$A19)*(Upload_Indiv_Date=I$2)*(Upload_Indiv_Gross))=0,"",SUMPRODUCT((Upload_Indiv_Player=$A19)*(Upload_Indiv_Date=I$2)*(Upload_Indiv_Gross)))</f>
        <v>48</v>
      </c>
      <c r="J19" s="3" t="str" cm="1">
        <f t="array" ref="J19">IF(SUMPRODUCT((Upload_Indiv_Player=$A19)*(Upload_Indiv_Date=J$2)*(Upload_Indiv_Gross))=0,"",SUMPRODUCT((Upload_Indiv_Player=$A19)*(Upload_Indiv_Date=J$2)*(Upload_Indiv_Gross)))</f>
        <v/>
      </c>
      <c r="K19" s="3" t="str" cm="1">
        <f t="array" ref="K19">IF(SUMPRODUCT((Upload_Indiv_Player=$A19)*(Upload_Indiv_Date=K$2)*(Upload_Indiv_Gross))=0,"",SUMPRODUCT((Upload_Indiv_Player=$A19)*(Upload_Indiv_Date=K$2)*(Upload_Indiv_Gross)))</f>
        <v/>
      </c>
      <c r="L19" s="3" t="str" cm="1">
        <f t="array" ref="L19">IF(SUMPRODUCT((Upload_Indiv_Player=$A19)*(Upload_Indiv_Date=L$2)*(Upload_Indiv_Gross))=0,"",SUMPRODUCT((Upload_Indiv_Player=$A19)*(Upload_Indiv_Date=L$2)*(Upload_Indiv_Gross)))</f>
        <v/>
      </c>
      <c r="M19" s="3" cm="1">
        <f t="array" ref="M19">IF(SUMPRODUCT((Upload_Indiv_Player=$A19)*(Upload_Indiv_Date=M$2)*(Upload_Indiv_Gross))=0,"",SUMPRODUCT((Upload_Indiv_Player=$A19)*(Upload_Indiv_Date=M$2)*(Upload_Indiv_Gross)))</f>
        <v>46</v>
      </c>
      <c r="N19" s="3" t="str" cm="1">
        <f t="array" ref="N19">IF(SUMPRODUCT((Upload_Indiv_Player=$A19)*(Upload_Indiv_Date=N$2)*(Upload_Indiv_Gross))=0,"",SUMPRODUCT((Upload_Indiv_Player=$A19)*(Upload_Indiv_Date=N$2)*(Upload_Indiv_Gross)))</f>
        <v/>
      </c>
      <c r="O19" s="3" cm="1">
        <f t="array" ref="O19">IF(SUMPRODUCT((Upload_Indiv_Player=$A19)*(Upload_Indiv_Date=O$2)*(Upload_Indiv_Gross))=0,"",SUMPRODUCT((Upload_Indiv_Player=$A19)*(Upload_Indiv_Date=O$2)*(Upload_Indiv_Gross)))</f>
        <v>46</v>
      </c>
      <c r="P19" s="2" cm="1">
        <f t="array" ref="P19">IF(SUMPRODUCT((Upload_Indiv_Player=$A19)*(Upload_Indiv_Date=P$2)*(Upload_Indiv_Gross))=0,"",SUMPRODUCT((Upload_Indiv_Player=$A19)*(Upload_Indiv_Date=P$2)*(Upload_Indiv_Gross)))</f>
        <v>44</v>
      </c>
      <c r="Q19" s="2" cm="1">
        <f t="array" ref="Q19">IF(SUMPRODUCT((Upload_Indiv_Player=$A19)*(Upload_Indiv_Date=Q$2)*(Upload_Indiv_Gross))=0,"",SUMPRODUCT((Upload_Indiv_Player=$A19)*(Upload_Indiv_Date=Q$2)*(Upload_Indiv_Gross)))</f>
        <v>30</v>
      </c>
      <c r="R19" s="2" cm="1">
        <f t="array" ref="R19">IF(SUMPRODUCT((Upload_Indiv_Player=$A19)*(Upload_Indiv_Date=R$2)*(Upload_Indiv_Gross))=0,"",SUMPRODUCT((Upload_Indiv_Player=$A19)*(Upload_Indiv_Date=R$2)*(Upload_Indiv_Gross)))</f>
        <v>41</v>
      </c>
      <c r="S19" s="2" cm="1">
        <f t="array" ref="S19">IF(SUMPRODUCT((Upload_Indiv_Player=$A19)*(Upload_Indiv_Date=S$2)*(Upload_Indiv_Gross))=0,"",SUMPRODUCT((Upload_Indiv_Player=$A19)*(Upload_Indiv_Date=S$2)*(Upload_Indiv_Gross)))</f>
        <v>48</v>
      </c>
      <c r="T19" s="2" t="str" cm="1">
        <f t="array" ref="T19">IF(SUMPRODUCT((Upload_Indiv_Player=$A19)*(Upload_Indiv_Date=T$2)*(Upload_Indiv_Gross))=0,"",SUMPRODUCT((Upload_Indiv_Player=$A19)*(Upload_Indiv_Date=T$2)*(Upload_Indiv_Gross)))</f>
        <v/>
      </c>
      <c r="U19" s="2">
        <v>41</v>
      </c>
      <c r="V19" s="273">
        <v>14</v>
      </c>
      <c r="W19" s="273">
        <v>11</v>
      </c>
      <c r="X19" s="273">
        <v>9</v>
      </c>
      <c r="Y19" s="277">
        <v>11</v>
      </c>
      <c r="Z19" s="277">
        <v>10</v>
      </c>
      <c r="AA19" s="277">
        <v>11</v>
      </c>
    </row>
    <row r="20" spans="1:27" x14ac:dyDescent="0.25">
      <c r="A20" s="304">
        <v>2342626764</v>
      </c>
      <c r="B20" s="8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40</v>
      </c>
      <c r="D20" s="2" cm="1">
        <f t="array" ref="D20">IF(SUMPRODUCT((Upload_Indiv_Player=$A19)*(Upload_Indiv_Date=D$2)*(Upload_Indiv_Net))=0,"",SUMPRODUCT((Upload_Indiv_Player=$A19)*(Upload_Indiv_Date=D$2)*(Upload_Indiv_Net)))</f>
        <v>36</v>
      </c>
      <c r="E20" s="2" cm="1">
        <f t="array" ref="E20">IF(SUMPRODUCT((Upload_Indiv_Player=$A19)*(Upload_Indiv_Date=E$2)*(Upload_Indiv_Net))=0,"",SUMPRODUCT((Upload_Indiv_Player=$A19)*(Upload_Indiv_Date=E$2)*(Upload_Indiv_Net)))</f>
        <v>38</v>
      </c>
      <c r="F20" s="2" cm="1">
        <f t="array" ref="F20">IF(SUMPRODUCT((Upload_Indiv_Player=$A19)*(Upload_Indiv_Date=F$2)*(Upload_Indiv_Net))=0,"",SUMPRODUCT((Upload_Indiv_Player=$A19)*(Upload_Indiv_Date=F$2)*(Upload_Indiv_Net)))</f>
        <v>38</v>
      </c>
      <c r="G20" s="2" cm="1">
        <f t="array" ref="G20">IF(SUMPRODUCT((Upload_Indiv_Player=$A19)*(Upload_Indiv_Date=G$2)*(Upload_Indiv_Net))=0,"",SUMPRODUCT((Upload_Indiv_Player=$A19)*(Upload_Indiv_Date=G$2)*(Upload_Indiv_Net)))</f>
        <v>38</v>
      </c>
      <c r="H20" s="2" cm="1">
        <f t="array" ref="H20">IF(SUMPRODUCT((Upload_Indiv_Player=$A19)*(Upload_Indiv_Date=H$2)*(Upload_Indiv_Net))=0,"",SUMPRODUCT((Upload_Indiv_Player=$A19)*(Upload_Indiv_Date=H$2)*(Upload_Indiv_Net)))</f>
        <v>38</v>
      </c>
      <c r="I20" s="2" cm="1">
        <f t="array" ref="I20">IF(SUMPRODUCT((Upload_Indiv_Player=$A19)*(Upload_Indiv_Date=I$2)*(Upload_Indiv_Net))=0,"",SUMPRODUCT((Upload_Indiv_Player=$A19)*(Upload_Indiv_Date=I$2)*(Upload_Indiv_Net)))</f>
        <v>40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t="str" cm="1">
        <f t="array" ref="K20">IF(SUMPRODUCT((Upload_Indiv_Player=$A19)*(Upload_Indiv_Date=K$2)*(Upload_Indiv_Net))=0,"",SUMPRODUCT((Upload_Indiv_Player=$A19)*(Upload_Indiv_Date=K$2)*(Upload_Indiv_Net)))</f>
        <v/>
      </c>
      <c r="L20" s="2" t="str" cm="1">
        <f t="array" ref="L20">IF(SUMPRODUCT((Upload_Indiv_Player=$A19)*(Upload_Indiv_Date=L$2)*(Upload_Indiv_Net))=0,"",SUMPRODUCT((Upload_Indiv_Player=$A19)*(Upload_Indiv_Date=L$2)*(Upload_Indiv_Net)))</f>
        <v/>
      </c>
      <c r="M20" s="2" cm="1">
        <f t="array" ref="M20">IF(SUMPRODUCT((Upload_Indiv_Player=$A19)*(Upload_Indiv_Date=M$2)*(Upload_Indiv_Net))=0,"",SUMPRODUCT((Upload_Indiv_Player=$A19)*(Upload_Indiv_Date=M$2)*(Upload_Indiv_Net)))</f>
        <v>37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37</v>
      </c>
      <c r="P20" s="2" cm="1">
        <f t="array" ref="P20">IF(SUMPRODUCT((Upload_Indiv_Player=$A19)*(Upload_Indiv_Date=P$2)*(Upload_Indiv_Net))=0,"",SUMPRODUCT((Upload_Indiv_Player=$A19)*(Upload_Indiv_Date=P$2)*(Upload_Indiv_Net)))</f>
        <v>35</v>
      </c>
      <c r="Q20" s="2" cm="1">
        <f t="array" ref="Q20">IF(SUMPRODUCT((Upload_Indiv_Player=$A19)*(Upload_Indiv_Date=Q$2)*(Upload_Indiv_Net))=0,"",SUMPRODUCT((Upload_Indiv_Player=$A19)*(Upload_Indiv_Date=Q$2)*(Upload_Indiv_Net)))</f>
        <v>21</v>
      </c>
      <c r="R20" s="2" cm="1">
        <f t="array" ref="R20">IF(SUMPRODUCT((Upload_Indiv_Player=$A19)*(Upload_Indiv_Date=R$2)*(Upload_Indiv_Net))=0,"",SUMPRODUCT((Upload_Indiv_Player=$A19)*(Upload_Indiv_Date=R$2)*(Upload_Indiv_Net)))</f>
        <v>32</v>
      </c>
      <c r="S20" s="2" cm="1">
        <f t="array" ref="S20">IF(SUMPRODUCT((Upload_Indiv_Player=$A19)*(Upload_Indiv_Date=S$2)*(Upload_Indiv_Net))=0,"",SUMPRODUCT((Upload_Indiv_Player=$A19)*(Upload_Indiv_Date=S$2)*(Upload_Indiv_Net)))</f>
        <v>40</v>
      </c>
      <c r="T20" s="2" cm="1">
        <f t="array" ref="T20">IF(SUMPRODUCT((Upload_Indiv_Player=$A19)*(Upload_Indiv_Date=T$2)*(Upload_Indiv_Net))=0,"",SUMPRODUCT((Upload_Indiv_Player=$A19)*(Upload_Indiv_Date=T$2)*(Upload_Indiv_Net)))</f>
        <v>-8</v>
      </c>
      <c r="U20" s="2">
        <v>33</v>
      </c>
      <c r="V20" s="279">
        <v>46.86</v>
      </c>
      <c r="W20" s="276"/>
      <c r="X20" s="276"/>
      <c r="Y20" s="277"/>
      <c r="Z20" s="277"/>
      <c r="AA20" s="277"/>
    </row>
    <row r="21" spans="1:27" x14ac:dyDescent="0.25">
      <c r="A21" s="305" t="s">
        <v>285</v>
      </c>
      <c r="B21" s="8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12</v>
      </c>
      <c r="D21" s="2" cm="1">
        <f t="array" ref="D21">IF(SUMPRODUCT((Upload_Indiv_Player=$A19)*(Upload_Indiv_Date=D$2)*(Upload_Indiv_PointsTot))=0,"",SUMPRODUCT((Upload_Indiv_Player=$A19)*(Upload_Indiv_Date=D$2)*(Upload_Indiv_PointsTot)))</f>
        <v>16</v>
      </c>
      <c r="E21" s="2" cm="1">
        <f t="array" ref="E21">IF(SUMPRODUCT((Upload_Indiv_Player=$A19)*(Upload_Indiv_Date=E$2)*(Upload_Indiv_PointsTot))=0,"",SUMPRODUCT((Upload_Indiv_Player=$A19)*(Upload_Indiv_Date=E$2)*(Upload_Indiv_PointsTot)))</f>
        <v>16</v>
      </c>
      <c r="F21" s="2" cm="1">
        <f t="array" ref="F21">IF(SUMPRODUCT((Upload_Indiv_Player=$A19)*(Upload_Indiv_Date=F$2)*(Upload_Indiv_PointsTot))=0,"",SUMPRODUCT((Upload_Indiv_Player=$A19)*(Upload_Indiv_Date=F$2)*(Upload_Indiv_PointsTot)))</f>
        <v>15</v>
      </c>
      <c r="G21" s="2" cm="1">
        <f t="array" ref="G21">IF(SUMPRODUCT((Upload_Indiv_Player=$A19)*(Upload_Indiv_Date=G$2)*(Upload_Indiv_PointsTot))=0,"",SUMPRODUCT((Upload_Indiv_Player=$A19)*(Upload_Indiv_Date=G$2)*(Upload_Indiv_PointsTot)))</f>
        <v>14</v>
      </c>
      <c r="H21" s="2" cm="1">
        <f t="array" ref="H21">IF(SUMPRODUCT((Upload_Indiv_Player=$A19)*(Upload_Indiv_Date=H$2)*(Upload_Indiv_PointsTot))=0,"",SUMPRODUCT((Upload_Indiv_Player=$A19)*(Upload_Indiv_Date=H$2)*(Upload_Indiv_PointsTot)))</f>
        <v>11</v>
      </c>
      <c r="I21" s="2" cm="1">
        <f t="array" ref="I21">IF(SUMPRODUCT((Upload_Indiv_Player=$A19)*(Upload_Indiv_Date=I$2)*(Upload_Indiv_PointsTot))=0,"",SUMPRODUCT((Upload_Indiv_Player=$A19)*(Upload_Indiv_Date=I$2)*(Upload_Indiv_PointsTot)))</f>
        <v>7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t="str" cm="1">
        <f t="array" ref="K21">IF(SUMPRODUCT((Upload_Indiv_Player=$A19)*(Upload_Indiv_Date=K$2)*(Upload_Indiv_PointsTot))=0,"",SUMPRODUCT((Upload_Indiv_Player=$A19)*(Upload_Indiv_Date=K$2)*(Upload_Indiv_PointsTot)))</f>
        <v/>
      </c>
      <c r="L21" s="2" t="str" cm="1">
        <f t="array" ref="L21">IF(SUMPRODUCT((Upload_Indiv_Player=$A19)*(Upload_Indiv_Date=L$2)*(Upload_Indiv_PointsTot))=0,"",SUMPRODUCT((Upload_Indiv_Player=$A19)*(Upload_Indiv_Date=L$2)*(Upload_Indiv_PointsTot)))</f>
        <v/>
      </c>
      <c r="M21" s="2" cm="1">
        <f t="array" ref="M21">IF(SUMPRODUCT((Upload_Indiv_Player=$A19)*(Upload_Indiv_Date=M$2)*(Upload_Indiv_PointsTot))=0,"",SUMPRODUCT((Upload_Indiv_Player=$A19)*(Upload_Indiv_Date=M$2)*(Upload_Indiv_PointsTot)))</f>
        <v>11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13</v>
      </c>
      <c r="P21" s="2" cm="1">
        <f t="array" ref="P21">IF(SUMPRODUCT((Upload_Indiv_Player=$A19)*(Upload_Indiv_Date=P$2)*(Upload_Indiv_PointsTot))=0,"",SUMPRODUCT((Upload_Indiv_Player=$A19)*(Upload_Indiv_Date=P$2)*(Upload_Indiv_PointsTot)))</f>
        <v>16</v>
      </c>
      <c r="Q21" s="2" cm="1">
        <f t="array" ref="Q21">IF(SUMPRODUCT((Upload_Indiv_Player=$A19)*(Upload_Indiv_Date=Q$2)*(Upload_Indiv_PointsTot))=0,"",SUMPRODUCT((Upload_Indiv_Player=$A19)*(Upload_Indiv_Date=Q$2)*(Upload_Indiv_PointsTot)))</f>
        <v>7</v>
      </c>
      <c r="R21" s="2" cm="1">
        <f t="array" ref="R21">IF(SUMPRODUCT((Upload_Indiv_Player=$A19)*(Upload_Indiv_Date=R$2)*(Upload_Indiv_PointsTot))=0,"",SUMPRODUCT((Upload_Indiv_Player=$A19)*(Upload_Indiv_Date=R$2)*(Upload_Indiv_PointsTot)))</f>
        <v>18</v>
      </c>
      <c r="S21" s="2" cm="1">
        <f t="array" ref="S21">IF(SUMPRODUCT((Upload_Indiv_Player=$A19)*(Upload_Indiv_Date=S$2)*(Upload_Indiv_PointsTot))=0,"",SUMPRODUCT((Upload_Indiv_Player=$A19)*(Upload_Indiv_Date=S$2)*(Upload_Indiv_PointsTot)))</f>
        <v>4</v>
      </c>
      <c r="T21" s="2" t="str" cm="1">
        <f t="array" ref="T21">IF(SUMPRODUCT((Upload_Indiv_Player=$A19)*(Upload_Indiv_Date=T$2)*(Upload_Indiv_PointsTot))=0,"",SUMPRODUCT((Upload_Indiv_Player=$A19)*(Upload_Indiv_Date=T$2)*(Upload_Indiv_PointsTot)))</f>
        <v/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8" t="s">
        <v>174</v>
      </c>
      <c r="C22" s="2" cm="1">
        <f t="array" ref="C22">IF(SUMPRODUCT((Upload_Indiv_Player=$A19)*(Upload_Indiv_Date=C$2)*(Upload_Indiv_Tot_Birds))=0,"",SUMPRODUCT((Upload_Indiv_Player=$A19)*(Upload_Indiv_Date=C$2)*(Upload_Indiv_Tot_Birds)))</f>
        <v>1</v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cm="1">
        <f t="array" ref="F22">IF(SUMPRODUCT((Upload_Indiv_Player=$A19)*(Upload_Indiv_Date=F$2)*(Upload_Indiv_Tot_Birds))=0,"",SUMPRODUCT((Upload_Indiv_Player=$A19)*(Upload_Indiv_Date=F$2)*(Upload_Indiv_Tot_Birds)))</f>
        <v>1</v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cm="1">
        <f t="array" ref="Q22">IF(SUMPRODUCT((Upload_Indiv_Player=$A19)*(Upload_Indiv_Date=Q$2)*(Upload_Indiv_Tot_Birds))=0,"",SUMPRODUCT((Upload_Indiv_Player=$A19)*(Upload_Indiv_Date=Q$2)*(Upload_Indiv_Tot_Birds)))</f>
        <v>1</v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1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9"/>
      <c r="B25" s="8" t="s">
        <v>178</v>
      </c>
      <c r="C25" s="58" t="str">
        <f>IF(C19="", "", IF(C21&gt;=11, "w", IF(C21&lt;=9, "l", "t")))</f>
        <v>w</v>
      </c>
      <c r="D25" s="58" t="str">
        <f t="shared" ref="D25:S25" si="3">IF(D19="", "", IF(D21&gt;=11, "w", IF(D21&lt;=9, "l", "t")))</f>
        <v>w</v>
      </c>
      <c r="E25" s="58" t="str">
        <f t="shared" si="3"/>
        <v>w</v>
      </c>
      <c r="F25" s="58" t="str">
        <f t="shared" si="3"/>
        <v>w</v>
      </c>
      <c r="G25" s="58" t="str">
        <f t="shared" si="3"/>
        <v>w</v>
      </c>
      <c r="H25" s="58" t="str">
        <f t="shared" si="3"/>
        <v>w</v>
      </c>
      <c r="I25" s="58" t="str">
        <f t="shared" si="3"/>
        <v>l</v>
      </c>
      <c r="J25" s="58" t="str">
        <f t="shared" si="3"/>
        <v/>
      </c>
      <c r="K25" s="58" t="str">
        <f t="shared" si="3"/>
        <v/>
      </c>
      <c r="L25" s="58" t="str">
        <f t="shared" si="3"/>
        <v/>
      </c>
      <c r="M25" s="58" t="str">
        <f t="shared" si="3"/>
        <v>w</v>
      </c>
      <c r="N25" s="58" t="str">
        <f t="shared" si="3"/>
        <v/>
      </c>
      <c r="O25" s="58" t="str">
        <f t="shared" si="3"/>
        <v>w</v>
      </c>
      <c r="P25" s="58" t="str">
        <f t="shared" si="3"/>
        <v>w</v>
      </c>
      <c r="Q25" s="58" t="str">
        <f t="shared" si="3"/>
        <v>l</v>
      </c>
      <c r="R25" s="58" t="str">
        <f t="shared" si="3"/>
        <v>w</v>
      </c>
      <c r="S25" s="58" t="str">
        <f t="shared" si="3"/>
        <v>l</v>
      </c>
      <c r="T25" s="58" t="str">
        <f>IF(T19="", "", IF(T21&gt;=11, "w", IF(T21&lt;=9, "l", "t")))</f>
        <v/>
      </c>
      <c r="U25" s="58" t="str">
        <f>IF(U19="", "", IF(U21&gt;=11, "w", IF(U21&lt;=9, "l", "t")))</f>
        <v>w</v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286</v>
      </c>
      <c r="B26" s="3" t="s">
        <v>170</v>
      </c>
      <c r="C26" s="3" t="str" cm="1">
        <f t="array" ref="C26">IF(SUMPRODUCT((Upload_Indiv_Player=$A26)*(Upload_Indiv_Date=C$2)*(Upload_Indiv_Gross))=0,"",SUMPRODUCT((Upload_Indiv_Player=$A26)*(Upload_Indiv_Date=C$2)*(Upload_Indiv_Gross)))</f>
        <v/>
      </c>
      <c r="D26" s="3" t="str" cm="1">
        <f t="array" ref="D26">IF(SUMPRODUCT((Upload_Indiv_Player=$A26)*(Upload_Indiv_Date=D$2)*(Upload_Indiv_Gross))=0,"",SUMPRODUCT((Upload_Indiv_Player=$A26)*(Upload_Indiv_Date=D$2)*(Upload_Indiv_Gross)))</f>
        <v/>
      </c>
      <c r="E26" s="3" t="str" cm="1">
        <f t="array" ref="E26">IF(SUMPRODUCT((Upload_Indiv_Player=$A26)*(Upload_Indiv_Date=E$2)*(Upload_Indiv_Gross))=0,"",SUMPRODUCT((Upload_Indiv_Player=$A26)*(Upload_Indiv_Date=E$2)*(Upload_Indiv_Gross)))</f>
        <v/>
      </c>
      <c r="F26" s="3" t="str" cm="1">
        <f t="array" ref="F26">IF(SUMPRODUCT((Upload_Indiv_Player=$A26)*(Upload_Indiv_Date=F$2)*(Upload_Indiv_Gross))=0,"",SUMPRODUCT((Upload_Indiv_Player=$A26)*(Upload_Indiv_Date=F$2)*(Upload_Indiv_Gross)))</f>
        <v/>
      </c>
      <c r="G26" s="3" t="str" cm="1">
        <f t="array" ref="G26">IF(SUMPRODUCT((Upload_Indiv_Player=$A26)*(Upload_Indiv_Date=G$2)*(Upload_Indiv_Gross))=0,"",SUMPRODUCT((Upload_Indiv_Player=$A26)*(Upload_Indiv_Date=G$2)*(Upload_Indiv_Gross)))</f>
        <v/>
      </c>
      <c r="H26" s="3" t="str" cm="1">
        <f t="array" ref="H26">IF(SUMPRODUCT((Upload_Indiv_Player=$A26)*(Upload_Indiv_Date=H$2)*(Upload_Indiv_Gross))=0,"",SUMPRODUCT((Upload_Indiv_Player=$A26)*(Upload_Indiv_Date=H$2)*(Upload_Indiv_Gross)))</f>
        <v/>
      </c>
      <c r="I26" s="3" cm="1">
        <f t="array" ref="I26">IF(SUMPRODUCT((Upload_Indiv_Player=$A26)*(Upload_Indiv_Date=I$2)*(Upload_Indiv_Gross))=0,"",SUMPRODUCT((Upload_Indiv_Player=$A26)*(Upload_Indiv_Date=I$2)*(Upload_Indiv_Gross)))</f>
        <v>55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50</v>
      </c>
      <c r="L26" s="3" t="str" cm="1">
        <f t="array" ref="L26">IF(SUMPRODUCT((Upload_Indiv_Player=$A26)*(Upload_Indiv_Date=L$2)*(Upload_Indiv_Gross))=0,"",SUMPRODUCT((Upload_Indiv_Player=$A26)*(Upload_Indiv_Date=L$2)*(Upload_Indiv_Gross)))</f>
        <v/>
      </c>
      <c r="M26" s="3" t="str" cm="1">
        <f t="array" ref="M26">IF(SUMPRODUCT((Upload_Indiv_Player=$A26)*(Upload_Indiv_Date=M$2)*(Upload_Indiv_Gross))=0,"",SUMPRODUCT((Upload_Indiv_Player=$A26)*(Upload_Indiv_Date=M$2)*(Upload_Indiv_Gross)))</f>
        <v/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t="str" cm="1">
        <f t="array" ref="O26">IF(SUMPRODUCT((Upload_Indiv_Player=$A26)*(Upload_Indiv_Date=O$2)*(Upload_Indiv_Gross))=0,"",SUMPRODUCT((Upload_Indiv_Player=$A26)*(Upload_Indiv_Date=O$2)*(Upload_Indiv_Gross)))</f>
        <v/>
      </c>
      <c r="P26" s="3" t="str" cm="1">
        <f t="array" ref="P26">IF(SUMPRODUCT((Upload_Indiv_Player=$A26)*(Upload_Indiv_Date=P$2)*(Upload_Indiv_Gross))=0,"",SUMPRODUCT((Upload_Indiv_Player=$A26)*(Upload_Indiv_Date=P$2)*(Upload_Indiv_Gross)))</f>
        <v/>
      </c>
      <c r="Q26" s="2" t="str" cm="1">
        <f t="array" ref="Q26">IF(SUMPRODUCT((Upload_Indiv_Player=$A26)*(Upload_Indiv_Date=Q$2)*(Upload_Indiv_Gross))=0,"",SUMPRODUCT((Upload_Indiv_Player=$A26)*(Upload_Indiv_Date=Q$2)*(Upload_Indiv_Gross)))</f>
        <v/>
      </c>
      <c r="R26" s="2" t="str" cm="1">
        <f t="array" ref="R26">IF(SUMPRODUCT((Upload_Indiv_Player=$A26)*(Upload_Indiv_Date=R$2)*(Upload_Indiv_Gross))=0,"",SUMPRODUCT((Upload_Indiv_Player=$A26)*(Upload_Indiv_Date=R$2)*(Upload_Indiv_Gross)))</f>
        <v/>
      </c>
      <c r="S26" s="2" t="str" cm="1">
        <f t="array" ref="S26">IF(SUMPRODUCT((Upload_Indiv_Player=$A26)*(Upload_Indiv_Date=S$2)*(Upload_Indiv_Gross))=0,"",SUMPRODUCT((Upload_Indiv_Player=$A26)*(Upload_Indiv_Date=S$2)*(Upload_Indiv_Gross)))</f>
        <v/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11</v>
      </c>
      <c r="W26" s="273">
        <v>2</v>
      </c>
      <c r="X26" s="273">
        <v>8</v>
      </c>
      <c r="Y26" s="277">
        <v>7</v>
      </c>
      <c r="Z26" s="277">
        <v>12</v>
      </c>
      <c r="AA26" s="277">
        <v>11</v>
      </c>
    </row>
    <row r="27" spans="1:27" x14ac:dyDescent="0.25">
      <c r="A27" s="304">
        <v>3302684681</v>
      </c>
      <c r="B27" s="2" t="s">
        <v>171</v>
      </c>
      <c r="C27" s="2" t="str" cm="1">
        <f t="array" ref="C27">IF(SUMPRODUCT((Upload_Indiv_Player=$A26)*(Upload_Indiv_Date=C$2)*(Upload_Indiv_Net))=0,"",SUMPRODUCT((Upload_Indiv_Player=$A26)*(Upload_Indiv_Date=C$2)*(Upload_Indiv_Net)))</f>
        <v/>
      </c>
      <c r="D27" s="2" t="str" cm="1">
        <f t="array" ref="D27">IF(SUMPRODUCT((Upload_Indiv_Player=$A26)*(Upload_Indiv_Date=D$2)*(Upload_Indiv_Net))=0,"",SUMPRODUCT((Upload_Indiv_Player=$A26)*(Upload_Indiv_Date=D$2)*(Upload_Indiv_Net)))</f>
        <v/>
      </c>
      <c r="E27" s="2" t="str" cm="1">
        <f t="array" ref="E27">IF(SUMPRODUCT((Upload_Indiv_Player=$A26)*(Upload_Indiv_Date=E$2)*(Upload_Indiv_Net))=0,"",SUMPRODUCT((Upload_Indiv_Player=$A26)*(Upload_Indiv_Date=E$2)*(Upload_Indiv_Net)))</f>
        <v/>
      </c>
      <c r="F27" s="2" t="str" cm="1">
        <f t="array" ref="F27">IF(SUMPRODUCT((Upload_Indiv_Player=$A26)*(Upload_Indiv_Date=F$2)*(Upload_Indiv_Net))=0,"",SUMPRODUCT((Upload_Indiv_Player=$A26)*(Upload_Indiv_Date=F$2)*(Upload_Indiv_Net)))</f>
        <v/>
      </c>
      <c r="G27" s="2" t="str" cm="1">
        <f t="array" ref="G27">IF(SUMPRODUCT((Upload_Indiv_Player=$A26)*(Upload_Indiv_Date=G$2)*(Upload_Indiv_Net))=0,"",SUMPRODUCT((Upload_Indiv_Player=$A26)*(Upload_Indiv_Date=G$2)*(Upload_Indiv_Net)))</f>
        <v/>
      </c>
      <c r="H27" s="2" t="str" cm="1">
        <f t="array" ref="H27">IF(SUMPRODUCT((Upload_Indiv_Player=$A26)*(Upload_Indiv_Date=H$2)*(Upload_Indiv_Net))=0,"",SUMPRODUCT((Upload_Indiv_Player=$A26)*(Upload_Indiv_Date=H$2)*(Upload_Indiv_Net)))</f>
        <v/>
      </c>
      <c r="I27" s="2" cm="1">
        <f t="array" ref="I27">IF(SUMPRODUCT((Upload_Indiv_Player=$A26)*(Upload_Indiv_Date=I$2)*(Upload_Indiv_Net))=0,"",SUMPRODUCT((Upload_Indiv_Player=$A26)*(Upload_Indiv_Date=I$2)*(Upload_Indiv_Net)))</f>
        <v>43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38</v>
      </c>
      <c r="L27" s="2" t="str" cm="1">
        <f t="array" ref="L27">IF(SUMPRODUCT((Upload_Indiv_Player=$A26)*(Upload_Indiv_Date=L$2)*(Upload_Indiv_Net))=0,"",SUMPRODUCT((Upload_Indiv_Player=$A26)*(Upload_Indiv_Date=L$2)*(Upload_Indiv_Net)))</f>
        <v/>
      </c>
      <c r="M27" s="2" t="str" cm="1">
        <f t="array" ref="M27">IF(SUMPRODUCT((Upload_Indiv_Player=$A26)*(Upload_Indiv_Date=M$2)*(Upload_Indiv_Net))=0,"",SUMPRODUCT((Upload_Indiv_Player=$A26)*(Upload_Indiv_Date=M$2)*(Upload_Indiv_Net)))</f>
        <v/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t="str" cm="1">
        <f t="array" ref="O27">IF(SUMPRODUCT((Upload_Indiv_Player=$A26)*(Upload_Indiv_Date=O$2)*(Upload_Indiv_Net))=0,"",SUMPRODUCT((Upload_Indiv_Player=$A26)*(Upload_Indiv_Date=O$2)*(Upload_Indiv_Net)))</f>
        <v/>
      </c>
      <c r="P27" s="2" t="str" cm="1">
        <f t="array" ref="P27">IF(SUMPRODUCT((Upload_Indiv_Player=$A26)*(Upload_Indiv_Date=P$2)*(Upload_Indiv_Net))=0,"",SUMPRODUCT((Upload_Indiv_Player=$A26)*(Upload_Indiv_Date=P$2)*(Upload_Indiv_Net)))</f>
        <v/>
      </c>
      <c r="Q27" s="2" t="str" cm="1">
        <f t="array" ref="Q27">IF(SUMPRODUCT((Upload_Indiv_Player=$A26)*(Upload_Indiv_Date=Q$2)*(Upload_Indiv_Net))=0,"",SUMPRODUCT((Upload_Indiv_Player=$A26)*(Upload_Indiv_Date=Q$2)*(Upload_Indiv_Net)))</f>
        <v/>
      </c>
      <c r="R27" s="2" t="str" cm="1">
        <f t="array" ref="R27">IF(SUMPRODUCT((Upload_Indiv_Player=$A26)*(Upload_Indiv_Date=R$2)*(Upload_Indiv_Net))=0,"",SUMPRODUCT((Upload_Indiv_Player=$A26)*(Upload_Indiv_Date=R$2)*(Upload_Indiv_Net)))</f>
        <v/>
      </c>
      <c r="S27" s="2" t="str" cm="1">
        <f t="array" ref="S27">IF(SUMPRODUCT((Upload_Indiv_Player=$A26)*(Upload_Indiv_Date=S$2)*(Upload_Indiv_Net))=0,"",SUMPRODUCT((Upload_Indiv_Player=$A26)*(Upload_Indiv_Date=S$2)*(Upload_Indiv_Net)))</f>
        <v/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>
        <v>51.45</v>
      </c>
      <c r="W27" s="276"/>
      <c r="X27" s="276"/>
      <c r="Y27" s="277"/>
      <c r="Z27" s="277"/>
      <c r="AA27" s="277"/>
    </row>
    <row r="28" spans="1:27" x14ac:dyDescent="0.25">
      <c r="A28" s="305" t="s">
        <v>287</v>
      </c>
      <c r="B28" s="2" t="s">
        <v>173</v>
      </c>
      <c r="C28" s="2" t="str" cm="1">
        <f t="array" ref="C28">IF(SUMPRODUCT((Upload_Indiv_Player=$A26)*(Upload_Indiv_Date=C$2)*(Upload_Indiv_PointsTot))=0,"",SUMPRODUCT((Upload_Indiv_Player=$A26)*(Upload_Indiv_Date=C$2)*(Upload_Indiv_PointsTot)))</f>
        <v/>
      </c>
      <c r="D28" s="2" t="str" cm="1">
        <f t="array" ref="D28">IF(SUMPRODUCT((Upload_Indiv_Player=$A26)*(Upload_Indiv_Date=D$2)*(Upload_Indiv_PointsTot))=0,"",SUMPRODUCT((Upload_Indiv_Player=$A26)*(Upload_Indiv_Date=D$2)*(Upload_Indiv_PointsTot)))</f>
        <v/>
      </c>
      <c r="E28" s="2" t="str" cm="1">
        <f t="array" ref="E28">IF(SUMPRODUCT((Upload_Indiv_Player=$A26)*(Upload_Indiv_Date=E$2)*(Upload_Indiv_PointsTot))=0,"",SUMPRODUCT((Upload_Indiv_Player=$A26)*(Upload_Indiv_Date=E$2)*(Upload_Indiv_PointsTot)))</f>
        <v/>
      </c>
      <c r="F28" s="2" t="str" cm="1">
        <f t="array" ref="F28">IF(SUMPRODUCT((Upload_Indiv_Player=$A26)*(Upload_Indiv_Date=F$2)*(Upload_Indiv_PointsTot))=0,"",SUMPRODUCT((Upload_Indiv_Player=$A26)*(Upload_Indiv_Date=F$2)*(Upload_Indiv_PointsTot)))</f>
        <v/>
      </c>
      <c r="G28" s="2" t="str" cm="1">
        <f t="array" ref="G28">IF(SUMPRODUCT((Upload_Indiv_Player=$A26)*(Upload_Indiv_Date=G$2)*(Upload_Indiv_PointsTot))=0,"",SUMPRODUCT((Upload_Indiv_Player=$A26)*(Upload_Indiv_Date=G$2)*(Upload_Indiv_PointsTot)))</f>
        <v/>
      </c>
      <c r="H28" s="2" t="str" cm="1">
        <f t="array" ref="H28">IF(SUMPRODUCT((Upload_Indiv_Player=$A26)*(Upload_Indiv_Date=H$2)*(Upload_Indiv_PointsTot))=0,"",SUMPRODUCT((Upload_Indiv_Player=$A26)*(Upload_Indiv_Date=H$2)*(Upload_Indiv_PointsTot)))</f>
        <v/>
      </c>
      <c r="I28" s="2" cm="1">
        <f t="array" ref="I28">IF(SUMPRODUCT((Upload_Indiv_Player=$A26)*(Upload_Indiv_Date=I$2)*(Upload_Indiv_PointsTot))=0,"",SUMPRODUCT((Upload_Indiv_Player=$A26)*(Upload_Indiv_Date=I$2)*(Upload_Indiv_PointsTot)))</f>
        <v>5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13</v>
      </c>
      <c r="L28" s="2" t="str" cm="1">
        <f t="array" ref="L28">IF(SUMPRODUCT((Upload_Indiv_Player=$A26)*(Upload_Indiv_Date=L$2)*(Upload_Indiv_PointsTot))=0,"",SUMPRODUCT((Upload_Indiv_Player=$A26)*(Upload_Indiv_Date=L$2)*(Upload_Indiv_PointsTot)))</f>
        <v/>
      </c>
      <c r="M28" s="2" t="str" cm="1">
        <f t="array" ref="M28">IF(SUMPRODUCT((Upload_Indiv_Player=$A26)*(Upload_Indiv_Date=M$2)*(Upload_Indiv_PointsTot))=0,"",SUMPRODUCT((Upload_Indiv_Player=$A26)*(Upload_Indiv_Date=M$2)*(Upload_Indiv_PointsTot)))</f>
        <v/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t="str" cm="1">
        <f t="array" ref="O28">IF(SUMPRODUCT((Upload_Indiv_Player=$A26)*(Upload_Indiv_Date=O$2)*(Upload_Indiv_PointsTot))=0,"",SUMPRODUCT((Upload_Indiv_Player=$A26)*(Upload_Indiv_Date=O$2)*(Upload_Indiv_PointsTot)))</f>
        <v/>
      </c>
      <c r="P28" s="2" t="str" cm="1">
        <f t="array" ref="P28">IF(SUMPRODUCT((Upload_Indiv_Player=$A26)*(Upload_Indiv_Date=P$2)*(Upload_Indiv_PointsTot))=0,"",SUMPRODUCT((Upload_Indiv_Player=$A26)*(Upload_Indiv_Date=P$2)*(Upload_Indiv_PointsTot)))</f>
        <v/>
      </c>
      <c r="Q28" s="2" t="str" cm="1">
        <f t="array" ref="Q28">IF(SUMPRODUCT((Upload_Indiv_Player=$A26)*(Upload_Indiv_Date=Q$2)*(Upload_Indiv_PointsTot))=0,"",SUMPRODUCT((Upload_Indiv_Player=$A26)*(Upload_Indiv_Date=Q$2)*(Upload_Indiv_PointsTot)))</f>
        <v/>
      </c>
      <c r="R28" s="2" t="str" cm="1">
        <f t="array" ref="R28">IF(SUMPRODUCT((Upload_Indiv_Player=$A26)*(Upload_Indiv_Date=R$2)*(Upload_Indiv_PointsTot))=0,"",SUMPRODUCT((Upload_Indiv_Player=$A26)*(Upload_Indiv_Date=R$2)*(Upload_Indiv_PointsTot)))</f>
        <v/>
      </c>
      <c r="S28" s="2" t="str" cm="1">
        <f t="array" ref="S28">IF(SUMPRODUCT((Upload_Indiv_Player=$A26)*(Upload_Indiv_Date=S$2)*(Upload_Indiv_PointsTot))=0,"",SUMPRODUCT((Upload_Indiv_Player=$A26)*(Upload_Indiv_Date=S$2)*(Upload_Indiv_PointsTot)))</f>
        <v/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/>
      <c r="B29" s="2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306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t="str" cm="1">
        <f t="array" ref="T31">IF(SUMPRODUCT((Upload_Indiv_Player=$A26)*(Upload_Indiv_Date=T$2)*(Upload_Indiv_Excl_Score))=0,"",SUMPRODUCT((Upload_Indiv_Player=$A26)*(Upload_Indiv_Date=T$2)*(Upload_Indiv_Excl_Score)))</f>
        <v/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9"/>
      <c r="B32" s="8" t="s">
        <v>178</v>
      </c>
      <c r="C32" s="58" t="str">
        <f>IF(C26="", "", IF(C28&gt;=11, "w", IF(C28&lt;=9, "l", "t")))</f>
        <v/>
      </c>
      <c r="D32" s="58" t="str">
        <f t="shared" ref="D32:S32" si="4">IF(D26="", "", IF(D28&gt;=11, "w", IF(D28&lt;=9, "l", "t")))</f>
        <v/>
      </c>
      <c r="E32" s="58" t="str">
        <f t="shared" si="4"/>
        <v/>
      </c>
      <c r="F32" s="58" t="str">
        <f t="shared" si="4"/>
        <v/>
      </c>
      <c r="G32" s="58" t="str">
        <f t="shared" si="4"/>
        <v/>
      </c>
      <c r="H32" s="58" t="str">
        <f t="shared" si="4"/>
        <v/>
      </c>
      <c r="I32" s="58" t="str">
        <f t="shared" si="4"/>
        <v>l</v>
      </c>
      <c r="J32" s="58" t="str">
        <f t="shared" si="4"/>
        <v/>
      </c>
      <c r="K32" s="58" t="str">
        <f t="shared" si="4"/>
        <v>w</v>
      </c>
      <c r="L32" s="58" t="str">
        <f t="shared" si="4"/>
        <v/>
      </c>
      <c r="M32" s="58" t="str">
        <f t="shared" si="4"/>
        <v/>
      </c>
      <c r="N32" s="58" t="str">
        <f t="shared" si="4"/>
        <v/>
      </c>
      <c r="O32" s="58" t="str">
        <f t="shared" si="4"/>
        <v/>
      </c>
      <c r="P32" s="58" t="str">
        <f t="shared" si="4"/>
        <v/>
      </c>
      <c r="Q32" s="58" t="str">
        <f t="shared" si="4"/>
        <v/>
      </c>
      <c r="R32" s="58" t="str">
        <f t="shared" si="4"/>
        <v/>
      </c>
      <c r="S32" s="58" t="str">
        <f t="shared" si="4"/>
        <v/>
      </c>
      <c r="T32" s="58" t="str">
        <f>IF(T26="", "", IF(T28&gt;=11, "w", IF(T28&lt;=9, "l", "t")))</f>
        <v/>
      </c>
      <c r="U32" s="58" t="str">
        <f>IF(U26="", "", IF(U28&gt;=11, "w", IF(U28&lt;=9, "l", "t")))</f>
        <v/>
      </c>
      <c r="V32" s="276"/>
      <c r="W32" s="276"/>
      <c r="X32" s="276"/>
      <c r="Y32" s="277"/>
      <c r="Z32" s="277"/>
      <c r="AA32" s="277"/>
    </row>
    <row r="33" spans="1:27" x14ac:dyDescent="0.25">
      <c r="A33" s="303" t="s">
        <v>513</v>
      </c>
      <c r="B33" s="3" t="s">
        <v>170</v>
      </c>
      <c r="C33" s="2" t="str" cm="1">
        <f t="array" ref="C33">IF(SUMPRODUCT((Upload_Indiv_Player=$A33)*(Upload_Indiv_Date=C$2)*(Upload_Indiv_Gross))=0,"",SUMPRODUCT((Upload_Indiv_Player=$A33)*(Upload_Indiv_Date=C$2)*(Upload_Indiv_Gross)))</f>
        <v/>
      </c>
      <c r="D33" s="2" t="str" cm="1">
        <f t="array" ref="D33">IF(SUMPRODUCT((Upload_Indiv_Player=$A33)*(Upload_Indiv_Date=D$2)*(Upload_Indiv_Gross))=0,"",SUMPRODUCT((Upload_Indiv_Player=$A33)*(Upload_Indiv_Date=D$2)*(Upload_Indiv_Gross)))</f>
        <v/>
      </c>
      <c r="E33" s="2" t="str" cm="1">
        <f t="array" ref="E33">IF(SUMPRODUCT((Upload_Indiv_Player=$A33)*(Upload_Indiv_Date=E$2)*(Upload_Indiv_Gross))=0,"",SUMPRODUCT((Upload_Indiv_Player=$A33)*(Upload_Indiv_Date=E$2)*(Upload_Indiv_Gross)))</f>
        <v/>
      </c>
      <c r="F33" s="2" t="str" cm="1">
        <f t="array" ref="F33">IF(SUMPRODUCT((Upload_Indiv_Player=$A33)*(Upload_Indiv_Date=F$2)*(Upload_Indiv_Gross))=0,"",SUMPRODUCT((Upload_Indiv_Player=$A33)*(Upload_Indiv_Date=F$2)*(Upload_Indiv_Gross)))</f>
        <v/>
      </c>
      <c r="G33" s="2" t="str" cm="1">
        <f t="array" ref="G33">IF(SUMPRODUCT((Upload_Indiv_Player=$A33)*(Upload_Indiv_Date=G$2)*(Upload_Indiv_Gross))=0,"",SUMPRODUCT((Upload_Indiv_Player=$A33)*(Upload_Indiv_Date=G$2)*(Upload_Indiv_Gross)))</f>
        <v/>
      </c>
      <c r="H33" s="2" cm="1">
        <f t="array" ref="H33">IF(SUMPRODUCT((Upload_Indiv_Player=$A33)*(Upload_Indiv_Date=H$2)*(Upload_Indiv_Gross))=0,"",SUMPRODUCT((Upload_Indiv_Player=$A33)*(Upload_Indiv_Date=H$2)*(Upload_Indiv_Gross)))</f>
        <v>48</v>
      </c>
      <c r="I33" s="2" t="str" cm="1">
        <f t="array" ref="I33">IF(SUMPRODUCT((Upload_Indiv_Player=$A33)*(Upload_Indiv_Date=I$2)*(Upload_Indiv_Gross))=0,"",SUMPRODUCT((Upload_Indiv_Player=$A33)*(Upload_Indiv_Date=I$2)*(Upload_Indiv_Gross)))</f>
        <v/>
      </c>
      <c r="J33" s="2" t="str" cm="1">
        <f t="array" ref="J33">IF(SUMPRODUCT((Upload_Indiv_Player=$A33)*(Upload_Indiv_Date=J$2)*(Upload_Indiv_Gross))=0,"",SUMPRODUCT((Upload_Indiv_Player=$A33)*(Upload_Indiv_Date=J$2)*(Upload_Indiv_Gross)))</f>
        <v/>
      </c>
      <c r="K33" s="2" cm="1">
        <f t="array" ref="K33">IF(SUMPRODUCT((Upload_Indiv_Player=$A33)*(Upload_Indiv_Date=K$2)*(Upload_Indiv_Gross))=0,"",SUMPRODUCT((Upload_Indiv_Player=$A33)*(Upload_Indiv_Date=K$2)*(Upload_Indiv_Gross)))</f>
        <v>47</v>
      </c>
      <c r="L33" s="2" cm="1">
        <f t="array" ref="L33">IF(SUMPRODUCT((Upload_Indiv_Player=$A33)*(Upload_Indiv_Date=L$2)*(Upload_Indiv_Gross))=0,"",SUMPRODUCT((Upload_Indiv_Player=$A33)*(Upload_Indiv_Date=L$2)*(Upload_Indiv_Gross)))</f>
        <v>48</v>
      </c>
      <c r="M33" s="2" cm="1">
        <f t="array" ref="M33">IF(SUMPRODUCT((Upload_Indiv_Player=$A33)*(Upload_Indiv_Date=M$2)*(Upload_Indiv_Gross))=0,"",SUMPRODUCT((Upload_Indiv_Player=$A33)*(Upload_Indiv_Date=M$2)*(Upload_Indiv_Gross)))</f>
        <v>53</v>
      </c>
      <c r="N33" s="2" t="str" cm="1">
        <f t="array" ref="N33">IF(SUMPRODUCT((Upload_Indiv_Player=$A33)*(Upload_Indiv_Date=N$2)*(Upload_Indiv_Gross))=0,"",SUMPRODUCT((Upload_Indiv_Player=$A33)*(Upload_Indiv_Date=N$2)*(Upload_Indiv_Gross)))</f>
        <v/>
      </c>
      <c r="O33" s="2" cm="1">
        <f t="array" ref="O33">IF(SUMPRODUCT((Upload_Indiv_Player=$A33)*(Upload_Indiv_Date=O$2)*(Upload_Indiv_Gross))=0,"",SUMPRODUCT((Upload_Indiv_Player=$A33)*(Upload_Indiv_Date=O$2)*(Upload_Indiv_Gross)))</f>
        <v>53</v>
      </c>
      <c r="P33" s="2" cm="1">
        <f t="array" ref="P33">IF(SUMPRODUCT((Upload_Indiv_Player=$A33)*(Upload_Indiv_Date=P$2)*(Upload_Indiv_Gross))=0,"",SUMPRODUCT((Upload_Indiv_Player=$A33)*(Upload_Indiv_Date=P$2)*(Upload_Indiv_Gross)))</f>
        <v>53</v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cm="1">
        <f t="array" ref="R33">IF(SUMPRODUCT((Upload_Indiv_Player=$A33)*(Upload_Indiv_Date=R$2)*(Upload_Indiv_Gross))=0,"",SUMPRODUCT((Upload_Indiv_Player=$A33)*(Upload_Indiv_Date=R$2)*(Upload_Indiv_Gross)))</f>
        <v>47</v>
      </c>
      <c r="S33" s="2" cm="1">
        <f t="array" ref="S33">IF(SUMPRODUCT((Upload_Indiv_Player=$A33)*(Upload_Indiv_Date=S$2)*(Upload_Indiv_Gross))=0,"",SUMPRODUCT((Upload_Indiv_Player=$A33)*(Upload_Indiv_Date=S$2)*(Upload_Indiv_Gross)))</f>
        <v>58</v>
      </c>
      <c r="T33" s="2" t="str" cm="1">
        <f t="array" ref="T33">IF(SUMPRODUCT((Upload_Indiv_Player=$A33)*(Upload_Indiv_Date=T$2)*(Upload_Indiv_Gross))=0,"",SUMPRODUCT((Upload_Indiv_Player=$A33)*(Upload_Indiv_Date=T$2)*(Upload_Indiv_Gross)))</f>
        <v/>
      </c>
      <c r="U33" s="2">
        <v>49</v>
      </c>
      <c r="V33" s="273">
        <v>11</v>
      </c>
      <c r="W33" s="273">
        <v>11</v>
      </c>
      <c r="X33" s="273">
        <v>8</v>
      </c>
      <c r="Y33" s="277">
        <v>10</v>
      </c>
      <c r="Z33" s="277">
        <v>12</v>
      </c>
      <c r="AA33" s="277">
        <v>12</v>
      </c>
    </row>
    <row r="34" spans="1:27" x14ac:dyDescent="0.25">
      <c r="A34" s="304">
        <v>3304713217</v>
      </c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t="str" cm="1">
        <f t="array" ref="F34">IF(SUMPRODUCT((Upload_Indiv_Player=$A33)*(Upload_Indiv_Date=F$2)*(Upload_Indiv_Net))=0,"",SUMPRODUCT((Upload_Indiv_Player=$A33)*(Upload_Indiv_Date=F$2)*(Upload_Indiv_Net)))</f>
        <v/>
      </c>
      <c r="G34" s="2" t="str" cm="1">
        <f t="array" ref="G34">IF(SUMPRODUCT((Upload_Indiv_Player=$A33)*(Upload_Indiv_Date=G$2)*(Upload_Indiv_Net))=0,"",SUMPRODUCT((Upload_Indiv_Player=$A33)*(Upload_Indiv_Date=G$2)*(Upload_Indiv_Net)))</f>
        <v/>
      </c>
      <c r="H34" s="2" cm="1">
        <f t="array" ref="H34">IF(SUMPRODUCT((Upload_Indiv_Player=$A33)*(Upload_Indiv_Date=H$2)*(Upload_Indiv_Net))=0,"",SUMPRODUCT((Upload_Indiv_Player=$A33)*(Upload_Indiv_Date=H$2)*(Upload_Indiv_Net)))</f>
        <v>38</v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cm="1">
        <f t="array" ref="K34">IF(SUMPRODUCT((Upload_Indiv_Player=$A33)*(Upload_Indiv_Date=K$2)*(Upload_Indiv_Net))=0,"",SUMPRODUCT((Upload_Indiv_Player=$A33)*(Upload_Indiv_Date=K$2)*(Upload_Indiv_Net)))</f>
        <v>37</v>
      </c>
      <c r="L34" s="2" cm="1">
        <f t="array" ref="L34">IF(SUMPRODUCT((Upload_Indiv_Player=$A33)*(Upload_Indiv_Date=L$2)*(Upload_Indiv_Net))=0,"",SUMPRODUCT((Upload_Indiv_Player=$A33)*(Upload_Indiv_Date=L$2)*(Upload_Indiv_Net)))</f>
        <v>37</v>
      </c>
      <c r="M34" s="2" cm="1">
        <f t="array" ref="M34">IF(SUMPRODUCT((Upload_Indiv_Player=$A33)*(Upload_Indiv_Date=M$2)*(Upload_Indiv_Net))=0,"",SUMPRODUCT((Upload_Indiv_Player=$A33)*(Upload_Indiv_Date=M$2)*(Upload_Indiv_Net)))</f>
        <v>42</v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cm="1">
        <f t="array" ref="O34">IF(SUMPRODUCT((Upload_Indiv_Player=$A33)*(Upload_Indiv_Date=O$2)*(Upload_Indiv_Net))=0,"",SUMPRODUCT((Upload_Indiv_Player=$A33)*(Upload_Indiv_Date=O$2)*(Upload_Indiv_Net)))</f>
        <v>42</v>
      </c>
      <c r="P34" s="2" cm="1">
        <f t="array" ref="P34">IF(SUMPRODUCT((Upload_Indiv_Player=$A33)*(Upload_Indiv_Date=P$2)*(Upload_Indiv_Net))=0,"",SUMPRODUCT((Upload_Indiv_Player=$A33)*(Upload_Indiv_Date=P$2)*(Upload_Indiv_Net)))</f>
        <v>42</v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cm="1">
        <f t="array" ref="R34">IF(SUMPRODUCT((Upload_Indiv_Player=$A33)*(Upload_Indiv_Date=R$2)*(Upload_Indiv_Net))=0,"",SUMPRODUCT((Upload_Indiv_Player=$A33)*(Upload_Indiv_Date=R$2)*(Upload_Indiv_Net)))</f>
        <v>36</v>
      </c>
      <c r="S34" s="2" cm="1">
        <f t="array" ref="S34">IF(SUMPRODUCT((Upload_Indiv_Player=$A33)*(Upload_Indiv_Date=S$2)*(Upload_Indiv_Net))=0,"",SUMPRODUCT((Upload_Indiv_Player=$A33)*(Upload_Indiv_Date=S$2)*(Upload_Indiv_Net)))</f>
        <v>47</v>
      </c>
      <c r="T34" s="2" cm="1">
        <f t="array" ref="T34">IF(SUMPRODUCT((Upload_Indiv_Player=$A33)*(Upload_Indiv_Date=T$2)*(Upload_Indiv_Net))=0,"",SUMPRODUCT((Upload_Indiv_Player=$A33)*(Upload_Indiv_Date=T$2)*(Upload_Indiv_Net)))</f>
        <v>-11</v>
      </c>
      <c r="U34" s="2">
        <v>38</v>
      </c>
      <c r="V34" s="279">
        <v>54.27</v>
      </c>
      <c r="W34" s="276"/>
      <c r="X34" s="276"/>
      <c r="Y34" s="277"/>
      <c r="Z34" s="277"/>
      <c r="AA34" s="277"/>
    </row>
    <row r="35" spans="1:27" x14ac:dyDescent="0.25">
      <c r="A35" s="305" t="s">
        <v>288</v>
      </c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t="str" cm="1">
        <f t="array" ref="F35">IF(SUMPRODUCT((Upload_Indiv_Player=$A33)*(Upload_Indiv_Date=F$2)*(Upload_Indiv_PointsTot))=0,"",SUMPRODUCT((Upload_Indiv_Player=$A33)*(Upload_Indiv_Date=F$2)*(Upload_Indiv_PointsTot)))</f>
        <v/>
      </c>
      <c r="G35" s="2" t="str" cm="1">
        <f t="array" ref="G35">IF(SUMPRODUCT((Upload_Indiv_Player=$A33)*(Upload_Indiv_Date=G$2)*(Upload_Indiv_PointsTot))=0,"",SUMPRODUCT((Upload_Indiv_Player=$A33)*(Upload_Indiv_Date=G$2)*(Upload_Indiv_PointsTot)))</f>
        <v/>
      </c>
      <c r="H35" s="2" cm="1">
        <f t="array" ref="H35">IF(SUMPRODUCT((Upload_Indiv_Player=$A33)*(Upload_Indiv_Date=H$2)*(Upload_Indiv_PointsTot))=0,"",SUMPRODUCT((Upload_Indiv_Player=$A33)*(Upload_Indiv_Date=H$2)*(Upload_Indiv_PointsTot)))</f>
        <v>10</v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cm="1">
        <f t="array" ref="K35">IF(SUMPRODUCT((Upload_Indiv_Player=$A33)*(Upload_Indiv_Date=K$2)*(Upload_Indiv_PointsTot))=0,"",SUMPRODUCT((Upload_Indiv_Player=$A33)*(Upload_Indiv_Date=K$2)*(Upload_Indiv_PointsTot)))</f>
        <v>11</v>
      </c>
      <c r="L35" s="2" cm="1">
        <f t="array" ref="L35">IF(SUMPRODUCT((Upload_Indiv_Player=$A33)*(Upload_Indiv_Date=L$2)*(Upload_Indiv_PointsTot))=0,"",SUMPRODUCT((Upload_Indiv_Player=$A33)*(Upload_Indiv_Date=L$2)*(Upload_Indiv_PointsTot)))</f>
        <v>7</v>
      </c>
      <c r="M35" s="2" cm="1">
        <f t="array" ref="M35">IF(SUMPRODUCT((Upload_Indiv_Player=$A33)*(Upload_Indiv_Date=M$2)*(Upload_Indiv_PointsTot))=0,"",SUMPRODUCT((Upload_Indiv_Player=$A33)*(Upload_Indiv_Date=M$2)*(Upload_Indiv_PointsTot)))</f>
        <v>14</v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cm="1">
        <f t="array" ref="O35">IF(SUMPRODUCT((Upload_Indiv_Player=$A33)*(Upload_Indiv_Date=O$2)*(Upload_Indiv_PointsTot))=0,"",SUMPRODUCT((Upload_Indiv_Player=$A33)*(Upload_Indiv_Date=O$2)*(Upload_Indiv_PointsTot)))</f>
        <v>6</v>
      </c>
      <c r="P35" s="2" cm="1">
        <f t="array" ref="P35">IF(SUMPRODUCT((Upload_Indiv_Player=$A33)*(Upload_Indiv_Date=P$2)*(Upload_Indiv_PointsTot))=0,"",SUMPRODUCT((Upload_Indiv_Player=$A33)*(Upload_Indiv_Date=P$2)*(Upload_Indiv_PointsTot)))</f>
        <v>7</v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cm="1">
        <f t="array" ref="R35">IF(SUMPRODUCT((Upload_Indiv_Player=$A33)*(Upload_Indiv_Date=R$2)*(Upload_Indiv_PointsTot))=0,"",SUMPRODUCT((Upload_Indiv_Player=$A33)*(Upload_Indiv_Date=R$2)*(Upload_Indiv_PointsTot)))</f>
        <v>8</v>
      </c>
      <c r="S35" s="2" cm="1">
        <f t="array" ref="S35">IF(SUMPRODUCT((Upload_Indiv_Player=$A33)*(Upload_Indiv_Date=S$2)*(Upload_Indiv_PointsTot))=0,"",SUMPRODUCT((Upload_Indiv_Player=$A33)*(Upload_Indiv_Date=S$2)*(Upload_Indiv_PointsTot)))</f>
        <v>7</v>
      </c>
      <c r="T35" s="2" t="str" cm="1">
        <f t="array" ref="T35">IF(SUMPRODUCT((Upload_Indiv_Player=$A33)*(Upload_Indiv_Date=T$2)*(Upload_Indiv_PointsTot))=0,"",SUMPRODUCT((Upload_Indiv_Player=$A33)*(Upload_Indiv_Date=T$2)*(Upload_Indiv_PointsTot)))</f>
        <v/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6"/>
      <c r="W35" s="276"/>
      <c r="X35" s="276"/>
      <c r="Y35" s="277"/>
      <c r="Z35" s="277"/>
      <c r="AA35" s="277"/>
    </row>
    <row r="36" spans="1:27" x14ac:dyDescent="0.25">
      <c r="A36" s="306"/>
      <c r="B36" s="2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cm="1">
        <f t="array" ref="K36">IF(SUMPRODUCT((Upload_Indiv_Player=$A33)*(Upload_Indiv_Date=K$2)*(Upload_Indiv_Tot_Birds))=0,"",SUMPRODUCT((Upload_Indiv_Player=$A33)*(Upload_Indiv_Date=K$2)*(Upload_Indiv_Tot_Birds)))</f>
        <v>1</v>
      </c>
      <c r="L36" s="2" cm="1">
        <f t="array" ref="L36">IF(SUMPRODUCT((Upload_Indiv_Player=$A33)*(Upload_Indiv_Date=L$2)*(Upload_Indiv_Tot_Birds))=0,"",SUMPRODUCT((Upload_Indiv_Player=$A33)*(Upload_Indiv_Date=L$2)*(Upload_Indiv_Tot_Birds)))</f>
        <v>1</v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6"/>
      <c r="W36" s="276"/>
      <c r="X36" s="276"/>
      <c r="Y36" s="277"/>
      <c r="Z36" s="277"/>
      <c r="AA36" s="277"/>
    </row>
    <row r="37" spans="1:27" x14ac:dyDescent="0.25">
      <c r="A37" s="306"/>
      <c r="B37" s="8" t="s">
        <v>175</v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6"/>
      <c r="W37" s="276"/>
      <c r="X37" s="276"/>
      <c r="Y37" s="277"/>
      <c r="Z37" s="277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cm="1">
        <f t="array" ref="T38">IF(SUMPRODUCT((Upload_Indiv_Player=$A33)*(Upload_Indiv_Date=T$2)*(Upload_Indiv_Excl_Score))=0,"",SUMPRODUCT((Upload_Indiv_Player=$A33)*(Upload_Indiv_Date=T$2)*(Upload_Indiv_Excl_Score)))</f>
        <v>1</v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6"/>
      <c r="W38" s="276"/>
      <c r="X38" s="276"/>
      <c r="Y38" s="277"/>
      <c r="Z38" s="277"/>
      <c r="AA38" s="277"/>
    </row>
    <row r="39" spans="1:27" ht="13.8" thickBot="1" x14ac:dyDescent="0.3">
      <c r="A39" s="330"/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/>
      </c>
      <c r="F39" s="58" t="str">
        <f t="shared" si="5"/>
        <v/>
      </c>
      <c r="G39" s="58" t="str">
        <f t="shared" si="5"/>
        <v/>
      </c>
      <c r="H39" s="58" t="str">
        <f t="shared" si="5"/>
        <v>t</v>
      </c>
      <c r="I39" s="58" t="str">
        <f t="shared" si="5"/>
        <v/>
      </c>
      <c r="J39" s="58" t="str">
        <f t="shared" si="5"/>
        <v/>
      </c>
      <c r="K39" s="58" t="str">
        <f t="shared" si="5"/>
        <v>w</v>
      </c>
      <c r="L39" s="58" t="str">
        <f t="shared" si="5"/>
        <v>l</v>
      </c>
      <c r="M39" s="58" t="str">
        <f t="shared" si="5"/>
        <v>w</v>
      </c>
      <c r="N39" s="58" t="str">
        <f t="shared" si="5"/>
        <v/>
      </c>
      <c r="O39" s="58" t="str">
        <f t="shared" si="5"/>
        <v>l</v>
      </c>
      <c r="P39" s="58" t="str">
        <f t="shared" si="5"/>
        <v>l</v>
      </c>
      <c r="Q39" s="58" t="str">
        <f t="shared" si="5"/>
        <v/>
      </c>
      <c r="R39" s="58" t="str">
        <f t="shared" si="5"/>
        <v>l</v>
      </c>
      <c r="S39" s="58" t="str">
        <f t="shared" si="5"/>
        <v>l</v>
      </c>
      <c r="T39" s="58" t="str">
        <f>IF(T33="", "", IF(T35&gt;=11, "w", IF(T35&lt;=9, "l", "t")))</f>
        <v/>
      </c>
      <c r="U39" s="58" t="str">
        <f>IF(U33="", "", IF(U35&gt;=11, "w", IF(U35&lt;=9, "l", "t")))</f>
        <v>w</v>
      </c>
      <c r="V39" s="276"/>
      <c r="W39" s="276"/>
      <c r="X39" s="276"/>
      <c r="Y39" s="277"/>
      <c r="Z39" s="277"/>
      <c r="AA39" s="277"/>
    </row>
    <row r="40" spans="1:27" x14ac:dyDescent="0.25">
      <c r="A40" s="294" t="s">
        <v>289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21" r:id="rId1" display="scott.hyde@timken.com" xr:uid="{00000000-0004-0000-0E00-000000000000}"/>
    <hyperlink ref="A35" r:id="rId2" display="jim.sanders@timkensteel.com" xr:uid="{00000000-0004-0000-0E00-000001000000}"/>
    <hyperlink ref="A28" r:id="rId3" xr:uid="{00000000-0004-0000-0E00-000002000000}"/>
    <hyperlink ref="A7" r:id="rId4" xr:uid="{00000000-0004-0000-0E00-000003000000}"/>
    <hyperlink ref="A14" r:id="rId5" display="steve.boyd@timken.com" xr:uid="{00000000-0004-0000-0E00-000004000000}"/>
  </hyperlinks>
  <pageMargins left="0.75" right="0.75" top="1" bottom="1" header="0.5" footer="0.5"/>
  <pageSetup orientation="portrait" r:id="rId6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AA46"/>
  <sheetViews>
    <sheetView workbookViewId="0"/>
  </sheetViews>
  <sheetFormatPr defaultRowHeight="13.2" x14ac:dyDescent="0.25"/>
  <cols>
    <col min="1" max="1" width="24.7773437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21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55" t="s">
        <v>16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47</v>
      </c>
      <c r="D3" s="5" cm="1">
        <f t="array" ref="D3">IF(SUMPRODUCT((Upload_Team_Team=$A$3)*(Upload_Team_Date=D$2)*(Upload_Team_Tm_Tot_Points))=0,"",SUMPRODUCT((Upload_Team_Team=$A$3)*(Upload_Team_Date=D$2)*(Upload_Team_Tm_Tot_Points)))</f>
        <v>50</v>
      </c>
      <c r="E3" s="5" cm="1">
        <f t="array" ref="E3">IF(SUMPRODUCT((Upload_Team_Team=$A$3)*(Upload_Team_Date=E$2)*(Upload_Team_Tm_Tot_Points))=0,"",SUMPRODUCT((Upload_Team_Team=$A$3)*(Upload_Team_Date=E$2)*(Upload_Team_Tm_Tot_Points)))</f>
        <v>40</v>
      </c>
      <c r="F3" s="5" cm="1">
        <f t="array" ref="F3">IF(SUMPRODUCT((Upload_Team_Team=$A$3)*(Upload_Team_Date=F$2)*(Upload_Team_Tm_Tot_Points))=0,"",SUMPRODUCT((Upload_Team_Team=$A$3)*(Upload_Team_Date=F$2)*(Upload_Team_Tm_Tot_Points)))</f>
        <v>32</v>
      </c>
      <c r="G3" s="5" cm="1">
        <f t="array" ref="G3">IF(SUMPRODUCT((Upload_Team_Team=$A$3)*(Upload_Team_Date=G$2)*(Upload_Team_Tm_Tot_Points))=0,"",SUMPRODUCT((Upload_Team_Team=$A$3)*(Upload_Team_Date=G$2)*(Upload_Team_Tm_Tot_Points)))</f>
        <v>32</v>
      </c>
      <c r="H3" s="5" cm="1">
        <f t="array" ref="H3">IF(SUMPRODUCT((Upload_Team_Team=$A$3)*(Upload_Team_Date=H$2)*(Upload_Team_Tm_Tot_Points))=0,"",SUMPRODUCT((Upload_Team_Team=$A$3)*(Upload_Team_Date=H$2)*(Upload_Team_Tm_Tot_Points)))</f>
        <v>50</v>
      </c>
      <c r="I3" s="5" cm="1">
        <f t="array" ref="I3">IF(SUMPRODUCT((Upload_Team_Team=$A$3)*(Upload_Team_Date=I$2)*(Upload_Team_Tm_Tot_Points))=0,"",SUMPRODUCT((Upload_Team_Team=$A$3)*(Upload_Team_Date=I$2)*(Upload_Team_Tm_Tot_Points)))</f>
        <v>47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34</v>
      </c>
      <c r="L3" s="5" cm="1">
        <f t="array" ref="L3">IF(SUMPRODUCT((Upload_Team_Team=$A$3)*(Upload_Team_Date=L$2)*(Upload_Team_Tm_Tot_Points))=0,"",SUMPRODUCT((Upload_Team_Team=$A$3)*(Upload_Team_Date=L$2)*(Upload_Team_Tm_Tot_Points)))</f>
        <v>30</v>
      </c>
      <c r="M3" s="5" cm="1">
        <f t="array" ref="M3">IF(SUMPRODUCT((Upload_Team_Team=$A$3)*(Upload_Team_Date=M$2)*(Upload_Team_Tm_Tot_Points))=0,"",SUMPRODUCT((Upload_Team_Team=$A$3)*(Upload_Team_Date=M$2)*(Upload_Team_Tm_Tot_Points)))</f>
        <v>44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50</v>
      </c>
      <c r="P3" s="5" cm="1">
        <f t="array" ref="P3">IF(SUMPRODUCT((Upload_Team_Team=$A$3)*(Upload_Team_Date=P$2)*(Upload_Team_Tm_Tot_Points))=0,"",SUMPRODUCT((Upload_Team_Team=$A$3)*(Upload_Team_Date=P$2)*(Upload_Team_Tm_Tot_Points)))</f>
        <v>33</v>
      </c>
      <c r="Q3" s="5" cm="1">
        <f t="array" ref="Q3">IF(SUMPRODUCT((Upload_Team_Team=$A$3)*(Upload_Team_Date=Q$2)*(Upload_Team_Tm_Tot_Points))=0,"",SUMPRODUCT((Upload_Team_Team=$A$3)*(Upload_Team_Date=Q$2)*(Upload_Team_Tm_Tot_Points)))</f>
        <v>37</v>
      </c>
      <c r="R3" s="5" cm="1">
        <f t="array" ref="R3">IF(SUMPRODUCT((Upload_Team_Team=$A$3)*(Upload_Team_Date=R$2)*(Upload_Team_Tm_Tot_Points))=0,"",SUMPRODUCT((Upload_Team_Team=$A$3)*(Upload_Team_Date=R$2)*(Upload_Team_Tm_Tot_Points)))</f>
        <v>53</v>
      </c>
      <c r="S3" s="5" cm="1">
        <f t="array" ref="S3">IF(SUMPRODUCT((Upload_Team_Team=$A$3)*(Upload_Team_Date=S$2)*(Upload_Team_Tm_Tot_Points))=0,"",SUMPRODUCT((Upload_Team_Team=$A$3)*(Upload_Team_Date=S$2)*(Upload_Team_Tm_Tot_Points)))</f>
        <v>49</v>
      </c>
      <c r="T3" s="5" t="str" cm="1">
        <f t="array" ref="T3">IF(SUMPRODUCT((Upload_Team_Team=$A$3)*(Upload_Team_Date=T$2)*(Upload_Team_Tm_Tot_Points))=0,"",SUMPRODUCT((Upload_Team_Team=$A$3)*(Upload_Team_Date=T$2)*(Upload_Team_Tm_Tot_Points)))</f>
        <v/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85" cm="1">
        <f t="array" ref="C4">IF(SUMPRODUCT((Upload_Team_Team=$A$3)*(Upload_Team_Date=C$2)*(Upload_Team_Tm_Net))=0,"",SUMPRODUCT((Upload_Team_Team=$A$3)*(Upload_Team_Date=C$2)*(Upload_Team_Tm_Net)))</f>
        <v>171</v>
      </c>
      <c r="D4" s="85" cm="1">
        <f t="array" ref="D4">IF(SUMPRODUCT((Upload_Team_Team=$A$3)*(Upload_Team_Date=D$2)*(Upload_Team_Tm_Net))=0,"",SUMPRODUCT((Upload_Team_Team=$A$3)*(Upload_Team_Date=D$2)*(Upload_Team_Tm_Net)))</f>
        <v>162</v>
      </c>
      <c r="E4" s="85" cm="1">
        <f t="array" ref="E4">IF(SUMPRODUCT((Upload_Team_Team=$A$3)*(Upload_Team_Date=E$2)*(Upload_Team_Tm_Net))=0,"",SUMPRODUCT((Upload_Team_Team=$A$3)*(Upload_Team_Date=E$2)*(Upload_Team_Tm_Net)))</f>
        <v>164</v>
      </c>
      <c r="F4" s="85" cm="1">
        <f t="array" ref="F4">IF(SUMPRODUCT((Upload_Team_Team=$A$3)*(Upload_Team_Date=F$2)*(Upload_Team_Tm_Net))=0,"",SUMPRODUCT((Upload_Team_Team=$A$3)*(Upload_Team_Date=F$2)*(Upload_Team_Tm_Net)))</f>
        <v>159</v>
      </c>
      <c r="G4" s="85" cm="1">
        <f t="array" ref="G4">IF(SUMPRODUCT((Upload_Team_Team=$A$3)*(Upload_Team_Date=G$2)*(Upload_Team_Tm_Net))=0,"",SUMPRODUCT((Upload_Team_Team=$A$3)*(Upload_Team_Date=G$2)*(Upload_Team_Tm_Net)))</f>
        <v>168</v>
      </c>
      <c r="H4" s="85" cm="1">
        <f t="array" ref="H4">IF(SUMPRODUCT((Upload_Team_Team=$A$3)*(Upload_Team_Date=H$2)*(Upload_Team_Tm_Net))=0,"",SUMPRODUCT((Upload_Team_Team=$A$3)*(Upload_Team_Date=H$2)*(Upload_Team_Tm_Net)))</f>
        <v>155</v>
      </c>
      <c r="I4" s="85" cm="1">
        <f t="array" ref="I4">IF(SUMPRODUCT((Upload_Team_Team=$A$3)*(Upload_Team_Date=I$2)*(Upload_Team_Tm_Net))=0,"",SUMPRODUCT((Upload_Team_Team=$A$3)*(Upload_Team_Date=I$2)*(Upload_Team_Tm_Net)))</f>
        <v>158</v>
      </c>
      <c r="J4" s="85" t="str" cm="1">
        <f t="array" ref="J4">IF(SUMPRODUCT((Upload_Team_Team=$A$3)*(Upload_Team_Date=J$2)*(Upload_Team_Tm_Net))=0,"",SUMPRODUCT((Upload_Team_Team=$A$3)*(Upload_Team_Date=J$2)*(Upload_Team_Tm_Net)))</f>
        <v/>
      </c>
      <c r="K4" s="85" cm="1">
        <f t="array" ref="K4">IF(SUMPRODUCT((Upload_Team_Team=$A$3)*(Upload_Team_Date=K$2)*(Upload_Team_Tm_Net))=0,"",SUMPRODUCT((Upload_Team_Team=$A$3)*(Upload_Team_Date=K$2)*(Upload_Team_Tm_Net)))</f>
        <v>158</v>
      </c>
      <c r="L4" s="85" cm="1">
        <f t="array" ref="L4">IF(SUMPRODUCT((Upload_Team_Team=$A$3)*(Upload_Team_Date=L$2)*(Upload_Team_Tm_Net))=0,"",SUMPRODUCT((Upload_Team_Team=$A$3)*(Upload_Team_Date=L$2)*(Upload_Team_Tm_Net)))</f>
        <v>161</v>
      </c>
      <c r="M4" s="85" cm="1">
        <f t="array" ref="M4">IF(SUMPRODUCT((Upload_Team_Team=$A$3)*(Upload_Team_Date=M$2)*(Upload_Team_Tm_Net))=0,"",SUMPRODUCT((Upload_Team_Team=$A$3)*(Upload_Team_Date=M$2)*(Upload_Team_Tm_Net)))</f>
        <v>150</v>
      </c>
      <c r="N4" s="85" t="str" cm="1">
        <f t="array" ref="N4">IF(SUMPRODUCT((Upload_Team_Team=$A$3)*(Upload_Team_Date=N$2)*(Upload_Team_Tm_Net))=0,"",SUMPRODUCT((Upload_Team_Team=$A$3)*(Upload_Team_Date=N$2)*(Upload_Team_Tm_Net)))</f>
        <v/>
      </c>
      <c r="O4" s="85" cm="1">
        <f t="array" ref="O4">IF(SUMPRODUCT((Upload_Team_Team=$A$3)*(Upload_Team_Date=O$2)*(Upload_Team_Tm_Net))=0,"",SUMPRODUCT((Upload_Team_Team=$A$3)*(Upload_Team_Date=O$2)*(Upload_Team_Tm_Net)))</f>
        <v>115</v>
      </c>
      <c r="P4" s="85" cm="1">
        <f t="array" ref="P4">IF(SUMPRODUCT((Upload_Team_Team=$A$3)*(Upload_Team_Date=P$2)*(Upload_Team_Tm_Net))=0,"",SUMPRODUCT((Upload_Team_Team=$A$3)*(Upload_Team_Date=P$2)*(Upload_Team_Tm_Net)))</f>
        <v>166</v>
      </c>
      <c r="Q4" s="85" cm="1">
        <f t="array" ref="Q4">IF(SUMPRODUCT((Upload_Team_Team=$A$3)*(Upload_Team_Date=Q$2)*(Upload_Team_Tm_Net))=0,"",SUMPRODUCT((Upload_Team_Team=$A$3)*(Upload_Team_Date=Q$2)*(Upload_Team_Tm_Net)))</f>
        <v>82</v>
      </c>
      <c r="R4" s="85" cm="1">
        <f t="array" ref="R4">IF(SUMPRODUCT((Upload_Team_Team=$A$3)*(Upload_Team_Date=R$2)*(Upload_Team_Tm_Net))=0,"",SUMPRODUCT((Upload_Team_Team=$A$3)*(Upload_Team_Date=R$2)*(Upload_Team_Tm_Net)))</f>
        <v>141</v>
      </c>
      <c r="S4" s="85" cm="1">
        <f t="array" ref="S4">IF(SUMPRODUCT((Upload_Team_Team=$A$3)*(Upload_Team_Date=S$2)*(Upload_Team_Tm_Net))=0,"",SUMPRODUCT((Upload_Team_Team=$A$3)*(Upload_Team_Date=S$2)*(Upload_Team_Tm_Net)))</f>
        <v>151</v>
      </c>
      <c r="T4" s="85" t="str" cm="1">
        <f t="array" ref="T4">IF(SUMPRODUCT((Upload_Team_Team=$A$3)*(Upload_Team_Date=T$2)*(Upload_Team_Tm_Net))=0,"",SUMPRODUCT((Upload_Team_Team=$A$3)*(Upload_Team_Date=T$2)*(Upload_Team_Tm_Net)))</f>
        <v/>
      </c>
      <c r="U4" s="85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03" t="s">
        <v>484</v>
      </c>
      <c r="B5" s="3" t="s">
        <v>170</v>
      </c>
      <c r="C5" s="2" cm="1">
        <f t="array" ref="C5">IF(SUMPRODUCT((Upload_Indiv_Player=$A5)*(Upload_Indiv_Date=C$2)*(Upload_Indiv_Gross))=0,"",SUMPRODUCT((Upload_Indiv_Player=$A5)*(Upload_Indiv_Date=C$2)*(Upload_Indiv_Gross)))</f>
        <v>64</v>
      </c>
      <c r="D5" s="2" cm="1">
        <f t="array" ref="D5">IF(SUMPRODUCT((Upload_Indiv_Player=$A5)*(Upload_Indiv_Date=D$2)*(Upload_Indiv_Gross))=0,"",SUMPRODUCT((Upload_Indiv_Player=$A5)*(Upload_Indiv_Date=D$2)*(Upload_Indiv_Gross)))</f>
        <v>60</v>
      </c>
      <c r="E5" s="2" cm="1">
        <f t="array" ref="E5">IF(SUMPRODUCT((Upload_Indiv_Player=$A5)*(Upload_Indiv_Date=E$2)*(Upload_Indiv_Gross))=0,"",SUMPRODUCT((Upload_Indiv_Player=$A5)*(Upload_Indiv_Date=E$2)*(Upload_Indiv_Gross)))</f>
        <v>57</v>
      </c>
      <c r="F5" s="2" cm="1">
        <f t="array" ref="F5">IF(SUMPRODUCT((Upload_Indiv_Player=$A5)*(Upload_Indiv_Date=F$2)*(Upload_Indiv_Gross))=0,"",SUMPRODUCT((Upload_Indiv_Player=$A5)*(Upload_Indiv_Date=F$2)*(Upload_Indiv_Gross)))</f>
        <v>51</v>
      </c>
      <c r="G5" s="2" cm="1">
        <f t="array" ref="G5">IF(SUMPRODUCT((Upload_Indiv_Player=$A5)*(Upload_Indiv_Date=G$2)*(Upload_Indiv_Gross))=0,"",SUMPRODUCT((Upload_Indiv_Player=$A5)*(Upload_Indiv_Date=G$2)*(Upload_Indiv_Gross)))</f>
        <v>55</v>
      </c>
      <c r="H5" s="2" cm="1">
        <f t="array" ref="H5">IF(SUMPRODUCT((Upload_Indiv_Player=$A5)*(Upload_Indiv_Date=H$2)*(Upload_Indiv_Gross))=0,"",SUMPRODUCT((Upload_Indiv_Player=$A5)*(Upload_Indiv_Date=H$2)*(Upload_Indiv_Gross)))</f>
        <v>56</v>
      </c>
      <c r="I5" s="2" cm="1">
        <f t="array" ref="I5">IF(SUMPRODUCT((Upload_Indiv_Player=$A5)*(Upload_Indiv_Date=I$2)*(Upload_Indiv_Gross))=0,"",SUMPRODUCT((Upload_Indiv_Player=$A5)*(Upload_Indiv_Date=I$2)*(Upload_Indiv_Gross)))</f>
        <v>51</v>
      </c>
      <c r="J5" s="2" t="str" cm="1">
        <f t="array" ref="J5">IF(SUMPRODUCT((Upload_Indiv_Player=$A5)*(Upload_Indiv_Date=J$2)*(Upload_Indiv_Gross))=0,"",SUMPRODUCT((Upload_Indiv_Player=$A5)*(Upload_Indiv_Date=J$2)*(Upload_Indiv_Gross)))</f>
        <v/>
      </c>
      <c r="K5" s="2" cm="1">
        <f t="array" ref="K5">IF(SUMPRODUCT((Upload_Indiv_Player=$A5)*(Upload_Indiv_Date=K$2)*(Upload_Indiv_Gross))=0,"",SUMPRODUCT((Upload_Indiv_Player=$A5)*(Upload_Indiv_Date=K$2)*(Upload_Indiv_Gross)))</f>
        <v>55</v>
      </c>
      <c r="L5" s="2" cm="1">
        <f t="array" ref="L5">IF(SUMPRODUCT((Upload_Indiv_Player=$A5)*(Upload_Indiv_Date=L$2)*(Upload_Indiv_Gross))=0,"",SUMPRODUCT((Upload_Indiv_Player=$A5)*(Upload_Indiv_Date=L$2)*(Upload_Indiv_Gross)))</f>
        <v>54</v>
      </c>
      <c r="M5" s="2" cm="1">
        <f t="array" ref="M5">IF(SUMPRODUCT((Upload_Indiv_Player=$A5)*(Upload_Indiv_Date=M$2)*(Upload_Indiv_Gross))=0,"",SUMPRODUCT((Upload_Indiv_Player=$A5)*(Upload_Indiv_Date=M$2)*(Upload_Indiv_Gross)))</f>
        <v>53</v>
      </c>
      <c r="N5" s="2" t="str" cm="1">
        <f t="array" ref="N5">IF(SUMPRODUCT((Upload_Indiv_Player=$A5)*(Upload_Indiv_Date=N$2)*(Upload_Indiv_Gross))=0,"",SUMPRODUCT((Upload_Indiv_Player=$A5)*(Upload_Indiv_Date=N$2)*(Upload_Indiv_Gross)))</f>
        <v/>
      </c>
      <c r="O5" s="2" cm="1">
        <f t="array" ref="O5">IF(SUMPRODUCT((Upload_Indiv_Player=$A5)*(Upload_Indiv_Date=O$2)*(Upload_Indiv_Gross))=0,"",SUMPRODUCT((Upload_Indiv_Player=$A5)*(Upload_Indiv_Date=O$2)*(Upload_Indiv_Gross)))</f>
        <v>58</v>
      </c>
      <c r="P5" s="2" cm="1">
        <f t="array" ref="P5">IF(SUMPRODUCT((Upload_Indiv_Player=$A5)*(Upload_Indiv_Date=P$2)*(Upload_Indiv_Gross))=0,"",SUMPRODUCT((Upload_Indiv_Player=$A5)*(Upload_Indiv_Date=P$2)*(Upload_Indiv_Gross)))</f>
        <v>61</v>
      </c>
      <c r="Q5" s="2" cm="1">
        <f t="array" ref="Q5">IF(SUMPRODUCT((Upload_Indiv_Player=$A5)*(Upload_Indiv_Date=Q$2)*(Upload_Indiv_Gross))=0,"",SUMPRODUCT((Upload_Indiv_Player=$A5)*(Upload_Indiv_Date=Q$2)*(Upload_Indiv_Gross)))</f>
        <v>46</v>
      </c>
      <c r="R5" s="2" cm="1">
        <f t="array" ref="R5">IF(SUMPRODUCT((Upload_Indiv_Player=$A5)*(Upload_Indiv_Date=R$2)*(Upload_Indiv_Gross))=0,"",SUMPRODUCT((Upload_Indiv_Player=$A5)*(Upload_Indiv_Date=R$2)*(Upload_Indiv_Gross)))</f>
        <v>54</v>
      </c>
      <c r="S5" s="2" cm="1">
        <f t="array" ref="S5">IF(SUMPRODUCT((Upload_Indiv_Player=$A5)*(Upload_Indiv_Date=S$2)*(Upload_Indiv_Gross))=0,"",SUMPRODUCT((Upload_Indiv_Player=$A5)*(Upload_Indiv_Date=S$2)*(Upload_Indiv_Gross)))</f>
        <v>49</v>
      </c>
      <c r="T5" s="2" t="str" cm="1">
        <f t="array" ref="T5">IF(SUMPRODUCT((Upload_Indiv_Player=$A5)*(Upload_Indiv_Date=T$2)*(Upload_Indiv_Gross))=0,"",SUMPRODUCT((Upload_Indiv_Player=$A5)*(Upload_Indiv_Date=T$2)*(Upload_Indiv_Gross)))</f>
        <v/>
      </c>
      <c r="U5" s="2">
        <v>53</v>
      </c>
      <c r="V5" s="273">
        <v>0</v>
      </c>
      <c r="W5" s="273"/>
      <c r="X5" s="273"/>
      <c r="Y5" s="277"/>
      <c r="Z5" s="277"/>
      <c r="AA5" s="277"/>
    </row>
    <row r="6" spans="1:27" x14ac:dyDescent="0.25">
      <c r="A6" s="304">
        <v>4408044000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44</v>
      </c>
      <c r="D6" s="2" cm="1">
        <f t="array" ref="D6">IF(SUMPRODUCT((Upload_Indiv_Player=$A5)*(Upload_Indiv_Date=D$2)*(Upload_Indiv_Net))=0,"",SUMPRODUCT((Upload_Indiv_Player=$A5)*(Upload_Indiv_Date=D$2)*(Upload_Indiv_Net)))</f>
        <v>40</v>
      </c>
      <c r="E6" s="2" cm="1">
        <f t="array" ref="E6">IF(SUMPRODUCT((Upload_Indiv_Player=$A5)*(Upload_Indiv_Date=E$2)*(Upload_Indiv_Net))=0,"",SUMPRODUCT((Upload_Indiv_Player=$A5)*(Upload_Indiv_Date=E$2)*(Upload_Indiv_Net)))</f>
        <v>37</v>
      </c>
      <c r="F6" s="2" cm="1">
        <f t="array" ref="F6">IF(SUMPRODUCT((Upload_Indiv_Player=$A5)*(Upload_Indiv_Date=F$2)*(Upload_Indiv_Net))=0,"",SUMPRODUCT((Upload_Indiv_Player=$A5)*(Upload_Indiv_Date=F$2)*(Upload_Indiv_Net)))</f>
        <v>37</v>
      </c>
      <c r="G6" s="2" cm="1">
        <f t="array" ref="G6">IF(SUMPRODUCT((Upload_Indiv_Player=$A5)*(Upload_Indiv_Date=G$2)*(Upload_Indiv_Net))=0,"",SUMPRODUCT((Upload_Indiv_Player=$A5)*(Upload_Indiv_Date=G$2)*(Upload_Indiv_Net)))</f>
        <v>41</v>
      </c>
      <c r="H6" s="2" cm="1">
        <f t="array" ref="H6">IF(SUMPRODUCT((Upload_Indiv_Player=$A5)*(Upload_Indiv_Date=H$2)*(Upload_Indiv_Net))=0,"",SUMPRODUCT((Upload_Indiv_Player=$A5)*(Upload_Indiv_Date=H$2)*(Upload_Indiv_Net)))</f>
        <v>42</v>
      </c>
      <c r="I6" s="2" cm="1">
        <f t="array" ref="I6">IF(SUMPRODUCT((Upload_Indiv_Player=$A5)*(Upload_Indiv_Date=I$2)*(Upload_Indiv_Net))=0,"",SUMPRODUCT((Upload_Indiv_Player=$A5)*(Upload_Indiv_Date=I$2)*(Upload_Indiv_Net)))</f>
        <v>35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39</v>
      </c>
      <c r="L6" s="2" cm="1">
        <f t="array" ref="L6">IF(SUMPRODUCT((Upload_Indiv_Player=$A5)*(Upload_Indiv_Date=L$2)*(Upload_Indiv_Net))=0,"",SUMPRODUCT((Upload_Indiv_Player=$A5)*(Upload_Indiv_Date=L$2)*(Upload_Indiv_Net)))</f>
        <v>38</v>
      </c>
      <c r="M6" s="2" cm="1">
        <f t="array" ref="M6">IF(SUMPRODUCT((Upload_Indiv_Player=$A5)*(Upload_Indiv_Date=M$2)*(Upload_Indiv_Net))=0,"",SUMPRODUCT((Upload_Indiv_Player=$A5)*(Upload_Indiv_Date=M$2)*(Upload_Indiv_Net)))</f>
        <v>37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42</v>
      </c>
      <c r="P6" s="2" cm="1">
        <f t="array" ref="P6">IF(SUMPRODUCT((Upload_Indiv_Player=$A5)*(Upload_Indiv_Date=P$2)*(Upload_Indiv_Net))=0,"",SUMPRODUCT((Upload_Indiv_Player=$A5)*(Upload_Indiv_Date=P$2)*(Upload_Indiv_Net)))</f>
        <v>45</v>
      </c>
      <c r="Q6" s="2" cm="1">
        <f t="array" ref="Q6">IF(SUMPRODUCT((Upload_Indiv_Player=$A5)*(Upload_Indiv_Date=Q$2)*(Upload_Indiv_Net))=0,"",SUMPRODUCT((Upload_Indiv_Player=$A5)*(Upload_Indiv_Date=Q$2)*(Upload_Indiv_Net)))</f>
        <v>30</v>
      </c>
      <c r="R6" s="2" cm="1">
        <f t="array" ref="R6">IF(SUMPRODUCT((Upload_Indiv_Player=$A5)*(Upload_Indiv_Date=R$2)*(Upload_Indiv_Net))=0,"",SUMPRODUCT((Upload_Indiv_Player=$A5)*(Upload_Indiv_Date=R$2)*(Upload_Indiv_Net)))</f>
        <v>38</v>
      </c>
      <c r="S6" s="2" cm="1">
        <f t="array" ref="S6">IF(SUMPRODUCT((Upload_Indiv_Player=$A5)*(Upload_Indiv_Date=S$2)*(Upload_Indiv_Net))=0,"",SUMPRODUCT((Upload_Indiv_Player=$A5)*(Upload_Indiv_Date=S$2)*(Upload_Indiv_Net)))</f>
        <v>33</v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>
        <v>37</v>
      </c>
      <c r="V6" s="279"/>
      <c r="W6" s="276"/>
      <c r="X6" s="276"/>
      <c r="Y6" s="277"/>
      <c r="Z6" s="277"/>
      <c r="AA6" s="277"/>
    </row>
    <row r="7" spans="1:27" x14ac:dyDescent="0.25">
      <c r="A7" s="305" t="s">
        <v>462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9</v>
      </c>
      <c r="D7" s="2" cm="1">
        <f t="array" ref="D7">IF(SUMPRODUCT((Upload_Indiv_Player=$A5)*(Upload_Indiv_Date=D$2)*(Upload_Indiv_PointsTot))=0,"",SUMPRODUCT((Upload_Indiv_Player=$A5)*(Upload_Indiv_Date=D$2)*(Upload_Indiv_PointsTot)))</f>
        <v>13</v>
      </c>
      <c r="E7" s="2" cm="1">
        <f t="array" ref="E7">IF(SUMPRODUCT((Upload_Indiv_Player=$A5)*(Upload_Indiv_Date=E$2)*(Upload_Indiv_PointsTot))=0,"",SUMPRODUCT((Upload_Indiv_Player=$A5)*(Upload_Indiv_Date=E$2)*(Upload_Indiv_PointsTot)))</f>
        <v>15</v>
      </c>
      <c r="F7" s="2" cm="1">
        <f t="array" ref="F7">IF(SUMPRODUCT((Upload_Indiv_Player=$A5)*(Upload_Indiv_Date=F$2)*(Upload_Indiv_PointsTot))=0,"",SUMPRODUCT((Upload_Indiv_Player=$A5)*(Upload_Indiv_Date=F$2)*(Upload_Indiv_PointsTot)))</f>
        <v>9</v>
      </c>
      <c r="G7" s="2" cm="1">
        <f t="array" ref="G7">IF(SUMPRODUCT((Upload_Indiv_Player=$A5)*(Upload_Indiv_Date=G$2)*(Upload_Indiv_PointsTot))=0,"",SUMPRODUCT((Upload_Indiv_Player=$A5)*(Upload_Indiv_Date=G$2)*(Upload_Indiv_PointsTot)))</f>
        <v>9</v>
      </c>
      <c r="H7" s="2" cm="1">
        <f t="array" ref="H7">IF(SUMPRODUCT((Upload_Indiv_Player=$A5)*(Upload_Indiv_Date=H$2)*(Upload_Indiv_PointsTot))=0,"",SUMPRODUCT((Upload_Indiv_Player=$A5)*(Upload_Indiv_Date=H$2)*(Upload_Indiv_PointsTot)))</f>
        <v>11</v>
      </c>
      <c r="I7" s="2" cm="1">
        <f t="array" ref="I7">IF(SUMPRODUCT((Upload_Indiv_Player=$A5)*(Upload_Indiv_Date=I$2)*(Upload_Indiv_PointsTot))=0,"",SUMPRODUCT((Upload_Indiv_Player=$A5)*(Upload_Indiv_Date=I$2)*(Upload_Indiv_PointsTot)))</f>
        <v>13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11</v>
      </c>
      <c r="L7" s="2" cm="1">
        <f t="array" ref="L7">IF(SUMPRODUCT((Upload_Indiv_Player=$A5)*(Upload_Indiv_Date=L$2)*(Upload_Indiv_PointsTot))=0,"",SUMPRODUCT((Upload_Indiv_Player=$A5)*(Upload_Indiv_Date=L$2)*(Upload_Indiv_PointsTot)))</f>
        <v>8</v>
      </c>
      <c r="M7" s="2" cm="1">
        <f t="array" ref="M7">IF(SUMPRODUCT((Upload_Indiv_Player=$A5)*(Upload_Indiv_Date=M$2)*(Upload_Indiv_PointsTot))=0,"",SUMPRODUCT((Upload_Indiv_Player=$A5)*(Upload_Indiv_Date=M$2)*(Upload_Indiv_PointsTot)))</f>
        <v>7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7</v>
      </c>
      <c r="P7" s="2" cm="1">
        <f t="array" ref="P7">IF(SUMPRODUCT((Upload_Indiv_Player=$A5)*(Upload_Indiv_Date=P$2)*(Upload_Indiv_PointsTot))=0,"",SUMPRODUCT((Upload_Indiv_Player=$A5)*(Upload_Indiv_Date=P$2)*(Upload_Indiv_PointsTot)))</f>
        <v>4</v>
      </c>
      <c r="Q7" s="2" cm="1">
        <f t="array" ref="Q7">IF(SUMPRODUCT((Upload_Indiv_Player=$A5)*(Upload_Indiv_Date=Q$2)*(Upload_Indiv_PointsTot))=0,"",SUMPRODUCT((Upload_Indiv_Player=$A5)*(Upload_Indiv_Date=Q$2)*(Upload_Indiv_PointsTot)))</f>
        <v>12</v>
      </c>
      <c r="R7" s="2" cm="1">
        <f t="array" ref="R7">IF(SUMPRODUCT((Upload_Indiv_Player=$A5)*(Upload_Indiv_Date=R$2)*(Upload_Indiv_PointsTot))=0,"",SUMPRODUCT((Upload_Indiv_Player=$A5)*(Upload_Indiv_Date=R$2)*(Upload_Indiv_PointsTot)))</f>
        <v>11</v>
      </c>
      <c r="S7" s="2" cm="1">
        <f t="array" ref="S7">IF(SUMPRODUCT((Upload_Indiv_Player=$A5)*(Upload_Indiv_Date=S$2)*(Upload_Indiv_PointsTot))=0,"",SUMPRODUCT((Upload_Indiv_Player=$A5)*(Upload_Indiv_Date=S$2)*(Upload_Indiv_PointsTot)))</f>
        <v>16</v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cm="1">
        <f t="array" ref="Q10">IF(SUMPRODUCT((Upload_Indiv_Player=$A5)*(Upload_Indiv_Date=Q$2)*(Upload_Indiv_Excl_Score))=0,"",SUMPRODUCT((Upload_Indiv_Player=$A5)*(Upload_Indiv_Date=Q$2)*(Upload_Indiv_Excl_Score)))</f>
        <v>1</v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t="str" cm="1">
        <f t="array" ref="T10">IF(SUMPRODUCT((Upload_Indiv_Player=$A5)*(Upload_Indiv_Date=T$2)*(Upload_Indiv_Excl_Score))=0,"",SUMPRODUCT((Upload_Indiv_Player=$A5)*(Upload_Indiv_Date=T$2)*(Upload_Indiv_Excl_Score)))</f>
        <v/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l</v>
      </c>
      <c r="D11" s="58" t="str">
        <f t="shared" ref="D11:S11" si="1">IF(D5="", "", IF(D7&gt;=11, "w", IF(D7&lt;=9, "l", "t")))</f>
        <v>w</v>
      </c>
      <c r="E11" s="58" t="str">
        <f t="shared" si="1"/>
        <v>w</v>
      </c>
      <c r="F11" s="58" t="str">
        <f t="shared" si="1"/>
        <v>l</v>
      </c>
      <c r="G11" s="58" t="str">
        <f t="shared" si="1"/>
        <v>l</v>
      </c>
      <c r="H11" s="58" t="str">
        <f t="shared" si="1"/>
        <v>w</v>
      </c>
      <c r="I11" s="58" t="str">
        <f t="shared" si="1"/>
        <v>w</v>
      </c>
      <c r="J11" s="58" t="str">
        <f t="shared" si="1"/>
        <v/>
      </c>
      <c r="K11" s="58" t="str">
        <f t="shared" si="1"/>
        <v>w</v>
      </c>
      <c r="L11" s="58" t="str">
        <f t="shared" si="1"/>
        <v>l</v>
      </c>
      <c r="M11" s="58" t="str">
        <f t="shared" si="1"/>
        <v>l</v>
      </c>
      <c r="N11" s="58" t="str">
        <f t="shared" si="1"/>
        <v/>
      </c>
      <c r="O11" s="58" t="str">
        <f t="shared" si="1"/>
        <v>l</v>
      </c>
      <c r="P11" s="58" t="str">
        <f t="shared" si="1"/>
        <v>l</v>
      </c>
      <c r="Q11" s="58" t="str">
        <f t="shared" si="1"/>
        <v>w</v>
      </c>
      <c r="R11" s="58" t="str">
        <f t="shared" si="1"/>
        <v>w</v>
      </c>
      <c r="S11" s="58" t="str">
        <f t="shared" si="1"/>
        <v>w</v>
      </c>
      <c r="T11" s="58" t="str">
        <f>IF(T5="", "", IF(T7&gt;=11, "w", IF(T7&lt;=9, "l", "t")))</f>
        <v/>
      </c>
      <c r="U11" s="58" t="str">
        <f>IF(U5="", "", IF(U7&gt;=11, "w", IF(U7&lt;=9, "l", "t")))</f>
        <v>w</v>
      </c>
      <c r="V11" s="276"/>
      <c r="W11" s="276"/>
      <c r="X11" s="276"/>
      <c r="Y11" s="277"/>
      <c r="Z11" s="277"/>
      <c r="AA11" s="277"/>
    </row>
    <row r="12" spans="1:27" x14ac:dyDescent="0.25">
      <c r="A12" s="303" t="s">
        <v>485</v>
      </c>
      <c r="B12" s="3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59</v>
      </c>
      <c r="D12" s="3" t="str" cm="1">
        <f t="array" ref="D12">IF(SUMPRODUCT((Upload_Indiv_Player=$A12)*(Upload_Indiv_Date=D$2)*(Upload_Indiv_Gross))=0,"",SUMPRODUCT((Upload_Indiv_Player=$A12)*(Upload_Indiv_Date=D$2)*(Upload_Indiv_Gross)))</f>
        <v/>
      </c>
      <c r="E12" s="3" cm="1">
        <f t="array" ref="E12">IF(SUMPRODUCT((Upload_Indiv_Player=$A12)*(Upload_Indiv_Date=E$2)*(Upload_Indiv_Gross))=0,"",SUMPRODUCT((Upload_Indiv_Player=$A12)*(Upload_Indiv_Date=E$2)*(Upload_Indiv_Gross)))</f>
        <v>52</v>
      </c>
      <c r="F12" s="3" t="str" cm="1">
        <f t="array" ref="F12">IF(SUMPRODUCT((Upload_Indiv_Player=$A12)*(Upload_Indiv_Date=F$2)*(Upload_Indiv_Gross))=0,"",SUMPRODUCT((Upload_Indiv_Player=$A12)*(Upload_Indiv_Date=F$2)*(Upload_Indiv_Gross)))</f>
        <v/>
      </c>
      <c r="G12" s="3" t="str" cm="1">
        <f t="array" ref="G12">IF(SUMPRODUCT((Upload_Indiv_Player=$A12)*(Upload_Indiv_Date=G$2)*(Upload_Indiv_Gross))=0,"",SUMPRODUCT((Upload_Indiv_Player=$A12)*(Upload_Indiv_Date=G$2)*(Upload_Indiv_Gross)))</f>
        <v/>
      </c>
      <c r="H12" s="3" cm="1">
        <f t="array" ref="H12">IF(SUMPRODUCT((Upload_Indiv_Player=$A12)*(Upload_Indiv_Date=H$2)*(Upload_Indiv_Gross))=0,"",SUMPRODUCT((Upload_Indiv_Player=$A12)*(Upload_Indiv_Date=H$2)*(Upload_Indiv_Gross)))</f>
        <v>53</v>
      </c>
      <c r="I12" s="3" cm="1">
        <f t="array" ref="I12">IF(SUMPRODUCT((Upload_Indiv_Player=$A12)*(Upload_Indiv_Date=I$2)*(Upload_Indiv_Gross))=0,"",SUMPRODUCT((Upload_Indiv_Player=$A12)*(Upload_Indiv_Date=I$2)*(Upload_Indiv_Gross)))</f>
        <v>45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48</v>
      </c>
      <c r="L12" s="3" cm="1">
        <f t="array" ref="L12">IF(SUMPRODUCT((Upload_Indiv_Player=$A12)*(Upload_Indiv_Date=L$2)*(Upload_Indiv_Gross))=0,"",SUMPRODUCT((Upload_Indiv_Player=$A12)*(Upload_Indiv_Date=L$2)*(Upload_Indiv_Gross)))</f>
        <v>47</v>
      </c>
      <c r="M12" s="3" cm="1">
        <f t="array" ref="M12">IF(SUMPRODUCT((Upload_Indiv_Player=$A12)*(Upload_Indiv_Date=M$2)*(Upload_Indiv_Gross))=0,"",SUMPRODUCT((Upload_Indiv_Player=$A12)*(Upload_Indiv_Date=M$2)*(Upload_Indiv_Gross)))</f>
        <v>48</v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45</v>
      </c>
      <c r="P12" s="3" cm="1">
        <f t="array" ref="P12">IF(SUMPRODUCT((Upload_Indiv_Player=$A12)*(Upload_Indiv_Date=P$2)*(Upload_Indiv_Gross))=0,"",SUMPRODUCT((Upload_Indiv_Player=$A12)*(Upload_Indiv_Date=P$2)*(Upload_Indiv_Gross)))</f>
        <v>55</v>
      </c>
      <c r="Q12" s="2" cm="1">
        <f t="array" ref="Q12">IF(SUMPRODUCT((Upload_Indiv_Player=$A12)*(Upload_Indiv_Date=Q$2)*(Upload_Indiv_Gross))=0,"",SUMPRODUCT((Upload_Indiv_Player=$A12)*(Upload_Indiv_Date=Q$2)*(Upload_Indiv_Gross)))</f>
        <v>53</v>
      </c>
      <c r="R12" s="2" cm="1">
        <f t="array" ref="R12">IF(SUMPRODUCT((Upload_Indiv_Player=$A12)*(Upload_Indiv_Date=R$2)*(Upload_Indiv_Gross))=0,"",SUMPRODUCT((Upload_Indiv_Player=$A12)*(Upload_Indiv_Date=R$2)*(Upload_Indiv_Gross)))</f>
        <v>48</v>
      </c>
      <c r="S12" s="2" cm="1">
        <f t="array" ref="S12">IF(SUMPRODUCT((Upload_Indiv_Player=$A12)*(Upload_Indiv_Date=S$2)*(Upload_Indiv_Gross))=0,"",SUMPRODUCT((Upload_Indiv_Player=$A12)*(Upload_Indiv_Date=S$2)*(Upload_Indiv_Gross)))</f>
        <v>50</v>
      </c>
      <c r="T12" s="2" t="str" cm="1">
        <f t="array" ref="T12">IF(SUMPRODUCT((Upload_Indiv_Player=$A12)*(Upload_Indiv_Date=T$2)*(Upload_Indiv_Gross))=0,"",SUMPRODUCT((Upload_Indiv_Player=$A12)*(Upload_Indiv_Date=T$2)*(Upload_Indiv_Gross)))</f>
        <v/>
      </c>
      <c r="U12" s="2">
        <v>54</v>
      </c>
      <c r="V12" s="273">
        <v>0</v>
      </c>
      <c r="W12" s="273"/>
      <c r="X12" s="273"/>
      <c r="Y12" s="277"/>
      <c r="Z12" s="277"/>
      <c r="AA12" s="277"/>
    </row>
    <row r="13" spans="1:27" x14ac:dyDescent="0.25">
      <c r="A13" s="304">
        <v>3303277678</v>
      </c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39</v>
      </c>
      <c r="D13" s="2" t="str" cm="1">
        <f t="array" ref="D13">IF(SUMPRODUCT((Upload_Indiv_Player=$A12)*(Upload_Indiv_Date=D$2)*(Upload_Indiv_Net))=0,"",SUMPRODUCT((Upload_Indiv_Player=$A12)*(Upload_Indiv_Date=D$2)*(Upload_Indiv_Net)))</f>
        <v/>
      </c>
      <c r="E13" s="2" cm="1">
        <f t="array" ref="E13">IF(SUMPRODUCT((Upload_Indiv_Player=$A12)*(Upload_Indiv_Date=E$2)*(Upload_Indiv_Net))=0,"",SUMPRODUCT((Upload_Indiv_Player=$A12)*(Upload_Indiv_Date=E$2)*(Upload_Indiv_Net)))</f>
        <v>38</v>
      </c>
      <c r="F13" s="2" t="str" cm="1">
        <f t="array" ref="F13">IF(SUMPRODUCT((Upload_Indiv_Player=$A12)*(Upload_Indiv_Date=F$2)*(Upload_Indiv_Net))=0,"",SUMPRODUCT((Upload_Indiv_Player=$A12)*(Upload_Indiv_Date=F$2)*(Upload_Indiv_Net)))</f>
        <v/>
      </c>
      <c r="G13" s="2" t="str" cm="1">
        <f t="array" ref="G13">IF(SUMPRODUCT((Upload_Indiv_Player=$A12)*(Upload_Indiv_Date=G$2)*(Upload_Indiv_Net))=0,"",SUMPRODUCT((Upload_Indiv_Player=$A12)*(Upload_Indiv_Date=G$2)*(Upload_Indiv_Net)))</f>
        <v/>
      </c>
      <c r="H13" s="2" cm="1">
        <f t="array" ref="H13">IF(SUMPRODUCT((Upload_Indiv_Player=$A12)*(Upload_Indiv_Date=H$2)*(Upload_Indiv_Net))=0,"",SUMPRODUCT((Upload_Indiv_Player=$A12)*(Upload_Indiv_Date=H$2)*(Upload_Indiv_Net)))</f>
        <v>38</v>
      </c>
      <c r="I13" s="2" cm="1">
        <f t="array" ref="I13">IF(SUMPRODUCT((Upload_Indiv_Player=$A12)*(Upload_Indiv_Date=I$2)*(Upload_Indiv_Net))=0,"",SUMPRODUCT((Upload_Indiv_Player=$A12)*(Upload_Indiv_Date=I$2)*(Upload_Indiv_Net)))</f>
        <v>36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39</v>
      </c>
      <c r="L13" s="2" cm="1">
        <f t="array" ref="L13">IF(SUMPRODUCT((Upload_Indiv_Player=$A12)*(Upload_Indiv_Date=L$2)*(Upload_Indiv_Net))=0,"",SUMPRODUCT((Upload_Indiv_Player=$A12)*(Upload_Indiv_Date=L$2)*(Upload_Indiv_Net)))</f>
        <v>38</v>
      </c>
      <c r="M13" s="2" cm="1">
        <f t="array" ref="M13">IF(SUMPRODUCT((Upload_Indiv_Player=$A12)*(Upload_Indiv_Date=M$2)*(Upload_Indiv_Net))=0,"",SUMPRODUCT((Upload_Indiv_Player=$A12)*(Upload_Indiv_Date=M$2)*(Upload_Indiv_Net)))</f>
        <v>38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35</v>
      </c>
      <c r="P13" s="2" cm="1">
        <f t="array" ref="P13">IF(SUMPRODUCT((Upload_Indiv_Player=$A12)*(Upload_Indiv_Date=P$2)*(Upload_Indiv_Net))=0,"",SUMPRODUCT((Upload_Indiv_Player=$A12)*(Upload_Indiv_Date=P$2)*(Upload_Indiv_Net)))</f>
        <v>45</v>
      </c>
      <c r="Q13" s="2" cm="1">
        <f t="array" ref="Q13">IF(SUMPRODUCT((Upload_Indiv_Player=$A12)*(Upload_Indiv_Date=Q$2)*(Upload_Indiv_Net))=0,"",SUMPRODUCT((Upload_Indiv_Player=$A12)*(Upload_Indiv_Date=Q$2)*(Upload_Indiv_Net)))</f>
        <v>43</v>
      </c>
      <c r="R13" s="2" cm="1">
        <f t="array" ref="R13">IF(SUMPRODUCT((Upload_Indiv_Player=$A12)*(Upload_Indiv_Date=R$2)*(Upload_Indiv_Net))=0,"",SUMPRODUCT((Upload_Indiv_Player=$A12)*(Upload_Indiv_Date=R$2)*(Upload_Indiv_Net)))</f>
        <v>38</v>
      </c>
      <c r="S13" s="2" cm="1">
        <f t="array" ref="S13">IF(SUMPRODUCT((Upload_Indiv_Player=$A12)*(Upload_Indiv_Date=S$2)*(Upload_Indiv_Net))=0,"",SUMPRODUCT((Upload_Indiv_Player=$A12)*(Upload_Indiv_Date=S$2)*(Upload_Indiv_Net)))</f>
        <v>40</v>
      </c>
      <c r="T13" s="2" t="str" cm="1">
        <f t="array" ref="T13">IF(SUMPRODUCT((Upload_Indiv_Player=$A12)*(Upload_Indiv_Date=T$2)*(Upload_Indiv_Net))=0,"",SUMPRODUCT((Upload_Indiv_Player=$A12)*(Upload_Indiv_Date=T$2)*(Upload_Indiv_Net)))</f>
        <v/>
      </c>
      <c r="U13" s="2">
        <v>44</v>
      </c>
      <c r="V13" s="279"/>
      <c r="W13" s="276"/>
      <c r="X13" s="276"/>
      <c r="Y13" s="277"/>
      <c r="Z13" s="277"/>
      <c r="AA13" s="277"/>
    </row>
    <row r="14" spans="1:27" x14ac:dyDescent="0.25">
      <c r="A14" s="305" t="s">
        <v>461</v>
      </c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14</v>
      </c>
      <c r="D14" s="2" t="str" cm="1">
        <f t="array" ref="D14">IF(SUMPRODUCT((Upload_Indiv_Player=$A12)*(Upload_Indiv_Date=D$2)*(Upload_Indiv_PointsTot))=0,"",SUMPRODUCT((Upload_Indiv_Player=$A12)*(Upload_Indiv_Date=D$2)*(Upload_Indiv_PointsTot)))</f>
        <v/>
      </c>
      <c r="E14" s="2" cm="1">
        <f t="array" ref="E14">IF(SUMPRODUCT((Upload_Indiv_Player=$A12)*(Upload_Indiv_Date=E$2)*(Upload_Indiv_PointsTot))=0,"",SUMPRODUCT((Upload_Indiv_Player=$A12)*(Upload_Indiv_Date=E$2)*(Upload_Indiv_PointsTot)))</f>
        <v>16</v>
      </c>
      <c r="F14" s="2" t="str" cm="1">
        <f t="array" ref="F14">IF(SUMPRODUCT((Upload_Indiv_Player=$A12)*(Upload_Indiv_Date=F$2)*(Upload_Indiv_PointsTot))=0,"",SUMPRODUCT((Upload_Indiv_Player=$A12)*(Upload_Indiv_Date=F$2)*(Upload_Indiv_PointsTot)))</f>
        <v/>
      </c>
      <c r="G14" s="2" t="str" cm="1">
        <f t="array" ref="G14">IF(SUMPRODUCT((Upload_Indiv_Player=$A12)*(Upload_Indiv_Date=G$2)*(Upload_Indiv_PointsTot))=0,"",SUMPRODUCT((Upload_Indiv_Player=$A12)*(Upload_Indiv_Date=G$2)*(Upload_Indiv_PointsTot)))</f>
        <v/>
      </c>
      <c r="H14" s="2" cm="1">
        <f t="array" ref="H14">IF(SUMPRODUCT((Upload_Indiv_Player=$A12)*(Upload_Indiv_Date=H$2)*(Upload_Indiv_PointsTot))=0,"",SUMPRODUCT((Upload_Indiv_Player=$A12)*(Upload_Indiv_Date=H$2)*(Upload_Indiv_PointsTot)))</f>
        <v>8</v>
      </c>
      <c r="I14" s="2" cm="1">
        <f t="array" ref="I14">IF(SUMPRODUCT((Upload_Indiv_Player=$A12)*(Upload_Indiv_Date=I$2)*(Upload_Indiv_PointsTot))=0,"",SUMPRODUCT((Upload_Indiv_Player=$A12)*(Upload_Indiv_Date=I$2)*(Upload_Indiv_PointsTot)))</f>
        <v>12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7</v>
      </c>
      <c r="L14" s="2" cm="1">
        <f t="array" ref="L14">IF(SUMPRODUCT((Upload_Indiv_Player=$A12)*(Upload_Indiv_Date=L$2)*(Upload_Indiv_PointsTot))=0,"",SUMPRODUCT((Upload_Indiv_Player=$A12)*(Upload_Indiv_Date=L$2)*(Upload_Indiv_PointsTot)))</f>
        <v>12</v>
      </c>
      <c r="M14" s="2" cm="1">
        <f t="array" ref="M14">IF(SUMPRODUCT((Upload_Indiv_Player=$A12)*(Upload_Indiv_Date=M$2)*(Upload_Indiv_PointsTot))=0,"",SUMPRODUCT((Upload_Indiv_Player=$A12)*(Upload_Indiv_Date=M$2)*(Upload_Indiv_PointsTot)))</f>
        <v>11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15</v>
      </c>
      <c r="P14" s="2" cm="1">
        <f t="array" ref="P14">IF(SUMPRODUCT((Upload_Indiv_Player=$A12)*(Upload_Indiv_Date=P$2)*(Upload_Indiv_PointsTot))=0,"",SUMPRODUCT((Upload_Indiv_Player=$A12)*(Upload_Indiv_Date=P$2)*(Upload_Indiv_PointsTot)))</f>
        <v>7</v>
      </c>
      <c r="Q14" s="2" cm="1">
        <f t="array" ref="Q14">IF(SUMPRODUCT((Upload_Indiv_Player=$A12)*(Upload_Indiv_Date=Q$2)*(Upload_Indiv_PointsTot))=0,"",SUMPRODUCT((Upload_Indiv_Player=$A12)*(Upload_Indiv_Date=Q$2)*(Upload_Indiv_PointsTot)))</f>
        <v>9</v>
      </c>
      <c r="R14" s="2" cm="1">
        <f t="array" ref="R14">IF(SUMPRODUCT((Upload_Indiv_Player=$A12)*(Upload_Indiv_Date=R$2)*(Upload_Indiv_PointsTot))=0,"",SUMPRODUCT((Upload_Indiv_Player=$A12)*(Upload_Indiv_Date=R$2)*(Upload_Indiv_PointsTot)))</f>
        <v>11</v>
      </c>
      <c r="S14" s="2" cm="1">
        <f t="array" ref="S14">IF(SUMPRODUCT((Upload_Indiv_Player=$A12)*(Upload_Indiv_Date=S$2)*(Upload_Indiv_PointsTot))=0,"",SUMPRODUCT((Upload_Indiv_Player=$A12)*(Upload_Indiv_Date=S$2)*(Upload_Indiv_PointsTot)))</f>
        <v>10</v>
      </c>
      <c r="T14" s="2" t="str" cm="1">
        <f t="array" ref="T14">IF(SUMPRODUCT((Upload_Indiv_Player=$A12)*(Upload_Indiv_Date=T$2)*(Upload_Indiv_PointsTot))=0,"",SUMPRODUCT((Upload_Indiv_Player=$A12)*(Upload_Indiv_Date=T$2)*(Upload_Indiv_PointsTot)))</f>
        <v/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2" t="s">
        <v>174</v>
      </c>
      <c r="C15" s="2" cm="1">
        <f t="array" ref="C15">IF(SUMPRODUCT((Upload_Indiv_Player=$A12)*(Upload_Indiv_Date=C$2)*(Upload_Indiv_Tot_Birds))=0,"",SUMPRODUCT((Upload_Indiv_Player=$A12)*(Upload_Indiv_Date=C$2)*(Upload_Indiv_Tot_Birds)))</f>
        <v>1</v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t="str" cm="1">
        <f t="array" ref="Q17">IF(SUMPRODUCT((Upload_Indiv_Player=$A12)*(Upload_Indiv_Date=Q$2)*(Upload_Indiv_Excl_Score))=0,"",SUMPRODUCT((Upload_Indiv_Player=$A12)*(Upload_Indiv_Date=Q$2)*(Upload_Indiv_Excl_Score)))</f>
        <v/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t="str" cm="1">
        <f t="array" ref="T17">IF(SUMPRODUCT((Upload_Indiv_Player=$A12)*(Upload_Indiv_Date=T$2)*(Upload_Indiv_Excl_Score))=0,"",SUMPRODUCT((Upload_Indiv_Player=$A12)*(Upload_Indiv_Date=T$2)*(Upload_Indiv_Excl_Score)))</f>
        <v/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9"/>
      <c r="B18" s="8" t="s">
        <v>178</v>
      </c>
      <c r="C18" s="58" t="str">
        <f>IF(C12="", "", IF(C14&gt;=11, "w", IF(C14&lt;=9, "l", "t")))</f>
        <v>w</v>
      </c>
      <c r="D18" s="58" t="str">
        <f t="shared" ref="D18:S18" si="2">IF(D12="", "", IF(D14&gt;=11, "w", IF(D14&lt;=9, "l", "t")))</f>
        <v/>
      </c>
      <c r="E18" s="58" t="str">
        <f t="shared" si="2"/>
        <v>w</v>
      </c>
      <c r="F18" s="58" t="str">
        <f t="shared" si="2"/>
        <v/>
      </c>
      <c r="G18" s="58" t="str">
        <f t="shared" si="2"/>
        <v/>
      </c>
      <c r="H18" s="58" t="str">
        <f t="shared" si="2"/>
        <v>l</v>
      </c>
      <c r="I18" s="58" t="str">
        <f t="shared" si="2"/>
        <v>w</v>
      </c>
      <c r="J18" s="58" t="str">
        <f t="shared" si="2"/>
        <v/>
      </c>
      <c r="K18" s="58" t="str">
        <f t="shared" si="2"/>
        <v>l</v>
      </c>
      <c r="L18" s="58" t="str">
        <f t="shared" si="2"/>
        <v>w</v>
      </c>
      <c r="M18" s="58" t="str">
        <f t="shared" si="2"/>
        <v>w</v>
      </c>
      <c r="N18" s="58" t="str">
        <f t="shared" si="2"/>
        <v/>
      </c>
      <c r="O18" s="58" t="str">
        <f t="shared" si="2"/>
        <v>w</v>
      </c>
      <c r="P18" s="58" t="str">
        <f t="shared" si="2"/>
        <v>l</v>
      </c>
      <c r="Q18" s="58" t="str">
        <f t="shared" si="2"/>
        <v>l</v>
      </c>
      <c r="R18" s="58" t="str">
        <f t="shared" si="2"/>
        <v>w</v>
      </c>
      <c r="S18" s="58" t="str">
        <f t="shared" si="2"/>
        <v>t</v>
      </c>
      <c r="T18" s="58" t="str">
        <f>IF(T12="", "", IF(T14&gt;=11, "w", IF(T14&lt;=9, "l", "t")))</f>
        <v/>
      </c>
      <c r="U18" s="58" t="str">
        <f>IF(U12="", "", IF(U14&gt;=11, "w", IF(U14&lt;=9, "l", "t")))</f>
        <v>w</v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265</v>
      </c>
      <c r="B19" s="17" t="s">
        <v>170</v>
      </c>
      <c r="C19" s="3" cm="1">
        <f t="array" ref="C19">IF(SUMPRODUCT((Upload_Indiv_Player=$A19)*(Upload_Indiv_Date=C$2)*(Upload_Indiv_Gross))=0,"",SUMPRODUCT((Upload_Indiv_Player=$A19)*(Upload_Indiv_Date=C$2)*(Upload_Indiv_Gross)))</f>
        <v>61</v>
      </c>
      <c r="D19" s="3" cm="1">
        <f t="array" ref="D19">IF(SUMPRODUCT((Upload_Indiv_Player=$A19)*(Upload_Indiv_Date=D$2)*(Upload_Indiv_Gross))=0,"",SUMPRODUCT((Upload_Indiv_Player=$A19)*(Upload_Indiv_Date=D$2)*(Upload_Indiv_Gross)))</f>
        <v>61</v>
      </c>
      <c r="E19" s="3" cm="1">
        <f t="array" ref="E19">IF(SUMPRODUCT((Upload_Indiv_Player=$A19)*(Upload_Indiv_Date=E$2)*(Upload_Indiv_Gross))=0,"",SUMPRODUCT((Upload_Indiv_Player=$A19)*(Upload_Indiv_Date=E$2)*(Upload_Indiv_Gross)))</f>
        <v>65</v>
      </c>
      <c r="F19" s="3" cm="1">
        <f t="array" ref="F19">IF(SUMPRODUCT((Upload_Indiv_Player=$A19)*(Upload_Indiv_Date=F$2)*(Upload_Indiv_Gross))=0,"",SUMPRODUCT((Upload_Indiv_Player=$A19)*(Upload_Indiv_Date=F$2)*(Upload_Indiv_Gross)))</f>
        <v>60</v>
      </c>
      <c r="G19" s="3" cm="1">
        <f t="array" ref="G19">IF(SUMPRODUCT((Upload_Indiv_Player=$A19)*(Upload_Indiv_Date=G$2)*(Upload_Indiv_Gross))=0,"",SUMPRODUCT((Upload_Indiv_Player=$A19)*(Upload_Indiv_Date=G$2)*(Upload_Indiv_Gross)))</f>
        <v>58</v>
      </c>
      <c r="H19" s="3" t="str" cm="1">
        <f t="array" ref="H19">IF(SUMPRODUCT((Upload_Indiv_Player=$A19)*(Upload_Indiv_Date=H$2)*(Upload_Indiv_Gross))=0,"",SUMPRODUCT((Upload_Indiv_Player=$A19)*(Upload_Indiv_Date=H$2)*(Upload_Indiv_Gross)))</f>
        <v/>
      </c>
      <c r="I19" s="3" cm="1">
        <f t="array" ref="I19">IF(SUMPRODUCT((Upload_Indiv_Player=$A19)*(Upload_Indiv_Date=I$2)*(Upload_Indiv_Gross))=0,"",SUMPRODUCT((Upload_Indiv_Player=$A19)*(Upload_Indiv_Date=I$2)*(Upload_Indiv_Gross)))</f>
        <v>55</v>
      </c>
      <c r="J19" s="3" t="str" cm="1">
        <f t="array" ref="J19">IF(SUMPRODUCT((Upload_Indiv_Player=$A19)*(Upload_Indiv_Date=J$2)*(Upload_Indiv_Gross))=0,"",SUMPRODUCT((Upload_Indiv_Player=$A19)*(Upload_Indiv_Date=J$2)*(Upload_Indiv_Gross)))</f>
        <v/>
      </c>
      <c r="K19" s="3" cm="1">
        <f t="array" ref="K19">IF(SUMPRODUCT((Upload_Indiv_Player=$A19)*(Upload_Indiv_Date=K$2)*(Upload_Indiv_Gross))=0,"",SUMPRODUCT((Upload_Indiv_Player=$A19)*(Upload_Indiv_Date=K$2)*(Upload_Indiv_Gross)))</f>
        <v>60</v>
      </c>
      <c r="L19" s="3" cm="1">
        <f t="array" ref="L19">IF(SUMPRODUCT((Upload_Indiv_Player=$A19)*(Upload_Indiv_Date=L$2)*(Upload_Indiv_Gross))=0,"",SUMPRODUCT((Upload_Indiv_Player=$A19)*(Upload_Indiv_Date=L$2)*(Upload_Indiv_Gross)))</f>
        <v>62</v>
      </c>
      <c r="M19" s="3" cm="1">
        <f t="array" ref="M19">IF(SUMPRODUCT((Upload_Indiv_Player=$A19)*(Upload_Indiv_Date=M$2)*(Upload_Indiv_Gross))=0,"",SUMPRODUCT((Upload_Indiv_Player=$A19)*(Upload_Indiv_Date=M$2)*(Upload_Indiv_Gross)))</f>
        <v>58</v>
      </c>
      <c r="N19" s="3" t="str" cm="1">
        <f t="array" ref="N19">IF(SUMPRODUCT((Upload_Indiv_Player=$A19)*(Upload_Indiv_Date=N$2)*(Upload_Indiv_Gross))=0,"",SUMPRODUCT((Upload_Indiv_Player=$A19)*(Upload_Indiv_Date=N$2)*(Upload_Indiv_Gross)))</f>
        <v/>
      </c>
      <c r="O19" s="3" cm="1">
        <f t="array" ref="O19">IF(SUMPRODUCT((Upload_Indiv_Player=$A19)*(Upload_Indiv_Date=O$2)*(Upload_Indiv_Gross))=0,"",SUMPRODUCT((Upload_Indiv_Player=$A19)*(Upload_Indiv_Date=O$2)*(Upload_Indiv_Gross)))</f>
        <v>54</v>
      </c>
      <c r="P19" s="2" cm="1">
        <f t="array" ref="P19">IF(SUMPRODUCT((Upload_Indiv_Player=$A19)*(Upload_Indiv_Date=P$2)*(Upload_Indiv_Gross))=0,"",SUMPRODUCT((Upload_Indiv_Player=$A19)*(Upload_Indiv_Date=P$2)*(Upload_Indiv_Gross)))</f>
        <v>59</v>
      </c>
      <c r="Q19" s="2" cm="1">
        <f t="array" ref="Q19">IF(SUMPRODUCT((Upload_Indiv_Player=$A19)*(Upload_Indiv_Date=Q$2)*(Upload_Indiv_Gross))=0,"",SUMPRODUCT((Upload_Indiv_Player=$A19)*(Upload_Indiv_Date=Q$2)*(Upload_Indiv_Gross)))</f>
        <v>46</v>
      </c>
      <c r="R19" s="2" cm="1">
        <f t="array" ref="R19">IF(SUMPRODUCT((Upload_Indiv_Player=$A19)*(Upload_Indiv_Date=R$2)*(Upload_Indiv_Gross))=0,"",SUMPRODUCT((Upload_Indiv_Player=$A19)*(Upload_Indiv_Date=R$2)*(Upload_Indiv_Gross)))</f>
        <v>52</v>
      </c>
      <c r="S19" s="2" cm="1">
        <f t="array" ref="S19">IF(SUMPRODUCT((Upload_Indiv_Player=$A19)*(Upload_Indiv_Date=S$2)*(Upload_Indiv_Gross))=0,"",SUMPRODUCT((Upload_Indiv_Player=$A19)*(Upload_Indiv_Date=S$2)*(Upload_Indiv_Gross)))</f>
        <v>61</v>
      </c>
      <c r="T19" s="2" t="str" cm="1">
        <f t="array" ref="T19">IF(SUMPRODUCT((Upload_Indiv_Player=$A19)*(Upload_Indiv_Date=T$2)*(Upload_Indiv_Gross))=0,"",SUMPRODUCT((Upload_Indiv_Player=$A19)*(Upload_Indiv_Date=T$2)*(Upload_Indiv_Gross)))</f>
        <v/>
      </c>
      <c r="U19" s="2">
        <v>55</v>
      </c>
      <c r="V19" s="273">
        <v>13</v>
      </c>
      <c r="W19" s="273">
        <v>11</v>
      </c>
      <c r="X19" s="273">
        <v>10</v>
      </c>
      <c r="Y19" s="277">
        <v>12</v>
      </c>
      <c r="Z19" s="277">
        <v>6</v>
      </c>
      <c r="AA19" s="277">
        <v>14</v>
      </c>
    </row>
    <row r="20" spans="1:27" x14ac:dyDescent="0.25">
      <c r="A20" s="304">
        <v>3302844180</v>
      </c>
      <c r="B20" s="8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45</v>
      </c>
      <c r="D20" s="2" cm="1">
        <f t="array" ref="D20">IF(SUMPRODUCT((Upload_Indiv_Player=$A19)*(Upload_Indiv_Date=D$2)*(Upload_Indiv_Net))=0,"",SUMPRODUCT((Upload_Indiv_Player=$A19)*(Upload_Indiv_Date=D$2)*(Upload_Indiv_Net)))</f>
        <v>44</v>
      </c>
      <c r="E20" s="2" cm="1">
        <f t="array" ref="E20">IF(SUMPRODUCT((Upload_Indiv_Player=$A19)*(Upload_Indiv_Date=E$2)*(Upload_Indiv_Net))=0,"",SUMPRODUCT((Upload_Indiv_Player=$A19)*(Upload_Indiv_Date=E$2)*(Upload_Indiv_Net)))</f>
        <v>48</v>
      </c>
      <c r="F20" s="2" cm="1">
        <f t="array" ref="F20">IF(SUMPRODUCT((Upload_Indiv_Player=$A19)*(Upload_Indiv_Date=F$2)*(Upload_Indiv_Net))=0,"",SUMPRODUCT((Upload_Indiv_Player=$A19)*(Upload_Indiv_Date=F$2)*(Upload_Indiv_Net)))</f>
        <v>43</v>
      </c>
      <c r="G20" s="2" cm="1">
        <f t="array" ref="G20">IF(SUMPRODUCT((Upload_Indiv_Player=$A19)*(Upload_Indiv_Date=G$2)*(Upload_Indiv_Net))=0,"",SUMPRODUCT((Upload_Indiv_Player=$A19)*(Upload_Indiv_Date=G$2)*(Upload_Indiv_Net)))</f>
        <v>41</v>
      </c>
      <c r="H20" s="2" t="str" cm="1">
        <f t="array" ref="H20">IF(SUMPRODUCT((Upload_Indiv_Player=$A19)*(Upload_Indiv_Date=H$2)*(Upload_Indiv_Net))=0,"",SUMPRODUCT((Upload_Indiv_Player=$A19)*(Upload_Indiv_Date=H$2)*(Upload_Indiv_Net)))</f>
        <v/>
      </c>
      <c r="I20" s="2" cm="1">
        <f t="array" ref="I20">IF(SUMPRODUCT((Upload_Indiv_Player=$A19)*(Upload_Indiv_Date=I$2)*(Upload_Indiv_Net))=0,"",SUMPRODUCT((Upload_Indiv_Player=$A19)*(Upload_Indiv_Date=I$2)*(Upload_Indiv_Net)))</f>
        <v>37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41</v>
      </c>
      <c r="L20" s="2" cm="1">
        <f t="array" ref="L20">IF(SUMPRODUCT((Upload_Indiv_Player=$A19)*(Upload_Indiv_Date=L$2)*(Upload_Indiv_Net))=0,"",SUMPRODUCT((Upload_Indiv_Player=$A19)*(Upload_Indiv_Date=L$2)*(Upload_Indiv_Net)))</f>
        <v>43</v>
      </c>
      <c r="M20" s="2" cm="1">
        <f t="array" ref="M20">IF(SUMPRODUCT((Upload_Indiv_Player=$A19)*(Upload_Indiv_Date=M$2)*(Upload_Indiv_Net))=0,"",SUMPRODUCT((Upload_Indiv_Player=$A19)*(Upload_Indiv_Date=M$2)*(Upload_Indiv_Net)))</f>
        <v>38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34</v>
      </c>
      <c r="P20" s="2" cm="1">
        <f t="array" ref="P20">IF(SUMPRODUCT((Upload_Indiv_Player=$A19)*(Upload_Indiv_Date=P$2)*(Upload_Indiv_Net))=0,"",SUMPRODUCT((Upload_Indiv_Player=$A19)*(Upload_Indiv_Date=P$2)*(Upload_Indiv_Net)))</f>
        <v>39</v>
      </c>
      <c r="Q20" s="2" cm="1">
        <f t="array" ref="Q20">IF(SUMPRODUCT((Upload_Indiv_Player=$A19)*(Upload_Indiv_Date=Q$2)*(Upload_Indiv_Net))=0,"",SUMPRODUCT((Upload_Indiv_Player=$A19)*(Upload_Indiv_Date=Q$2)*(Upload_Indiv_Net)))</f>
        <v>26</v>
      </c>
      <c r="R20" s="2" cm="1">
        <f t="array" ref="R20">IF(SUMPRODUCT((Upload_Indiv_Player=$A19)*(Upload_Indiv_Date=R$2)*(Upload_Indiv_Net))=0,"",SUMPRODUCT((Upload_Indiv_Player=$A19)*(Upload_Indiv_Date=R$2)*(Upload_Indiv_Net)))</f>
        <v>32</v>
      </c>
      <c r="S20" s="2" cm="1">
        <f t="array" ref="S20">IF(SUMPRODUCT((Upload_Indiv_Player=$A19)*(Upload_Indiv_Date=S$2)*(Upload_Indiv_Net))=0,"",SUMPRODUCT((Upload_Indiv_Player=$A19)*(Upload_Indiv_Date=S$2)*(Upload_Indiv_Net)))</f>
        <v>41</v>
      </c>
      <c r="T20" s="2" t="str" cm="1">
        <f t="array" ref="T20">IF(SUMPRODUCT((Upload_Indiv_Player=$A19)*(Upload_Indiv_Date=T$2)*(Upload_Indiv_Net))=0,"",SUMPRODUCT((Upload_Indiv_Player=$A19)*(Upload_Indiv_Date=T$2)*(Upload_Indiv_Net)))</f>
        <v/>
      </c>
      <c r="U20" s="2">
        <v>35</v>
      </c>
      <c r="V20" s="279">
        <v>56.38</v>
      </c>
      <c r="W20" s="276"/>
      <c r="X20" s="276"/>
      <c r="Y20" s="277"/>
      <c r="Z20" s="277"/>
      <c r="AA20" s="277"/>
    </row>
    <row r="21" spans="1:27" x14ac:dyDescent="0.25">
      <c r="A21" s="305" t="s">
        <v>266</v>
      </c>
      <c r="B21" s="8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16</v>
      </c>
      <c r="D21" s="2" cm="1">
        <f t="array" ref="D21">IF(SUMPRODUCT((Upload_Indiv_Player=$A19)*(Upload_Indiv_Date=D$2)*(Upload_Indiv_PointsTot))=0,"",SUMPRODUCT((Upload_Indiv_Player=$A19)*(Upload_Indiv_Date=D$2)*(Upload_Indiv_PointsTot)))</f>
        <v>6</v>
      </c>
      <c r="E21" s="2" cm="1">
        <f t="array" ref="E21">IF(SUMPRODUCT((Upload_Indiv_Player=$A19)*(Upload_Indiv_Date=E$2)*(Upload_Indiv_PointsTot))=0,"",SUMPRODUCT((Upload_Indiv_Player=$A19)*(Upload_Indiv_Date=E$2)*(Upload_Indiv_PointsTot)))</f>
        <v>3</v>
      </c>
      <c r="F21" s="2" cm="1">
        <f t="array" ref="F21">IF(SUMPRODUCT((Upload_Indiv_Player=$A19)*(Upload_Indiv_Date=F$2)*(Upload_Indiv_PointsTot))=0,"",SUMPRODUCT((Upload_Indiv_Player=$A19)*(Upload_Indiv_Date=F$2)*(Upload_Indiv_PointsTot)))</f>
        <v>10</v>
      </c>
      <c r="G21" s="2" cm="1">
        <f t="array" ref="G21">IF(SUMPRODUCT((Upload_Indiv_Player=$A19)*(Upload_Indiv_Date=G$2)*(Upload_Indiv_PointsTot))=0,"",SUMPRODUCT((Upload_Indiv_Player=$A19)*(Upload_Indiv_Date=G$2)*(Upload_Indiv_PointsTot)))</f>
        <v>8</v>
      </c>
      <c r="H21" s="2" t="str" cm="1">
        <f t="array" ref="H21">IF(SUMPRODUCT((Upload_Indiv_Player=$A19)*(Upload_Indiv_Date=H$2)*(Upload_Indiv_PointsTot))=0,"",SUMPRODUCT((Upload_Indiv_Player=$A19)*(Upload_Indiv_Date=H$2)*(Upload_Indiv_PointsTot)))</f>
        <v/>
      </c>
      <c r="I21" s="2" cm="1">
        <f t="array" ref="I21">IF(SUMPRODUCT((Upload_Indiv_Player=$A19)*(Upload_Indiv_Date=I$2)*(Upload_Indiv_PointsTot))=0,"",SUMPRODUCT((Upload_Indiv_Player=$A19)*(Upload_Indiv_Date=I$2)*(Upload_Indiv_PointsTot)))</f>
        <v>15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8</v>
      </c>
      <c r="L21" s="2" cm="1">
        <f t="array" ref="L21">IF(SUMPRODUCT((Upload_Indiv_Player=$A19)*(Upload_Indiv_Date=L$2)*(Upload_Indiv_PointsTot))=0,"",SUMPRODUCT((Upload_Indiv_Player=$A19)*(Upload_Indiv_Date=L$2)*(Upload_Indiv_PointsTot)))</f>
        <v>2</v>
      </c>
      <c r="M21" s="2" cm="1">
        <f t="array" ref="M21">IF(SUMPRODUCT((Upload_Indiv_Player=$A19)*(Upload_Indiv_Date=M$2)*(Upload_Indiv_PointsTot))=0,"",SUMPRODUCT((Upload_Indiv_Player=$A19)*(Upload_Indiv_Date=M$2)*(Upload_Indiv_PointsTot)))</f>
        <v>13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12</v>
      </c>
      <c r="P21" s="2" cm="1">
        <f t="array" ref="P21">IF(SUMPRODUCT((Upload_Indiv_Player=$A19)*(Upload_Indiv_Date=P$2)*(Upload_Indiv_PointsTot))=0,"",SUMPRODUCT((Upload_Indiv_Player=$A19)*(Upload_Indiv_Date=P$2)*(Upload_Indiv_PointsTot)))</f>
        <v>13</v>
      </c>
      <c r="Q21" s="2" cm="1">
        <f t="array" ref="Q21">IF(SUMPRODUCT((Upload_Indiv_Player=$A19)*(Upload_Indiv_Date=Q$2)*(Upload_Indiv_PointsTot))=0,"",SUMPRODUCT((Upload_Indiv_Player=$A19)*(Upload_Indiv_Date=Q$2)*(Upload_Indiv_PointsTot)))</f>
        <v>10</v>
      </c>
      <c r="R21" s="2" cm="1">
        <f t="array" ref="R21">IF(SUMPRODUCT((Upload_Indiv_Player=$A19)*(Upload_Indiv_Date=R$2)*(Upload_Indiv_PointsTot))=0,"",SUMPRODUCT((Upload_Indiv_Player=$A19)*(Upload_Indiv_Date=R$2)*(Upload_Indiv_PointsTot)))</f>
        <v>15</v>
      </c>
      <c r="S21" s="2" cm="1">
        <f t="array" ref="S21">IF(SUMPRODUCT((Upload_Indiv_Player=$A19)*(Upload_Indiv_Date=S$2)*(Upload_Indiv_PointsTot))=0,"",SUMPRODUCT((Upload_Indiv_Player=$A19)*(Upload_Indiv_Date=S$2)*(Upload_Indiv_PointsTot)))</f>
        <v>13</v>
      </c>
      <c r="T21" s="2" t="str" cm="1">
        <f t="array" ref="T21">IF(SUMPRODUCT((Upload_Indiv_Player=$A19)*(Upload_Indiv_Date=T$2)*(Upload_Indiv_PointsTot))=0,"",SUMPRODUCT((Upload_Indiv_Player=$A19)*(Upload_Indiv_Date=T$2)*(Upload_Indiv_PointsTot)))</f>
        <v/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8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cm="1">
        <f t="array" ref="O24">IF(SUMPRODUCT((Upload_Indiv_Player=$A19)*(Upload_Indiv_Date=O$2)*(Upload_Indiv_Excl_Score))=0,"",SUMPRODUCT((Upload_Indiv_Player=$A19)*(Upload_Indiv_Date=O$2)*(Upload_Indiv_Excl_Score)))</f>
        <v>1</v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t="str" cm="1">
        <f t="array" ref="T24">IF(SUMPRODUCT((Upload_Indiv_Player=$A19)*(Upload_Indiv_Date=T$2)*(Upload_Indiv_Excl_Score))=0,"",SUMPRODUCT((Upload_Indiv_Player=$A19)*(Upload_Indiv_Date=T$2)*(Upload_Indiv_Excl_Score)))</f>
        <v/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9"/>
      <c r="B25" s="8" t="s">
        <v>178</v>
      </c>
      <c r="C25" s="58" t="str">
        <f>IF(C19="", "", IF(C21&gt;=11, "w", IF(C21&lt;=9, "l", "t")))</f>
        <v>w</v>
      </c>
      <c r="D25" s="58" t="str">
        <f t="shared" ref="D25:S25" si="3">IF(D19="", "", IF(D21&gt;=11, "w", IF(D21&lt;=9, "l", "t")))</f>
        <v>l</v>
      </c>
      <c r="E25" s="58" t="str">
        <f t="shared" si="3"/>
        <v>l</v>
      </c>
      <c r="F25" s="58" t="str">
        <f t="shared" si="3"/>
        <v>t</v>
      </c>
      <c r="G25" s="58" t="str">
        <f t="shared" si="3"/>
        <v>l</v>
      </c>
      <c r="H25" s="58" t="str">
        <f t="shared" si="3"/>
        <v/>
      </c>
      <c r="I25" s="58" t="str">
        <f t="shared" si="3"/>
        <v>w</v>
      </c>
      <c r="J25" s="58" t="str">
        <f t="shared" si="3"/>
        <v/>
      </c>
      <c r="K25" s="58" t="str">
        <f t="shared" si="3"/>
        <v>l</v>
      </c>
      <c r="L25" s="58" t="str">
        <f t="shared" si="3"/>
        <v>l</v>
      </c>
      <c r="M25" s="58" t="str">
        <f t="shared" si="3"/>
        <v>w</v>
      </c>
      <c r="N25" s="58" t="str">
        <f t="shared" si="3"/>
        <v/>
      </c>
      <c r="O25" s="58" t="str">
        <f t="shared" si="3"/>
        <v>w</v>
      </c>
      <c r="P25" s="58" t="str">
        <f t="shared" si="3"/>
        <v>w</v>
      </c>
      <c r="Q25" s="58" t="str">
        <f t="shared" si="3"/>
        <v>t</v>
      </c>
      <c r="R25" s="58" t="str">
        <f t="shared" si="3"/>
        <v>w</v>
      </c>
      <c r="S25" s="58" t="str">
        <f t="shared" si="3"/>
        <v>w</v>
      </c>
      <c r="T25" s="58" t="str">
        <f>IF(T19="", "", IF(T21&gt;=11, "w", IF(T21&lt;=9, "l", "t")))</f>
        <v/>
      </c>
      <c r="U25" s="58" t="str">
        <f>IF(U19="", "", IF(U21&gt;=11, "w", IF(U21&lt;=9, "l", "t")))</f>
        <v>w</v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267</v>
      </c>
      <c r="B26" s="3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53</v>
      </c>
      <c r="D26" s="3" cm="1">
        <f t="array" ref="D26">IF(SUMPRODUCT((Upload_Indiv_Player=$A26)*(Upload_Indiv_Date=D$2)*(Upload_Indiv_Gross))=0,"",SUMPRODUCT((Upload_Indiv_Player=$A26)*(Upload_Indiv_Date=D$2)*(Upload_Indiv_Gross)))</f>
        <v>52</v>
      </c>
      <c r="E26" s="3" cm="1">
        <f t="array" ref="E26">IF(SUMPRODUCT((Upload_Indiv_Player=$A26)*(Upload_Indiv_Date=E$2)*(Upload_Indiv_Gross))=0,"",SUMPRODUCT((Upload_Indiv_Player=$A26)*(Upload_Indiv_Date=E$2)*(Upload_Indiv_Gross)))</f>
        <v>52</v>
      </c>
      <c r="F26" s="3" cm="1">
        <f t="array" ref="F26">IF(SUMPRODUCT((Upload_Indiv_Player=$A26)*(Upload_Indiv_Date=F$2)*(Upload_Indiv_Gross))=0,"",SUMPRODUCT((Upload_Indiv_Player=$A26)*(Upload_Indiv_Date=F$2)*(Upload_Indiv_Gross)))</f>
        <v>50</v>
      </c>
      <c r="G26" s="3" t="str" cm="1">
        <f t="array" ref="G26">IF(SUMPRODUCT((Upload_Indiv_Player=$A26)*(Upload_Indiv_Date=G$2)*(Upload_Indiv_Gross))=0,"",SUMPRODUCT((Upload_Indiv_Player=$A26)*(Upload_Indiv_Date=G$2)*(Upload_Indiv_Gross)))</f>
        <v/>
      </c>
      <c r="H26" s="3" cm="1">
        <f t="array" ref="H26">IF(SUMPRODUCT((Upload_Indiv_Player=$A26)*(Upload_Indiv_Date=H$2)*(Upload_Indiv_Gross))=0,"",SUMPRODUCT((Upload_Indiv_Player=$A26)*(Upload_Indiv_Date=H$2)*(Upload_Indiv_Gross)))</f>
        <v>49</v>
      </c>
      <c r="I26" s="3" cm="1">
        <f t="array" ref="I26">IF(SUMPRODUCT((Upload_Indiv_Player=$A26)*(Upload_Indiv_Date=I$2)*(Upload_Indiv_Gross))=0,"",SUMPRODUCT((Upload_Indiv_Player=$A26)*(Upload_Indiv_Date=I$2)*(Upload_Indiv_Gross)))</f>
        <v>61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2" cm="1">
        <f t="array" ref="K26">IF(SUMPRODUCT((Upload_Indiv_Player=$A26)*(Upload_Indiv_Date=K$2)*(Upload_Indiv_Gross))=0,"",SUMPRODUCT((Upload_Indiv_Player=$A26)*(Upload_Indiv_Date=K$2)*(Upload_Indiv_Gross)))</f>
        <v>50</v>
      </c>
      <c r="L26" s="3" cm="1">
        <f t="array" ref="L26">IF(SUMPRODUCT((Upload_Indiv_Player=$A26)*(Upload_Indiv_Date=L$2)*(Upload_Indiv_Gross))=0,"",SUMPRODUCT((Upload_Indiv_Player=$A26)*(Upload_Indiv_Date=L$2)*(Upload_Indiv_Gross)))</f>
        <v>54</v>
      </c>
      <c r="M26" s="3" cm="1">
        <f t="array" ref="M26">IF(SUMPRODUCT((Upload_Indiv_Player=$A26)*(Upload_Indiv_Date=M$2)*(Upload_Indiv_Gross))=0,"",SUMPRODUCT((Upload_Indiv_Player=$A26)*(Upload_Indiv_Date=M$2)*(Upload_Indiv_Gross)))</f>
        <v>50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52</v>
      </c>
      <c r="P26" s="3" cm="1">
        <f t="array" ref="P26">IF(SUMPRODUCT((Upload_Indiv_Player=$A26)*(Upload_Indiv_Date=P$2)*(Upload_Indiv_Gross))=0,"",SUMPRODUCT((Upload_Indiv_Player=$A26)*(Upload_Indiv_Date=P$2)*(Upload_Indiv_Gross)))</f>
        <v>51</v>
      </c>
      <c r="Q26" s="2" cm="1">
        <f t="array" ref="Q26">IF(SUMPRODUCT((Upload_Indiv_Player=$A26)*(Upload_Indiv_Date=Q$2)*(Upload_Indiv_Gross))=0,"",SUMPRODUCT((Upload_Indiv_Player=$A26)*(Upload_Indiv_Date=Q$2)*(Upload_Indiv_Gross)))</f>
        <v>52</v>
      </c>
      <c r="R26" s="2" t="str" cm="1">
        <f t="array" ref="R26">IF(SUMPRODUCT((Upload_Indiv_Player=$A26)*(Upload_Indiv_Date=R$2)*(Upload_Indiv_Gross))=0,"",SUMPRODUCT((Upload_Indiv_Player=$A26)*(Upload_Indiv_Date=R$2)*(Upload_Indiv_Gross)))</f>
        <v/>
      </c>
      <c r="S26" s="2" cm="1">
        <f t="array" ref="S26">IF(SUMPRODUCT((Upload_Indiv_Player=$A26)*(Upload_Indiv_Date=S$2)*(Upload_Indiv_Gross))=0,"",SUMPRODUCT((Upload_Indiv_Player=$A26)*(Upload_Indiv_Date=S$2)*(Upload_Indiv_Gross)))</f>
        <v>50</v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16</v>
      </c>
      <c r="W26" s="273">
        <v>11</v>
      </c>
      <c r="X26" s="273">
        <v>11</v>
      </c>
      <c r="Y26" s="277">
        <v>12</v>
      </c>
      <c r="Z26" s="277">
        <v>14</v>
      </c>
      <c r="AA26" s="277">
        <v>14</v>
      </c>
    </row>
    <row r="27" spans="1:27" x14ac:dyDescent="0.25">
      <c r="A27" s="304">
        <v>3309338392</v>
      </c>
      <c r="B27" s="2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43</v>
      </c>
      <c r="D27" s="2" cm="1">
        <f t="array" ref="D27">IF(SUMPRODUCT((Upload_Indiv_Player=$A26)*(Upload_Indiv_Date=D$2)*(Upload_Indiv_Net))=0,"",SUMPRODUCT((Upload_Indiv_Player=$A26)*(Upload_Indiv_Date=D$2)*(Upload_Indiv_Net)))</f>
        <v>42</v>
      </c>
      <c r="E27" s="2" cm="1">
        <f t="array" ref="E27">IF(SUMPRODUCT((Upload_Indiv_Player=$A26)*(Upload_Indiv_Date=E$2)*(Upload_Indiv_Net))=0,"",SUMPRODUCT((Upload_Indiv_Player=$A26)*(Upload_Indiv_Date=E$2)*(Upload_Indiv_Net)))</f>
        <v>41</v>
      </c>
      <c r="F27" s="2" cm="1">
        <f t="array" ref="F27">IF(SUMPRODUCT((Upload_Indiv_Player=$A26)*(Upload_Indiv_Date=F$2)*(Upload_Indiv_Net))=0,"",SUMPRODUCT((Upload_Indiv_Player=$A26)*(Upload_Indiv_Date=F$2)*(Upload_Indiv_Net)))</f>
        <v>39</v>
      </c>
      <c r="G27" s="2" t="str" cm="1">
        <f t="array" ref="G27">IF(SUMPRODUCT((Upload_Indiv_Player=$A26)*(Upload_Indiv_Date=G$2)*(Upload_Indiv_Net))=0,"",SUMPRODUCT((Upload_Indiv_Player=$A26)*(Upload_Indiv_Date=G$2)*(Upload_Indiv_Net)))</f>
        <v/>
      </c>
      <c r="H27" s="2" cm="1">
        <f t="array" ref="H27">IF(SUMPRODUCT((Upload_Indiv_Player=$A26)*(Upload_Indiv_Date=H$2)*(Upload_Indiv_Net))=0,"",SUMPRODUCT((Upload_Indiv_Player=$A26)*(Upload_Indiv_Date=H$2)*(Upload_Indiv_Net)))</f>
        <v>38</v>
      </c>
      <c r="I27" s="2" cm="1">
        <f t="array" ref="I27">IF(SUMPRODUCT((Upload_Indiv_Player=$A26)*(Upload_Indiv_Date=I$2)*(Upload_Indiv_Net))=0,"",SUMPRODUCT((Upload_Indiv_Player=$A26)*(Upload_Indiv_Date=I$2)*(Upload_Indiv_Net)))</f>
        <v>50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39</v>
      </c>
      <c r="L27" s="2" cm="1">
        <f t="array" ref="L27">IF(SUMPRODUCT((Upload_Indiv_Player=$A26)*(Upload_Indiv_Date=L$2)*(Upload_Indiv_Net))=0,"",SUMPRODUCT((Upload_Indiv_Player=$A26)*(Upload_Indiv_Date=L$2)*(Upload_Indiv_Net)))</f>
        <v>42</v>
      </c>
      <c r="M27" s="2" cm="1">
        <f t="array" ref="M27">IF(SUMPRODUCT((Upload_Indiv_Player=$A26)*(Upload_Indiv_Date=M$2)*(Upload_Indiv_Net))=0,"",SUMPRODUCT((Upload_Indiv_Player=$A26)*(Upload_Indiv_Date=M$2)*(Upload_Indiv_Net)))</f>
        <v>37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38</v>
      </c>
      <c r="P27" s="2" cm="1">
        <f t="array" ref="P27">IF(SUMPRODUCT((Upload_Indiv_Player=$A26)*(Upload_Indiv_Date=P$2)*(Upload_Indiv_Net))=0,"",SUMPRODUCT((Upload_Indiv_Player=$A26)*(Upload_Indiv_Date=P$2)*(Upload_Indiv_Net)))</f>
        <v>37</v>
      </c>
      <c r="Q27" s="2" cm="1">
        <f t="array" ref="Q27">IF(SUMPRODUCT((Upload_Indiv_Player=$A26)*(Upload_Indiv_Date=Q$2)*(Upload_Indiv_Net))=0,"",SUMPRODUCT((Upload_Indiv_Player=$A26)*(Upload_Indiv_Date=Q$2)*(Upload_Indiv_Net)))</f>
        <v>39</v>
      </c>
      <c r="R27" s="2" t="str" cm="1">
        <f t="array" ref="R27">IF(SUMPRODUCT((Upload_Indiv_Player=$A26)*(Upload_Indiv_Date=R$2)*(Upload_Indiv_Net))=0,"",SUMPRODUCT((Upload_Indiv_Player=$A26)*(Upload_Indiv_Date=R$2)*(Upload_Indiv_Net)))</f>
        <v/>
      </c>
      <c r="S27" s="2" cm="1">
        <f t="array" ref="S27">IF(SUMPRODUCT((Upload_Indiv_Player=$A26)*(Upload_Indiv_Date=S$2)*(Upload_Indiv_Net))=0,"",SUMPRODUCT((Upload_Indiv_Player=$A26)*(Upload_Indiv_Date=S$2)*(Upload_Indiv_Net)))</f>
        <v>37</v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>
        <v>52</v>
      </c>
      <c r="W27" s="276"/>
      <c r="X27" s="276"/>
      <c r="Y27" s="277"/>
      <c r="Z27" s="277"/>
      <c r="AA27" s="277"/>
    </row>
    <row r="28" spans="1:27" x14ac:dyDescent="0.25">
      <c r="A28" s="305" t="s">
        <v>268</v>
      </c>
      <c r="B28" s="2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4</v>
      </c>
      <c r="D28" s="2" cm="1">
        <f t="array" ref="D28">IF(SUMPRODUCT((Upload_Indiv_Player=$A26)*(Upload_Indiv_Date=D$2)*(Upload_Indiv_PointsTot))=0,"",SUMPRODUCT((Upload_Indiv_Player=$A26)*(Upload_Indiv_Date=D$2)*(Upload_Indiv_PointsTot)))</f>
        <v>11</v>
      </c>
      <c r="E28" s="2" cm="1">
        <f t="array" ref="E28">IF(SUMPRODUCT((Upload_Indiv_Player=$A26)*(Upload_Indiv_Date=E$2)*(Upload_Indiv_PointsTot))=0,"",SUMPRODUCT((Upload_Indiv_Player=$A26)*(Upload_Indiv_Date=E$2)*(Upload_Indiv_PointsTot)))</f>
        <v>6</v>
      </c>
      <c r="F28" s="2" cm="1">
        <f t="array" ref="F28">IF(SUMPRODUCT((Upload_Indiv_Player=$A26)*(Upload_Indiv_Date=F$2)*(Upload_Indiv_PointsTot))=0,"",SUMPRODUCT((Upload_Indiv_Player=$A26)*(Upload_Indiv_Date=F$2)*(Upload_Indiv_PointsTot)))</f>
        <v>11</v>
      </c>
      <c r="G28" s="2" t="str" cm="1">
        <f t="array" ref="G28">IF(SUMPRODUCT((Upload_Indiv_Player=$A26)*(Upload_Indiv_Date=G$2)*(Upload_Indiv_PointsTot))=0,"",SUMPRODUCT((Upload_Indiv_Player=$A26)*(Upload_Indiv_Date=G$2)*(Upload_Indiv_PointsTot)))</f>
        <v/>
      </c>
      <c r="H28" s="2" cm="1">
        <f t="array" ref="H28">IF(SUMPRODUCT((Upload_Indiv_Player=$A26)*(Upload_Indiv_Date=H$2)*(Upload_Indiv_PointsTot))=0,"",SUMPRODUCT((Upload_Indiv_Player=$A26)*(Upload_Indiv_Date=H$2)*(Upload_Indiv_PointsTot)))</f>
        <v>15</v>
      </c>
      <c r="I28" s="2" cm="1">
        <f t="array" ref="I28">IF(SUMPRODUCT((Upload_Indiv_Player=$A26)*(Upload_Indiv_Date=I$2)*(Upload_Indiv_PointsTot))=0,"",SUMPRODUCT((Upload_Indiv_Player=$A26)*(Upload_Indiv_Date=I$2)*(Upload_Indiv_PointsTot)))</f>
        <v>3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8</v>
      </c>
      <c r="L28" s="2" cm="1">
        <f t="array" ref="L28">IF(SUMPRODUCT((Upload_Indiv_Player=$A26)*(Upload_Indiv_Date=L$2)*(Upload_Indiv_PointsTot))=0,"",SUMPRODUCT((Upload_Indiv_Player=$A26)*(Upload_Indiv_Date=L$2)*(Upload_Indiv_PointsTot)))</f>
        <v>8</v>
      </c>
      <c r="M28" s="2" cm="1">
        <f t="array" ref="M28">IF(SUMPRODUCT((Upload_Indiv_Player=$A26)*(Upload_Indiv_Date=M$2)*(Upload_Indiv_PointsTot))=0,"",SUMPRODUCT((Upload_Indiv_Player=$A26)*(Upload_Indiv_Date=M$2)*(Upload_Indiv_PointsTot)))</f>
        <v>11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12</v>
      </c>
      <c r="P28" s="2" cm="1">
        <f t="array" ref="P28">IF(SUMPRODUCT((Upload_Indiv_Player=$A26)*(Upload_Indiv_Date=P$2)*(Upload_Indiv_PointsTot))=0,"",SUMPRODUCT((Upload_Indiv_Player=$A26)*(Upload_Indiv_Date=P$2)*(Upload_Indiv_PointsTot)))</f>
        <v>9</v>
      </c>
      <c r="Q28" s="2" cm="1">
        <f t="array" ref="Q28">IF(SUMPRODUCT((Upload_Indiv_Player=$A26)*(Upload_Indiv_Date=Q$2)*(Upload_Indiv_PointsTot))=0,"",SUMPRODUCT((Upload_Indiv_Player=$A26)*(Upload_Indiv_Date=Q$2)*(Upload_Indiv_PointsTot)))</f>
        <v>6</v>
      </c>
      <c r="R28" s="2" t="str" cm="1">
        <f t="array" ref="R28">IF(SUMPRODUCT((Upload_Indiv_Player=$A26)*(Upload_Indiv_Date=R$2)*(Upload_Indiv_PointsTot))=0,"",SUMPRODUCT((Upload_Indiv_Player=$A26)*(Upload_Indiv_Date=R$2)*(Upload_Indiv_PointsTot)))</f>
        <v/>
      </c>
      <c r="S28" s="2" cm="1">
        <f t="array" ref="S28">IF(SUMPRODUCT((Upload_Indiv_Player=$A26)*(Upload_Indiv_Date=S$2)*(Upload_Indiv_PointsTot))=0,"",SUMPRODUCT((Upload_Indiv_Player=$A26)*(Upload_Indiv_Date=S$2)*(Upload_Indiv_PointsTot)))</f>
        <v>6</v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 t="s">
        <v>160</v>
      </c>
      <c r="B29" s="2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cm="1">
        <f t="array" ref="L29">IF(SUMPRODUCT((Upload_Indiv_Player=$A26)*(Upload_Indiv_Date=L$2)*(Upload_Indiv_Tot_Birds))=0,"",SUMPRODUCT((Upload_Indiv_Player=$A26)*(Upload_Indiv_Date=L$2)*(Upload_Indiv_Tot_Birds)))</f>
        <v>1</v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8"/>
      <c r="AA30" s="277"/>
    </row>
    <row r="31" spans="1:27" x14ac:dyDescent="0.25">
      <c r="A31" s="306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t="str" cm="1">
        <f t="array" ref="T31">IF(SUMPRODUCT((Upload_Indiv_Player=$A26)*(Upload_Indiv_Date=T$2)*(Upload_Indiv_Excl_Score))=0,"",SUMPRODUCT((Upload_Indiv_Player=$A26)*(Upload_Indiv_Date=T$2)*(Upload_Indiv_Excl_Score)))</f>
        <v/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9"/>
      <c r="B32" s="8" t="s">
        <v>178</v>
      </c>
      <c r="C32" s="58" t="str">
        <f>IF(C26="", "", IF(C28&gt;=11, "w", IF(C28&lt;=9, "l", "t")))</f>
        <v>l</v>
      </c>
      <c r="D32" s="58" t="str">
        <f t="shared" ref="D32:S32" si="4">IF(D26="", "", IF(D28&gt;=11, "w", IF(D28&lt;=9, "l", "t")))</f>
        <v>w</v>
      </c>
      <c r="E32" s="58" t="str">
        <f t="shared" si="4"/>
        <v>l</v>
      </c>
      <c r="F32" s="58" t="str">
        <f t="shared" si="4"/>
        <v>w</v>
      </c>
      <c r="G32" s="58" t="str">
        <f t="shared" si="4"/>
        <v/>
      </c>
      <c r="H32" s="58" t="str">
        <f t="shared" si="4"/>
        <v>w</v>
      </c>
      <c r="I32" s="58" t="str">
        <f t="shared" si="4"/>
        <v>l</v>
      </c>
      <c r="J32" s="58" t="str">
        <f t="shared" si="4"/>
        <v/>
      </c>
      <c r="K32" s="58" t="str">
        <f t="shared" si="4"/>
        <v>l</v>
      </c>
      <c r="L32" s="87" t="str">
        <f t="shared" si="4"/>
        <v>l</v>
      </c>
      <c r="M32" s="58" t="str">
        <f t="shared" si="4"/>
        <v>w</v>
      </c>
      <c r="N32" s="58" t="str">
        <f t="shared" si="4"/>
        <v/>
      </c>
      <c r="O32" s="58" t="str">
        <f t="shared" si="4"/>
        <v>w</v>
      </c>
      <c r="P32" s="58" t="str">
        <f t="shared" si="4"/>
        <v>l</v>
      </c>
      <c r="Q32" s="58" t="str">
        <f t="shared" si="4"/>
        <v>l</v>
      </c>
      <c r="R32" s="58" t="str">
        <f t="shared" si="4"/>
        <v/>
      </c>
      <c r="S32" s="58" t="str">
        <f t="shared" si="4"/>
        <v>l</v>
      </c>
      <c r="T32" s="58" t="str">
        <f>IF(T26="", "", IF(T28&gt;=11, "w", IF(T28&lt;=9, "l", "t")))</f>
        <v/>
      </c>
      <c r="U32" s="58" t="str">
        <f>IF(U26="", "", IF(U28&gt;=11, "w", IF(U28&lt;=9, "l", "t")))</f>
        <v/>
      </c>
      <c r="V32" s="276"/>
      <c r="W32" s="276"/>
      <c r="X32" s="276"/>
      <c r="Y32" s="277"/>
      <c r="Z32" s="277"/>
      <c r="AA32" s="277"/>
    </row>
    <row r="33" spans="1:27" x14ac:dyDescent="0.25">
      <c r="A33" s="303"/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t="str" cm="1">
        <f t="array" ref="E33">IF(SUMPRODUCT((Upload_Indiv_Player=$A33)*(Upload_Indiv_Date=E$2)*(Upload_Indiv_Gross))=0,"",SUMPRODUCT((Upload_Indiv_Player=$A33)*(Upload_Indiv_Date=E$2)*(Upload_Indiv_Gross)))</f>
        <v/>
      </c>
      <c r="F33" s="3" t="str" cm="1">
        <f t="array" ref="F33">IF(SUMPRODUCT((Upload_Indiv_Player=$A33)*(Upload_Indiv_Date=F$2)*(Upload_Indiv_Gross))=0,"",SUMPRODUCT((Upload_Indiv_Player=$A33)*(Upload_Indiv_Date=F$2)*(Upload_Indiv_Gross)))</f>
        <v/>
      </c>
      <c r="G33" s="3" t="str" cm="1">
        <f t="array" ref="G33">IF(SUMPRODUCT((Upload_Indiv_Player=$A33)*(Upload_Indiv_Date=G$2)*(Upload_Indiv_Gross))=0,"",SUMPRODUCT((Upload_Indiv_Player=$A33)*(Upload_Indiv_Date=G$2)*(Upload_Indiv_Gross)))</f>
        <v/>
      </c>
      <c r="H33" s="3" t="str" cm="1">
        <f t="array" ref="H33">IF(SUMPRODUCT((Upload_Indiv_Player=$A33)*(Upload_Indiv_Date=H$2)*(Upload_Indiv_Gross))=0,"",SUMPRODUCT((Upload_Indiv_Player=$A33)*(Upload_Indiv_Date=H$2)*(Upload_Indiv_Gross)))</f>
        <v/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t="str" cm="1">
        <f t="array" ref="S33">IF(SUMPRODUCT((Upload_Indiv_Player=$A33)*(Upload_Indiv_Date=S$2)*(Upload_Indiv_Gross))=0,"",SUMPRODUCT((Upload_Indiv_Player=$A33)*(Upload_Indiv_Date=S$2)*(Upload_Indiv_Gross)))</f>
        <v/>
      </c>
      <c r="T33" s="2" t="str" cm="1">
        <f t="array" ref="T33">IF(SUMPRODUCT((Upload_Indiv_Player=$A33)*(Upload_Indiv_Date=T$2)*(Upload_Indiv_Gross))=0,"",SUMPRODUCT((Upload_Indiv_Player=$A33)*(Upload_Indiv_Date=T$2)*(Upload_Indiv_Gross)))</f>
        <v/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/>
      <c r="W33" s="273"/>
      <c r="X33" s="273"/>
      <c r="Y33" s="277"/>
      <c r="Z33" s="277"/>
      <c r="AA33" s="277"/>
    </row>
    <row r="34" spans="1:27" x14ac:dyDescent="0.25">
      <c r="A34" s="304"/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t="str" cm="1">
        <f t="array" ref="F34">IF(SUMPRODUCT((Upload_Indiv_Player=$A33)*(Upload_Indiv_Date=F$2)*(Upload_Indiv_Net))=0,"",SUMPRODUCT((Upload_Indiv_Player=$A33)*(Upload_Indiv_Date=F$2)*(Upload_Indiv_Net)))</f>
        <v/>
      </c>
      <c r="G34" s="2" t="str" cm="1">
        <f t="array" ref="G34">IF(SUMPRODUCT((Upload_Indiv_Player=$A33)*(Upload_Indiv_Date=G$2)*(Upload_Indiv_Net))=0,"",SUMPRODUCT((Upload_Indiv_Player=$A33)*(Upload_Indiv_Date=G$2)*(Upload_Indiv_Net)))</f>
        <v/>
      </c>
      <c r="H34" s="2" t="str" cm="1">
        <f t="array" ref="H34">IF(SUMPRODUCT((Upload_Indiv_Player=$A33)*(Upload_Indiv_Date=H$2)*(Upload_Indiv_Net))=0,"",SUMPRODUCT((Upload_Indiv_Player=$A33)*(Upload_Indiv_Date=H$2)*(Upload_Indiv_Net)))</f>
        <v/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t="str" cm="1">
        <f t="array" ref="S34">IF(SUMPRODUCT((Upload_Indiv_Player=$A33)*(Upload_Indiv_Date=S$2)*(Upload_Indiv_Net))=0,"",SUMPRODUCT((Upload_Indiv_Player=$A33)*(Upload_Indiv_Date=S$2)*(Upload_Indiv_Net)))</f>
        <v/>
      </c>
      <c r="T34" s="2" t="str" cm="1">
        <f t="array" ref="T34">IF(SUMPRODUCT((Upload_Indiv_Player=$A33)*(Upload_Indiv_Date=T$2)*(Upload_Indiv_Net))=0,"",SUMPRODUCT((Upload_Indiv_Player=$A33)*(Upload_Indiv_Date=T$2)*(Upload_Indiv_Net)))</f>
        <v/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9"/>
      <c r="W34" s="276"/>
      <c r="X34" s="276"/>
      <c r="Y34" s="277"/>
      <c r="Z34" s="277"/>
      <c r="AA34" s="277"/>
    </row>
    <row r="35" spans="1:27" x14ac:dyDescent="0.25">
      <c r="A35" s="305"/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t="str" cm="1">
        <f t="array" ref="F35">IF(SUMPRODUCT((Upload_Indiv_Player=$A33)*(Upload_Indiv_Date=F$2)*(Upload_Indiv_PointsTot))=0,"",SUMPRODUCT((Upload_Indiv_Player=$A33)*(Upload_Indiv_Date=F$2)*(Upload_Indiv_PointsTot)))</f>
        <v/>
      </c>
      <c r="G35" s="2" t="str" cm="1">
        <f t="array" ref="G35">IF(SUMPRODUCT((Upload_Indiv_Player=$A33)*(Upload_Indiv_Date=G$2)*(Upload_Indiv_PointsTot))=0,"",SUMPRODUCT((Upload_Indiv_Player=$A33)*(Upload_Indiv_Date=G$2)*(Upload_Indiv_PointsTot)))</f>
        <v/>
      </c>
      <c r="H35" s="2" t="str" cm="1">
        <f t="array" ref="H35">IF(SUMPRODUCT((Upload_Indiv_Player=$A33)*(Upload_Indiv_Date=H$2)*(Upload_Indiv_PointsTot))=0,"",SUMPRODUCT((Upload_Indiv_Player=$A33)*(Upload_Indiv_Date=H$2)*(Upload_Indiv_PointsTot)))</f>
        <v/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t="str" cm="1">
        <f t="array" ref="S35">IF(SUMPRODUCT((Upload_Indiv_Player=$A33)*(Upload_Indiv_Date=S$2)*(Upload_Indiv_PointsTot))=0,"",SUMPRODUCT((Upload_Indiv_Player=$A33)*(Upload_Indiv_Date=S$2)*(Upload_Indiv_PointsTot)))</f>
        <v/>
      </c>
      <c r="T35" s="2" t="str" cm="1">
        <f t="array" ref="T35">IF(SUMPRODUCT((Upload_Indiv_Player=$A33)*(Upload_Indiv_Date=T$2)*(Upload_Indiv_PointsTot))=0,"",SUMPRODUCT((Upload_Indiv_Player=$A33)*(Upload_Indiv_Date=T$2)*(Upload_Indiv_PointsTot)))</f>
        <v/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6"/>
      <c r="W35" s="276"/>
      <c r="X35" s="276"/>
      <c r="Y35" s="277"/>
      <c r="Z35" s="277"/>
      <c r="AA35" s="277"/>
    </row>
    <row r="36" spans="1:27" x14ac:dyDescent="0.25">
      <c r="A36" s="306" t="s">
        <v>160</v>
      </c>
      <c r="B36" s="2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6"/>
      <c r="W36" s="276"/>
      <c r="X36" s="276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6"/>
      <c r="W37" s="276"/>
      <c r="X37" s="276"/>
      <c r="Y37" s="277"/>
      <c r="Z37" s="278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t="str" cm="1">
        <f t="array" ref="T38">IF(SUMPRODUCT((Upload_Indiv_Player=$A33)*(Upload_Indiv_Date=T$2)*(Upload_Indiv_Excl_Score))=0,"",SUMPRODUCT((Upload_Indiv_Player=$A33)*(Upload_Indiv_Date=T$2)*(Upload_Indiv_Excl_Score)))</f>
        <v/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6"/>
      <c r="W38" s="276"/>
      <c r="X38" s="276"/>
      <c r="Y38" s="277"/>
      <c r="Z38" s="277"/>
      <c r="AA38" s="277"/>
    </row>
    <row r="39" spans="1:27" ht="13.8" thickBot="1" x14ac:dyDescent="0.3">
      <c r="A39" s="9" t="s">
        <v>160</v>
      </c>
      <c r="B39" s="84" t="s">
        <v>178</v>
      </c>
      <c r="C39" s="114" t="str">
        <f>IF(C33="", "", IF(C35&gt;=11, "w", IF(C35&lt;=9, "l", "t")))</f>
        <v/>
      </c>
      <c r="D39" s="114" t="str">
        <f t="shared" ref="D39:S39" si="5">IF(D33="", "", IF(D35&gt;=11, "w", IF(D35&lt;=9, "l", "t")))</f>
        <v/>
      </c>
      <c r="E39" s="114" t="str">
        <f t="shared" si="5"/>
        <v/>
      </c>
      <c r="F39" s="114" t="str">
        <f t="shared" si="5"/>
        <v/>
      </c>
      <c r="G39" s="58" t="str">
        <f t="shared" si="5"/>
        <v/>
      </c>
      <c r="H39" s="58" t="str">
        <f t="shared" si="5"/>
        <v/>
      </c>
      <c r="I39" s="58" t="str">
        <f t="shared" si="5"/>
        <v/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>IF(T33="", "", IF(T35&gt;=11, "w", IF(T35&lt;=9, "l", "t")))</f>
        <v/>
      </c>
      <c r="U39" s="58" t="str">
        <f>IF(U33="", "", IF(U35&gt;=11, "w", IF(U35&lt;=9, "l", "t")))</f>
        <v/>
      </c>
      <c r="V39" s="276"/>
      <c r="W39" s="276"/>
      <c r="X39" s="276"/>
      <c r="Y39" s="277"/>
      <c r="Z39" s="277"/>
      <c r="AA39" s="277"/>
    </row>
    <row r="40" spans="1:27" x14ac:dyDescent="0.25">
      <c r="A40" s="294" t="s">
        <v>271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cm="1">
        <f t="array" ref="F40">IF(SUMPRODUCT((Upload_Indiv_Player=$A40)*(Upload_Indiv_Date=F$2)*(Upload_Indiv_Gross))=0,"",SUMPRODUCT((Upload_Indiv_Player=$A40)*(Upload_Indiv_Date=F$2)*(Upload_Indiv_Gross)))</f>
        <v>40</v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cm="1">
        <f t="array" ref="F41">IF(SUMPRODUCT((Upload_Indiv_Player=$A40)*(Upload_Indiv_Date=F$2)*(Upload_Indiv_Net))=0,"",SUMPRODUCT((Upload_Indiv_Player=$A40)*(Upload_Indiv_Date=F$2)*(Upload_Indiv_Net)))</f>
        <v>40</v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>w</v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21" r:id="rId1" display="joseph.spoonemore@timken.com" xr:uid="{12DCD0CD-D714-4464-9081-E8E6A8A82E2A}"/>
    <hyperlink ref="A28" r:id="rId2" display="joseph.spoonemore@timkensteel.com" xr:uid="{E80914D0-9B76-42AF-A222-01B971C5FAE5}"/>
    <hyperlink ref="A14" r:id="rId3" xr:uid="{B9829FD6-0EA0-49FD-822E-C2814C1FB8E1}"/>
    <hyperlink ref="A7" r:id="rId4" xr:uid="{E71EDB18-303D-4551-9ECB-7B2D4F454468}"/>
  </hyperlinks>
  <pageMargins left="0.75" right="0.75" top="1" bottom="1" header="0.5" footer="0.5"/>
  <pageSetup orientation="portrait" r:id="rId5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A46"/>
  <sheetViews>
    <sheetView workbookViewId="0"/>
  </sheetViews>
  <sheetFormatPr defaultRowHeight="13.2" x14ac:dyDescent="0.25"/>
  <cols>
    <col min="1" max="1" width="29.2187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3" width="9" style="50"/>
    <col min="24" max="24" width="9" style="122"/>
  </cols>
  <sheetData>
    <row r="1" spans="1:27" x14ac:dyDescent="0.25">
      <c r="A1" s="9" t="s">
        <v>23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18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36</v>
      </c>
      <c r="D3" s="5" cm="1">
        <f t="array" ref="D3">IF(SUMPRODUCT((Upload_Team_Team=$A$3)*(Upload_Team_Date=D$2)*(Upload_Team_Tm_Tot_Points))=0,"",SUMPRODUCT((Upload_Team_Team=$A$3)*(Upload_Team_Date=D$2)*(Upload_Team_Tm_Tot_Points)))</f>
        <v>34</v>
      </c>
      <c r="E3" s="5" cm="1">
        <f t="array" ref="E3">IF(SUMPRODUCT((Upload_Team_Team=$A$3)*(Upload_Team_Date=E$2)*(Upload_Team_Tm_Tot_Points))=0,"",SUMPRODUCT((Upload_Team_Team=$A$3)*(Upload_Team_Date=E$2)*(Upload_Team_Tm_Tot_Points)))</f>
        <v>56</v>
      </c>
      <c r="F3" s="5" cm="1">
        <f t="array" ref="F3">IF(SUMPRODUCT((Upload_Team_Team=$A$3)*(Upload_Team_Date=F$2)*(Upload_Team_Tm_Tot_Points))=0,"",SUMPRODUCT((Upload_Team_Team=$A$3)*(Upload_Team_Date=F$2)*(Upload_Team_Tm_Tot_Points)))</f>
        <v>35</v>
      </c>
      <c r="G3" s="5" cm="1">
        <f t="array" ref="G3">IF(SUMPRODUCT((Upload_Team_Team=$A$3)*(Upload_Team_Date=G$2)*(Upload_Team_Tm_Tot_Points))=0,"",SUMPRODUCT((Upload_Team_Team=$A$3)*(Upload_Team_Date=G$2)*(Upload_Team_Tm_Tot_Points)))</f>
        <v>53</v>
      </c>
      <c r="H3" s="5" cm="1">
        <f t="array" ref="H3">IF(SUMPRODUCT((Upload_Team_Team=$A$3)*(Upload_Team_Date=H$2)*(Upload_Team_Tm_Tot_Points))=0,"",SUMPRODUCT((Upload_Team_Team=$A$3)*(Upload_Team_Date=H$2)*(Upload_Team_Tm_Tot_Points)))</f>
        <v>39</v>
      </c>
      <c r="I3" s="5" cm="1">
        <f t="array" ref="I3">IF(SUMPRODUCT((Upload_Team_Team=$A$3)*(Upload_Team_Date=I$2)*(Upload_Team_Tm_Tot_Points))=0,"",SUMPRODUCT((Upload_Team_Team=$A$3)*(Upload_Team_Date=I$2)*(Upload_Team_Tm_Tot_Points)))</f>
        <v>39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50</v>
      </c>
      <c r="L3" s="5" cm="1">
        <f t="array" ref="L3">IF(SUMPRODUCT((Upload_Team_Team=$A$3)*(Upload_Team_Date=L$2)*(Upload_Team_Tm_Tot_Points))=0,"",SUMPRODUCT((Upload_Team_Team=$A$3)*(Upload_Team_Date=L$2)*(Upload_Team_Tm_Tot_Points)))</f>
        <v>48</v>
      </c>
      <c r="M3" s="5" cm="1">
        <f t="array" ref="M3">IF(SUMPRODUCT((Upload_Team_Team=$A$3)*(Upload_Team_Date=M$2)*(Upload_Team_Tm_Tot_Points))=0,"",SUMPRODUCT((Upload_Team_Team=$A$3)*(Upload_Team_Date=M$2)*(Upload_Team_Tm_Tot_Points)))</f>
        <v>48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54</v>
      </c>
      <c r="P3" s="5" cm="1">
        <f t="array" ref="P3">IF(SUMPRODUCT((Upload_Team_Team=$A$3)*(Upload_Team_Date=P$2)*(Upload_Team_Tm_Tot_Points))=0,"",SUMPRODUCT((Upload_Team_Team=$A$3)*(Upload_Team_Date=P$2)*(Upload_Team_Tm_Tot_Points)))</f>
        <v>38</v>
      </c>
      <c r="Q3" s="5" cm="1">
        <f t="array" ref="Q3">IF(SUMPRODUCT((Upload_Team_Team=$A$3)*(Upload_Team_Date=Q$2)*(Upload_Team_Tm_Tot_Points))=0,"",SUMPRODUCT((Upload_Team_Team=$A$3)*(Upload_Team_Date=Q$2)*(Upload_Team_Tm_Tot_Points)))</f>
        <v>51</v>
      </c>
      <c r="R3" s="5" cm="1">
        <f t="array" ref="R3">IF(SUMPRODUCT((Upload_Team_Team=$A$3)*(Upload_Team_Date=R$2)*(Upload_Team_Tm_Tot_Points))=0,"",SUMPRODUCT((Upload_Team_Team=$A$3)*(Upload_Team_Date=R$2)*(Upload_Team_Tm_Tot_Points)))</f>
        <v>47</v>
      </c>
      <c r="S3" s="5" cm="1">
        <f t="array" ref="S3">IF(SUMPRODUCT((Upload_Team_Team=$A$3)*(Upload_Team_Date=S$2)*(Upload_Team_Tm_Tot_Points))=0,"",SUMPRODUCT((Upload_Team_Team=$A$3)*(Upload_Team_Date=S$2)*(Upload_Team_Tm_Tot_Points)))</f>
        <v>39</v>
      </c>
      <c r="T3" s="5" cm="1">
        <f t="array" ref="T3">IF(SUMPRODUCT((Upload_Team_Team=$A$3)*(Upload_Team_Date=T$2)*(Upload_Team_Tm_Tot_Points))=0,"",SUMPRODUCT((Upload_Team_Team=$A$3)*(Upload_Team_Date=T$2)*(Upload_Team_Tm_Tot_Points)))</f>
        <v>43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6"/>
      <c r="W3" s="276"/>
      <c r="X3" s="276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171</v>
      </c>
      <c r="D4" s="7" cm="1">
        <f t="array" ref="D4">IF(SUMPRODUCT((Upload_Team_Team=$A$3)*(Upload_Team_Date=D$2)*(Upload_Team_Tm_Net))=0,"",SUMPRODUCT((Upload_Team_Team=$A$3)*(Upload_Team_Date=D$2)*(Upload_Team_Tm_Net)))</f>
        <v>177</v>
      </c>
      <c r="E4" s="7" cm="1">
        <f t="array" ref="E4">IF(SUMPRODUCT((Upload_Team_Team=$A$3)*(Upload_Team_Date=E$2)*(Upload_Team_Tm_Net))=0,"",SUMPRODUCT((Upload_Team_Team=$A$3)*(Upload_Team_Date=E$2)*(Upload_Team_Tm_Net)))</f>
        <v>171</v>
      </c>
      <c r="F4" s="7" cm="1">
        <f t="array" ref="F4">IF(SUMPRODUCT((Upload_Team_Team=$A$3)*(Upload_Team_Date=F$2)*(Upload_Team_Tm_Net))=0,"",SUMPRODUCT((Upload_Team_Team=$A$3)*(Upload_Team_Date=F$2)*(Upload_Team_Tm_Net)))</f>
        <v>168</v>
      </c>
      <c r="G4" s="7" cm="1">
        <f t="array" ref="G4">IF(SUMPRODUCT((Upload_Team_Team=$A$3)*(Upload_Team_Date=G$2)*(Upload_Team_Tm_Net))=0,"",SUMPRODUCT((Upload_Team_Team=$A$3)*(Upload_Team_Date=G$2)*(Upload_Team_Tm_Net)))</f>
        <v>157</v>
      </c>
      <c r="H4" s="7" cm="1">
        <f t="array" ref="H4">IF(SUMPRODUCT((Upload_Team_Team=$A$3)*(Upload_Team_Date=H$2)*(Upload_Team_Tm_Net))=0,"",SUMPRODUCT((Upload_Team_Team=$A$3)*(Upload_Team_Date=H$2)*(Upload_Team_Tm_Net)))</f>
        <v>163</v>
      </c>
      <c r="I4" s="7" cm="1">
        <f t="array" ref="I4">IF(SUMPRODUCT((Upload_Team_Team=$A$3)*(Upload_Team_Date=I$2)*(Upload_Team_Tm_Net))=0,"",SUMPRODUCT((Upload_Team_Team=$A$3)*(Upload_Team_Date=I$2)*(Upload_Team_Tm_Net)))</f>
        <v>157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146</v>
      </c>
      <c r="L4" s="7" cm="1">
        <f t="array" ref="L4">IF(SUMPRODUCT((Upload_Team_Team=$A$3)*(Upload_Team_Date=L$2)*(Upload_Team_Tm_Net))=0,"",SUMPRODUCT((Upload_Team_Team=$A$3)*(Upload_Team_Date=L$2)*(Upload_Team_Tm_Net)))</f>
        <v>151</v>
      </c>
      <c r="M4" s="7" cm="1">
        <f t="array" ref="M4">IF(SUMPRODUCT((Upload_Team_Team=$A$3)*(Upload_Team_Date=M$2)*(Upload_Team_Tm_Net))=0,"",SUMPRODUCT((Upload_Team_Team=$A$3)*(Upload_Team_Date=M$2)*(Upload_Team_Tm_Net)))</f>
        <v>151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140</v>
      </c>
      <c r="P4" s="7" cm="1">
        <f t="array" ref="P4">IF(SUMPRODUCT((Upload_Team_Team=$A$3)*(Upload_Team_Date=P$2)*(Upload_Team_Tm_Net))=0,"",SUMPRODUCT((Upload_Team_Team=$A$3)*(Upload_Team_Date=P$2)*(Upload_Team_Tm_Net)))</f>
        <v>154</v>
      </c>
      <c r="Q4" s="7" t="str" cm="1">
        <f t="array" ref="Q4">IF(SUMPRODUCT((Upload_Team_Team=$A$3)*(Upload_Team_Date=Q$2)*(Upload_Team_Tm_Net))=0,"",SUMPRODUCT((Upload_Team_Team=$A$3)*(Upload_Team_Date=Q$2)*(Upload_Team_Tm_Net)))</f>
        <v/>
      </c>
      <c r="R4" s="7" cm="1">
        <f t="array" ref="R4">IF(SUMPRODUCT((Upload_Team_Team=$A$3)*(Upload_Team_Date=R$2)*(Upload_Team_Tm_Net))=0,"",SUMPRODUCT((Upload_Team_Team=$A$3)*(Upload_Team_Date=R$2)*(Upload_Team_Tm_Net)))</f>
        <v>160</v>
      </c>
      <c r="S4" s="7" cm="1">
        <f t="array" ref="S4">IF(SUMPRODUCT((Upload_Team_Team=$A$3)*(Upload_Team_Date=S$2)*(Upload_Team_Tm_Net))=0,"",SUMPRODUCT((Upload_Team_Team=$A$3)*(Upload_Team_Date=S$2)*(Upload_Team_Tm_Net)))</f>
        <v>148</v>
      </c>
      <c r="T4" s="7" cm="1">
        <f t="array" ref="T4">IF(SUMPRODUCT((Upload_Team_Team=$A$3)*(Upload_Team_Date=T$2)*(Upload_Team_Tm_Net))=0,"",SUMPRODUCT((Upload_Team_Team=$A$3)*(Upload_Team_Date=T$2)*(Upload_Team_Tm_Net)))</f>
        <v>153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6"/>
      <c r="W4" s="276"/>
      <c r="X4" s="276"/>
      <c r="Y4" s="277"/>
      <c r="Z4" s="278"/>
      <c r="AA4" s="277"/>
    </row>
    <row r="5" spans="1:27" x14ac:dyDescent="0.25">
      <c r="A5" s="11" t="s">
        <v>272</v>
      </c>
      <c r="B5" s="3" t="s">
        <v>170</v>
      </c>
      <c r="C5" s="2" cm="1">
        <f t="array" ref="C5">IF(SUMPRODUCT((Upload_Indiv_Player=$A5)*(Upload_Indiv_Date=C$2)*(Upload_Indiv_Gross))=0,"",SUMPRODUCT((Upload_Indiv_Player=$A5)*(Upload_Indiv_Date=C$2)*(Upload_Indiv_Gross)))</f>
        <v>49</v>
      </c>
      <c r="D5" s="2" cm="1">
        <f t="array" ref="D5">IF(SUMPRODUCT((Upload_Indiv_Player=$A5)*(Upload_Indiv_Date=D$2)*(Upload_Indiv_Gross))=0,"",SUMPRODUCT((Upload_Indiv_Player=$A5)*(Upload_Indiv_Date=D$2)*(Upload_Indiv_Gross)))</f>
        <v>51</v>
      </c>
      <c r="E5" s="2" cm="1">
        <f t="array" ref="E5">IF(SUMPRODUCT((Upload_Indiv_Player=$A5)*(Upload_Indiv_Date=E$2)*(Upload_Indiv_Gross))=0,"",SUMPRODUCT((Upload_Indiv_Player=$A5)*(Upload_Indiv_Date=E$2)*(Upload_Indiv_Gross)))</f>
        <v>54</v>
      </c>
      <c r="F5" s="2" cm="1">
        <f t="array" ref="F5">IF(SUMPRODUCT((Upload_Indiv_Player=$A5)*(Upload_Indiv_Date=F$2)*(Upload_Indiv_Gross))=0,"",SUMPRODUCT((Upload_Indiv_Player=$A5)*(Upload_Indiv_Date=F$2)*(Upload_Indiv_Gross)))</f>
        <v>55</v>
      </c>
      <c r="G5" s="2" cm="1">
        <f t="array" ref="G5">IF(SUMPRODUCT((Upload_Indiv_Player=$A5)*(Upload_Indiv_Date=G$2)*(Upload_Indiv_Gross))=0,"",SUMPRODUCT((Upload_Indiv_Player=$A5)*(Upload_Indiv_Date=G$2)*(Upload_Indiv_Gross)))</f>
        <v>43</v>
      </c>
      <c r="H5" s="2" cm="1">
        <f t="array" ref="H5">IF(SUMPRODUCT((Upload_Indiv_Player=$A5)*(Upload_Indiv_Date=H$2)*(Upload_Indiv_Gross))=0,"",SUMPRODUCT((Upload_Indiv_Player=$A5)*(Upload_Indiv_Date=H$2)*(Upload_Indiv_Gross)))</f>
        <v>49</v>
      </c>
      <c r="I5" s="2" t="str" cm="1">
        <f t="array" ref="I5">IF(SUMPRODUCT((Upload_Indiv_Player=$A5)*(Upload_Indiv_Date=I$2)*(Upload_Indiv_Gross))=0,"",SUMPRODUCT((Upload_Indiv_Player=$A5)*(Upload_Indiv_Date=I$2)*(Upload_Indiv_Gross)))</f>
        <v/>
      </c>
      <c r="J5" s="2" t="str" cm="1">
        <f t="array" ref="J5">IF(SUMPRODUCT((Upload_Indiv_Player=$A5)*(Upload_Indiv_Date=J$2)*(Upload_Indiv_Gross))=0,"",SUMPRODUCT((Upload_Indiv_Player=$A5)*(Upload_Indiv_Date=J$2)*(Upload_Indiv_Gross)))</f>
        <v/>
      </c>
      <c r="K5" s="2" cm="1">
        <f t="array" ref="K5">IF(SUMPRODUCT((Upload_Indiv_Player=$A5)*(Upload_Indiv_Date=K$2)*(Upload_Indiv_Gross))=0,"",SUMPRODUCT((Upload_Indiv_Player=$A5)*(Upload_Indiv_Date=K$2)*(Upload_Indiv_Gross)))</f>
        <v>43</v>
      </c>
      <c r="L5" s="2" cm="1">
        <f t="array" ref="L5">IF(SUMPRODUCT((Upload_Indiv_Player=$A5)*(Upload_Indiv_Date=L$2)*(Upload_Indiv_Gross))=0,"",SUMPRODUCT((Upload_Indiv_Player=$A5)*(Upload_Indiv_Date=L$2)*(Upload_Indiv_Gross)))</f>
        <v>44</v>
      </c>
      <c r="M5" s="2" cm="1">
        <f t="array" ref="M5">IF(SUMPRODUCT((Upload_Indiv_Player=$A5)*(Upload_Indiv_Date=M$2)*(Upload_Indiv_Gross))=0,"",SUMPRODUCT((Upload_Indiv_Player=$A5)*(Upload_Indiv_Date=M$2)*(Upload_Indiv_Gross)))</f>
        <v>50</v>
      </c>
      <c r="N5" s="2" t="str" cm="1">
        <f t="array" ref="N5">IF(SUMPRODUCT((Upload_Indiv_Player=$A5)*(Upload_Indiv_Date=N$2)*(Upload_Indiv_Gross))=0,"",SUMPRODUCT((Upload_Indiv_Player=$A5)*(Upload_Indiv_Date=N$2)*(Upload_Indiv_Gross)))</f>
        <v/>
      </c>
      <c r="O5" s="2" cm="1">
        <f t="array" ref="O5">IF(SUMPRODUCT((Upload_Indiv_Player=$A5)*(Upload_Indiv_Date=O$2)*(Upload_Indiv_Gross))=0,"",SUMPRODUCT((Upload_Indiv_Player=$A5)*(Upload_Indiv_Date=O$2)*(Upload_Indiv_Gross)))</f>
        <v>44</v>
      </c>
      <c r="P5" s="2" cm="1">
        <f t="array" ref="P5">IF(SUMPRODUCT((Upload_Indiv_Player=$A5)*(Upload_Indiv_Date=P$2)*(Upload_Indiv_Gross))=0,"",SUMPRODUCT((Upload_Indiv_Player=$A5)*(Upload_Indiv_Date=P$2)*(Upload_Indiv_Gross)))</f>
        <v>47</v>
      </c>
      <c r="Q5" s="2" t="str" cm="1">
        <f t="array" ref="Q5">IF(SUMPRODUCT((Upload_Indiv_Player=$A5)*(Upload_Indiv_Date=Q$2)*(Upload_Indiv_Gross))=0,"",SUMPRODUCT((Upload_Indiv_Player=$A5)*(Upload_Indiv_Date=Q$2)*(Upload_Indiv_Gross)))</f>
        <v/>
      </c>
      <c r="R5" s="2" t="str" cm="1">
        <f t="array" ref="R5">IF(SUMPRODUCT((Upload_Indiv_Player=$A5)*(Upload_Indiv_Date=R$2)*(Upload_Indiv_Gross))=0,"",SUMPRODUCT((Upload_Indiv_Player=$A5)*(Upload_Indiv_Date=R$2)*(Upload_Indiv_Gross)))</f>
        <v/>
      </c>
      <c r="S5" s="2" t="str" cm="1">
        <f t="array" ref="S5">IF(SUMPRODUCT((Upload_Indiv_Player=$A5)*(Upload_Indiv_Date=S$2)*(Upload_Indiv_Gross))=0,"",SUMPRODUCT((Upload_Indiv_Player=$A5)*(Upload_Indiv_Date=S$2)*(Upload_Indiv_Gross)))</f>
        <v/>
      </c>
      <c r="T5" s="2" t="str" cm="1">
        <f t="array" ref="T5">IF(SUMPRODUCT((Upload_Indiv_Player=$A5)*(Upload_Indiv_Date=T$2)*(Upload_Indiv_Gross))=0,"",SUMPRODUCT((Upload_Indiv_Player=$A5)*(Upload_Indiv_Date=T$2)*(Upload_Indiv_Gross)))</f>
        <v/>
      </c>
      <c r="U5" s="2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16</v>
      </c>
      <c r="W5" s="273">
        <v>12</v>
      </c>
      <c r="X5" s="273">
        <v>11</v>
      </c>
      <c r="Y5" s="277">
        <v>14</v>
      </c>
      <c r="Z5" s="277">
        <v>13</v>
      </c>
      <c r="AA5" s="277">
        <v>14</v>
      </c>
    </row>
    <row r="6" spans="1:27" x14ac:dyDescent="0.25">
      <c r="A6" s="216">
        <v>3308331442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42</v>
      </c>
      <c r="D6" s="2" cm="1">
        <f t="array" ref="D6">IF(SUMPRODUCT((Upload_Indiv_Player=$A5)*(Upload_Indiv_Date=D$2)*(Upload_Indiv_Net))=0,"",SUMPRODUCT((Upload_Indiv_Player=$A5)*(Upload_Indiv_Date=D$2)*(Upload_Indiv_Net)))</f>
        <v>44</v>
      </c>
      <c r="E6" s="2" cm="1">
        <f t="array" ref="E6">IF(SUMPRODUCT((Upload_Indiv_Player=$A5)*(Upload_Indiv_Date=E$2)*(Upload_Indiv_Net))=0,"",SUMPRODUCT((Upload_Indiv_Player=$A5)*(Upload_Indiv_Date=E$2)*(Upload_Indiv_Net)))</f>
        <v>47</v>
      </c>
      <c r="F6" s="2" cm="1">
        <f t="array" ref="F6">IF(SUMPRODUCT((Upload_Indiv_Player=$A5)*(Upload_Indiv_Date=F$2)*(Upload_Indiv_Net))=0,"",SUMPRODUCT((Upload_Indiv_Player=$A5)*(Upload_Indiv_Date=F$2)*(Upload_Indiv_Net)))</f>
        <v>48</v>
      </c>
      <c r="G6" s="2" cm="1">
        <f t="array" ref="G6">IF(SUMPRODUCT((Upload_Indiv_Player=$A5)*(Upload_Indiv_Date=G$2)*(Upload_Indiv_Net))=0,"",SUMPRODUCT((Upload_Indiv_Player=$A5)*(Upload_Indiv_Date=G$2)*(Upload_Indiv_Net)))</f>
        <v>36</v>
      </c>
      <c r="H6" s="2" cm="1">
        <f t="array" ref="H6">IF(SUMPRODUCT((Upload_Indiv_Player=$A5)*(Upload_Indiv_Date=H$2)*(Upload_Indiv_Net))=0,"",SUMPRODUCT((Upload_Indiv_Player=$A5)*(Upload_Indiv_Date=H$2)*(Upload_Indiv_Net)))</f>
        <v>42</v>
      </c>
      <c r="I6" s="2" t="str" cm="1">
        <f t="array" ref="I6">IF(SUMPRODUCT((Upload_Indiv_Player=$A5)*(Upload_Indiv_Date=I$2)*(Upload_Indiv_Net))=0,"",SUMPRODUCT((Upload_Indiv_Player=$A5)*(Upload_Indiv_Date=I$2)*(Upload_Indiv_Net)))</f>
        <v/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34</v>
      </c>
      <c r="L6" s="2" cm="1">
        <f t="array" ref="L6">IF(SUMPRODUCT((Upload_Indiv_Player=$A5)*(Upload_Indiv_Date=L$2)*(Upload_Indiv_Net))=0,"",SUMPRODUCT((Upload_Indiv_Player=$A5)*(Upload_Indiv_Date=L$2)*(Upload_Indiv_Net)))</f>
        <v>35</v>
      </c>
      <c r="M6" s="2" cm="1">
        <f t="array" ref="M6">IF(SUMPRODUCT((Upload_Indiv_Player=$A5)*(Upload_Indiv_Date=M$2)*(Upload_Indiv_Net))=0,"",SUMPRODUCT((Upload_Indiv_Player=$A5)*(Upload_Indiv_Date=M$2)*(Upload_Indiv_Net)))</f>
        <v>41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35</v>
      </c>
      <c r="P6" s="2" cm="1">
        <f t="array" ref="P6">IF(SUMPRODUCT((Upload_Indiv_Player=$A5)*(Upload_Indiv_Date=P$2)*(Upload_Indiv_Net))=0,"",SUMPRODUCT((Upload_Indiv_Player=$A5)*(Upload_Indiv_Date=P$2)*(Upload_Indiv_Net)))</f>
        <v>39</v>
      </c>
      <c r="Q6" s="2" t="str" cm="1">
        <f t="array" ref="Q6">IF(SUMPRODUCT((Upload_Indiv_Player=$A5)*(Upload_Indiv_Date=Q$2)*(Upload_Indiv_Net))=0,"",SUMPRODUCT((Upload_Indiv_Player=$A5)*(Upload_Indiv_Date=Q$2)*(Upload_Indiv_Net)))</f>
        <v/>
      </c>
      <c r="R6" s="2" t="str" cm="1">
        <f t="array" ref="R6">IF(SUMPRODUCT((Upload_Indiv_Player=$A5)*(Upload_Indiv_Date=R$2)*(Upload_Indiv_Net))=0,"",SUMPRODUCT((Upload_Indiv_Player=$A5)*(Upload_Indiv_Date=R$2)*(Upload_Indiv_Net)))</f>
        <v/>
      </c>
      <c r="S6" s="2" t="str" cm="1">
        <f t="array" ref="S6">IF(SUMPRODUCT((Upload_Indiv_Player=$A5)*(Upload_Indiv_Date=S$2)*(Upload_Indiv_Net))=0,"",SUMPRODUCT((Upload_Indiv_Player=$A5)*(Upload_Indiv_Date=S$2)*(Upload_Indiv_Net)))</f>
        <v/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>
        <v>47</v>
      </c>
      <c r="W6" s="276"/>
      <c r="X6" s="276"/>
      <c r="Y6" s="277"/>
      <c r="Z6" s="277"/>
      <c r="AA6" s="277"/>
    </row>
    <row r="7" spans="1:27" x14ac:dyDescent="0.25">
      <c r="A7" s="64" t="s">
        <v>273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11</v>
      </c>
      <c r="D7" s="2" cm="1">
        <f t="array" ref="D7">IF(SUMPRODUCT((Upload_Indiv_Player=$A5)*(Upload_Indiv_Date=D$2)*(Upload_Indiv_PointsTot))=0,"",SUMPRODUCT((Upload_Indiv_Player=$A5)*(Upload_Indiv_Date=D$2)*(Upload_Indiv_PointsTot)))</f>
        <v>9</v>
      </c>
      <c r="E7" s="2" cm="1">
        <f t="array" ref="E7">IF(SUMPRODUCT((Upload_Indiv_Player=$A5)*(Upload_Indiv_Date=E$2)*(Upload_Indiv_PointsTot))=0,"",SUMPRODUCT((Upload_Indiv_Player=$A5)*(Upload_Indiv_Date=E$2)*(Upload_Indiv_PointsTot)))</f>
        <v>7</v>
      </c>
      <c r="F7" s="2" cm="1">
        <f t="array" ref="F7">IF(SUMPRODUCT((Upload_Indiv_Player=$A5)*(Upload_Indiv_Date=F$2)*(Upload_Indiv_PointsTot))=0,"",SUMPRODUCT((Upload_Indiv_Player=$A5)*(Upload_Indiv_Date=F$2)*(Upload_Indiv_PointsTot)))</f>
        <v>5</v>
      </c>
      <c r="G7" s="2" cm="1">
        <f t="array" ref="G7">IF(SUMPRODUCT((Upload_Indiv_Player=$A5)*(Upload_Indiv_Date=G$2)*(Upload_Indiv_PointsTot))=0,"",SUMPRODUCT((Upload_Indiv_Player=$A5)*(Upload_Indiv_Date=G$2)*(Upload_Indiv_PointsTot)))</f>
        <v>15</v>
      </c>
      <c r="H7" s="2" cm="1">
        <f t="array" ref="H7">IF(SUMPRODUCT((Upload_Indiv_Player=$A5)*(Upload_Indiv_Date=H$2)*(Upload_Indiv_PointsTot))=0,"",SUMPRODUCT((Upload_Indiv_Player=$A5)*(Upload_Indiv_Date=H$2)*(Upload_Indiv_PointsTot)))</f>
        <v>8</v>
      </c>
      <c r="I7" s="2" t="str" cm="1">
        <f t="array" ref="I7">IF(SUMPRODUCT((Upload_Indiv_Player=$A5)*(Upload_Indiv_Date=I$2)*(Upload_Indiv_PointsTot))=0,"",SUMPRODUCT((Upload_Indiv_Player=$A5)*(Upload_Indiv_Date=I$2)*(Upload_Indiv_PointsTot)))</f>
        <v/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13</v>
      </c>
      <c r="L7" s="2" cm="1">
        <f t="array" ref="L7">IF(SUMPRODUCT((Upload_Indiv_Player=$A5)*(Upload_Indiv_Date=L$2)*(Upload_Indiv_PointsTot))=0,"",SUMPRODUCT((Upload_Indiv_Player=$A5)*(Upload_Indiv_Date=L$2)*(Upload_Indiv_PointsTot)))</f>
        <v>15</v>
      </c>
      <c r="M7" s="2" cm="1">
        <f t="array" ref="M7">IF(SUMPRODUCT((Upload_Indiv_Player=$A5)*(Upload_Indiv_Date=M$2)*(Upload_Indiv_PointsTot))=0,"",SUMPRODUCT((Upload_Indiv_Player=$A5)*(Upload_Indiv_Date=M$2)*(Upload_Indiv_PointsTot)))</f>
        <v>5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16</v>
      </c>
      <c r="P7" s="2" cm="1">
        <f t="array" ref="P7">IF(SUMPRODUCT((Upload_Indiv_Player=$A5)*(Upload_Indiv_Date=P$2)*(Upload_Indiv_PointsTot))=0,"",SUMPRODUCT((Upload_Indiv_Player=$A5)*(Upload_Indiv_Date=P$2)*(Upload_Indiv_PointsTot)))</f>
        <v>8</v>
      </c>
      <c r="Q7" s="2" t="str" cm="1">
        <f t="array" ref="Q7">IF(SUMPRODUCT((Upload_Indiv_Player=$A5)*(Upload_Indiv_Date=Q$2)*(Upload_Indiv_PointsTot))=0,"",SUMPRODUCT((Upload_Indiv_Player=$A5)*(Upload_Indiv_Date=Q$2)*(Upload_Indiv_PointsTot)))</f>
        <v/>
      </c>
      <c r="R7" s="2" t="str" cm="1">
        <f t="array" ref="R7">IF(SUMPRODUCT((Upload_Indiv_Player=$A5)*(Upload_Indiv_Date=R$2)*(Upload_Indiv_PointsTot))=0,"",SUMPRODUCT((Upload_Indiv_Player=$A5)*(Upload_Indiv_Date=R$2)*(Upload_Indiv_PointsTot)))</f>
        <v/>
      </c>
      <c r="S7" s="2" t="str" cm="1">
        <f t="array" ref="S7">IF(SUMPRODUCT((Upload_Indiv_Player=$A5)*(Upload_Indiv_Date=S$2)*(Upload_Indiv_PointsTot))=0,"",SUMPRODUCT((Upload_Indiv_Player=$A5)*(Upload_Indiv_Date=S$2)*(Upload_Indiv_PointsTot)))</f>
        <v/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14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14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14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t="str" cm="1">
        <f t="array" ref="Q10">IF(SUMPRODUCT((Upload_Indiv_Player=$A5)*(Upload_Indiv_Date=Q$2)*(Upload_Indiv_Excl_Score))=0,"",SUMPRODUCT((Upload_Indiv_Player=$A5)*(Upload_Indiv_Date=Q$2)*(Upload_Indiv_Excl_Score)))</f>
        <v/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t="str" cm="1">
        <f t="array" ref="T10">IF(SUMPRODUCT((Upload_Indiv_Player=$A5)*(Upload_Indiv_Date=T$2)*(Upload_Indiv_Excl_Score))=0,"",SUMPRODUCT((Upload_Indiv_Player=$A5)*(Upload_Indiv_Date=T$2)*(Upload_Indiv_Excl_Score)))</f>
        <v/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329"/>
      <c r="B11" s="8" t="s">
        <v>178</v>
      </c>
      <c r="C11" s="58" t="str">
        <f>IF(C5="", "", IF(C7&gt;=11, "w", IF(C7&lt;=9, "l", "t")))</f>
        <v>w</v>
      </c>
      <c r="D11" s="58" t="str">
        <f t="shared" ref="D11:S11" si="1">IF(D5="", "", IF(D7&gt;=11, "w", IF(D7&lt;=9, "l", "t")))</f>
        <v>l</v>
      </c>
      <c r="E11" s="58" t="str">
        <f t="shared" si="1"/>
        <v>l</v>
      </c>
      <c r="F11" s="58" t="str">
        <f t="shared" si="1"/>
        <v>l</v>
      </c>
      <c r="G11" s="58" t="str">
        <f t="shared" si="1"/>
        <v>w</v>
      </c>
      <c r="H11" s="58" t="str">
        <f t="shared" si="1"/>
        <v>l</v>
      </c>
      <c r="I11" s="58" t="str">
        <f t="shared" si="1"/>
        <v/>
      </c>
      <c r="J11" s="58" t="str">
        <f t="shared" si="1"/>
        <v/>
      </c>
      <c r="K11" s="58" t="str">
        <f t="shared" si="1"/>
        <v>w</v>
      </c>
      <c r="L11" s="58" t="str">
        <f t="shared" si="1"/>
        <v>w</v>
      </c>
      <c r="M11" s="58" t="str">
        <f t="shared" si="1"/>
        <v>l</v>
      </c>
      <c r="N11" s="58" t="str">
        <f t="shared" si="1"/>
        <v/>
      </c>
      <c r="O11" s="58" t="str">
        <f t="shared" si="1"/>
        <v>w</v>
      </c>
      <c r="P11" s="58" t="str">
        <f t="shared" si="1"/>
        <v>l</v>
      </c>
      <c r="Q11" s="58" t="str">
        <f t="shared" si="1"/>
        <v/>
      </c>
      <c r="R11" s="58" t="str">
        <f t="shared" si="1"/>
        <v/>
      </c>
      <c r="S11" s="58" t="str">
        <f t="shared" si="1"/>
        <v/>
      </c>
      <c r="T11" s="58" t="str">
        <f>IF(T5="", "", IF(T7&gt;=11, "w", IF(T7&lt;=9, "l", "t")))</f>
        <v/>
      </c>
      <c r="U11" s="58" t="str">
        <f>IF(U5="", "", IF(U7&gt;=11, "w", IF(U7&lt;=9, "l", "t")))</f>
        <v/>
      </c>
      <c r="V11" s="276"/>
      <c r="W11" s="276"/>
      <c r="X11" s="276"/>
      <c r="Y11" s="277"/>
      <c r="Z11" s="277"/>
      <c r="AA11" s="277"/>
    </row>
    <row r="12" spans="1:27" x14ac:dyDescent="0.25">
      <c r="A12" s="11" t="s">
        <v>274</v>
      </c>
      <c r="B12" s="17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47</v>
      </c>
      <c r="D12" s="3" cm="1">
        <f t="array" ref="D12">IF(SUMPRODUCT((Upload_Indiv_Player=$A12)*(Upload_Indiv_Date=D$2)*(Upload_Indiv_Gross))=0,"",SUMPRODUCT((Upload_Indiv_Player=$A12)*(Upload_Indiv_Date=D$2)*(Upload_Indiv_Gross)))</f>
        <v>53</v>
      </c>
      <c r="E12" s="3" cm="1">
        <f t="array" ref="E12">IF(SUMPRODUCT((Upload_Indiv_Player=$A12)*(Upload_Indiv_Date=E$2)*(Upload_Indiv_Gross))=0,"",SUMPRODUCT((Upload_Indiv_Player=$A12)*(Upload_Indiv_Date=E$2)*(Upload_Indiv_Gross)))</f>
        <v>49</v>
      </c>
      <c r="F12" s="3" cm="1">
        <f t="array" ref="F12">IF(SUMPRODUCT((Upload_Indiv_Player=$A12)*(Upload_Indiv_Date=F$2)*(Upload_Indiv_Gross))=0,"",SUMPRODUCT((Upload_Indiv_Player=$A12)*(Upload_Indiv_Date=F$2)*(Upload_Indiv_Gross)))</f>
        <v>47</v>
      </c>
      <c r="G12" s="3" cm="1">
        <f t="array" ref="G12">IF(SUMPRODUCT((Upload_Indiv_Player=$A12)*(Upload_Indiv_Date=G$2)*(Upload_Indiv_Gross))=0,"",SUMPRODUCT((Upload_Indiv_Player=$A12)*(Upload_Indiv_Date=G$2)*(Upload_Indiv_Gross)))</f>
        <v>55</v>
      </c>
      <c r="H12" s="3" t="str" cm="1">
        <f t="array" ref="H12">IF(SUMPRODUCT((Upload_Indiv_Player=$A12)*(Upload_Indiv_Date=H$2)*(Upload_Indiv_Gross))=0,"",SUMPRODUCT((Upload_Indiv_Player=$A12)*(Upload_Indiv_Date=H$2)*(Upload_Indiv_Gross)))</f>
        <v/>
      </c>
      <c r="I12" s="3" cm="1">
        <f t="array" ref="I12">IF(SUMPRODUCT((Upload_Indiv_Player=$A12)*(Upload_Indiv_Date=I$2)*(Upload_Indiv_Gross))=0,"",SUMPRODUCT((Upload_Indiv_Player=$A12)*(Upload_Indiv_Date=I$2)*(Upload_Indiv_Gross)))</f>
        <v>47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45</v>
      </c>
      <c r="L12" s="3" cm="1">
        <f t="array" ref="L12">IF(SUMPRODUCT((Upload_Indiv_Player=$A12)*(Upload_Indiv_Date=L$2)*(Upload_Indiv_Gross))=0,"",SUMPRODUCT((Upload_Indiv_Player=$A12)*(Upload_Indiv_Date=L$2)*(Upload_Indiv_Gross)))</f>
        <v>50</v>
      </c>
      <c r="M12" s="3" cm="1">
        <f t="array" ref="M12">IF(SUMPRODUCT((Upload_Indiv_Player=$A12)*(Upload_Indiv_Date=M$2)*(Upload_Indiv_Gross))=0,"",SUMPRODUCT((Upload_Indiv_Player=$A12)*(Upload_Indiv_Date=M$2)*(Upload_Indiv_Gross)))</f>
        <v>48</v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38</v>
      </c>
      <c r="P12" s="3" cm="1">
        <f t="array" ref="P12">IF(SUMPRODUCT((Upload_Indiv_Player=$A12)*(Upload_Indiv_Date=P$2)*(Upload_Indiv_Gross))=0,"",SUMPRODUCT((Upload_Indiv_Player=$A12)*(Upload_Indiv_Date=P$2)*(Upload_Indiv_Gross)))</f>
        <v>45</v>
      </c>
      <c r="Q12" s="3" t="str" cm="1">
        <f t="array" ref="Q12">IF(SUMPRODUCT((Upload_Indiv_Player=$A12)*(Upload_Indiv_Date=Q$2)*(Upload_Indiv_Gross))=0,"",SUMPRODUCT((Upload_Indiv_Player=$A12)*(Upload_Indiv_Date=Q$2)*(Upload_Indiv_Gross)))</f>
        <v/>
      </c>
      <c r="R12" s="3" cm="1">
        <f t="array" ref="R12">IF(SUMPRODUCT((Upload_Indiv_Player=$A12)*(Upload_Indiv_Date=R$2)*(Upload_Indiv_Gross))=0,"",SUMPRODUCT((Upload_Indiv_Player=$A12)*(Upload_Indiv_Date=R$2)*(Upload_Indiv_Gross)))</f>
        <v>48</v>
      </c>
      <c r="S12" s="3" cm="1">
        <f t="array" ref="S12">IF(SUMPRODUCT((Upload_Indiv_Player=$A12)*(Upload_Indiv_Date=S$2)*(Upload_Indiv_Gross))=0,"",SUMPRODUCT((Upload_Indiv_Player=$A12)*(Upload_Indiv_Date=S$2)*(Upload_Indiv_Gross)))</f>
        <v>41</v>
      </c>
      <c r="T12" s="3" cm="1">
        <f t="array" ref="T12">IF(SUMPRODUCT((Upload_Indiv_Player=$A12)*(Upload_Indiv_Date=T$2)*(Upload_Indiv_Gross))=0,"",SUMPRODUCT((Upload_Indiv_Player=$A12)*(Upload_Indiv_Date=T$2)*(Upload_Indiv_Gross)))</f>
        <v>42</v>
      </c>
      <c r="U12" s="3">
        <v>51</v>
      </c>
      <c r="V12" s="273">
        <v>14</v>
      </c>
      <c r="W12" s="273">
        <v>8</v>
      </c>
      <c r="X12" s="273">
        <v>8</v>
      </c>
      <c r="Y12" s="277">
        <v>0</v>
      </c>
      <c r="Z12" s="277">
        <v>0</v>
      </c>
      <c r="AA12" s="277">
        <v>0</v>
      </c>
    </row>
    <row r="13" spans="1:27" x14ac:dyDescent="0.25">
      <c r="A13" s="216">
        <v>3307548403</v>
      </c>
      <c r="B13" s="8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40</v>
      </c>
      <c r="D13" s="2" cm="1">
        <f t="array" ref="D13">IF(SUMPRODUCT((Upload_Indiv_Player=$A12)*(Upload_Indiv_Date=D$2)*(Upload_Indiv_Net))=0,"",SUMPRODUCT((Upload_Indiv_Player=$A12)*(Upload_Indiv_Date=D$2)*(Upload_Indiv_Net)))</f>
        <v>46</v>
      </c>
      <c r="E13" s="2" cm="1">
        <f t="array" ref="E13">IF(SUMPRODUCT((Upload_Indiv_Player=$A12)*(Upload_Indiv_Date=E$2)*(Upload_Indiv_Net))=0,"",SUMPRODUCT((Upload_Indiv_Player=$A12)*(Upload_Indiv_Date=E$2)*(Upload_Indiv_Net)))</f>
        <v>42</v>
      </c>
      <c r="F13" s="2" cm="1">
        <f t="array" ref="F13">IF(SUMPRODUCT((Upload_Indiv_Player=$A12)*(Upload_Indiv_Date=F$2)*(Upload_Indiv_Net))=0,"",SUMPRODUCT((Upload_Indiv_Player=$A12)*(Upload_Indiv_Date=F$2)*(Upload_Indiv_Net)))</f>
        <v>38</v>
      </c>
      <c r="G13" s="2" cm="1">
        <f t="array" ref="G13">IF(SUMPRODUCT((Upload_Indiv_Player=$A12)*(Upload_Indiv_Date=G$2)*(Upload_Indiv_Net))=0,"",SUMPRODUCT((Upload_Indiv_Player=$A12)*(Upload_Indiv_Date=G$2)*(Upload_Indiv_Net)))</f>
        <v>46</v>
      </c>
      <c r="H13" s="2" t="str" cm="1">
        <f t="array" ref="H13">IF(SUMPRODUCT((Upload_Indiv_Player=$A12)*(Upload_Indiv_Date=H$2)*(Upload_Indiv_Net))=0,"",SUMPRODUCT((Upload_Indiv_Player=$A12)*(Upload_Indiv_Date=H$2)*(Upload_Indiv_Net)))</f>
        <v/>
      </c>
      <c r="I13" s="2" cm="1">
        <f t="array" ref="I13">IF(SUMPRODUCT((Upload_Indiv_Player=$A12)*(Upload_Indiv_Date=I$2)*(Upload_Indiv_Net))=0,"",SUMPRODUCT((Upload_Indiv_Player=$A12)*(Upload_Indiv_Date=I$2)*(Upload_Indiv_Net)))</f>
        <v>38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35</v>
      </c>
      <c r="L13" s="2" cm="1">
        <f t="array" ref="L13">IF(SUMPRODUCT((Upload_Indiv_Player=$A12)*(Upload_Indiv_Date=L$2)*(Upload_Indiv_Net))=0,"",SUMPRODUCT((Upload_Indiv_Player=$A12)*(Upload_Indiv_Date=L$2)*(Upload_Indiv_Net)))</f>
        <v>40</v>
      </c>
      <c r="M13" s="2" cm="1">
        <f t="array" ref="M13">IF(SUMPRODUCT((Upload_Indiv_Player=$A12)*(Upload_Indiv_Date=M$2)*(Upload_Indiv_Net))=0,"",SUMPRODUCT((Upload_Indiv_Player=$A12)*(Upload_Indiv_Date=M$2)*(Upload_Indiv_Net)))</f>
        <v>38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28</v>
      </c>
      <c r="P13" s="2" cm="1">
        <f t="array" ref="P13">IF(SUMPRODUCT((Upload_Indiv_Player=$A12)*(Upload_Indiv_Date=P$2)*(Upload_Indiv_Net))=0,"",SUMPRODUCT((Upload_Indiv_Player=$A12)*(Upload_Indiv_Date=P$2)*(Upload_Indiv_Net)))</f>
        <v>37</v>
      </c>
      <c r="Q13" s="2" t="str" cm="1">
        <f t="array" ref="Q13">IF(SUMPRODUCT((Upload_Indiv_Player=$A12)*(Upload_Indiv_Date=Q$2)*(Upload_Indiv_Net))=0,"",SUMPRODUCT((Upload_Indiv_Player=$A12)*(Upload_Indiv_Date=Q$2)*(Upload_Indiv_Net)))</f>
        <v/>
      </c>
      <c r="R13" s="2" cm="1">
        <f t="array" ref="R13">IF(SUMPRODUCT((Upload_Indiv_Player=$A12)*(Upload_Indiv_Date=R$2)*(Upload_Indiv_Net))=0,"",SUMPRODUCT((Upload_Indiv_Player=$A12)*(Upload_Indiv_Date=R$2)*(Upload_Indiv_Net)))</f>
        <v>40</v>
      </c>
      <c r="S13" s="2" cm="1">
        <f t="array" ref="S13">IF(SUMPRODUCT((Upload_Indiv_Player=$A12)*(Upload_Indiv_Date=S$2)*(Upload_Indiv_Net))=0,"",SUMPRODUCT((Upload_Indiv_Player=$A12)*(Upload_Indiv_Date=S$2)*(Upload_Indiv_Net)))</f>
        <v>33</v>
      </c>
      <c r="T13" s="2" cm="1">
        <f t="array" ref="T13">IF(SUMPRODUCT((Upload_Indiv_Player=$A12)*(Upload_Indiv_Date=T$2)*(Upload_Indiv_Net))=0,"",SUMPRODUCT((Upload_Indiv_Player=$A12)*(Upload_Indiv_Date=T$2)*(Upload_Indiv_Net)))</f>
        <v>35</v>
      </c>
      <c r="U13" s="2">
        <v>44</v>
      </c>
      <c r="V13" s="279">
        <v>47.57</v>
      </c>
      <c r="W13" s="276"/>
      <c r="X13" s="276"/>
      <c r="Y13" s="277"/>
      <c r="Z13" s="277"/>
      <c r="AA13" s="277"/>
    </row>
    <row r="14" spans="1:27" x14ac:dyDescent="0.25">
      <c r="A14" s="65" t="s">
        <v>275</v>
      </c>
      <c r="B14" s="8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11</v>
      </c>
      <c r="D14" s="2" cm="1">
        <f t="array" ref="D14">IF(SUMPRODUCT((Upload_Indiv_Player=$A12)*(Upload_Indiv_Date=D$2)*(Upload_Indiv_PointsTot))=0,"",SUMPRODUCT((Upload_Indiv_Player=$A12)*(Upload_Indiv_Date=D$2)*(Upload_Indiv_PointsTot)))</f>
        <v>4</v>
      </c>
      <c r="E14" s="2" cm="1">
        <f t="array" ref="E14">IF(SUMPRODUCT((Upload_Indiv_Player=$A12)*(Upload_Indiv_Date=E$2)*(Upload_Indiv_PointsTot))=0,"",SUMPRODUCT((Upload_Indiv_Player=$A12)*(Upload_Indiv_Date=E$2)*(Upload_Indiv_PointsTot)))</f>
        <v>12</v>
      </c>
      <c r="F14" s="2" cm="1">
        <f t="array" ref="F14">IF(SUMPRODUCT((Upload_Indiv_Player=$A12)*(Upload_Indiv_Date=F$2)*(Upload_Indiv_PointsTot))=0,"",SUMPRODUCT((Upload_Indiv_Player=$A12)*(Upload_Indiv_Date=F$2)*(Upload_Indiv_PointsTot)))</f>
        <v>8</v>
      </c>
      <c r="G14" s="2" cm="1">
        <f t="array" ref="G14">IF(SUMPRODUCT((Upload_Indiv_Player=$A12)*(Upload_Indiv_Date=G$2)*(Upload_Indiv_PointsTot))=0,"",SUMPRODUCT((Upload_Indiv_Player=$A12)*(Upload_Indiv_Date=G$2)*(Upload_Indiv_PointsTot)))</f>
        <v>8</v>
      </c>
      <c r="H14" s="2" t="str" cm="1">
        <f t="array" ref="H14">IF(SUMPRODUCT((Upload_Indiv_Player=$A12)*(Upload_Indiv_Date=H$2)*(Upload_Indiv_PointsTot))=0,"",SUMPRODUCT((Upload_Indiv_Player=$A12)*(Upload_Indiv_Date=H$2)*(Upload_Indiv_PointsTot)))</f>
        <v/>
      </c>
      <c r="I14" s="2" cm="1">
        <f t="array" ref="I14">IF(SUMPRODUCT((Upload_Indiv_Player=$A12)*(Upload_Indiv_Date=I$2)*(Upload_Indiv_PointsTot))=0,"",SUMPRODUCT((Upload_Indiv_Player=$A12)*(Upload_Indiv_Date=I$2)*(Upload_Indiv_PointsTot)))</f>
        <v>12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12</v>
      </c>
      <c r="L14" s="2" cm="1">
        <f t="array" ref="L14">IF(SUMPRODUCT((Upload_Indiv_Player=$A12)*(Upload_Indiv_Date=L$2)*(Upload_Indiv_PointsTot))=0,"",SUMPRODUCT((Upload_Indiv_Player=$A12)*(Upload_Indiv_Date=L$2)*(Upload_Indiv_PointsTot)))</f>
        <v>7</v>
      </c>
      <c r="M14" s="2" cm="1">
        <f t="array" ref="M14">IF(SUMPRODUCT((Upload_Indiv_Player=$A12)*(Upload_Indiv_Date=M$2)*(Upload_Indiv_PointsTot))=0,"",SUMPRODUCT((Upload_Indiv_Player=$A12)*(Upload_Indiv_Date=M$2)*(Upload_Indiv_PointsTot)))</f>
        <v>14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17</v>
      </c>
      <c r="P14" s="2" cm="1">
        <f t="array" ref="P14">IF(SUMPRODUCT((Upload_Indiv_Player=$A12)*(Upload_Indiv_Date=P$2)*(Upload_Indiv_PointsTot))=0,"",SUMPRODUCT((Upload_Indiv_Player=$A12)*(Upload_Indiv_Date=P$2)*(Upload_Indiv_PointsTot)))</f>
        <v>11</v>
      </c>
      <c r="Q14" s="2" t="str" cm="1">
        <f t="array" ref="Q14">IF(SUMPRODUCT((Upload_Indiv_Player=$A12)*(Upload_Indiv_Date=Q$2)*(Upload_Indiv_PointsTot))=0,"",SUMPRODUCT((Upload_Indiv_Player=$A12)*(Upload_Indiv_Date=Q$2)*(Upload_Indiv_PointsTot)))</f>
        <v/>
      </c>
      <c r="R14" s="2" cm="1">
        <f t="array" ref="R14">IF(SUMPRODUCT((Upload_Indiv_Player=$A12)*(Upload_Indiv_Date=R$2)*(Upload_Indiv_PointsTot))=0,"",SUMPRODUCT((Upload_Indiv_Player=$A12)*(Upload_Indiv_Date=R$2)*(Upload_Indiv_PointsTot)))</f>
        <v>11</v>
      </c>
      <c r="S14" s="2" cm="1">
        <f t="array" ref="S14">IF(SUMPRODUCT((Upload_Indiv_Player=$A12)*(Upload_Indiv_Date=S$2)*(Upload_Indiv_PointsTot))=0,"",SUMPRODUCT((Upload_Indiv_Player=$A12)*(Upload_Indiv_Date=S$2)*(Upload_Indiv_PointsTot)))</f>
        <v>10</v>
      </c>
      <c r="T14" s="2" cm="1">
        <f t="array" ref="T14">IF(SUMPRODUCT((Upload_Indiv_Player=$A12)*(Upload_Indiv_Date=T$2)*(Upload_Indiv_PointsTot))=0,"",SUMPRODUCT((Upload_Indiv_Player=$A12)*(Upload_Indiv_Date=T$2)*(Upload_Indiv_PointsTot)))</f>
        <v>14</v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14"/>
      <c r="B15" s="8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cm="1">
        <f t="array" ref="F15">IF(SUMPRODUCT((Upload_Indiv_Player=$A12)*(Upload_Indiv_Date=F$2)*(Upload_Indiv_Tot_Birds))=0,"",SUMPRODUCT((Upload_Indiv_Player=$A12)*(Upload_Indiv_Date=F$2)*(Upload_Indiv_Tot_Birds)))</f>
        <v>1</v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cm="1">
        <f t="array" ref="O15">IF(SUMPRODUCT((Upload_Indiv_Player=$A12)*(Upload_Indiv_Date=O$2)*(Upload_Indiv_Tot_Birds))=0,"",SUMPRODUCT((Upload_Indiv_Player=$A12)*(Upload_Indiv_Date=O$2)*(Upload_Indiv_Tot_Birds)))</f>
        <v>1</v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cm="1">
        <f t="array" ref="S15">IF(SUMPRODUCT((Upload_Indiv_Player=$A12)*(Upload_Indiv_Date=S$2)*(Upload_Indiv_Tot_Birds))=0,"",SUMPRODUCT((Upload_Indiv_Player=$A12)*(Upload_Indiv_Date=S$2)*(Upload_Indiv_Tot_Birds)))</f>
        <v>1</v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14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14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t="str" cm="1">
        <f t="array" ref="Q17">IF(SUMPRODUCT((Upload_Indiv_Player=$A12)*(Upload_Indiv_Date=Q$2)*(Upload_Indiv_Excl_Score))=0,"",SUMPRODUCT((Upload_Indiv_Player=$A12)*(Upload_Indiv_Date=Q$2)*(Upload_Indiv_Excl_Score)))</f>
        <v/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329"/>
      <c r="B18" s="8" t="s">
        <v>178</v>
      </c>
      <c r="C18" s="58" t="str">
        <f>IF(C12="", "", IF(C14&gt;=11, "w", IF(C14&lt;=9, "l", "t")))</f>
        <v>w</v>
      </c>
      <c r="D18" s="58" t="str">
        <f t="shared" ref="D18:S18" si="2">IF(D12="", "", IF(D14&gt;=11, "w", IF(D14&lt;=9, "l", "t")))</f>
        <v>l</v>
      </c>
      <c r="E18" s="58" t="str">
        <f t="shared" si="2"/>
        <v>w</v>
      </c>
      <c r="F18" s="58" t="str">
        <f t="shared" si="2"/>
        <v>l</v>
      </c>
      <c r="G18" s="58" t="str">
        <f t="shared" si="2"/>
        <v>l</v>
      </c>
      <c r="H18" s="58" t="str">
        <f t="shared" si="2"/>
        <v/>
      </c>
      <c r="I18" s="58" t="str">
        <f t="shared" si="2"/>
        <v>w</v>
      </c>
      <c r="J18" s="58" t="str">
        <f t="shared" si="2"/>
        <v/>
      </c>
      <c r="K18" s="58" t="str">
        <f t="shared" si="2"/>
        <v>w</v>
      </c>
      <c r="L18" s="58" t="str">
        <f t="shared" si="2"/>
        <v>l</v>
      </c>
      <c r="M18" s="58" t="str">
        <f t="shared" si="2"/>
        <v>w</v>
      </c>
      <c r="N18" s="58" t="str">
        <f t="shared" si="2"/>
        <v/>
      </c>
      <c r="O18" s="58" t="str">
        <f t="shared" si="2"/>
        <v>w</v>
      </c>
      <c r="P18" s="58" t="str">
        <f t="shared" si="2"/>
        <v>w</v>
      </c>
      <c r="Q18" s="58" t="str">
        <f t="shared" si="2"/>
        <v/>
      </c>
      <c r="R18" s="58" t="str">
        <f t="shared" si="2"/>
        <v>w</v>
      </c>
      <c r="S18" s="58" t="str">
        <f t="shared" si="2"/>
        <v>t</v>
      </c>
      <c r="T18" s="58" t="str">
        <f>IF(T12="", "", IF(T14&gt;=11, "w", IF(T14&lt;=9, "l", "t")))</f>
        <v>w</v>
      </c>
      <c r="U18" s="58" t="str">
        <f>IF(U12="", "", IF(U14&gt;=11, "w", IF(U14&lt;=9, "l", "t")))</f>
        <v>w</v>
      </c>
      <c r="V18" s="276"/>
      <c r="W18" s="276"/>
      <c r="X18" s="276"/>
      <c r="Y18" s="277"/>
      <c r="Z18" s="277"/>
      <c r="AA18" s="277"/>
    </row>
    <row r="19" spans="1:27" x14ac:dyDescent="0.25">
      <c r="A19" s="11" t="s">
        <v>276</v>
      </c>
      <c r="B19" s="3" t="s">
        <v>170</v>
      </c>
      <c r="C19" s="3" cm="1">
        <f t="array" ref="C19">IF(SUMPRODUCT((Upload_Indiv_Player=$A19)*(Upload_Indiv_Date=C$2)*(Upload_Indiv_Gross))=0,"",SUMPRODUCT((Upload_Indiv_Player=$A19)*(Upload_Indiv_Date=C$2)*(Upload_Indiv_Gross)))</f>
        <v>60</v>
      </c>
      <c r="D19" s="3" cm="1">
        <f t="array" ref="D19">IF(SUMPRODUCT((Upload_Indiv_Player=$A19)*(Upload_Indiv_Date=D$2)*(Upload_Indiv_Gross))=0,"",SUMPRODUCT((Upload_Indiv_Player=$A19)*(Upload_Indiv_Date=D$2)*(Upload_Indiv_Gross)))</f>
        <v>53</v>
      </c>
      <c r="E19" s="3" cm="1">
        <f t="array" ref="E19">IF(SUMPRODUCT((Upload_Indiv_Player=$A19)*(Upload_Indiv_Date=E$2)*(Upload_Indiv_Gross))=0,"",SUMPRODUCT((Upload_Indiv_Player=$A19)*(Upload_Indiv_Date=E$2)*(Upload_Indiv_Gross)))</f>
        <v>56</v>
      </c>
      <c r="F19" s="3" cm="1">
        <f t="array" ref="F19">IF(SUMPRODUCT((Upload_Indiv_Player=$A19)*(Upload_Indiv_Date=F$2)*(Upload_Indiv_Gross))=0,"",SUMPRODUCT((Upload_Indiv_Player=$A19)*(Upload_Indiv_Date=F$2)*(Upload_Indiv_Gross)))</f>
        <v>56</v>
      </c>
      <c r="G19" s="3" cm="1">
        <f t="array" ref="G19">IF(SUMPRODUCT((Upload_Indiv_Player=$A19)*(Upload_Indiv_Date=G$2)*(Upload_Indiv_Gross))=0,"",SUMPRODUCT((Upload_Indiv_Player=$A19)*(Upload_Indiv_Date=G$2)*(Upload_Indiv_Gross)))</f>
        <v>53</v>
      </c>
      <c r="H19" s="3" t="str" cm="1">
        <f t="array" ref="H19">IF(SUMPRODUCT((Upload_Indiv_Player=$A19)*(Upload_Indiv_Date=H$2)*(Upload_Indiv_Gross))=0,"",SUMPRODUCT((Upload_Indiv_Player=$A19)*(Upload_Indiv_Date=H$2)*(Upload_Indiv_Gross)))</f>
        <v/>
      </c>
      <c r="I19" s="3" cm="1">
        <f t="array" ref="I19">IF(SUMPRODUCT((Upload_Indiv_Player=$A19)*(Upload_Indiv_Date=I$2)*(Upload_Indiv_Gross))=0,"",SUMPRODUCT((Upload_Indiv_Player=$A19)*(Upload_Indiv_Date=I$2)*(Upload_Indiv_Gross)))</f>
        <v>56</v>
      </c>
      <c r="J19" s="3" t="str" cm="1">
        <f t="array" ref="J19">IF(SUMPRODUCT((Upload_Indiv_Player=$A19)*(Upload_Indiv_Date=J$2)*(Upload_Indiv_Gross))=0,"",SUMPRODUCT((Upload_Indiv_Player=$A19)*(Upload_Indiv_Date=J$2)*(Upload_Indiv_Gross)))</f>
        <v/>
      </c>
      <c r="K19" s="3" cm="1">
        <f t="array" ref="K19">IF(SUMPRODUCT((Upload_Indiv_Player=$A19)*(Upload_Indiv_Date=K$2)*(Upload_Indiv_Gross))=0,"",SUMPRODUCT((Upload_Indiv_Player=$A19)*(Upload_Indiv_Date=K$2)*(Upload_Indiv_Gross)))</f>
        <v>54</v>
      </c>
      <c r="L19" s="3" cm="1">
        <f t="array" ref="L19">IF(SUMPRODUCT((Upload_Indiv_Player=$A19)*(Upload_Indiv_Date=L$2)*(Upload_Indiv_Gross))=0,"",SUMPRODUCT((Upload_Indiv_Player=$A19)*(Upload_Indiv_Date=L$2)*(Upload_Indiv_Gross)))</f>
        <v>53</v>
      </c>
      <c r="M19" s="3" cm="1">
        <f t="array" ref="M19">IF(SUMPRODUCT((Upload_Indiv_Player=$A19)*(Upload_Indiv_Date=M$2)*(Upload_Indiv_Gross))=0,"",SUMPRODUCT((Upload_Indiv_Player=$A19)*(Upload_Indiv_Date=M$2)*(Upload_Indiv_Gross)))</f>
        <v>51</v>
      </c>
      <c r="N19" s="3" t="str" cm="1">
        <f t="array" ref="N19">IF(SUMPRODUCT((Upload_Indiv_Player=$A19)*(Upload_Indiv_Date=N$2)*(Upload_Indiv_Gross))=0,"",SUMPRODUCT((Upload_Indiv_Player=$A19)*(Upload_Indiv_Date=N$2)*(Upload_Indiv_Gross)))</f>
        <v/>
      </c>
      <c r="O19" s="3" cm="1">
        <f t="array" ref="O19">IF(SUMPRODUCT((Upload_Indiv_Player=$A19)*(Upload_Indiv_Date=O$2)*(Upload_Indiv_Gross))=0,"",SUMPRODUCT((Upload_Indiv_Player=$A19)*(Upload_Indiv_Date=O$2)*(Upload_Indiv_Gross)))</f>
        <v>56</v>
      </c>
      <c r="P19" s="3" cm="1">
        <f t="array" ref="P19">IF(SUMPRODUCT((Upload_Indiv_Player=$A19)*(Upload_Indiv_Date=P$2)*(Upload_Indiv_Gross))=0,"",SUMPRODUCT((Upload_Indiv_Player=$A19)*(Upload_Indiv_Date=P$2)*(Upload_Indiv_Gross)))</f>
        <v>57</v>
      </c>
      <c r="Q19" s="2" cm="1">
        <f t="array" ref="Q19">IF(SUMPRODUCT((Upload_Indiv_Player=$A19)*(Upload_Indiv_Date=Q$2)*(Upload_Indiv_Gross))=0,"",SUMPRODUCT((Upload_Indiv_Player=$A19)*(Upload_Indiv_Date=Q$2)*(Upload_Indiv_Gross)))</f>
        <v>39</v>
      </c>
      <c r="R19" s="2" cm="1">
        <f t="array" ref="R19">IF(SUMPRODUCT((Upload_Indiv_Player=$A19)*(Upload_Indiv_Date=R$2)*(Upload_Indiv_Gross))=0,"",SUMPRODUCT((Upload_Indiv_Player=$A19)*(Upload_Indiv_Date=R$2)*(Upload_Indiv_Gross)))</f>
        <v>54</v>
      </c>
      <c r="S19" s="2" cm="1">
        <f t="array" ref="S19">IF(SUMPRODUCT((Upload_Indiv_Player=$A19)*(Upload_Indiv_Date=S$2)*(Upload_Indiv_Gross))=0,"",SUMPRODUCT((Upload_Indiv_Player=$A19)*(Upload_Indiv_Date=S$2)*(Upload_Indiv_Gross)))</f>
        <v>49</v>
      </c>
      <c r="T19" s="2" cm="1">
        <f t="array" ref="T19">IF(SUMPRODUCT((Upload_Indiv_Player=$A19)*(Upload_Indiv_Date=T$2)*(Upload_Indiv_Gross))=0,"",SUMPRODUCT((Upload_Indiv_Player=$A19)*(Upload_Indiv_Date=T$2)*(Upload_Indiv_Gross)))</f>
        <v>53</v>
      </c>
      <c r="U19" s="2">
        <v>49</v>
      </c>
      <c r="V19" s="273">
        <v>14</v>
      </c>
      <c r="W19" s="273">
        <v>9</v>
      </c>
      <c r="X19" s="273">
        <v>11</v>
      </c>
      <c r="Y19" s="277">
        <v>13</v>
      </c>
      <c r="Z19" s="277">
        <v>13</v>
      </c>
      <c r="AA19" s="277">
        <v>14</v>
      </c>
    </row>
    <row r="20" spans="1:27" x14ac:dyDescent="0.25">
      <c r="A20" s="216">
        <v>2342623948</v>
      </c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47</v>
      </c>
      <c r="D20" s="2" cm="1">
        <f t="array" ref="D20">IF(SUMPRODUCT((Upload_Indiv_Player=$A19)*(Upload_Indiv_Date=D$2)*(Upload_Indiv_Net))=0,"",SUMPRODUCT((Upload_Indiv_Player=$A19)*(Upload_Indiv_Date=D$2)*(Upload_Indiv_Net)))</f>
        <v>40</v>
      </c>
      <c r="E20" s="2" cm="1">
        <f t="array" ref="E20">IF(SUMPRODUCT((Upload_Indiv_Player=$A19)*(Upload_Indiv_Date=E$2)*(Upload_Indiv_Net))=0,"",SUMPRODUCT((Upload_Indiv_Player=$A19)*(Upload_Indiv_Date=E$2)*(Upload_Indiv_Net)))</f>
        <v>43</v>
      </c>
      <c r="F20" s="2" cm="1">
        <f t="array" ref="F20">IF(SUMPRODUCT((Upload_Indiv_Player=$A19)*(Upload_Indiv_Date=F$2)*(Upload_Indiv_Net))=0,"",SUMPRODUCT((Upload_Indiv_Player=$A19)*(Upload_Indiv_Date=F$2)*(Upload_Indiv_Net)))</f>
        <v>43</v>
      </c>
      <c r="G20" s="2" cm="1">
        <f t="array" ref="G20">IF(SUMPRODUCT((Upload_Indiv_Player=$A19)*(Upload_Indiv_Date=G$2)*(Upload_Indiv_Net))=0,"",SUMPRODUCT((Upload_Indiv_Player=$A19)*(Upload_Indiv_Date=G$2)*(Upload_Indiv_Net)))</f>
        <v>40</v>
      </c>
      <c r="H20" s="2" t="str" cm="1">
        <f t="array" ref="H20">IF(SUMPRODUCT((Upload_Indiv_Player=$A19)*(Upload_Indiv_Date=H$2)*(Upload_Indiv_Net))=0,"",SUMPRODUCT((Upload_Indiv_Player=$A19)*(Upload_Indiv_Date=H$2)*(Upload_Indiv_Net)))</f>
        <v/>
      </c>
      <c r="I20" s="2" cm="1">
        <f t="array" ref="I20">IF(SUMPRODUCT((Upload_Indiv_Player=$A19)*(Upload_Indiv_Date=I$2)*(Upload_Indiv_Net))=0,"",SUMPRODUCT((Upload_Indiv_Player=$A19)*(Upload_Indiv_Date=I$2)*(Upload_Indiv_Net)))</f>
        <v>42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40</v>
      </c>
      <c r="L20" s="2" cm="1">
        <f t="array" ref="L20">IF(SUMPRODUCT((Upload_Indiv_Player=$A19)*(Upload_Indiv_Date=L$2)*(Upload_Indiv_Net))=0,"",SUMPRODUCT((Upload_Indiv_Player=$A19)*(Upload_Indiv_Date=L$2)*(Upload_Indiv_Net)))</f>
        <v>37</v>
      </c>
      <c r="M20" s="2" cm="1">
        <f t="array" ref="M20">IF(SUMPRODUCT((Upload_Indiv_Player=$A19)*(Upload_Indiv_Date=M$2)*(Upload_Indiv_Net))=0,"",SUMPRODUCT((Upload_Indiv_Player=$A19)*(Upload_Indiv_Date=M$2)*(Upload_Indiv_Net)))</f>
        <v>35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40</v>
      </c>
      <c r="P20" s="2" cm="1">
        <f t="array" ref="P20">IF(SUMPRODUCT((Upload_Indiv_Player=$A19)*(Upload_Indiv_Date=P$2)*(Upload_Indiv_Net))=0,"",SUMPRODUCT((Upload_Indiv_Player=$A19)*(Upload_Indiv_Date=P$2)*(Upload_Indiv_Net)))</f>
        <v>41</v>
      </c>
      <c r="Q20" s="2" cm="1">
        <f t="array" ref="Q20">IF(SUMPRODUCT((Upload_Indiv_Player=$A19)*(Upload_Indiv_Date=Q$2)*(Upload_Indiv_Net))=0,"",SUMPRODUCT((Upload_Indiv_Player=$A19)*(Upload_Indiv_Date=Q$2)*(Upload_Indiv_Net)))</f>
        <v>23</v>
      </c>
      <c r="R20" s="2" cm="1">
        <f t="array" ref="R20">IF(SUMPRODUCT((Upload_Indiv_Player=$A19)*(Upload_Indiv_Date=R$2)*(Upload_Indiv_Net))=0,"",SUMPRODUCT((Upload_Indiv_Player=$A19)*(Upload_Indiv_Date=R$2)*(Upload_Indiv_Net)))</f>
        <v>38</v>
      </c>
      <c r="S20" s="2" cm="1">
        <f t="array" ref="S20">IF(SUMPRODUCT((Upload_Indiv_Player=$A19)*(Upload_Indiv_Date=S$2)*(Upload_Indiv_Net))=0,"",SUMPRODUCT((Upload_Indiv_Player=$A19)*(Upload_Indiv_Date=S$2)*(Upload_Indiv_Net)))</f>
        <v>33</v>
      </c>
      <c r="T20" s="2" cm="1">
        <f t="array" ref="T20">IF(SUMPRODUCT((Upload_Indiv_Player=$A19)*(Upload_Indiv_Date=T$2)*(Upload_Indiv_Net))=0,"",SUMPRODUCT((Upload_Indiv_Player=$A19)*(Upload_Indiv_Date=T$2)*(Upload_Indiv_Net)))</f>
        <v>38</v>
      </c>
      <c r="U20" s="2">
        <v>34</v>
      </c>
      <c r="V20" s="279">
        <v>53.86</v>
      </c>
      <c r="W20" s="276"/>
      <c r="X20" s="276"/>
      <c r="Y20" s="277"/>
      <c r="Z20" s="277"/>
      <c r="AA20" s="277"/>
    </row>
    <row r="21" spans="1:27" x14ac:dyDescent="0.25">
      <c r="A21" s="65" t="s">
        <v>277</v>
      </c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6</v>
      </c>
      <c r="D21" s="2" cm="1">
        <f t="array" ref="D21">IF(SUMPRODUCT((Upload_Indiv_Player=$A19)*(Upload_Indiv_Date=D$2)*(Upload_Indiv_PointsTot))=0,"",SUMPRODUCT((Upload_Indiv_Player=$A19)*(Upload_Indiv_Date=D$2)*(Upload_Indiv_PointsTot)))</f>
        <v>14</v>
      </c>
      <c r="E21" s="2" cm="1">
        <f t="array" ref="E21">IF(SUMPRODUCT((Upload_Indiv_Player=$A19)*(Upload_Indiv_Date=E$2)*(Upload_Indiv_PointsTot))=0,"",SUMPRODUCT((Upload_Indiv_Player=$A19)*(Upload_Indiv_Date=E$2)*(Upload_Indiv_PointsTot)))</f>
        <v>13</v>
      </c>
      <c r="F21" s="2" cm="1">
        <f t="array" ref="F21">IF(SUMPRODUCT((Upload_Indiv_Player=$A19)*(Upload_Indiv_Date=F$2)*(Upload_Indiv_PointsTot))=0,"",SUMPRODUCT((Upload_Indiv_Player=$A19)*(Upload_Indiv_Date=F$2)*(Upload_Indiv_PointsTot)))</f>
        <v>13</v>
      </c>
      <c r="G21" s="2" cm="1">
        <f t="array" ref="G21">IF(SUMPRODUCT((Upload_Indiv_Player=$A19)*(Upload_Indiv_Date=G$2)*(Upload_Indiv_PointsTot))=0,"",SUMPRODUCT((Upload_Indiv_Player=$A19)*(Upload_Indiv_Date=G$2)*(Upload_Indiv_PointsTot)))</f>
        <v>11</v>
      </c>
      <c r="H21" s="2" t="str" cm="1">
        <f t="array" ref="H21">IF(SUMPRODUCT((Upload_Indiv_Player=$A19)*(Upload_Indiv_Date=H$2)*(Upload_Indiv_PointsTot))=0,"",SUMPRODUCT((Upload_Indiv_Player=$A19)*(Upload_Indiv_Date=H$2)*(Upload_Indiv_PointsTot)))</f>
        <v/>
      </c>
      <c r="I21" s="2" cm="1">
        <f t="array" ref="I21">IF(SUMPRODUCT((Upload_Indiv_Player=$A19)*(Upload_Indiv_Date=I$2)*(Upload_Indiv_PointsTot))=0,"",SUMPRODUCT((Upload_Indiv_Player=$A19)*(Upload_Indiv_Date=I$2)*(Upload_Indiv_PointsTot)))</f>
        <v>7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9</v>
      </c>
      <c r="L21" s="2" cm="1">
        <f t="array" ref="L21">IF(SUMPRODUCT((Upload_Indiv_Player=$A19)*(Upload_Indiv_Date=L$2)*(Upload_Indiv_PointsTot))=0,"",SUMPRODUCT((Upload_Indiv_Player=$A19)*(Upload_Indiv_Date=L$2)*(Upload_Indiv_PointsTot)))</f>
        <v>13</v>
      </c>
      <c r="M21" s="2" cm="1">
        <f t="array" ref="M21">IF(SUMPRODUCT((Upload_Indiv_Player=$A19)*(Upload_Indiv_Date=M$2)*(Upload_Indiv_PointsTot))=0,"",SUMPRODUCT((Upload_Indiv_Player=$A19)*(Upload_Indiv_Date=M$2)*(Upload_Indiv_PointsTot)))</f>
        <v>13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10</v>
      </c>
      <c r="P21" s="2" cm="1">
        <f t="array" ref="P21">IF(SUMPRODUCT((Upload_Indiv_Player=$A19)*(Upload_Indiv_Date=P$2)*(Upload_Indiv_PointsTot))=0,"",SUMPRODUCT((Upload_Indiv_Player=$A19)*(Upload_Indiv_Date=P$2)*(Upload_Indiv_PointsTot)))</f>
        <v>8</v>
      </c>
      <c r="Q21" s="2" cm="1">
        <f t="array" ref="Q21">IF(SUMPRODUCT((Upload_Indiv_Player=$A19)*(Upload_Indiv_Date=Q$2)*(Upload_Indiv_PointsTot))=0,"",SUMPRODUCT((Upload_Indiv_Player=$A19)*(Upload_Indiv_Date=Q$2)*(Upload_Indiv_PointsTot)))</f>
        <v>14</v>
      </c>
      <c r="R21" s="2" cm="1">
        <f t="array" ref="R21">IF(SUMPRODUCT((Upload_Indiv_Player=$A19)*(Upload_Indiv_Date=R$2)*(Upload_Indiv_PointsTot))=0,"",SUMPRODUCT((Upload_Indiv_Player=$A19)*(Upload_Indiv_Date=R$2)*(Upload_Indiv_PointsTot)))</f>
        <v>9</v>
      </c>
      <c r="S21" s="2" cm="1">
        <f t="array" ref="S21">IF(SUMPRODUCT((Upload_Indiv_Player=$A19)*(Upload_Indiv_Date=S$2)*(Upload_Indiv_PointsTot))=0,"",SUMPRODUCT((Upload_Indiv_Player=$A19)*(Upload_Indiv_Date=S$2)*(Upload_Indiv_PointsTot)))</f>
        <v>12</v>
      </c>
      <c r="T21" s="2" cm="1">
        <f t="array" ref="T21">IF(SUMPRODUCT((Upload_Indiv_Player=$A19)*(Upload_Indiv_Date=T$2)*(Upload_Indiv_PointsTot))=0,"",SUMPRODUCT((Upload_Indiv_Player=$A19)*(Upload_Indiv_Date=T$2)*(Upload_Indiv_PointsTot)))</f>
        <v>13</v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14"/>
      <c r="B22" s="2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>
        <v>1</v>
      </c>
      <c r="V22" s="276"/>
      <c r="W22" s="276"/>
      <c r="X22" s="276"/>
      <c r="Y22" s="277"/>
      <c r="Z22" s="277"/>
      <c r="AA22" s="277"/>
    </row>
    <row r="23" spans="1:27" x14ac:dyDescent="0.25">
      <c r="A23" s="14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14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1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329"/>
      <c r="B25" s="8" t="s">
        <v>178</v>
      </c>
      <c r="C25" s="58" t="str">
        <f>IF(C19="", "", IF(C21&gt;=11, "w", IF(C21&lt;=9, "l", "t")))</f>
        <v>l</v>
      </c>
      <c r="D25" s="58" t="str">
        <f t="shared" ref="D25:S25" si="3">IF(D19="", "", IF(D21&gt;=11, "w", IF(D21&lt;=9, "l", "t")))</f>
        <v>w</v>
      </c>
      <c r="E25" s="58" t="str">
        <f t="shared" si="3"/>
        <v>w</v>
      </c>
      <c r="F25" s="58" t="str">
        <f t="shared" si="3"/>
        <v>w</v>
      </c>
      <c r="G25" s="58" t="str">
        <f t="shared" si="3"/>
        <v>w</v>
      </c>
      <c r="H25" s="58" t="str">
        <f t="shared" si="3"/>
        <v/>
      </c>
      <c r="I25" s="58" t="str">
        <f t="shared" si="3"/>
        <v>l</v>
      </c>
      <c r="J25" s="58" t="str">
        <f t="shared" si="3"/>
        <v/>
      </c>
      <c r="K25" s="58" t="str">
        <f t="shared" si="3"/>
        <v>l</v>
      </c>
      <c r="L25" s="58" t="str">
        <f t="shared" si="3"/>
        <v>w</v>
      </c>
      <c r="M25" s="58" t="str">
        <f t="shared" si="3"/>
        <v>w</v>
      </c>
      <c r="N25" s="58" t="str">
        <f t="shared" si="3"/>
        <v/>
      </c>
      <c r="O25" s="58" t="str">
        <f t="shared" si="3"/>
        <v>t</v>
      </c>
      <c r="P25" s="58" t="str">
        <f t="shared" si="3"/>
        <v>l</v>
      </c>
      <c r="Q25" s="58" t="str">
        <f t="shared" si="3"/>
        <v>w</v>
      </c>
      <c r="R25" s="58" t="str">
        <f t="shared" si="3"/>
        <v>l</v>
      </c>
      <c r="S25" s="58" t="str">
        <f t="shared" si="3"/>
        <v>w</v>
      </c>
      <c r="T25" s="58" t="str">
        <f>IF(T19="", "", IF(T21&gt;=11, "w", IF(T21&lt;=9, "l", "t")))</f>
        <v>w</v>
      </c>
      <c r="U25" s="58" t="str">
        <f>IF(U19="", "", IF(U21&gt;=11, "w", IF(U21&lt;=9, "l", "t")))</f>
        <v>w</v>
      </c>
      <c r="V25" s="276"/>
      <c r="W25" s="276"/>
      <c r="X25" s="276"/>
      <c r="Y25" s="277"/>
      <c r="Z25" s="277"/>
      <c r="AA25" s="277"/>
    </row>
    <row r="26" spans="1:27" x14ac:dyDescent="0.25">
      <c r="A26" s="11" t="s">
        <v>278</v>
      </c>
      <c r="B26" s="3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58</v>
      </c>
      <c r="D26" s="3" cm="1">
        <f t="array" ref="D26">IF(SUMPRODUCT((Upload_Indiv_Player=$A26)*(Upload_Indiv_Date=D$2)*(Upload_Indiv_Gross))=0,"",SUMPRODUCT((Upload_Indiv_Player=$A26)*(Upload_Indiv_Date=D$2)*(Upload_Indiv_Gross)))</f>
        <v>63</v>
      </c>
      <c r="E26" s="3" cm="1">
        <f t="array" ref="E26">IF(SUMPRODUCT((Upload_Indiv_Player=$A26)*(Upload_Indiv_Date=E$2)*(Upload_Indiv_Gross))=0,"",SUMPRODUCT((Upload_Indiv_Player=$A26)*(Upload_Indiv_Date=E$2)*(Upload_Indiv_Gross)))</f>
        <v>56</v>
      </c>
      <c r="F26" s="3" cm="1">
        <f t="array" ref="F26">IF(SUMPRODUCT((Upload_Indiv_Player=$A26)*(Upload_Indiv_Date=F$2)*(Upload_Indiv_Gross))=0,"",SUMPRODUCT((Upload_Indiv_Player=$A26)*(Upload_Indiv_Date=F$2)*(Upload_Indiv_Gross)))</f>
        <v>56</v>
      </c>
      <c r="G26" s="3" cm="1">
        <f t="array" ref="G26">IF(SUMPRODUCT((Upload_Indiv_Player=$A26)*(Upload_Indiv_Date=G$2)*(Upload_Indiv_Gross))=0,"",SUMPRODUCT((Upload_Indiv_Player=$A26)*(Upload_Indiv_Date=G$2)*(Upload_Indiv_Gross)))</f>
        <v>52</v>
      </c>
      <c r="H26" s="3" cm="1">
        <f t="array" ref="H26">IF(SUMPRODUCT((Upload_Indiv_Player=$A26)*(Upload_Indiv_Date=H$2)*(Upload_Indiv_Gross))=0,"",SUMPRODUCT((Upload_Indiv_Player=$A26)*(Upload_Indiv_Date=H$2)*(Upload_Indiv_Gross)))</f>
        <v>59</v>
      </c>
      <c r="I26" s="3" cm="1">
        <f t="array" ref="I26">IF(SUMPRODUCT((Upload_Indiv_Player=$A26)*(Upload_Indiv_Date=I$2)*(Upload_Indiv_Gross))=0,"",SUMPRODUCT((Upload_Indiv_Player=$A26)*(Upload_Indiv_Date=I$2)*(Upload_Indiv_Gross)))</f>
        <v>56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55</v>
      </c>
      <c r="L26" s="3" t="str" cm="1">
        <f t="array" ref="L26">IF(SUMPRODUCT((Upload_Indiv_Player=$A26)*(Upload_Indiv_Date=L$2)*(Upload_Indiv_Gross))=0,"",SUMPRODUCT((Upload_Indiv_Player=$A26)*(Upload_Indiv_Date=L$2)*(Upload_Indiv_Gross)))</f>
        <v/>
      </c>
      <c r="M26" s="3" cm="1">
        <f t="array" ref="M26">IF(SUMPRODUCT((Upload_Indiv_Player=$A26)*(Upload_Indiv_Date=M$2)*(Upload_Indiv_Gross))=0,"",SUMPRODUCT((Upload_Indiv_Player=$A26)*(Upload_Indiv_Date=M$2)*(Upload_Indiv_Gross)))</f>
        <v>55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55</v>
      </c>
      <c r="P26" s="3" cm="1">
        <f t="array" ref="P26">IF(SUMPRODUCT((Upload_Indiv_Player=$A26)*(Upload_Indiv_Date=P$2)*(Upload_Indiv_Gross))=0,"",SUMPRODUCT((Upload_Indiv_Player=$A26)*(Upload_Indiv_Date=P$2)*(Upload_Indiv_Gross)))</f>
        <v>55</v>
      </c>
      <c r="Q26" s="2" cm="1">
        <f t="array" ref="Q26">IF(SUMPRODUCT((Upload_Indiv_Player=$A26)*(Upload_Indiv_Date=Q$2)*(Upload_Indiv_Gross))=0,"",SUMPRODUCT((Upload_Indiv_Player=$A26)*(Upload_Indiv_Date=Q$2)*(Upload_Indiv_Gross)))</f>
        <v>35</v>
      </c>
      <c r="R26" s="2" t="str" cm="1">
        <f t="array" ref="R26">IF(SUMPRODUCT((Upload_Indiv_Player=$A26)*(Upload_Indiv_Date=R$2)*(Upload_Indiv_Gross))=0,"",SUMPRODUCT((Upload_Indiv_Player=$A26)*(Upload_Indiv_Date=R$2)*(Upload_Indiv_Gross)))</f>
        <v/>
      </c>
      <c r="S26" s="2" cm="1">
        <f t="array" ref="S26">IF(SUMPRODUCT((Upload_Indiv_Player=$A26)*(Upload_Indiv_Date=S$2)*(Upload_Indiv_Gross))=0,"",SUMPRODUCT((Upload_Indiv_Player=$A26)*(Upload_Indiv_Date=S$2)*(Upload_Indiv_Gross)))</f>
        <v>62</v>
      </c>
      <c r="T26" s="2" cm="1">
        <f t="array" ref="T26">IF(SUMPRODUCT((Upload_Indiv_Player=$A26)*(Upload_Indiv_Date=T$2)*(Upload_Indiv_Gross))=0,"",SUMPRODUCT((Upload_Indiv_Player=$A26)*(Upload_Indiv_Date=T$2)*(Upload_Indiv_Gross)))</f>
        <v>60</v>
      </c>
      <c r="U26" s="2">
        <v>50</v>
      </c>
      <c r="V26" s="273">
        <v>16</v>
      </c>
      <c r="W26" s="273">
        <v>11</v>
      </c>
      <c r="X26" s="273">
        <v>9</v>
      </c>
      <c r="Y26" s="277">
        <v>13</v>
      </c>
      <c r="Z26" s="277">
        <v>15</v>
      </c>
      <c r="AA26" s="277">
        <v>14</v>
      </c>
    </row>
    <row r="27" spans="1:27" x14ac:dyDescent="0.25">
      <c r="A27" s="216">
        <v>3303097690</v>
      </c>
      <c r="B27" s="2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42</v>
      </c>
      <c r="D27" s="2" cm="1">
        <f t="array" ref="D27">IF(SUMPRODUCT((Upload_Indiv_Player=$A26)*(Upload_Indiv_Date=D$2)*(Upload_Indiv_Net))=0,"",SUMPRODUCT((Upload_Indiv_Player=$A26)*(Upload_Indiv_Date=D$2)*(Upload_Indiv_Net)))</f>
        <v>47</v>
      </c>
      <c r="E27" s="2" cm="1">
        <f t="array" ref="E27">IF(SUMPRODUCT((Upload_Indiv_Player=$A26)*(Upload_Indiv_Date=E$2)*(Upload_Indiv_Net))=0,"",SUMPRODUCT((Upload_Indiv_Player=$A26)*(Upload_Indiv_Date=E$2)*(Upload_Indiv_Net)))</f>
        <v>39</v>
      </c>
      <c r="F27" s="2" cm="1">
        <f t="array" ref="F27">IF(SUMPRODUCT((Upload_Indiv_Player=$A26)*(Upload_Indiv_Date=F$2)*(Upload_Indiv_Net))=0,"",SUMPRODUCT((Upload_Indiv_Player=$A26)*(Upload_Indiv_Date=F$2)*(Upload_Indiv_Net)))</f>
        <v>39</v>
      </c>
      <c r="G27" s="2" cm="1">
        <f t="array" ref="G27">IF(SUMPRODUCT((Upload_Indiv_Player=$A26)*(Upload_Indiv_Date=G$2)*(Upload_Indiv_Net))=0,"",SUMPRODUCT((Upload_Indiv_Player=$A26)*(Upload_Indiv_Date=G$2)*(Upload_Indiv_Net)))</f>
        <v>35</v>
      </c>
      <c r="H27" s="2" cm="1">
        <f t="array" ref="H27">IF(SUMPRODUCT((Upload_Indiv_Player=$A26)*(Upload_Indiv_Date=H$2)*(Upload_Indiv_Net))=0,"",SUMPRODUCT((Upload_Indiv_Player=$A26)*(Upload_Indiv_Date=H$2)*(Upload_Indiv_Net)))</f>
        <v>42</v>
      </c>
      <c r="I27" s="2" cm="1">
        <f t="array" ref="I27">IF(SUMPRODUCT((Upload_Indiv_Player=$A26)*(Upload_Indiv_Date=I$2)*(Upload_Indiv_Net))=0,"",SUMPRODUCT((Upload_Indiv_Player=$A26)*(Upload_Indiv_Date=I$2)*(Upload_Indiv_Net)))</f>
        <v>38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37</v>
      </c>
      <c r="L27" s="2" t="str" cm="1">
        <f t="array" ref="L27">IF(SUMPRODUCT((Upload_Indiv_Player=$A26)*(Upload_Indiv_Date=L$2)*(Upload_Indiv_Net))=0,"",SUMPRODUCT((Upload_Indiv_Player=$A26)*(Upload_Indiv_Date=L$2)*(Upload_Indiv_Net)))</f>
        <v/>
      </c>
      <c r="M27" s="2" cm="1">
        <f t="array" ref="M27">IF(SUMPRODUCT((Upload_Indiv_Player=$A26)*(Upload_Indiv_Date=M$2)*(Upload_Indiv_Net))=0,"",SUMPRODUCT((Upload_Indiv_Player=$A26)*(Upload_Indiv_Date=M$2)*(Upload_Indiv_Net)))</f>
        <v>37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37</v>
      </c>
      <c r="P27" s="2" cm="1">
        <f t="array" ref="P27">IF(SUMPRODUCT((Upload_Indiv_Player=$A26)*(Upload_Indiv_Date=P$2)*(Upload_Indiv_Net))=0,"",SUMPRODUCT((Upload_Indiv_Player=$A26)*(Upload_Indiv_Date=P$2)*(Upload_Indiv_Net)))</f>
        <v>37</v>
      </c>
      <c r="Q27" s="2" cm="1">
        <f t="array" ref="Q27">IF(SUMPRODUCT((Upload_Indiv_Player=$A26)*(Upload_Indiv_Date=Q$2)*(Upload_Indiv_Net))=0,"",SUMPRODUCT((Upload_Indiv_Player=$A26)*(Upload_Indiv_Date=Q$2)*(Upload_Indiv_Net)))</f>
        <v>17</v>
      </c>
      <c r="R27" s="2" t="str" cm="1">
        <f t="array" ref="R27">IF(SUMPRODUCT((Upload_Indiv_Player=$A26)*(Upload_Indiv_Date=R$2)*(Upload_Indiv_Net))=0,"",SUMPRODUCT((Upload_Indiv_Player=$A26)*(Upload_Indiv_Date=R$2)*(Upload_Indiv_Net)))</f>
        <v/>
      </c>
      <c r="S27" s="2" cm="1">
        <f t="array" ref="S27">IF(SUMPRODUCT((Upload_Indiv_Player=$A26)*(Upload_Indiv_Date=S$2)*(Upload_Indiv_Net))=0,"",SUMPRODUCT((Upload_Indiv_Player=$A26)*(Upload_Indiv_Date=S$2)*(Upload_Indiv_Net)))</f>
        <v>44</v>
      </c>
      <c r="T27" s="2" cm="1">
        <f t="array" ref="T27">IF(SUMPRODUCT((Upload_Indiv_Player=$A26)*(Upload_Indiv_Date=T$2)*(Upload_Indiv_Net))=0,"",SUMPRODUCT((Upload_Indiv_Player=$A26)*(Upload_Indiv_Date=T$2)*(Upload_Indiv_Net)))</f>
        <v>42</v>
      </c>
      <c r="U27" s="2">
        <v>32</v>
      </c>
      <c r="V27" s="279">
        <v>55</v>
      </c>
      <c r="W27" s="276"/>
      <c r="X27" s="276"/>
      <c r="Y27" s="277"/>
      <c r="Z27" s="277"/>
      <c r="AA27" s="277"/>
    </row>
    <row r="28" spans="1:27" x14ac:dyDescent="0.25">
      <c r="A28" s="65" t="s">
        <v>279</v>
      </c>
      <c r="B28" s="2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8</v>
      </c>
      <c r="D28" s="2" cm="1">
        <f t="array" ref="D28">IF(SUMPRODUCT((Upload_Indiv_Player=$A26)*(Upload_Indiv_Date=D$2)*(Upload_Indiv_PointsTot))=0,"",SUMPRODUCT((Upload_Indiv_Player=$A26)*(Upload_Indiv_Date=D$2)*(Upload_Indiv_PointsTot)))</f>
        <v>7</v>
      </c>
      <c r="E28" s="2" cm="1">
        <f t="array" ref="E28">IF(SUMPRODUCT((Upload_Indiv_Player=$A26)*(Upload_Indiv_Date=E$2)*(Upload_Indiv_PointsTot))=0,"",SUMPRODUCT((Upload_Indiv_Player=$A26)*(Upload_Indiv_Date=E$2)*(Upload_Indiv_PointsTot)))</f>
        <v>20</v>
      </c>
      <c r="F28" s="2" cm="1">
        <f t="array" ref="F28">IF(SUMPRODUCT((Upload_Indiv_Player=$A26)*(Upload_Indiv_Date=F$2)*(Upload_Indiv_PointsTot))=0,"",SUMPRODUCT((Upload_Indiv_Player=$A26)*(Upload_Indiv_Date=F$2)*(Upload_Indiv_PointsTot)))</f>
        <v>9</v>
      </c>
      <c r="G28" s="2" cm="1">
        <f t="array" ref="G28">IF(SUMPRODUCT((Upload_Indiv_Player=$A26)*(Upload_Indiv_Date=G$2)*(Upload_Indiv_PointsTot))=0,"",SUMPRODUCT((Upload_Indiv_Player=$A26)*(Upload_Indiv_Date=G$2)*(Upload_Indiv_PointsTot)))</f>
        <v>15</v>
      </c>
      <c r="H28" s="2" cm="1">
        <f t="array" ref="H28">IF(SUMPRODUCT((Upload_Indiv_Player=$A26)*(Upload_Indiv_Date=H$2)*(Upload_Indiv_PointsTot))=0,"",SUMPRODUCT((Upload_Indiv_Player=$A26)*(Upload_Indiv_Date=H$2)*(Upload_Indiv_PointsTot)))</f>
        <v>14</v>
      </c>
      <c r="I28" s="2" cm="1">
        <f t="array" ref="I28">IF(SUMPRODUCT((Upload_Indiv_Player=$A26)*(Upload_Indiv_Date=I$2)*(Upload_Indiv_PointsTot))=0,"",SUMPRODUCT((Upload_Indiv_Player=$A26)*(Upload_Indiv_Date=I$2)*(Upload_Indiv_PointsTot)))</f>
        <v>12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12</v>
      </c>
      <c r="L28" s="2" t="str" cm="1">
        <f t="array" ref="L28">IF(SUMPRODUCT((Upload_Indiv_Player=$A26)*(Upload_Indiv_Date=L$2)*(Upload_Indiv_PointsTot))=0,"",SUMPRODUCT((Upload_Indiv_Player=$A26)*(Upload_Indiv_Date=L$2)*(Upload_Indiv_PointsTot)))</f>
        <v/>
      </c>
      <c r="M28" s="2" cm="1">
        <f t="array" ref="M28">IF(SUMPRODUCT((Upload_Indiv_Player=$A26)*(Upload_Indiv_Date=M$2)*(Upload_Indiv_PointsTot))=0,"",SUMPRODUCT((Upload_Indiv_Player=$A26)*(Upload_Indiv_Date=M$2)*(Upload_Indiv_PointsTot)))</f>
        <v>12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7</v>
      </c>
      <c r="P28" s="2" cm="1">
        <f t="array" ref="P28">IF(SUMPRODUCT((Upload_Indiv_Player=$A26)*(Upload_Indiv_Date=P$2)*(Upload_Indiv_PointsTot))=0,"",SUMPRODUCT((Upload_Indiv_Player=$A26)*(Upload_Indiv_Date=P$2)*(Upload_Indiv_PointsTot)))</f>
        <v>11</v>
      </c>
      <c r="Q28" s="2" cm="1">
        <f t="array" ref="Q28">IF(SUMPRODUCT((Upload_Indiv_Player=$A26)*(Upload_Indiv_Date=Q$2)*(Upload_Indiv_PointsTot))=0,"",SUMPRODUCT((Upload_Indiv_Player=$A26)*(Upload_Indiv_Date=Q$2)*(Upload_Indiv_PointsTot)))</f>
        <v>13</v>
      </c>
      <c r="R28" s="2" t="str" cm="1">
        <f t="array" ref="R28">IF(SUMPRODUCT((Upload_Indiv_Player=$A26)*(Upload_Indiv_Date=R$2)*(Upload_Indiv_PointsTot))=0,"",SUMPRODUCT((Upload_Indiv_Player=$A26)*(Upload_Indiv_Date=R$2)*(Upload_Indiv_PointsTot)))</f>
        <v/>
      </c>
      <c r="S28" s="2" cm="1">
        <f t="array" ref="S28">IF(SUMPRODUCT((Upload_Indiv_Player=$A26)*(Upload_Indiv_Date=S$2)*(Upload_Indiv_PointsTot))=0,"",SUMPRODUCT((Upload_Indiv_Player=$A26)*(Upload_Indiv_Date=S$2)*(Upload_Indiv_PointsTot)))</f>
        <v>7</v>
      </c>
      <c r="T28" s="2" cm="1">
        <f t="array" ref="T28">IF(SUMPRODUCT((Upload_Indiv_Player=$A26)*(Upload_Indiv_Date=T$2)*(Upload_Indiv_PointsTot))=0,"",SUMPRODUCT((Upload_Indiv_Player=$A26)*(Upload_Indiv_Date=T$2)*(Upload_Indiv_PointsTot)))</f>
        <v>7</v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14"/>
      <c r="B29" s="2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14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14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cm="1">
        <f t="array" ref="Q31">IF(SUMPRODUCT((Upload_Indiv_Player=$A26)*(Upload_Indiv_Date=Q$2)*(Upload_Indiv_Excl_Score))=0,"",SUMPRODUCT((Upload_Indiv_Player=$A26)*(Upload_Indiv_Date=Q$2)*(Upload_Indiv_Excl_Score)))</f>
        <v>1</v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cm="1">
        <f t="array" ref="T31">IF(SUMPRODUCT((Upload_Indiv_Player=$A26)*(Upload_Indiv_Date=T$2)*(Upload_Indiv_Excl_Score))=0,"",SUMPRODUCT((Upload_Indiv_Player=$A26)*(Upload_Indiv_Date=T$2)*(Upload_Indiv_Excl_Score)))</f>
        <v>1</v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329"/>
      <c r="B32" s="8" t="s">
        <v>178</v>
      </c>
      <c r="C32" s="58" t="str">
        <f>IF(C26="", "", IF(C28&gt;=11, "w", IF(C28&lt;=9, "l", "t")))</f>
        <v>l</v>
      </c>
      <c r="D32" s="58" t="str">
        <f t="shared" ref="D32:S32" si="4">IF(D26="", "", IF(D28&gt;=11, "w", IF(D28&lt;=9, "l", "t")))</f>
        <v>l</v>
      </c>
      <c r="E32" s="58" t="str">
        <f t="shared" si="4"/>
        <v>w</v>
      </c>
      <c r="F32" s="58" t="str">
        <f t="shared" si="4"/>
        <v>l</v>
      </c>
      <c r="G32" s="58" t="str">
        <f t="shared" si="4"/>
        <v>w</v>
      </c>
      <c r="H32" s="58" t="str">
        <f t="shared" si="4"/>
        <v>w</v>
      </c>
      <c r="I32" s="58" t="str">
        <f t="shared" si="4"/>
        <v>w</v>
      </c>
      <c r="J32" s="58" t="str">
        <f t="shared" si="4"/>
        <v/>
      </c>
      <c r="K32" s="58" t="str">
        <f t="shared" si="4"/>
        <v>w</v>
      </c>
      <c r="L32" s="58" t="str">
        <f t="shared" si="4"/>
        <v/>
      </c>
      <c r="M32" s="58" t="str">
        <f t="shared" si="4"/>
        <v>w</v>
      </c>
      <c r="N32" s="58" t="str">
        <f t="shared" si="4"/>
        <v/>
      </c>
      <c r="O32" s="58" t="str">
        <f t="shared" si="4"/>
        <v>l</v>
      </c>
      <c r="P32" s="58" t="str">
        <f t="shared" si="4"/>
        <v>w</v>
      </c>
      <c r="Q32" s="58" t="str">
        <f t="shared" si="4"/>
        <v>w</v>
      </c>
      <c r="R32" s="58" t="str">
        <f t="shared" si="4"/>
        <v/>
      </c>
      <c r="S32" s="58" t="str">
        <f t="shared" si="4"/>
        <v>l</v>
      </c>
      <c r="T32" s="58" t="str">
        <f>IF(T26="", "", IF(T28&gt;=11, "w", IF(T28&lt;=9, "l", "t")))</f>
        <v>l</v>
      </c>
      <c r="U32" s="58" t="str">
        <f>IF(U26="", "", IF(U28&gt;=11, "w", IF(U28&lt;=9, "l", "t")))</f>
        <v>w</v>
      </c>
      <c r="V32" s="276"/>
      <c r="W32" s="276"/>
      <c r="X32" s="276"/>
      <c r="Y32" s="277"/>
      <c r="Z32" s="277"/>
      <c r="AA32" s="277"/>
    </row>
    <row r="33" spans="1:27" x14ac:dyDescent="0.25">
      <c r="A33" s="11" t="s">
        <v>280</v>
      </c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t="str" cm="1">
        <f t="array" ref="E33">IF(SUMPRODUCT((Upload_Indiv_Player=$A33)*(Upload_Indiv_Date=E$2)*(Upload_Indiv_Gross))=0,"",SUMPRODUCT((Upload_Indiv_Player=$A33)*(Upload_Indiv_Date=E$2)*(Upload_Indiv_Gross)))</f>
        <v/>
      </c>
      <c r="F33" s="3" t="str" cm="1">
        <f t="array" ref="F33">IF(SUMPRODUCT((Upload_Indiv_Player=$A33)*(Upload_Indiv_Date=F$2)*(Upload_Indiv_Gross))=0,"",SUMPRODUCT((Upload_Indiv_Player=$A33)*(Upload_Indiv_Date=F$2)*(Upload_Indiv_Gross)))</f>
        <v/>
      </c>
      <c r="G33" s="3" t="str" cm="1">
        <f t="array" ref="G33">IF(SUMPRODUCT((Upload_Indiv_Player=$A33)*(Upload_Indiv_Date=G$2)*(Upload_Indiv_Gross))=0,"",SUMPRODUCT((Upload_Indiv_Player=$A33)*(Upload_Indiv_Date=G$2)*(Upload_Indiv_Gross)))</f>
        <v/>
      </c>
      <c r="H33" s="3" t="str" cm="1">
        <f t="array" ref="H33">IF(SUMPRODUCT((Upload_Indiv_Player=$A33)*(Upload_Indiv_Date=H$2)*(Upload_Indiv_Gross))=0,"",SUMPRODUCT((Upload_Indiv_Player=$A33)*(Upload_Indiv_Date=H$2)*(Upload_Indiv_Gross)))</f>
        <v/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t="str" cm="1">
        <f t="array" ref="S33">IF(SUMPRODUCT((Upload_Indiv_Player=$A33)*(Upload_Indiv_Date=S$2)*(Upload_Indiv_Gross))=0,"",SUMPRODUCT((Upload_Indiv_Player=$A33)*(Upload_Indiv_Date=S$2)*(Upload_Indiv_Gross)))</f>
        <v/>
      </c>
      <c r="T33" s="2" t="str" cm="1">
        <f t="array" ref="T33">IF(SUMPRODUCT((Upload_Indiv_Player=$A33)*(Upload_Indiv_Date=T$2)*(Upload_Indiv_Gross))=0,"",SUMPRODUCT((Upload_Indiv_Player=$A33)*(Upload_Indiv_Date=T$2)*(Upload_Indiv_Gross)))</f>
        <v/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/>
      <c r="W33" s="273"/>
      <c r="X33" s="273"/>
      <c r="Y33" s="277"/>
      <c r="Z33" s="277"/>
      <c r="AA33" s="277"/>
    </row>
    <row r="34" spans="1:27" x14ac:dyDescent="0.25">
      <c r="A34" s="12"/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t="str" cm="1">
        <f t="array" ref="F34">IF(SUMPRODUCT((Upload_Indiv_Player=$A33)*(Upload_Indiv_Date=F$2)*(Upload_Indiv_Net))=0,"",SUMPRODUCT((Upload_Indiv_Player=$A33)*(Upload_Indiv_Date=F$2)*(Upload_Indiv_Net)))</f>
        <v/>
      </c>
      <c r="G34" s="2" t="str" cm="1">
        <f t="array" ref="G34">IF(SUMPRODUCT((Upload_Indiv_Player=$A33)*(Upload_Indiv_Date=G$2)*(Upload_Indiv_Net))=0,"",SUMPRODUCT((Upload_Indiv_Player=$A33)*(Upload_Indiv_Date=G$2)*(Upload_Indiv_Net)))</f>
        <v/>
      </c>
      <c r="H34" s="2" t="str" cm="1">
        <f t="array" ref="H34">IF(SUMPRODUCT((Upload_Indiv_Player=$A33)*(Upload_Indiv_Date=H$2)*(Upload_Indiv_Net))=0,"",SUMPRODUCT((Upload_Indiv_Player=$A33)*(Upload_Indiv_Date=H$2)*(Upload_Indiv_Net)))</f>
        <v/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t="str" cm="1">
        <f t="array" ref="S34">IF(SUMPRODUCT((Upload_Indiv_Player=$A33)*(Upload_Indiv_Date=S$2)*(Upload_Indiv_Net))=0,"",SUMPRODUCT((Upload_Indiv_Player=$A33)*(Upload_Indiv_Date=S$2)*(Upload_Indiv_Net)))</f>
        <v/>
      </c>
      <c r="T34" s="2" t="str" cm="1">
        <f t="array" ref="T34">IF(SUMPRODUCT((Upload_Indiv_Player=$A33)*(Upload_Indiv_Date=T$2)*(Upload_Indiv_Net))=0,"",SUMPRODUCT((Upload_Indiv_Player=$A33)*(Upload_Indiv_Date=T$2)*(Upload_Indiv_Net)))</f>
        <v/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6"/>
      <c r="W34" s="276"/>
      <c r="X34" s="276"/>
      <c r="Y34" s="277"/>
      <c r="Z34" s="277"/>
      <c r="AA34" s="277"/>
    </row>
    <row r="35" spans="1:27" x14ac:dyDescent="0.25">
      <c r="A35" s="13"/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t="str" cm="1">
        <f t="array" ref="F35">IF(SUMPRODUCT((Upload_Indiv_Player=$A33)*(Upload_Indiv_Date=F$2)*(Upload_Indiv_PointsTot))=0,"",SUMPRODUCT((Upload_Indiv_Player=$A33)*(Upload_Indiv_Date=F$2)*(Upload_Indiv_PointsTot)))</f>
        <v/>
      </c>
      <c r="G35" s="2" t="str" cm="1">
        <f t="array" ref="G35">IF(SUMPRODUCT((Upload_Indiv_Player=$A33)*(Upload_Indiv_Date=G$2)*(Upload_Indiv_PointsTot))=0,"",SUMPRODUCT((Upload_Indiv_Player=$A33)*(Upload_Indiv_Date=G$2)*(Upload_Indiv_PointsTot)))</f>
        <v/>
      </c>
      <c r="H35" s="2" t="str" cm="1">
        <f t="array" ref="H35">IF(SUMPRODUCT((Upload_Indiv_Player=$A33)*(Upload_Indiv_Date=H$2)*(Upload_Indiv_PointsTot))=0,"",SUMPRODUCT((Upload_Indiv_Player=$A33)*(Upload_Indiv_Date=H$2)*(Upload_Indiv_PointsTot)))</f>
        <v/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t="str" cm="1">
        <f t="array" ref="S35">IF(SUMPRODUCT((Upload_Indiv_Player=$A33)*(Upload_Indiv_Date=S$2)*(Upload_Indiv_PointsTot))=0,"",SUMPRODUCT((Upload_Indiv_Player=$A33)*(Upload_Indiv_Date=S$2)*(Upload_Indiv_PointsTot)))</f>
        <v/>
      </c>
      <c r="T35" s="2" t="str" cm="1">
        <f t="array" ref="T35">IF(SUMPRODUCT((Upload_Indiv_Player=$A33)*(Upload_Indiv_Date=T$2)*(Upload_Indiv_PointsTot))=0,"",SUMPRODUCT((Upload_Indiv_Player=$A33)*(Upload_Indiv_Date=T$2)*(Upload_Indiv_PointsTot)))</f>
        <v/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6"/>
      <c r="W35" s="276"/>
      <c r="X35" s="276"/>
      <c r="Y35" s="277"/>
      <c r="Z35" s="277"/>
      <c r="AA35" s="277"/>
    </row>
    <row r="36" spans="1:27" x14ac:dyDescent="0.25">
      <c r="A36" s="14"/>
      <c r="B36" s="8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6"/>
      <c r="W36" s="276"/>
      <c r="X36" s="276"/>
      <c r="Y36" s="277"/>
      <c r="Z36" s="277"/>
      <c r="AA36" s="277"/>
    </row>
    <row r="37" spans="1:27" x14ac:dyDescent="0.25">
      <c r="A37" s="14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6"/>
      <c r="W37" s="276"/>
      <c r="X37" s="276"/>
      <c r="Y37" s="277"/>
      <c r="Z37" s="277"/>
      <c r="AA37" s="277"/>
    </row>
    <row r="38" spans="1:27" x14ac:dyDescent="0.25">
      <c r="A38" s="14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t="str" cm="1">
        <f t="array" ref="T38">IF(SUMPRODUCT((Upload_Indiv_Player=$A33)*(Upload_Indiv_Date=T$2)*(Upload_Indiv_Excl_Score))=0,"",SUMPRODUCT((Upload_Indiv_Player=$A33)*(Upload_Indiv_Date=T$2)*(Upload_Indiv_Excl_Score)))</f>
        <v/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6"/>
      <c r="W38" s="276"/>
      <c r="X38" s="276"/>
      <c r="Y38" s="277"/>
      <c r="Z38" s="277"/>
      <c r="AA38" s="277"/>
    </row>
    <row r="39" spans="1:27" ht="13.8" thickBot="1" x14ac:dyDescent="0.3">
      <c r="A39" s="15"/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/>
      </c>
      <c r="F39" s="58" t="str">
        <f t="shared" si="5"/>
        <v/>
      </c>
      <c r="G39" s="58" t="str">
        <f t="shared" si="5"/>
        <v/>
      </c>
      <c r="H39" s="58" t="str">
        <f t="shared" si="5"/>
        <v/>
      </c>
      <c r="I39" s="58" t="str">
        <f t="shared" si="5"/>
        <v/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>IF(T33="", "", IF(T35&gt;=11, "w", IF(T35&lt;=9, "l", "t")))</f>
        <v/>
      </c>
      <c r="U39" s="58" t="str">
        <f>IF(U33="", "", IF(U35&gt;=11, "w", IF(U35&lt;=9, "l", "t")))</f>
        <v/>
      </c>
      <c r="V39" s="276"/>
      <c r="W39" s="276"/>
      <c r="X39" s="276"/>
      <c r="Y39" s="277"/>
      <c r="Z39" s="277"/>
      <c r="AA39" s="277"/>
    </row>
    <row r="40" spans="1:27" x14ac:dyDescent="0.25">
      <c r="A40" s="294" t="s">
        <v>281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cm="1">
        <f t="array" ref="H40">IF(SUMPRODUCT((Upload_Indiv_Player=$A40)*(Upload_Indiv_Date=H$2)*(Upload_Indiv_Gross))=0,"",SUMPRODUCT((Upload_Indiv_Player=$A40)*(Upload_Indiv_Date=H$2)*(Upload_Indiv_Gross)))</f>
        <v>40</v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cm="1">
        <f t="array" ref="H41">IF(SUMPRODUCT((Upload_Indiv_Player=$A40)*(Upload_Indiv_Date=H$2)*(Upload_Indiv_Net))=0,"",SUMPRODUCT((Upload_Indiv_Player=$A40)*(Upload_Indiv_Date=H$2)*(Upload_Indiv_Net)))</f>
        <v>40</v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cm="1">
        <f t="array" ref="H42">IF(SUMPRODUCT((Upload_Indiv_Player=$A40)*(Upload_Indiv_Date=H$2)*(Upload_Indiv_PointsTot))=0,"",SUMPRODUCT((Upload_Indiv_Player=$A40)*(Upload_Indiv_Date=H$2)*(Upload_Indiv_PointsTot)))</f>
        <v>15</v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>w</v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14" r:id="rId1" xr:uid="{00000000-0004-0000-1500-000000000000}"/>
    <hyperlink ref="A28" r:id="rId2" xr:uid="{00000000-0004-0000-1500-000001000000}"/>
    <hyperlink ref="A21" r:id="rId3" xr:uid="{00000000-0004-0000-1500-000002000000}"/>
    <hyperlink ref="A7" r:id="rId4" xr:uid="{EA3BF708-8434-487C-9F99-C8B72AA0EFE1}"/>
  </hyperlinks>
  <pageMargins left="0.75" right="0.75" top="1" bottom="1" header="0.5" footer="0.5"/>
  <pageSetup orientation="portrait" r:id="rId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A46"/>
  <sheetViews>
    <sheetView workbookViewId="0"/>
  </sheetViews>
  <sheetFormatPr defaultRowHeight="13.2" x14ac:dyDescent="0.25"/>
  <cols>
    <col min="1" max="1" width="28.5546875" style="4" bestFit="1" customWidth="1"/>
    <col min="2" max="2" width="8.77734375" style="2" bestFit="1" customWidth="1"/>
    <col min="3" max="3" width="9.44140625" style="2" customWidth="1"/>
    <col min="4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25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55" t="s">
        <v>22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37</v>
      </c>
      <c r="D3" s="5" cm="1">
        <f t="array" ref="D3">IF(SUMPRODUCT((Upload_Team_Team=$A$3)*(Upload_Team_Date=D$2)*(Upload_Team_Tm_Tot_Points))=0,"",SUMPRODUCT((Upload_Team_Team=$A$3)*(Upload_Team_Date=D$2)*(Upload_Team_Tm_Tot_Points)))</f>
        <v>33</v>
      </c>
      <c r="E3" s="5" cm="1">
        <f t="array" ref="E3">IF(SUMPRODUCT((Upload_Team_Team=$A$3)*(Upload_Team_Date=E$2)*(Upload_Team_Tm_Tot_Points))=0,"",SUMPRODUCT((Upload_Team_Team=$A$3)*(Upload_Team_Date=E$2)*(Upload_Team_Tm_Tot_Points)))</f>
        <v>34</v>
      </c>
      <c r="F3" s="5" cm="1">
        <f t="array" ref="F3">IF(SUMPRODUCT((Upload_Team_Team=$A$3)*(Upload_Team_Date=F$2)*(Upload_Team_Tm_Tot_Points))=0,"",SUMPRODUCT((Upload_Team_Team=$A$3)*(Upload_Team_Date=F$2)*(Upload_Team_Tm_Tot_Points)))</f>
        <v>23</v>
      </c>
      <c r="G3" s="5" cm="1">
        <f t="array" ref="G3">IF(SUMPRODUCT((Upload_Team_Team=$A$3)*(Upload_Team_Date=G$2)*(Upload_Team_Tm_Tot_Points))=0,"",SUMPRODUCT((Upload_Team_Team=$A$3)*(Upload_Team_Date=G$2)*(Upload_Team_Tm_Tot_Points)))</f>
        <v>51</v>
      </c>
      <c r="H3" s="5" cm="1">
        <f t="array" ref="H3">IF(SUMPRODUCT((Upload_Team_Team=$A$3)*(Upload_Team_Date=H$2)*(Upload_Team_Tm_Tot_Points))=0,"",SUMPRODUCT((Upload_Team_Team=$A$3)*(Upload_Team_Date=H$2)*(Upload_Team_Tm_Tot_Points)))</f>
        <v>30</v>
      </c>
      <c r="I3" s="5" cm="1">
        <f t="array" ref="I3">IF(SUMPRODUCT((Upload_Team_Team=$A$3)*(Upload_Team_Date=I$2)*(Upload_Team_Tm_Tot_Points))=0,"",SUMPRODUCT((Upload_Team_Team=$A$3)*(Upload_Team_Date=I$2)*(Upload_Team_Tm_Tot_Points)))</f>
        <v>33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49</v>
      </c>
      <c r="L3" s="5" cm="1">
        <f t="array" ref="L3">IF(SUMPRODUCT((Upload_Team_Team=$A$3)*(Upload_Team_Date=L$2)*(Upload_Team_Tm_Tot_Points))=0,"",SUMPRODUCT((Upload_Team_Team=$A$3)*(Upload_Team_Date=L$2)*(Upload_Team_Tm_Tot_Points)))</f>
        <v>52</v>
      </c>
      <c r="M3" s="5" cm="1">
        <f t="array" ref="M3">IF(SUMPRODUCT((Upload_Team_Team=$A$3)*(Upload_Team_Date=M$2)*(Upload_Team_Tm_Tot_Points))=0,"",SUMPRODUCT((Upload_Team_Team=$A$3)*(Upload_Team_Date=M$2)*(Upload_Team_Tm_Tot_Points)))</f>
        <v>42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20</v>
      </c>
      <c r="P3" s="5" cm="1">
        <f t="array" ref="P3">IF(SUMPRODUCT((Upload_Team_Team=$A$3)*(Upload_Team_Date=P$2)*(Upload_Team_Tm_Tot_Points))=0,"",SUMPRODUCT((Upload_Team_Team=$A$3)*(Upload_Team_Date=P$2)*(Upload_Team_Tm_Tot_Points)))</f>
        <v>42</v>
      </c>
      <c r="Q3" s="5" cm="1">
        <f t="array" ref="Q3">IF(SUMPRODUCT((Upload_Team_Team=$A$3)*(Upload_Team_Date=Q$2)*(Upload_Team_Tm_Tot_Points))=0,"",SUMPRODUCT((Upload_Team_Team=$A$3)*(Upload_Team_Date=Q$2)*(Upload_Team_Tm_Tot_Points)))</f>
        <v>47</v>
      </c>
      <c r="R3" s="5" cm="1">
        <f t="array" ref="R3">IF(SUMPRODUCT((Upload_Team_Team=$A$3)*(Upload_Team_Date=R$2)*(Upload_Team_Tm_Tot_Points))=0,"",SUMPRODUCT((Upload_Team_Team=$A$3)*(Upload_Team_Date=R$2)*(Upload_Team_Tm_Tot_Points)))</f>
        <v>38</v>
      </c>
      <c r="S3" s="5" cm="1">
        <f t="array" ref="S3">IF(SUMPRODUCT((Upload_Team_Team=$A$3)*(Upload_Team_Date=S$2)*(Upload_Team_Tm_Tot_Points))=0,"",SUMPRODUCT((Upload_Team_Team=$A$3)*(Upload_Team_Date=S$2)*(Upload_Team_Tm_Tot_Points)))</f>
        <v>38</v>
      </c>
      <c r="T3" s="5" cm="1">
        <f t="array" ref="T3">IF(SUMPRODUCT((Upload_Team_Team=$A$3)*(Upload_Team_Date=T$2)*(Upload_Team_Tm_Tot_Points))=0,"",SUMPRODUCT((Upload_Team_Team=$A$3)*(Upload_Team_Date=T$2)*(Upload_Team_Tm_Tot_Points)))</f>
        <v>39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181</v>
      </c>
      <c r="D4" s="7" cm="1">
        <f t="array" ref="D4">IF(SUMPRODUCT((Upload_Team_Team=$A$3)*(Upload_Team_Date=D$2)*(Upload_Team_Tm_Net))=0,"",SUMPRODUCT((Upload_Team_Team=$A$3)*(Upload_Team_Date=D$2)*(Upload_Team_Tm_Net)))</f>
        <v>176</v>
      </c>
      <c r="E4" s="7" cm="1">
        <f t="array" ref="E4">IF(SUMPRODUCT((Upload_Team_Team=$A$3)*(Upload_Team_Date=E$2)*(Upload_Team_Tm_Net))=0,"",SUMPRODUCT((Upload_Team_Team=$A$3)*(Upload_Team_Date=E$2)*(Upload_Team_Tm_Net)))</f>
        <v>161</v>
      </c>
      <c r="F4" s="7" cm="1">
        <f t="array" ref="F4">IF(SUMPRODUCT((Upload_Team_Team=$A$3)*(Upload_Team_Date=F$2)*(Upload_Team_Tm_Net))=0,"",SUMPRODUCT((Upload_Team_Team=$A$3)*(Upload_Team_Date=F$2)*(Upload_Team_Tm_Net)))</f>
        <v>179</v>
      </c>
      <c r="G4" s="7" cm="1">
        <f t="array" ref="G4">IF(SUMPRODUCT((Upload_Team_Team=$A$3)*(Upload_Team_Date=G$2)*(Upload_Team_Tm_Net))=0,"",SUMPRODUCT((Upload_Team_Team=$A$3)*(Upload_Team_Date=G$2)*(Upload_Team_Tm_Net)))</f>
        <v>151</v>
      </c>
      <c r="H4" s="7" cm="1">
        <f t="array" ref="H4">IF(SUMPRODUCT((Upload_Team_Team=$A$3)*(Upload_Team_Date=H$2)*(Upload_Team_Tm_Net))=0,"",SUMPRODUCT((Upload_Team_Team=$A$3)*(Upload_Team_Date=H$2)*(Upload_Team_Tm_Net)))</f>
        <v>172</v>
      </c>
      <c r="I4" s="7" cm="1">
        <f t="array" ref="I4">IF(SUMPRODUCT((Upload_Team_Team=$A$3)*(Upload_Team_Date=I$2)*(Upload_Team_Tm_Net))=0,"",SUMPRODUCT((Upload_Team_Team=$A$3)*(Upload_Team_Date=I$2)*(Upload_Team_Tm_Net)))</f>
        <v>162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156</v>
      </c>
      <c r="L4" s="7" cm="1">
        <f t="array" ref="L4">IF(SUMPRODUCT((Upload_Team_Team=$A$3)*(Upload_Team_Date=L$2)*(Upload_Team_Tm_Net))=0,"",SUMPRODUCT((Upload_Team_Team=$A$3)*(Upload_Team_Date=L$2)*(Upload_Team_Tm_Net)))</f>
        <v>147</v>
      </c>
      <c r="M4" s="7" cm="1">
        <f t="array" ref="M4">IF(SUMPRODUCT((Upload_Team_Team=$A$3)*(Upload_Team_Date=M$2)*(Upload_Team_Tm_Net))=0,"",SUMPRODUCT((Upload_Team_Team=$A$3)*(Upload_Team_Date=M$2)*(Upload_Team_Tm_Net)))</f>
        <v>155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155</v>
      </c>
      <c r="P4" s="7" cm="1">
        <f t="array" ref="P4">IF(SUMPRODUCT((Upload_Team_Team=$A$3)*(Upload_Team_Date=P$2)*(Upload_Team_Tm_Net))=0,"",SUMPRODUCT((Upload_Team_Team=$A$3)*(Upload_Team_Date=P$2)*(Upload_Team_Tm_Net)))</f>
        <v>150</v>
      </c>
      <c r="Q4" s="7" cm="1">
        <f t="array" ref="Q4">IF(SUMPRODUCT((Upload_Team_Team=$A$3)*(Upload_Team_Date=Q$2)*(Upload_Team_Tm_Net))=0,"",SUMPRODUCT((Upload_Team_Team=$A$3)*(Upload_Team_Date=Q$2)*(Upload_Team_Tm_Net)))</f>
        <v>75</v>
      </c>
      <c r="R4" s="7" cm="1">
        <f t="array" ref="R4">IF(SUMPRODUCT((Upload_Team_Team=$A$3)*(Upload_Team_Date=R$2)*(Upload_Team_Tm_Net))=0,"",SUMPRODUCT((Upload_Team_Team=$A$3)*(Upload_Team_Date=R$2)*(Upload_Team_Tm_Net)))</f>
        <v>160</v>
      </c>
      <c r="S4" s="7" cm="1">
        <f t="array" ref="S4">IF(SUMPRODUCT((Upload_Team_Team=$A$3)*(Upload_Team_Date=S$2)*(Upload_Team_Tm_Net))=0,"",SUMPRODUCT((Upload_Team_Team=$A$3)*(Upload_Team_Date=S$2)*(Upload_Team_Tm_Net)))</f>
        <v>157</v>
      </c>
      <c r="T4" s="7" cm="1">
        <f t="array" ref="T4">IF(SUMPRODUCT((Upload_Team_Team=$A$3)*(Upload_Team_Date=T$2)*(Upload_Team_Tm_Net))=0,"",SUMPRODUCT((Upload_Team_Team=$A$3)*(Upload_Team_Date=T$2)*(Upload_Team_Tm_Net)))</f>
        <v>154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03" t="s">
        <v>156</v>
      </c>
      <c r="B5" s="3" t="s">
        <v>170</v>
      </c>
      <c r="C5" s="3" cm="1">
        <f t="array" ref="C5">IF(SUMPRODUCT((Upload_Indiv_Player=$A5)*(Upload_Indiv_Date=C$2)*(Upload_Indiv_Gross))=0,"",SUMPRODUCT((Upload_Indiv_Player=$A5)*(Upload_Indiv_Date=C$2)*(Upload_Indiv_Gross)))</f>
        <v>39</v>
      </c>
      <c r="D5" s="3" cm="1">
        <f t="array" ref="D5">IF(SUMPRODUCT((Upload_Indiv_Player=$A5)*(Upload_Indiv_Date=D$2)*(Upload_Indiv_Gross))=0,"",SUMPRODUCT((Upload_Indiv_Player=$A5)*(Upload_Indiv_Date=D$2)*(Upload_Indiv_Gross)))</f>
        <v>47</v>
      </c>
      <c r="E5" s="3" cm="1">
        <f t="array" ref="E5">IF(SUMPRODUCT((Upload_Indiv_Player=$A5)*(Upload_Indiv_Date=E$2)*(Upload_Indiv_Gross))=0,"",SUMPRODUCT((Upload_Indiv_Player=$A5)*(Upload_Indiv_Date=E$2)*(Upload_Indiv_Gross)))</f>
        <v>44</v>
      </c>
      <c r="F5" s="3" t="str" cm="1">
        <f t="array" ref="F5">IF(SUMPRODUCT((Upload_Indiv_Player=$A5)*(Upload_Indiv_Date=F$2)*(Upload_Indiv_Gross))=0,"",SUMPRODUCT((Upload_Indiv_Player=$A5)*(Upload_Indiv_Date=F$2)*(Upload_Indiv_Gross)))</f>
        <v/>
      </c>
      <c r="G5" s="3" cm="1">
        <f t="array" ref="G5">IF(SUMPRODUCT((Upload_Indiv_Player=$A5)*(Upload_Indiv_Date=G$2)*(Upload_Indiv_Gross))=0,"",SUMPRODUCT((Upload_Indiv_Player=$A5)*(Upload_Indiv_Date=G$2)*(Upload_Indiv_Gross)))</f>
        <v>41</v>
      </c>
      <c r="H5" s="3" cm="1">
        <f t="array" ref="H5">IF(SUMPRODUCT((Upload_Indiv_Player=$A5)*(Upload_Indiv_Date=H$2)*(Upload_Indiv_Gross))=0,"",SUMPRODUCT((Upload_Indiv_Player=$A5)*(Upload_Indiv_Date=H$2)*(Upload_Indiv_Gross)))</f>
        <v>45</v>
      </c>
      <c r="I5" s="3" cm="1">
        <f t="array" ref="I5">IF(SUMPRODUCT((Upload_Indiv_Player=$A5)*(Upload_Indiv_Date=I$2)*(Upload_Indiv_Gross))=0,"",SUMPRODUCT((Upload_Indiv_Player=$A5)*(Upload_Indiv_Date=I$2)*(Upload_Indiv_Gross)))</f>
        <v>50</v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cm="1">
        <f t="array" ref="K5">IF(SUMPRODUCT((Upload_Indiv_Player=$A5)*(Upload_Indiv_Date=K$2)*(Upload_Indiv_Gross))=0,"",SUMPRODUCT((Upload_Indiv_Player=$A5)*(Upload_Indiv_Date=K$2)*(Upload_Indiv_Gross)))</f>
        <v>43</v>
      </c>
      <c r="L5" s="3" cm="1">
        <f t="array" ref="L5">IF(SUMPRODUCT((Upload_Indiv_Player=$A5)*(Upload_Indiv_Date=L$2)*(Upload_Indiv_Gross))=0,"",SUMPRODUCT((Upload_Indiv_Player=$A5)*(Upload_Indiv_Date=L$2)*(Upload_Indiv_Gross)))</f>
        <v>43</v>
      </c>
      <c r="M5" s="3" cm="1">
        <f t="array" ref="M5">IF(SUMPRODUCT((Upload_Indiv_Player=$A5)*(Upload_Indiv_Date=M$2)*(Upload_Indiv_Gross))=0,"",SUMPRODUCT((Upload_Indiv_Player=$A5)*(Upload_Indiv_Date=M$2)*(Upload_Indiv_Gross)))</f>
        <v>41</v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cm="1">
        <f t="array" ref="O5">IF(SUMPRODUCT((Upload_Indiv_Player=$A5)*(Upload_Indiv_Date=O$2)*(Upload_Indiv_Gross))=0,"",SUMPRODUCT((Upload_Indiv_Player=$A5)*(Upload_Indiv_Date=O$2)*(Upload_Indiv_Gross)))</f>
        <v>43</v>
      </c>
      <c r="P5" s="3" cm="1">
        <f t="array" ref="P5">IF(SUMPRODUCT((Upload_Indiv_Player=$A5)*(Upload_Indiv_Date=P$2)*(Upload_Indiv_Gross))=0,"",SUMPRODUCT((Upload_Indiv_Player=$A5)*(Upload_Indiv_Date=P$2)*(Upload_Indiv_Gross)))</f>
        <v>40</v>
      </c>
      <c r="Q5" s="3" t="str" cm="1">
        <f t="array" ref="Q5">IF(SUMPRODUCT((Upload_Indiv_Player=$A5)*(Upload_Indiv_Date=Q$2)*(Upload_Indiv_Gross))=0,"",SUMPRODUCT((Upload_Indiv_Player=$A5)*(Upload_Indiv_Date=Q$2)*(Upload_Indiv_Gross)))</f>
        <v/>
      </c>
      <c r="R5" s="3" cm="1">
        <f t="array" ref="R5">IF(SUMPRODUCT((Upload_Indiv_Player=$A5)*(Upload_Indiv_Date=R$2)*(Upload_Indiv_Gross))=0,"",SUMPRODUCT((Upload_Indiv_Player=$A5)*(Upload_Indiv_Date=R$2)*(Upload_Indiv_Gross)))</f>
        <v>41</v>
      </c>
      <c r="S5" s="3" cm="1">
        <f t="array" ref="S5">IF(SUMPRODUCT((Upload_Indiv_Player=$A5)*(Upload_Indiv_Date=S$2)*(Upload_Indiv_Gross))=0,"",SUMPRODUCT((Upload_Indiv_Player=$A5)*(Upload_Indiv_Date=S$2)*(Upload_Indiv_Gross)))</f>
        <v>45</v>
      </c>
      <c r="T5" s="3" cm="1">
        <f t="array" ref="T5">IF(SUMPRODUCT((Upload_Indiv_Player=$A5)*(Upload_Indiv_Date=T$2)*(Upload_Indiv_Gross))=0,"",SUMPRODUCT((Upload_Indiv_Player=$A5)*(Upload_Indiv_Date=T$2)*(Upload_Indiv_Gross)))</f>
        <v>42</v>
      </c>
      <c r="U5" s="3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15</v>
      </c>
      <c r="W5" s="273">
        <v>11</v>
      </c>
      <c r="X5" s="273">
        <v>12</v>
      </c>
      <c r="Y5" s="277">
        <v>14</v>
      </c>
      <c r="Z5" s="277">
        <v>15</v>
      </c>
      <c r="AA5" s="277">
        <v>17</v>
      </c>
    </row>
    <row r="6" spans="1:27" x14ac:dyDescent="0.25">
      <c r="A6" s="304">
        <v>3304027784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34</v>
      </c>
      <c r="D6" s="2" cm="1">
        <f t="array" ref="D6">IF(SUMPRODUCT((Upload_Indiv_Player=$A5)*(Upload_Indiv_Date=D$2)*(Upload_Indiv_Net))=0,"",SUMPRODUCT((Upload_Indiv_Player=$A5)*(Upload_Indiv_Date=D$2)*(Upload_Indiv_Net)))</f>
        <v>43</v>
      </c>
      <c r="E6" s="2" cm="1">
        <f t="array" ref="E6">IF(SUMPRODUCT((Upload_Indiv_Player=$A5)*(Upload_Indiv_Date=E$2)*(Upload_Indiv_Net))=0,"",SUMPRODUCT((Upload_Indiv_Player=$A5)*(Upload_Indiv_Date=E$2)*(Upload_Indiv_Net)))</f>
        <v>39</v>
      </c>
      <c r="F6" s="2" t="str" cm="1">
        <f t="array" ref="F6">IF(SUMPRODUCT((Upload_Indiv_Player=$A5)*(Upload_Indiv_Date=F$2)*(Upload_Indiv_Net))=0,"",SUMPRODUCT((Upload_Indiv_Player=$A5)*(Upload_Indiv_Date=F$2)*(Upload_Indiv_Net)))</f>
        <v/>
      </c>
      <c r="G6" s="2" cm="1">
        <f t="array" ref="G6">IF(SUMPRODUCT((Upload_Indiv_Player=$A5)*(Upload_Indiv_Date=G$2)*(Upload_Indiv_Net))=0,"",SUMPRODUCT((Upload_Indiv_Player=$A5)*(Upload_Indiv_Date=G$2)*(Upload_Indiv_Net)))</f>
        <v>36</v>
      </c>
      <c r="H6" s="2" cm="1">
        <f t="array" ref="H6">IF(SUMPRODUCT((Upload_Indiv_Player=$A5)*(Upload_Indiv_Date=H$2)*(Upload_Indiv_Net))=0,"",SUMPRODUCT((Upload_Indiv_Player=$A5)*(Upload_Indiv_Date=H$2)*(Upload_Indiv_Net)))</f>
        <v>41</v>
      </c>
      <c r="I6" s="2" cm="1">
        <f t="array" ref="I6">IF(SUMPRODUCT((Upload_Indiv_Player=$A5)*(Upload_Indiv_Date=I$2)*(Upload_Indiv_Net))=0,"",SUMPRODUCT((Upload_Indiv_Player=$A5)*(Upload_Indiv_Date=I$2)*(Upload_Indiv_Net)))</f>
        <v>46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39</v>
      </c>
      <c r="L6" s="2" cm="1">
        <f t="array" ref="L6">IF(SUMPRODUCT((Upload_Indiv_Player=$A5)*(Upload_Indiv_Date=L$2)*(Upload_Indiv_Net))=0,"",SUMPRODUCT((Upload_Indiv_Player=$A5)*(Upload_Indiv_Date=L$2)*(Upload_Indiv_Net)))</f>
        <v>38</v>
      </c>
      <c r="M6" s="2" cm="1">
        <f t="array" ref="M6">IF(SUMPRODUCT((Upload_Indiv_Player=$A5)*(Upload_Indiv_Date=M$2)*(Upload_Indiv_Net))=0,"",SUMPRODUCT((Upload_Indiv_Player=$A5)*(Upload_Indiv_Date=M$2)*(Upload_Indiv_Net)))</f>
        <v>36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38</v>
      </c>
      <c r="P6" s="2" cm="1">
        <f t="array" ref="P6">IF(SUMPRODUCT((Upload_Indiv_Player=$A5)*(Upload_Indiv_Date=P$2)*(Upload_Indiv_Net))=0,"",SUMPRODUCT((Upload_Indiv_Player=$A5)*(Upload_Indiv_Date=P$2)*(Upload_Indiv_Net)))</f>
        <v>35</v>
      </c>
      <c r="Q6" s="2" t="str" cm="1">
        <f t="array" ref="Q6">IF(SUMPRODUCT((Upload_Indiv_Player=$A5)*(Upload_Indiv_Date=Q$2)*(Upload_Indiv_Net))=0,"",SUMPRODUCT((Upload_Indiv_Player=$A5)*(Upload_Indiv_Date=Q$2)*(Upload_Indiv_Net)))</f>
        <v/>
      </c>
      <c r="R6" s="2" cm="1">
        <f t="array" ref="R6">IF(SUMPRODUCT((Upload_Indiv_Player=$A5)*(Upload_Indiv_Date=R$2)*(Upload_Indiv_Net))=0,"",SUMPRODUCT((Upload_Indiv_Player=$A5)*(Upload_Indiv_Date=R$2)*(Upload_Indiv_Net)))</f>
        <v>36</v>
      </c>
      <c r="S6" s="2" cm="1">
        <f t="array" ref="S6">IF(SUMPRODUCT((Upload_Indiv_Player=$A5)*(Upload_Indiv_Date=S$2)*(Upload_Indiv_Net))=0,"",SUMPRODUCT((Upload_Indiv_Player=$A5)*(Upload_Indiv_Date=S$2)*(Upload_Indiv_Net)))</f>
        <v>40</v>
      </c>
      <c r="T6" s="2" cm="1">
        <f t="array" ref="T6">IF(SUMPRODUCT((Upload_Indiv_Player=$A5)*(Upload_Indiv_Date=T$2)*(Upload_Indiv_Net))=0,"",SUMPRODUCT((Upload_Indiv_Player=$A5)*(Upload_Indiv_Date=T$2)*(Upload_Indiv_Net)))</f>
        <v>37</v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>
        <v>44.13</v>
      </c>
      <c r="W6" s="276"/>
      <c r="X6" s="276"/>
      <c r="Y6" s="277"/>
      <c r="Z6" s="277"/>
      <c r="AA6" s="277"/>
    </row>
    <row r="7" spans="1:27" x14ac:dyDescent="0.25">
      <c r="A7" s="308" t="s">
        <v>290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16</v>
      </c>
      <c r="D7" s="2" cm="1">
        <f t="array" ref="D7">IF(SUMPRODUCT((Upload_Indiv_Player=$A5)*(Upload_Indiv_Date=D$2)*(Upload_Indiv_PointsTot))=0,"",SUMPRODUCT((Upload_Indiv_Player=$A5)*(Upload_Indiv_Date=D$2)*(Upload_Indiv_PointsTot)))</f>
        <v>6</v>
      </c>
      <c r="E7" s="2" cm="1">
        <f t="array" ref="E7">IF(SUMPRODUCT((Upload_Indiv_Player=$A5)*(Upload_Indiv_Date=E$2)*(Upload_Indiv_PointsTot))=0,"",SUMPRODUCT((Upload_Indiv_Player=$A5)*(Upload_Indiv_Date=E$2)*(Upload_Indiv_PointsTot)))</f>
        <v>6</v>
      </c>
      <c r="F7" s="2" t="str" cm="1">
        <f t="array" ref="F7">IF(SUMPRODUCT((Upload_Indiv_Player=$A5)*(Upload_Indiv_Date=F$2)*(Upload_Indiv_PointsTot))=0,"",SUMPRODUCT((Upload_Indiv_Player=$A5)*(Upload_Indiv_Date=F$2)*(Upload_Indiv_PointsTot)))</f>
        <v/>
      </c>
      <c r="G7" s="2" cm="1">
        <f t="array" ref="G7">IF(SUMPRODUCT((Upload_Indiv_Player=$A5)*(Upload_Indiv_Date=G$2)*(Upload_Indiv_PointsTot))=0,"",SUMPRODUCT((Upload_Indiv_Player=$A5)*(Upload_Indiv_Date=G$2)*(Upload_Indiv_PointsTot)))</f>
        <v>14</v>
      </c>
      <c r="H7" s="2" cm="1">
        <f t="array" ref="H7">IF(SUMPRODUCT((Upload_Indiv_Player=$A5)*(Upload_Indiv_Date=H$2)*(Upload_Indiv_PointsTot))=0,"",SUMPRODUCT((Upload_Indiv_Player=$A5)*(Upload_Indiv_Date=H$2)*(Upload_Indiv_PointsTot)))</f>
        <v>12</v>
      </c>
      <c r="I7" s="2" cm="1">
        <f t="array" ref="I7">IF(SUMPRODUCT((Upload_Indiv_Player=$A5)*(Upload_Indiv_Date=I$2)*(Upload_Indiv_PointsTot))=0,"",SUMPRODUCT((Upload_Indiv_Player=$A5)*(Upload_Indiv_Date=I$2)*(Upload_Indiv_PointsTot)))</f>
        <v>7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8</v>
      </c>
      <c r="L7" s="2" cm="1">
        <f t="array" ref="L7">IF(SUMPRODUCT((Upload_Indiv_Player=$A5)*(Upload_Indiv_Date=L$2)*(Upload_Indiv_PointsTot))=0,"",SUMPRODUCT((Upload_Indiv_Player=$A5)*(Upload_Indiv_Date=L$2)*(Upload_Indiv_PointsTot)))</f>
        <v>12</v>
      </c>
      <c r="M7" s="2" cm="1">
        <f t="array" ref="M7">IF(SUMPRODUCT((Upload_Indiv_Player=$A5)*(Upload_Indiv_Date=M$2)*(Upload_Indiv_PointsTot))=0,"",SUMPRODUCT((Upload_Indiv_Player=$A5)*(Upload_Indiv_Date=M$2)*(Upload_Indiv_PointsTot)))</f>
        <v>12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3</v>
      </c>
      <c r="P7" s="2" cm="1">
        <f t="array" ref="P7">IF(SUMPRODUCT((Upload_Indiv_Player=$A5)*(Upload_Indiv_Date=P$2)*(Upload_Indiv_PointsTot))=0,"",SUMPRODUCT((Upload_Indiv_Player=$A5)*(Upload_Indiv_Date=P$2)*(Upload_Indiv_PointsTot)))</f>
        <v>12</v>
      </c>
      <c r="Q7" s="2" t="str" cm="1">
        <f t="array" ref="Q7">IF(SUMPRODUCT((Upload_Indiv_Player=$A5)*(Upload_Indiv_Date=Q$2)*(Upload_Indiv_PointsTot))=0,"",SUMPRODUCT((Upload_Indiv_Player=$A5)*(Upload_Indiv_Date=Q$2)*(Upload_Indiv_PointsTot)))</f>
        <v/>
      </c>
      <c r="R7" s="2" cm="1">
        <f t="array" ref="R7">IF(SUMPRODUCT((Upload_Indiv_Player=$A5)*(Upload_Indiv_Date=R$2)*(Upload_Indiv_PointsTot))=0,"",SUMPRODUCT((Upload_Indiv_Player=$A5)*(Upload_Indiv_Date=R$2)*(Upload_Indiv_PointsTot)))</f>
        <v>12</v>
      </c>
      <c r="S7" s="2" cm="1">
        <f t="array" ref="S7">IF(SUMPRODUCT((Upload_Indiv_Player=$A5)*(Upload_Indiv_Date=S$2)*(Upload_Indiv_PointsTot))=0,"",SUMPRODUCT((Upload_Indiv_Player=$A5)*(Upload_Indiv_Date=S$2)*(Upload_Indiv_PointsTot)))</f>
        <v>9</v>
      </c>
      <c r="T7" s="2" cm="1">
        <f t="array" ref="T7">IF(SUMPRODUCT((Upload_Indiv_Player=$A5)*(Upload_Indiv_Date=T$2)*(Upload_Indiv_PointsTot))=0,"",SUMPRODUCT((Upload_Indiv_Player=$A5)*(Upload_Indiv_Date=T$2)*(Upload_Indiv_PointsTot)))</f>
        <v>11</v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306"/>
      <c r="B8" s="2" t="s">
        <v>174</v>
      </c>
      <c r="C8" s="2" cm="1">
        <f t="array" ref="C8">IF(SUMPRODUCT((Upload_Indiv_Player=$A5)*(Upload_Indiv_Date=C$2)*(Upload_Indiv_Tot_Birds))=0,"",SUMPRODUCT((Upload_Indiv_Player=$A5)*(Upload_Indiv_Date=C$2)*(Upload_Indiv_Tot_Birds)))</f>
        <v>2</v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cm="1">
        <f t="array" ref="G8">IF(SUMPRODUCT((Upload_Indiv_Player=$A5)*(Upload_Indiv_Date=G$2)*(Upload_Indiv_Tot_Birds))=0,"",SUMPRODUCT((Upload_Indiv_Player=$A5)*(Upload_Indiv_Date=G$2)*(Upload_Indiv_Tot_Birds)))</f>
        <v>1</v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cm="1">
        <f t="array" ref="P8">IF(SUMPRODUCT((Upload_Indiv_Player=$A5)*(Upload_Indiv_Date=P$2)*(Upload_Indiv_Tot_Birds))=0,"",SUMPRODUCT((Upload_Indiv_Player=$A5)*(Upload_Indiv_Date=P$2)*(Upload_Indiv_Tot_Birds)))</f>
        <v>2</v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cm="1">
        <f t="array" ref="S8">IF(SUMPRODUCT((Upload_Indiv_Player=$A5)*(Upload_Indiv_Date=S$2)*(Upload_Indiv_Tot_Birds))=0,"",SUMPRODUCT((Upload_Indiv_Player=$A5)*(Upload_Indiv_Date=S$2)*(Upload_Indiv_Tot_Birds)))</f>
        <v>1</v>
      </c>
      <c r="T8" s="2" cm="1">
        <f t="array" ref="T8">IF(SUMPRODUCT((Upload_Indiv_Player=$A5)*(Upload_Indiv_Date=T$2)*(Upload_Indiv_Tot_Birds))=0,"",SUMPRODUCT((Upload_Indiv_Player=$A5)*(Upload_Indiv_Date=T$2)*(Upload_Indiv_Tot_Birds)))</f>
        <v>1</v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t="str" cm="1">
        <f t="array" ref="Q10">IF(SUMPRODUCT((Upload_Indiv_Player=$A5)*(Upload_Indiv_Date=Q$2)*(Upload_Indiv_Excl_Score))=0,"",SUMPRODUCT((Upload_Indiv_Player=$A5)*(Upload_Indiv_Date=Q$2)*(Upload_Indiv_Excl_Score)))</f>
        <v/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cm="1">
        <f t="array" ref="T10">IF(SUMPRODUCT((Upload_Indiv_Player=$A5)*(Upload_Indiv_Date=T$2)*(Upload_Indiv_Excl_Score))=0,"",SUMPRODUCT((Upload_Indiv_Player=$A5)*(Upload_Indiv_Date=T$2)*(Upload_Indiv_Excl_Score)))</f>
        <v>1</v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w</v>
      </c>
      <c r="D11" s="58" t="str">
        <f t="shared" ref="D11:S11" si="1">IF(D5="", "", IF(D7&gt;=11, "w", IF(D7&lt;=9, "l", "t")))</f>
        <v>l</v>
      </c>
      <c r="E11" s="58" t="str">
        <f t="shared" si="1"/>
        <v>l</v>
      </c>
      <c r="F11" s="58" t="str">
        <f t="shared" si="1"/>
        <v/>
      </c>
      <c r="G11" s="58" t="str">
        <f t="shared" si="1"/>
        <v>w</v>
      </c>
      <c r="H11" s="58" t="str">
        <f t="shared" si="1"/>
        <v>w</v>
      </c>
      <c r="I11" s="58" t="str">
        <f t="shared" si="1"/>
        <v>l</v>
      </c>
      <c r="J11" s="58" t="str">
        <f t="shared" si="1"/>
        <v/>
      </c>
      <c r="K11" s="58" t="str">
        <f t="shared" si="1"/>
        <v>l</v>
      </c>
      <c r="L11" s="58" t="str">
        <f t="shared" si="1"/>
        <v>w</v>
      </c>
      <c r="M11" s="58" t="str">
        <f t="shared" si="1"/>
        <v>w</v>
      </c>
      <c r="N11" s="58" t="str">
        <f t="shared" si="1"/>
        <v/>
      </c>
      <c r="O11" s="58" t="str">
        <f t="shared" si="1"/>
        <v>l</v>
      </c>
      <c r="P11" s="58" t="str">
        <f t="shared" si="1"/>
        <v>w</v>
      </c>
      <c r="Q11" s="58" t="str">
        <f t="shared" si="1"/>
        <v/>
      </c>
      <c r="R11" s="58" t="str">
        <f t="shared" si="1"/>
        <v>w</v>
      </c>
      <c r="S11" s="58" t="str">
        <f t="shared" si="1"/>
        <v>l</v>
      </c>
      <c r="T11" s="58" t="str">
        <f>IF(T5="", "", IF(T7&gt;=11, "w", IF(T7&lt;=9, "l", "t")))</f>
        <v>w</v>
      </c>
      <c r="U11" s="58" t="str">
        <f>IF(U5="", "", IF(U7&gt;=11, "w", IF(U7&lt;=9, "l", "t")))</f>
        <v/>
      </c>
      <c r="V11" s="276"/>
      <c r="W11" s="276"/>
      <c r="X11" s="276"/>
      <c r="Y11" s="277"/>
      <c r="Z11" s="277"/>
      <c r="AA11" s="277"/>
    </row>
    <row r="12" spans="1:27" x14ac:dyDescent="0.25">
      <c r="A12" s="303" t="s">
        <v>148</v>
      </c>
      <c r="B12" s="3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60</v>
      </c>
      <c r="D12" s="3" cm="1">
        <f t="array" ref="D12">IF(SUMPRODUCT((Upload_Indiv_Player=$A12)*(Upload_Indiv_Date=D$2)*(Upload_Indiv_Gross))=0,"",SUMPRODUCT((Upload_Indiv_Player=$A12)*(Upload_Indiv_Date=D$2)*(Upload_Indiv_Gross)))</f>
        <v>62</v>
      </c>
      <c r="E12" s="3" t="str" cm="1">
        <f t="array" ref="E12">IF(SUMPRODUCT((Upload_Indiv_Player=$A12)*(Upload_Indiv_Date=E$2)*(Upload_Indiv_Gross))=0,"",SUMPRODUCT((Upload_Indiv_Player=$A12)*(Upload_Indiv_Date=E$2)*(Upload_Indiv_Gross)))</f>
        <v/>
      </c>
      <c r="F12" s="3" cm="1">
        <f t="array" ref="F12">IF(SUMPRODUCT((Upload_Indiv_Player=$A12)*(Upload_Indiv_Date=F$2)*(Upload_Indiv_Gross))=0,"",SUMPRODUCT((Upload_Indiv_Player=$A12)*(Upload_Indiv_Date=F$2)*(Upload_Indiv_Gross)))</f>
        <v>48</v>
      </c>
      <c r="G12" s="3" cm="1">
        <f t="array" ref="G12">IF(SUMPRODUCT((Upload_Indiv_Player=$A12)*(Upload_Indiv_Date=G$2)*(Upload_Indiv_Gross))=0,"",SUMPRODUCT((Upload_Indiv_Player=$A12)*(Upload_Indiv_Date=G$2)*(Upload_Indiv_Gross)))</f>
        <v>55</v>
      </c>
      <c r="H12" s="3" cm="1">
        <f t="array" ref="H12">IF(SUMPRODUCT((Upload_Indiv_Player=$A12)*(Upload_Indiv_Date=H$2)*(Upload_Indiv_Gross))=0,"",SUMPRODUCT((Upload_Indiv_Player=$A12)*(Upload_Indiv_Date=H$2)*(Upload_Indiv_Gross)))</f>
        <v>53</v>
      </c>
      <c r="I12" s="3" cm="1">
        <f t="array" ref="I12">IF(SUMPRODUCT((Upload_Indiv_Player=$A12)*(Upload_Indiv_Date=I$2)*(Upload_Indiv_Gross))=0,"",SUMPRODUCT((Upload_Indiv_Player=$A12)*(Upload_Indiv_Date=I$2)*(Upload_Indiv_Gross)))</f>
        <v>52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54</v>
      </c>
      <c r="L12" s="3" cm="1">
        <f t="array" ref="L12">IF(SUMPRODUCT((Upload_Indiv_Player=$A12)*(Upload_Indiv_Date=L$2)*(Upload_Indiv_Gross))=0,"",SUMPRODUCT((Upload_Indiv_Player=$A12)*(Upload_Indiv_Date=L$2)*(Upload_Indiv_Gross)))</f>
        <v>49</v>
      </c>
      <c r="M12" s="3" cm="1">
        <f t="array" ref="M12">IF(SUMPRODUCT((Upload_Indiv_Player=$A12)*(Upload_Indiv_Date=M$2)*(Upload_Indiv_Gross))=0,"",SUMPRODUCT((Upload_Indiv_Player=$A12)*(Upload_Indiv_Date=M$2)*(Upload_Indiv_Gross)))</f>
        <v>50</v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t="str" cm="1">
        <f t="array" ref="O12">IF(SUMPRODUCT((Upload_Indiv_Player=$A12)*(Upload_Indiv_Date=O$2)*(Upload_Indiv_Gross))=0,"",SUMPRODUCT((Upload_Indiv_Player=$A12)*(Upload_Indiv_Date=O$2)*(Upload_Indiv_Gross)))</f>
        <v/>
      </c>
      <c r="P12" s="3" cm="1">
        <f t="array" ref="P12">IF(SUMPRODUCT((Upload_Indiv_Player=$A12)*(Upload_Indiv_Date=P$2)*(Upload_Indiv_Gross))=0,"",SUMPRODUCT((Upload_Indiv_Player=$A12)*(Upload_Indiv_Date=P$2)*(Upload_Indiv_Gross)))</f>
        <v>51</v>
      </c>
      <c r="Q12" s="2" cm="1">
        <f t="array" ref="Q12">IF(SUMPRODUCT((Upload_Indiv_Player=$A12)*(Upload_Indiv_Date=Q$2)*(Upload_Indiv_Gross))=0,"",SUMPRODUCT((Upload_Indiv_Player=$A12)*(Upload_Indiv_Date=Q$2)*(Upload_Indiv_Gross)))</f>
        <v>46</v>
      </c>
      <c r="R12" s="2" cm="1">
        <f t="array" ref="R12">IF(SUMPRODUCT((Upload_Indiv_Player=$A12)*(Upload_Indiv_Date=R$2)*(Upload_Indiv_Gross))=0,"",SUMPRODUCT((Upload_Indiv_Player=$A12)*(Upload_Indiv_Date=R$2)*(Upload_Indiv_Gross)))</f>
        <v>49</v>
      </c>
      <c r="S12" s="2" cm="1">
        <f t="array" ref="S12">IF(SUMPRODUCT((Upload_Indiv_Player=$A12)*(Upload_Indiv_Date=S$2)*(Upload_Indiv_Gross))=0,"",SUMPRODUCT((Upload_Indiv_Player=$A12)*(Upload_Indiv_Date=S$2)*(Upload_Indiv_Gross)))</f>
        <v>55</v>
      </c>
      <c r="T12" s="2" cm="1">
        <f t="array" ref="T12">IF(SUMPRODUCT((Upload_Indiv_Player=$A12)*(Upload_Indiv_Date=T$2)*(Upload_Indiv_Gross))=0,"",SUMPRODUCT((Upload_Indiv_Player=$A12)*(Upload_Indiv_Date=T$2)*(Upload_Indiv_Gross)))</f>
        <v>48</v>
      </c>
      <c r="U12" s="2" t="str" cm="1">
        <f t="array" ref="U12">IF(SUMPRODUCT((Upload_Indiv_Player=$A12)*(Upload_Indiv_Date=U$2)*(Upload_Indiv_Gross))=0,"",SUMPRODUCT((Upload_Indiv_Player=$A12)*(Upload_Indiv_Date=U$2)*(Upload_Indiv_Gross)))</f>
        <v/>
      </c>
      <c r="V12" s="273">
        <v>14</v>
      </c>
      <c r="W12" s="273">
        <v>9</v>
      </c>
      <c r="X12" s="273">
        <v>11</v>
      </c>
      <c r="Y12" s="277">
        <v>11</v>
      </c>
      <c r="Z12" s="277">
        <v>14</v>
      </c>
      <c r="AA12" s="277">
        <v>1</v>
      </c>
    </row>
    <row r="13" spans="1:27" x14ac:dyDescent="0.25">
      <c r="A13" s="304">
        <v>3304715044</v>
      </c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48</v>
      </c>
      <c r="D13" s="2" cm="1">
        <f t="array" ref="D13">IF(SUMPRODUCT((Upload_Indiv_Player=$A12)*(Upload_Indiv_Date=D$2)*(Upload_Indiv_Net))=0,"",SUMPRODUCT((Upload_Indiv_Player=$A12)*(Upload_Indiv_Date=D$2)*(Upload_Indiv_Net)))</f>
        <v>50</v>
      </c>
      <c r="E13" s="2" t="str" cm="1">
        <f t="array" ref="E13">IF(SUMPRODUCT((Upload_Indiv_Player=$A12)*(Upload_Indiv_Date=E$2)*(Upload_Indiv_Net))=0,"",SUMPRODUCT((Upload_Indiv_Player=$A12)*(Upload_Indiv_Date=E$2)*(Upload_Indiv_Net)))</f>
        <v/>
      </c>
      <c r="F13" s="2" cm="1">
        <f t="array" ref="F13">IF(SUMPRODUCT((Upload_Indiv_Player=$A12)*(Upload_Indiv_Date=F$2)*(Upload_Indiv_Net))=0,"",SUMPRODUCT((Upload_Indiv_Player=$A12)*(Upload_Indiv_Date=F$2)*(Upload_Indiv_Net)))</f>
        <v>36</v>
      </c>
      <c r="G13" s="2" cm="1">
        <f t="array" ref="G13">IF(SUMPRODUCT((Upload_Indiv_Player=$A12)*(Upload_Indiv_Date=G$2)*(Upload_Indiv_Net))=0,"",SUMPRODUCT((Upload_Indiv_Player=$A12)*(Upload_Indiv_Date=G$2)*(Upload_Indiv_Net)))</f>
        <v>43</v>
      </c>
      <c r="H13" s="2" cm="1">
        <f t="array" ref="H13">IF(SUMPRODUCT((Upload_Indiv_Player=$A12)*(Upload_Indiv_Date=H$2)*(Upload_Indiv_Net))=0,"",SUMPRODUCT((Upload_Indiv_Player=$A12)*(Upload_Indiv_Date=H$2)*(Upload_Indiv_Net)))</f>
        <v>40</v>
      </c>
      <c r="I13" s="2" cm="1">
        <f t="array" ref="I13">IF(SUMPRODUCT((Upload_Indiv_Player=$A12)*(Upload_Indiv_Date=I$2)*(Upload_Indiv_Net))=0,"",SUMPRODUCT((Upload_Indiv_Player=$A12)*(Upload_Indiv_Date=I$2)*(Upload_Indiv_Net)))</f>
        <v>39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40</v>
      </c>
      <c r="L13" s="2" cm="1">
        <f t="array" ref="L13">IF(SUMPRODUCT((Upload_Indiv_Player=$A12)*(Upload_Indiv_Date=L$2)*(Upload_Indiv_Net))=0,"",SUMPRODUCT((Upload_Indiv_Player=$A12)*(Upload_Indiv_Date=L$2)*(Upload_Indiv_Net)))</f>
        <v>35</v>
      </c>
      <c r="M13" s="2" cm="1">
        <f t="array" ref="M13">IF(SUMPRODUCT((Upload_Indiv_Player=$A12)*(Upload_Indiv_Date=M$2)*(Upload_Indiv_Net))=0,"",SUMPRODUCT((Upload_Indiv_Player=$A12)*(Upload_Indiv_Date=M$2)*(Upload_Indiv_Net)))</f>
        <v>37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t="str" cm="1">
        <f t="array" ref="O13">IF(SUMPRODUCT((Upload_Indiv_Player=$A12)*(Upload_Indiv_Date=O$2)*(Upload_Indiv_Net))=0,"",SUMPRODUCT((Upload_Indiv_Player=$A12)*(Upload_Indiv_Date=O$2)*(Upload_Indiv_Net)))</f>
        <v/>
      </c>
      <c r="P13" s="2" cm="1">
        <f t="array" ref="P13">IF(SUMPRODUCT((Upload_Indiv_Player=$A12)*(Upload_Indiv_Date=P$2)*(Upload_Indiv_Net))=0,"",SUMPRODUCT((Upload_Indiv_Player=$A12)*(Upload_Indiv_Date=P$2)*(Upload_Indiv_Net)))</f>
        <v>38</v>
      </c>
      <c r="Q13" s="2" cm="1">
        <f t="array" ref="Q13">IF(SUMPRODUCT((Upload_Indiv_Player=$A12)*(Upload_Indiv_Date=Q$2)*(Upload_Indiv_Net))=0,"",SUMPRODUCT((Upload_Indiv_Player=$A12)*(Upload_Indiv_Date=Q$2)*(Upload_Indiv_Net)))</f>
        <v>33</v>
      </c>
      <c r="R13" s="2" cm="1">
        <f t="array" ref="R13">IF(SUMPRODUCT((Upload_Indiv_Player=$A12)*(Upload_Indiv_Date=R$2)*(Upload_Indiv_Net))=0,"",SUMPRODUCT((Upload_Indiv_Player=$A12)*(Upload_Indiv_Date=R$2)*(Upload_Indiv_Net)))</f>
        <v>36</v>
      </c>
      <c r="S13" s="2" cm="1">
        <f t="array" ref="S13">IF(SUMPRODUCT((Upload_Indiv_Player=$A12)*(Upload_Indiv_Date=S$2)*(Upload_Indiv_Net))=0,"",SUMPRODUCT((Upload_Indiv_Player=$A12)*(Upload_Indiv_Date=S$2)*(Upload_Indiv_Net)))</f>
        <v>42</v>
      </c>
      <c r="T13" s="2" cm="1">
        <f t="array" ref="T13">IF(SUMPRODUCT((Upload_Indiv_Player=$A12)*(Upload_Indiv_Date=T$2)*(Upload_Indiv_Net))=0,"",SUMPRODUCT((Upload_Indiv_Player=$A12)*(Upload_Indiv_Date=T$2)*(Upload_Indiv_Net)))</f>
        <v>35</v>
      </c>
      <c r="U13" s="2" t="str" cm="1">
        <f t="array" ref="U13">IF(SUMPRODUCT((Upload_Indiv_Player=$A12)*(Upload_Indiv_Date=U$2)*(Upload_Indiv_Net))=0,"",SUMPRODUCT((Upload_Indiv_Player=$A12)*(Upload_Indiv_Date=U$2)*(Upload_Indiv_Net)))</f>
        <v/>
      </c>
      <c r="V13" s="279">
        <v>51.36</v>
      </c>
      <c r="W13" s="276"/>
      <c r="X13" s="276"/>
      <c r="Y13" s="277"/>
      <c r="Z13" s="277"/>
      <c r="AA13" s="277"/>
    </row>
    <row r="14" spans="1:27" x14ac:dyDescent="0.25">
      <c r="A14" s="308" t="s">
        <v>291</v>
      </c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6</v>
      </c>
      <c r="D14" s="2" cm="1">
        <f t="array" ref="D14">IF(SUMPRODUCT((Upload_Indiv_Player=$A12)*(Upload_Indiv_Date=D$2)*(Upload_Indiv_PointsTot))=0,"",SUMPRODUCT((Upload_Indiv_Player=$A12)*(Upload_Indiv_Date=D$2)*(Upload_Indiv_PointsTot)))</f>
        <v>8</v>
      </c>
      <c r="E14" s="2" t="str" cm="1">
        <f t="array" ref="E14">IF(SUMPRODUCT((Upload_Indiv_Player=$A12)*(Upload_Indiv_Date=E$2)*(Upload_Indiv_PointsTot))=0,"",SUMPRODUCT((Upload_Indiv_Player=$A12)*(Upload_Indiv_Date=E$2)*(Upload_Indiv_PointsTot)))</f>
        <v/>
      </c>
      <c r="F14" s="2" cm="1">
        <f t="array" ref="F14">IF(SUMPRODUCT((Upload_Indiv_Player=$A12)*(Upload_Indiv_Date=F$2)*(Upload_Indiv_PointsTot))=0,"",SUMPRODUCT((Upload_Indiv_Player=$A12)*(Upload_Indiv_Date=F$2)*(Upload_Indiv_PointsTot)))</f>
        <v>10</v>
      </c>
      <c r="G14" s="2" cm="1">
        <f t="array" ref="G14">IF(SUMPRODUCT((Upload_Indiv_Player=$A12)*(Upload_Indiv_Date=G$2)*(Upload_Indiv_PointsTot))=0,"",SUMPRODUCT((Upload_Indiv_Player=$A12)*(Upload_Indiv_Date=G$2)*(Upload_Indiv_PointsTot)))</f>
        <v>9</v>
      </c>
      <c r="H14" s="2" cm="1">
        <f t="array" ref="H14">IF(SUMPRODUCT((Upload_Indiv_Player=$A12)*(Upload_Indiv_Date=H$2)*(Upload_Indiv_PointsTot))=0,"",SUMPRODUCT((Upload_Indiv_Player=$A12)*(Upload_Indiv_Date=H$2)*(Upload_Indiv_PointsTot)))</f>
        <v>7</v>
      </c>
      <c r="I14" s="2" cm="1">
        <f t="array" ref="I14">IF(SUMPRODUCT((Upload_Indiv_Player=$A12)*(Upload_Indiv_Date=I$2)*(Upload_Indiv_PointsTot))=0,"",SUMPRODUCT((Upload_Indiv_Player=$A12)*(Upload_Indiv_Date=I$2)*(Upload_Indiv_PointsTot)))</f>
        <v>8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14</v>
      </c>
      <c r="L14" s="2" cm="1">
        <f t="array" ref="L14">IF(SUMPRODUCT((Upload_Indiv_Player=$A12)*(Upload_Indiv_Date=L$2)*(Upload_Indiv_PointsTot))=0,"",SUMPRODUCT((Upload_Indiv_Player=$A12)*(Upload_Indiv_Date=L$2)*(Upload_Indiv_PointsTot)))</f>
        <v>13</v>
      </c>
      <c r="M14" s="2" cm="1">
        <f t="array" ref="M14">IF(SUMPRODUCT((Upload_Indiv_Player=$A12)*(Upload_Indiv_Date=M$2)*(Upload_Indiv_PointsTot))=0,"",SUMPRODUCT((Upload_Indiv_Player=$A12)*(Upload_Indiv_Date=M$2)*(Upload_Indiv_PointsTot)))</f>
        <v>12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t="str" cm="1">
        <f t="array" ref="O14">IF(SUMPRODUCT((Upload_Indiv_Player=$A12)*(Upload_Indiv_Date=O$2)*(Upload_Indiv_PointsTot))=0,"",SUMPRODUCT((Upload_Indiv_Player=$A12)*(Upload_Indiv_Date=O$2)*(Upload_Indiv_PointsTot)))</f>
        <v/>
      </c>
      <c r="P14" s="2" cm="1">
        <f t="array" ref="P14">IF(SUMPRODUCT((Upload_Indiv_Player=$A12)*(Upload_Indiv_Date=P$2)*(Upload_Indiv_PointsTot))=0,"",SUMPRODUCT((Upload_Indiv_Player=$A12)*(Upload_Indiv_Date=P$2)*(Upload_Indiv_PointsTot)))</f>
        <v>7</v>
      </c>
      <c r="Q14" s="2" cm="1">
        <f t="array" ref="Q14">IF(SUMPRODUCT((Upload_Indiv_Player=$A12)*(Upload_Indiv_Date=Q$2)*(Upload_Indiv_PointsTot))=0,"",SUMPRODUCT((Upload_Indiv_Player=$A12)*(Upload_Indiv_Date=Q$2)*(Upload_Indiv_PointsTot)))</f>
        <v>8</v>
      </c>
      <c r="R14" s="2" cm="1">
        <f t="array" ref="R14">IF(SUMPRODUCT((Upload_Indiv_Player=$A12)*(Upload_Indiv_Date=R$2)*(Upload_Indiv_PointsTot))=0,"",SUMPRODUCT((Upload_Indiv_Player=$A12)*(Upload_Indiv_Date=R$2)*(Upload_Indiv_PointsTot)))</f>
        <v>12</v>
      </c>
      <c r="S14" s="2" cm="1">
        <f t="array" ref="S14">IF(SUMPRODUCT((Upload_Indiv_Player=$A12)*(Upload_Indiv_Date=S$2)*(Upload_Indiv_PointsTot))=0,"",SUMPRODUCT((Upload_Indiv_Player=$A12)*(Upload_Indiv_Date=S$2)*(Upload_Indiv_PointsTot)))</f>
        <v>13</v>
      </c>
      <c r="T14" s="2" cm="1">
        <f t="array" ref="T14">IF(SUMPRODUCT((Upload_Indiv_Player=$A12)*(Upload_Indiv_Date=T$2)*(Upload_Indiv_PointsTot))=0,"",SUMPRODUCT((Upload_Indiv_Player=$A12)*(Upload_Indiv_Date=T$2)*(Upload_Indiv_PointsTot)))</f>
        <v>13</v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2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cm="1">
        <f t="array" ref="F15">IF(SUMPRODUCT((Upload_Indiv_Player=$A12)*(Upload_Indiv_Date=F$2)*(Upload_Indiv_Tot_Birds))=0,"",SUMPRODUCT((Upload_Indiv_Player=$A12)*(Upload_Indiv_Date=F$2)*(Upload_Indiv_Tot_Birds)))</f>
        <v>1</v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cm="1">
        <f t="array" ref="Q17">IF(SUMPRODUCT((Upload_Indiv_Player=$A12)*(Upload_Indiv_Date=Q$2)*(Upload_Indiv_Excl_Score))=0,"",SUMPRODUCT((Upload_Indiv_Player=$A12)*(Upload_Indiv_Date=Q$2)*(Upload_Indiv_Excl_Score)))</f>
        <v>1</v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306"/>
      <c r="B18" s="8" t="s">
        <v>178</v>
      </c>
      <c r="C18" s="58" t="str">
        <f>IF(C12="", "", IF(C14&gt;=11, "w", IF(C14&lt;=9, "l", "t")))</f>
        <v>l</v>
      </c>
      <c r="D18" s="58" t="str">
        <f t="shared" ref="D18:S18" si="2">IF(D12="", "", IF(D14&gt;=11, "w", IF(D14&lt;=9, "l", "t")))</f>
        <v>l</v>
      </c>
      <c r="E18" s="58" t="str">
        <f t="shared" si="2"/>
        <v/>
      </c>
      <c r="F18" s="58" t="str">
        <f t="shared" si="2"/>
        <v>t</v>
      </c>
      <c r="G18" s="58" t="str">
        <f t="shared" si="2"/>
        <v>l</v>
      </c>
      <c r="H18" s="58" t="str">
        <f t="shared" si="2"/>
        <v>l</v>
      </c>
      <c r="I18" s="58" t="str">
        <f t="shared" si="2"/>
        <v>l</v>
      </c>
      <c r="J18" s="58" t="str">
        <f t="shared" si="2"/>
        <v/>
      </c>
      <c r="K18" s="58" t="str">
        <f t="shared" si="2"/>
        <v>w</v>
      </c>
      <c r="L18" s="58" t="str">
        <f t="shared" si="2"/>
        <v>w</v>
      </c>
      <c r="M18" s="58" t="str">
        <f t="shared" si="2"/>
        <v>w</v>
      </c>
      <c r="N18" s="58" t="str">
        <f t="shared" si="2"/>
        <v/>
      </c>
      <c r="O18" s="58" t="str">
        <f t="shared" si="2"/>
        <v/>
      </c>
      <c r="P18" s="58" t="str">
        <f t="shared" si="2"/>
        <v>l</v>
      </c>
      <c r="Q18" s="58" t="str">
        <f t="shared" si="2"/>
        <v>l</v>
      </c>
      <c r="R18" s="58" t="str">
        <f t="shared" si="2"/>
        <v>w</v>
      </c>
      <c r="S18" s="58" t="str">
        <f t="shared" si="2"/>
        <v>w</v>
      </c>
      <c r="T18" s="58" t="str">
        <f>IF(T12="", "", IF(T14&gt;=11, "w", IF(T14&lt;=9, "l", "t")))</f>
        <v>w</v>
      </c>
      <c r="U18" s="58" t="str">
        <f>IF(U12="", "", IF(U14&gt;=11, "w", IF(U14&lt;=9, "l", "t")))</f>
        <v/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158</v>
      </c>
      <c r="B19" s="3" t="s">
        <v>170</v>
      </c>
      <c r="C19" s="2" cm="1">
        <f t="array" ref="C19">IF(SUMPRODUCT((Upload_Indiv_Player=$A19)*(Upload_Indiv_Date=C$2)*(Upload_Indiv_Gross))=0,"",SUMPRODUCT((Upload_Indiv_Player=$A19)*(Upload_Indiv_Date=C$2)*(Upload_Indiv_Gross)))</f>
        <v>70</v>
      </c>
      <c r="D19" s="2" cm="1">
        <f t="array" ref="D19">IF(SUMPRODUCT((Upload_Indiv_Player=$A19)*(Upload_Indiv_Date=D$2)*(Upload_Indiv_Gross))=0,"",SUMPRODUCT((Upload_Indiv_Player=$A19)*(Upload_Indiv_Date=D$2)*(Upload_Indiv_Gross)))</f>
        <v>55</v>
      </c>
      <c r="E19" s="2" t="str" cm="1">
        <f t="array" ref="E19">IF(SUMPRODUCT((Upload_Indiv_Player=$A19)*(Upload_Indiv_Date=E$2)*(Upload_Indiv_Gross))=0,"",SUMPRODUCT((Upload_Indiv_Player=$A19)*(Upload_Indiv_Date=E$2)*(Upload_Indiv_Gross)))</f>
        <v/>
      </c>
      <c r="F19" s="2" cm="1">
        <f t="array" ref="F19">IF(SUMPRODUCT((Upload_Indiv_Player=$A19)*(Upload_Indiv_Date=F$2)*(Upload_Indiv_Gross))=0,"",SUMPRODUCT((Upload_Indiv_Player=$A19)*(Upload_Indiv_Date=F$2)*(Upload_Indiv_Gross)))</f>
        <v>61</v>
      </c>
      <c r="G19" s="2" t="str" cm="1">
        <f t="array" ref="G19">IF(SUMPRODUCT((Upload_Indiv_Player=$A19)*(Upload_Indiv_Date=G$2)*(Upload_Indiv_Gross))=0,"",SUMPRODUCT((Upload_Indiv_Player=$A19)*(Upload_Indiv_Date=G$2)*(Upload_Indiv_Gross)))</f>
        <v/>
      </c>
      <c r="H19" s="2" cm="1">
        <f t="array" ref="H19">IF(SUMPRODUCT((Upload_Indiv_Player=$A19)*(Upload_Indiv_Date=H$2)*(Upload_Indiv_Gross))=0,"",SUMPRODUCT((Upload_Indiv_Player=$A19)*(Upload_Indiv_Date=H$2)*(Upload_Indiv_Gross)))</f>
        <v>61</v>
      </c>
      <c r="I19" s="2" cm="1">
        <f t="array" ref="I19">IF(SUMPRODUCT((Upload_Indiv_Player=$A19)*(Upload_Indiv_Date=I$2)*(Upload_Indiv_Gross))=0,"",SUMPRODUCT((Upload_Indiv_Player=$A19)*(Upload_Indiv_Date=I$2)*(Upload_Indiv_Gross)))</f>
        <v>53</v>
      </c>
      <c r="J19" s="2" t="str" cm="1">
        <f t="array" ref="J19">IF(SUMPRODUCT((Upload_Indiv_Player=$A19)*(Upload_Indiv_Date=J$2)*(Upload_Indiv_Gross))=0,"",SUMPRODUCT((Upload_Indiv_Player=$A19)*(Upload_Indiv_Date=J$2)*(Upload_Indiv_Gross)))</f>
        <v/>
      </c>
      <c r="K19" s="2" cm="1">
        <f t="array" ref="K19">IF(SUMPRODUCT((Upload_Indiv_Player=$A19)*(Upload_Indiv_Date=K$2)*(Upload_Indiv_Gross))=0,"",SUMPRODUCT((Upload_Indiv_Player=$A19)*(Upload_Indiv_Date=K$2)*(Upload_Indiv_Gross)))</f>
        <v>54</v>
      </c>
      <c r="L19" s="2" cm="1">
        <f t="array" ref="L19">IF(SUMPRODUCT((Upload_Indiv_Player=$A19)*(Upload_Indiv_Date=L$2)*(Upload_Indiv_Gross))=0,"",SUMPRODUCT((Upload_Indiv_Player=$A19)*(Upload_Indiv_Date=L$2)*(Upload_Indiv_Gross)))</f>
        <v>52</v>
      </c>
      <c r="M19" s="2" t="str" cm="1">
        <f t="array" ref="M19">IF(SUMPRODUCT((Upload_Indiv_Player=$A19)*(Upload_Indiv_Date=M$2)*(Upload_Indiv_Gross))=0,"",SUMPRODUCT((Upload_Indiv_Player=$A19)*(Upload_Indiv_Date=M$2)*(Upload_Indiv_Gross)))</f>
        <v/>
      </c>
      <c r="N19" s="2" t="str" cm="1">
        <f t="array" ref="N19">IF(SUMPRODUCT((Upload_Indiv_Player=$A19)*(Upload_Indiv_Date=N$2)*(Upload_Indiv_Gross))=0,"",SUMPRODUCT((Upload_Indiv_Player=$A19)*(Upload_Indiv_Date=N$2)*(Upload_Indiv_Gross)))</f>
        <v/>
      </c>
      <c r="O19" s="2" cm="1">
        <f t="array" ref="O19">IF(SUMPRODUCT((Upload_Indiv_Player=$A19)*(Upload_Indiv_Date=O$2)*(Upload_Indiv_Gross))=0,"",SUMPRODUCT((Upload_Indiv_Player=$A19)*(Upload_Indiv_Date=O$2)*(Upload_Indiv_Gross)))</f>
        <v>48</v>
      </c>
      <c r="P19" s="2" cm="1">
        <f t="array" ref="P19">IF(SUMPRODUCT((Upload_Indiv_Player=$A19)*(Upload_Indiv_Date=P$2)*(Upload_Indiv_Gross))=0,"",SUMPRODUCT((Upload_Indiv_Player=$A19)*(Upload_Indiv_Date=P$2)*(Upload_Indiv_Gross)))</f>
        <v>49</v>
      </c>
      <c r="Q19" s="2" cm="1">
        <f t="array" ref="Q19">IF(SUMPRODUCT((Upload_Indiv_Player=$A19)*(Upload_Indiv_Date=Q$2)*(Upload_Indiv_Gross))=0,"",SUMPRODUCT((Upload_Indiv_Player=$A19)*(Upload_Indiv_Date=Q$2)*(Upload_Indiv_Gross)))</f>
        <v>40</v>
      </c>
      <c r="R19" s="2" t="str" cm="1">
        <f t="array" ref="R19">IF(SUMPRODUCT((Upload_Indiv_Player=$A19)*(Upload_Indiv_Date=R$2)*(Upload_Indiv_Gross))=0,"",SUMPRODUCT((Upload_Indiv_Player=$A19)*(Upload_Indiv_Date=R$2)*(Upload_Indiv_Gross)))</f>
        <v/>
      </c>
      <c r="S19" s="2" cm="1">
        <f t="array" ref="S19">IF(SUMPRODUCT((Upload_Indiv_Player=$A19)*(Upload_Indiv_Date=S$2)*(Upload_Indiv_Gross))=0,"",SUMPRODUCT((Upload_Indiv_Player=$A19)*(Upload_Indiv_Date=S$2)*(Upload_Indiv_Gross)))</f>
        <v>49</v>
      </c>
      <c r="T19" s="2" t="str" cm="1">
        <f t="array" ref="T19">IF(SUMPRODUCT((Upload_Indiv_Player=$A19)*(Upload_Indiv_Date=T$2)*(Upload_Indiv_Gross))=0,"",SUMPRODUCT((Upload_Indiv_Player=$A19)*(Upload_Indiv_Date=T$2)*(Upload_Indiv_Gross)))</f>
        <v/>
      </c>
      <c r="U19" s="2" t="str" cm="1">
        <f t="array" ref="U19">IF(SUMPRODUCT((Upload_Indiv_Player=$A19)*(Upload_Indiv_Date=U$2)*(Upload_Indiv_Gross))=0,"",SUMPRODUCT((Upload_Indiv_Player=$A19)*(Upload_Indiv_Date=U$2)*(Upload_Indiv_Gross)))</f>
        <v/>
      </c>
      <c r="V19" s="273">
        <v>8</v>
      </c>
      <c r="W19" s="273">
        <v>10</v>
      </c>
      <c r="X19" s="273">
        <v>8</v>
      </c>
      <c r="Y19" s="277">
        <v>13</v>
      </c>
      <c r="Z19" s="277">
        <v>15</v>
      </c>
      <c r="AA19" s="277">
        <v>12</v>
      </c>
    </row>
    <row r="20" spans="1:27" x14ac:dyDescent="0.25">
      <c r="A20" s="304">
        <v>3304714416</v>
      </c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55</v>
      </c>
      <c r="D20" s="2" cm="1">
        <f t="array" ref="D20">IF(SUMPRODUCT((Upload_Indiv_Player=$A19)*(Upload_Indiv_Date=D$2)*(Upload_Indiv_Net))=0,"",SUMPRODUCT((Upload_Indiv_Player=$A19)*(Upload_Indiv_Date=D$2)*(Upload_Indiv_Net)))</f>
        <v>41</v>
      </c>
      <c r="E20" s="2" t="str" cm="1">
        <f t="array" ref="E20">IF(SUMPRODUCT((Upload_Indiv_Player=$A19)*(Upload_Indiv_Date=E$2)*(Upload_Indiv_Net))=0,"",SUMPRODUCT((Upload_Indiv_Player=$A19)*(Upload_Indiv_Date=E$2)*(Upload_Indiv_Net)))</f>
        <v/>
      </c>
      <c r="F20" s="2" cm="1">
        <f t="array" ref="F20">IF(SUMPRODUCT((Upload_Indiv_Player=$A19)*(Upload_Indiv_Date=F$2)*(Upload_Indiv_Net))=0,"",SUMPRODUCT((Upload_Indiv_Player=$A19)*(Upload_Indiv_Date=F$2)*(Upload_Indiv_Net)))</f>
        <v>46</v>
      </c>
      <c r="G20" s="2" t="str" cm="1">
        <f t="array" ref="G20">IF(SUMPRODUCT((Upload_Indiv_Player=$A19)*(Upload_Indiv_Date=G$2)*(Upload_Indiv_Net))=0,"",SUMPRODUCT((Upload_Indiv_Player=$A19)*(Upload_Indiv_Date=G$2)*(Upload_Indiv_Net)))</f>
        <v/>
      </c>
      <c r="H20" s="2" cm="1">
        <f t="array" ref="H20">IF(SUMPRODUCT((Upload_Indiv_Player=$A19)*(Upload_Indiv_Date=H$2)*(Upload_Indiv_Net))=0,"",SUMPRODUCT((Upload_Indiv_Player=$A19)*(Upload_Indiv_Date=H$2)*(Upload_Indiv_Net)))</f>
        <v>46</v>
      </c>
      <c r="I20" s="2" cm="1">
        <f t="array" ref="I20">IF(SUMPRODUCT((Upload_Indiv_Player=$A19)*(Upload_Indiv_Date=I$2)*(Upload_Indiv_Net))=0,"",SUMPRODUCT((Upload_Indiv_Player=$A19)*(Upload_Indiv_Date=I$2)*(Upload_Indiv_Net)))</f>
        <v>38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39</v>
      </c>
      <c r="L20" s="2" cm="1">
        <f t="array" ref="L20">IF(SUMPRODUCT((Upload_Indiv_Player=$A19)*(Upload_Indiv_Date=L$2)*(Upload_Indiv_Net))=0,"",SUMPRODUCT((Upload_Indiv_Player=$A19)*(Upload_Indiv_Date=L$2)*(Upload_Indiv_Net)))</f>
        <v>38</v>
      </c>
      <c r="M20" s="2" t="str" cm="1">
        <f t="array" ref="M20">IF(SUMPRODUCT((Upload_Indiv_Player=$A19)*(Upload_Indiv_Date=M$2)*(Upload_Indiv_Net))=0,"",SUMPRODUCT((Upload_Indiv_Player=$A19)*(Upload_Indiv_Date=M$2)*(Upload_Indiv_Net)))</f>
        <v/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33</v>
      </c>
      <c r="P20" s="2" cm="1">
        <f t="array" ref="P20">IF(SUMPRODUCT((Upload_Indiv_Player=$A19)*(Upload_Indiv_Date=P$2)*(Upload_Indiv_Net))=0,"",SUMPRODUCT((Upload_Indiv_Player=$A19)*(Upload_Indiv_Date=P$2)*(Upload_Indiv_Net)))</f>
        <v>35</v>
      </c>
      <c r="Q20" s="2" cm="1">
        <f t="array" ref="Q20">IF(SUMPRODUCT((Upload_Indiv_Player=$A19)*(Upload_Indiv_Date=Q$2)*(Upload_Indiv_Net))=0,"",SUMPRODUCT((Upload_Indiv_Player=$A19)*(Upload_Indiv_Date=Q$2)*(Upload_Indiv_Net)))</f>
        <v>26</v>
      </c>
      <c r="R20" s="2" t="str" cm="1">
        <f t="array" ref="R20">IF(SUMPRODUCT((Upload_Indiv_Player=$A19)*(Upload_Indiv_Date=R$2)*(Upload_Indiv_Net))=0,"",SUMPRODUCT((Upload_Indiv_Player=$A19)*(Upload_Indiv_Date=R$2)*(Upload_Indiv_Net)))</f>
        <v/>
      </c>
      <c r="S20" s="2" cm="1">
        <f t="array" ref="S20">IF(SUMPRODUCT((Upload_Indiv_Player=$A19)*(Upload_Indiv_Date=S$2)*(Upload_Indiv_Net))=0,"",SUMPRODUCT((Upload_Indiv_Player=$A19)*(Upload_Indiv_Date=S$2)*(Upload_Indiv_Net)))</f>
        <v>35</v>
      </c>
      <c r="T20" s="2" t="str" cm="1">
        <f t="array" ref="T20">IF(SUMPRODUCT((Upload_Indiv_Player=$A19)*(Upload_Indiv_Date=T$2)*(Upload_Indiv_Net))=0,"",SUMPRODUCT((Upload_Indiv_Player=$A19)*(Upload_Indiv_Date=T$2)*(Upload_Indiv_Net)))</f>
        <v/>
      </c>
      <c r="U20" s="2" t="str" cm="1">
        <f t="array" ref="U20">IF(SUMPRODUCT((Upload_Indiv_Player=$A19)*(Upload_Indiv_Date=U$2)*(Upload_Indiv_Net))=0,"",SUMPRODUCT((Upload_Indiv_Player=$A19)*(Upload_Indiv_Date=U$2)*(Upload_Indiv_Net)))</f>
        <v/>
      </c>
      <c r="V20" s="279">
        <v>53.63</v>
      </c>
      <c r="W20" s="276"/>
      <c r="X20" s="276"/>
      <c r="Y20" s="277"/>
      <c r="Z20" s="277"/>
      <c r="AA20" s="277"/>
    </row>
    <row r="21" spans="1:27" x14ac:dyDescent="0.25">
      <c r="A21" s="308" t="s">
        <v>292</v>
      </c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4</v>
      </c>
      <c r="D21" s="2" cm="1">
        <f t="array" ref="D21">IF(SUMPRODUCT((Upload_Indiv_Player=$A19)*(Upload_Indiv_Date=D$2)*(Upload_Indiv_PointsTot))=0,"",SUMPRODUCT((Upload_Indiv_Player=$A19)*(Upload_Indiv_Date=D$2)*(Upload_Indiv_PointsTot)))</f>
        <v>11</v>
      </c>
      <c r="E21" s="2" t="str" cm="1">
        <f t="array" ref="E21">IF(SUMPRODUCT((Upload_Indiv_Player=$A19)*(Upload_Indiv_Date=E$2)*(Upload_Indiv_PointsTot))=0,"",SUMPRODUCT((Upload_Indiv_Player=$A19)*(Upload_Indiv_Date=E$2)*(Upload_Indiv_PointsTot)))</f>
        <v/>
      </c>
      <c r="F21" s="2" cm="1">
        <f t="array" ref="F21">IF(SUMPRODUCT((Upload_Indiv_Player=$A19)*(Upload_Indiv_Date=F$2)*(Upload_Indiv_PointsTot))=0,"",SUMPRODUCT((Upload_Indiv_Player=$A19)*(Upload_Indiv_Date=F$2)*(Upload_Indiv_PointsTot)))</f>
        <v>6</v>
      </c>
      <c r="G21" s="2" t="str" cm="1">
        <f t="array" ref="G21">IF(SUMPRODUCT((Upload_Indiv_Player=$A19)*(Upload_Indiv_Date=G$2)*(Upload_Indiv_PointsTot))=0,"",SUMPRODUCT((Upload_Indiv_Player=$A19)*(Upload_Indiv_Date=G$2)*(Upload_Indiv_PointsTot)))</f>
        <v/>
      </c>
      <c r="H21" s="2" cm="1">
        <f t="array" ref="H21">IF(SUMPRODUCT((Upload_Indiv_Player=$A19)*(Upload_Indiv_Date=H$2)*(Upload_Indiv_PointsTot))=0,"",SUMPRODUCT((Upload_Indiv_Player=$A19)*(Upload_Indiv_Date=H$2)*(Upload_Indiv_PointsTot)))</f>
        <v>6</v>
      </c>
      <c r="I21" s="2" cm="1">
        <f t="array" ref="I21">IF(SUMPRODUCT((Upload_Indiv_Player=$A19)*(Upload_Indiv_Date=I$2)*(Upload_Indiv_PointsTot))=0,"",SUMPRODUCT((Upload_Indiv_Player=$A19)*(Upload_Indiv_Date=I$2)*(Upload_Indiv_PointsTot)))</f>
        <v>5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13</v>
      </c>
      <c r="L21" s="2" cm="1">
        <f t="array" ref="L21">IF(SUMPRODUCT((Upload_Indiv_Player=$A19)*(Upload_Indiv_Date=L$2)*(Upload_Indiv_PointsTot))=0,"",SUMPRODUCT((Upload_Indiv_Player=$A19)*(Upload_Indiv_Date=L$2)*(Upload_Indiv_PointsTot)))</f>
        <v>10</v>
      </c>
      <c r="M21" s="2" t="str" cm="1">
        <f t="array" ref="M21">IF(SUMPRODUCT((Upload_Indiv_Player=$A19)*(Upload_Indiv_Date=M$2)*(Upload_Indiv_PointsTot))=0,"",SUMPRODUCT((Upload_Indiv_Player=$A19)*(Upload_Indiv_Date=M$2)*(Upload_Indiv_PointsTot)))</f>
        <v/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13</v>
      </c>
      <c r="P21" s="2" cm="1">
        <f t="array" ref="P21">IF(SUMPRODUCT((Upload_Indiv_Player=$A19)*(Upload_Indiv_Date=P$2)*(Upload_Indiv_PointsTot))=0,"",SUMPRODUCT((Upload_Indiv_Player=$A19)*(Upload_Indiv_Date=P$2)*(Upload_Indiv_PointsTot)))</f>
        <v>14</v>
      </c>
      <c r="Q21" s="2" cm="1">
        <f t="array" ref="Q21">IF(SUMPRODUCT((Upload_Indiv_Player=$A19)*(Upload_Indiv_Date=Q$2)*(Upload_Indiv_PointsTot))=0,"",SUMPRODUCT((Upload_Indiv_Player=$A19)*(Upload_Indiv_Date=Q$2)*(Upload_Indiv_PointsTot)))</f>
        <v>10</v>
      </c>
      <c r="R21" s="2" t="str" cm="1">
        <f t="array" ref="R21">IF(SUMPRODUCT((Upload_Indiv_Player=$A19)*(Upload_Indiv_Date=R$2)*(Upload_Indiv_PointsTot))=0,"",SUMPRODUCT((Upload_Indiv_Player=$A19)*(Upload_Indiv_Date=R$2)*(Upload_Indiv_PointsTot)))</f>
        <v/>
      </c>
      <c r="S21" s="2" cm="1">
        <f t="array" ref="S21">IF(SUMPRODUCT((Upload_Indiv_Player=$A19)*(Upload_Indiv_Date=S$2)*(Upload_Indiv_PointsTot))=0,"",SUMPRODUCT((Upload_Indiv_Player=$A19)*(Upload_Indiv_Date=S$2)*(Upload_Indiv_PointsTot)))</f>
        <v>12</v>
      </c>
      <c r="T21" s="2" t="str" cm="1">
        <f t="array" ref="T21">IF(SUMPRODUCT((Upload_Indiv_Player=$A19)*(Upload_Indiv_Date=T$2)*(Upload_Indiv_PointsTot))=0,"",SUMPRODUCT((Upload_Indiv_Player=$A19)*(Upload_Indiv_Date=T$2)*(Upload_Indiv_PointsTot)))</f>
        <v/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2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cm="1">
        <f t="array" ref="O22">IF(SUMPRODUCT((Upload_Indiv_Player=$A19)*(Upload_Indiv_Date=O$2)*(Upload_Indiv_Tot_Birds))=0,"",SUMPRODUCT((Upload_Indiv_Player=$A19)*(Upload_Indiv_Date=O$2)*(Upload_Indiv_Tot_Birds)))</f>
        <v>1</v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t="str" cm="1">
        <f t="array" ref="T24">IF(SUMPRODUCT((Upload_Indiv_Player=$A19)*(Upload_Indiv_Date=T$2)*(Upload_Indiv_Excl_Score))=0,"",SUMPRODUCT((Upload_Indiv_Player=$A19)*(Upload_Indiv_Date=T$2)*(Upload_Indiv_Excl_Score)))</f>
        <v/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306"/>
      <c r="B25" s="8" t="s">
        <v>178</v>
      </c>
      <c r="C25" s="58" t="str">
        <f>IF(C19="", "", IF(C21&gt;=11, "w", IF(C21&lt;=9, "l", "t")))</f>
        <v>l</v>
      </c>
      <c r="D25" s="58" t="str">
        <f t="shared" ref="D25:S25" si="3">IF(D19="", "", IF(D21&gt;=11, "w", IF(D21&lt;=9, "l", "t")))</f>
        <v>w</v>
      </c>
      <c r="E25" s="58" t="str">
        <f t="shared" si="3"/>
        <v/>
      </c>
      <c r="F25" s="58" t="str">
        <f t="shared" si="3"/>
        <v>l</v>
      </c>
      <c r="G25" s="58" t="str">
        <f t="shared" si="3"/>
        <v/>
      </c>
      <c r="H25" s="58" t="str">
        <f t="shared" si="3"/>
        <v>l</v>
      </c>
      <c r="I25" s="58" t="str">
        <f t="shared" si="3"/>
        <v>l</v>
      </c>
      <c r="J25" s="58" t="str">
        <f t="shared" si="3"/>
        <v/>
      </c>
      <c r="K25" s="58" t="str">
        <f t="shared" si="3"/>
        <v>w</v>
      </c>
      <c r="L25" s="58" t="str">
        <f t="shared" si="3"/>
        <v>t</v>
      </c>
      <c r="M25" s="58" t="str">
        <f t="shared" si="3"/>
        <v/>
      </c>
      <c r="N25" s="58" t="str">
        <f t="shared" si="3"/>
        <v/>
      </c>
      <c r="O25" s="58" t="str">
        <f t="shared" si="3"/>
        <v>w</v>
      </c>
      <c r="P25" s="58" t="str">
        <f t="shared" si="3"/>
        <v>w</v>
      </c>
      <c r="Q25" s="58" t="str">
        <f t="shared" si="3"/>
        <v>t</v>
      </c>
      <c r="R25" s="58" t="str">
        <f t="shared" si="3"/>
        <v/>
      </c>
      <c r="S25" s="58" t="str">
        <f t="shared" si="3"/>
        <v>w</v>
      </c>
      <c r="T25" s="58" t="str">
        <f>IF(T19="", "", IF(T21&gt;=11, "w", IF(T21&lt;=9, "l", "t")))</f>
        <v/>
      </c>
      <c r="U25" s="58" t="str">
        <f>IF(U19="", "", IF(U21&gt;=11, "w", IF(U21&lt;=9, "l", "t")))</f>
        <v/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155</v>
      </c>
      <c r="B26" s="17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51</v>
      </c>
      <c r="D26" s="3" cm="1">
        <f t="array" ref="D26">IF(SUMPRODUCT((Upload_Indiv_Player=$A26)*(Upload_Indiv_Date=D$2)*(Upload_Indiv_Gross))=0,"",SUMPRODUCT((Upload_Indiv_Player=$A26)*(Upload_Indiv_Date=D$2)*(Upload_Indiv_Gross)))</f>
        <v>49</v>
      </c>
      <c r="E26" s="3" cm="1">
        <f t="array" ref="E26">IF(SUMPRODUCT((Upload_Indiv_Player=$A26)*(Upload_Indiv_Date=E$2)*(Upload_Indiv_Gross))=0,"",SUMPRODUCT((Upload_Indiv_Player=$A26)*(Upload_Indiv_Date=E$2)*(Upload_Indiv_Gross)))</f>
        <v>53</v>
      </c>
      <c r="F26" s="3" cm="1">
        <f t="array" ref="F26">IF(SUMPRODUCT((Upload_Indiv_Player=$A26)*(Upload_Indiv_Date=F$2)*(Upload_Indiv_Gross))=0,"",SUMPRODUCT((Upload_Indiv_Player=$A26)*(Upload_Indiv_Date=F$2)*(Upload_Indiv_Gross)))</f>
        <v>59</v>
      </c>
      <c r="G26" s="3" t="str" cm="1">
        <f t="array" ref="G26">IF(SUMPRODUCT((Upload_Indiv_Player=$A26)*(Upload_Indiv_Date=G$2)*(Upload_Indiv_Gross))=0,"",SUMPRODUCT((Upload_Indiv_Player=$A26)*(Upload_Indiv_Date=G$2)*(Upload_Indiv_Gross)))</f>
        <v/>
      </c>
      <c r="H26" s="3" t="str" cm="1">
        <f t="array" ref="H26">IF(SUMPRODUCT((Upload_Indiv_Player=$A26)*(Upload_Indiv_Date=H$2)*(Upload_Indiv_Gross))=0,"",SUMPRODUCT((Upload_Indiv_Player=$A26)*(Upload_Indiv_Date=H$2)*(Upload_Indiv_Gross)))</f>
        <v/>
      </c>
      <c r="I26" s="3" cm="1">
        <f t="array" ref="I26">IF(SUMPRODUCT((Upload_Indiv_Player=$A26)*(Upload_Indiv_Date=I$2)*(Upload_Indiv_Gross))=0,"",SUMPRODUCT((Upload_Indiv_Player=$A26)*(Upload_Indiv_Date=I$2)*(Upload_Indiv_Gross)))</f>
        <v>46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t="str" cm="1">
        <f t="array" ref="K26">IF(SUMPRODUCT((Upload_Indiv_Player=$A26)*(Upload_Indiv_Date=K$2)*(Upload_Indiv_Gross))=0,"",SUMPRODUCT((Upload_Indiv_Player=$A26)*(Upload_Indiv_Date=K$2)*(Upload_Indiv_Gross)))</f>
        <v/>
      </c>
      <c r="L26" s="3" t="str" cm="1">
        <f t="array" ref="L26">IF(SUMPRODUCT((Upload_Indiv_Player=$A26)*(Upload_Indiv_Date=L$2)*(Upload_Indiv_Gross))=0,"",SUMPRODUCT((Upload_Indiv_Player=$A26)*(Upload_Indiv_Date=L$2)*(Upload_Indiv_Gross)))</f>
        <v/>
      </c>
      <c r="M26" s="3" cm="1">
        <f t="array" ref="M26">IF(SUMPRODUCT((Upload_Indiv_Player=$A26)*(Upload_Indiv_Date=M$2)*(Upload_Indiv_Gross))=0,"",SUMPRODUCT((Upload_Indiv_Player=$A26)*(Upload_Indiv_Date=M$2)*(Upload_Indiv_Gross)))</f>
        <v>53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t="str" cm="1">
        <f t="array" ref="O26">IF(SUMPRODUCT((Upload_Indiv_Player=$A26)*(Upload_Indiv_Date=O$2)*(Upload_Indiv_Gross))=0,"",SUMPRODUCT((Upload_Indiv_Player=$A26)*(Upload_Indiv_Date=O$2)*(Upload_Indiv_Gross)))</f>
        <v/>
      </c>
      <c r="P26" s="2" cm="1">
        <f t="array" ref="P26">IF(SUMPRODUCT((Upload_Indiv_Player=$A26)*(Upload_Indiv_Date=P$2)*(Upload_Indiv_Gross))=0,"",SUMPRODUCT((Upload_Indiv_Player=$A26)*(Upload_Indiv_Date=P$2)*(Upload_Indiv_Gross)))</f>
        <v>50</v>
      </c>
      <c r="Q26" s="2" cm="1">
        <f t="array" ref="Q26">IF(SUMPRODUCT((Upload_Indiv_Player=$A26)*(Upload_Indiv_Date=Q$2)*(Upload_Indiv_Gross))=0,"",SUMPRODUCT((Upload_Indiv_Player=$A26)*(Upload_Indiv_Date=Q$2)*(Upload_Indiv_Gross)))</f>
        <v>43</v>
      </c>
      <c r="R26" s="2" cm="1">
        <f t="array" ref="R26">IF(SUMPRODUCT((Upload_Indiv_Player=$A26)*(Upload_Indiv_Date=R$2)*(Upload_Indiv_Gross))=0,"",SUMPRODUCT((Upload_Indiv_Player=$A26)*(Upload_Indiv_Date=R$2)*(Upload_Indiv_Gross)))</f>
        <v>55</v>
      </c>
      <c r="S26" s="2" t="str" cm="1">
        <f t="array" ref="S26">IF(SUMPRODUCT((Upload_Indiv_Player=$A26)*(Upload_Indiv_Date=S$2)*(Upload_Indiv_Gross))=0,"",SUMPRODUCT((Upload_Indiv_Player=$A26)*(Upload_Indiv_Date=S$2)*(Upload_Indiv_Gross)))</f>
        <v/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7</v>
      </c>
      <c r="W26" s="273">
        <v>11</v>
      </c>
      <c r="X26" s="273">
        <v>12</v>
      </c>
      <c r="Y26" s="277">
        <v>15</v>
      </c>
      <c r="Z26" s="277">
        <v>0</v>
      </c>
      <c r="AA26" s="277">
        <v>0</v>
      </c>
    </row>
    <row r="27" spans="1:27" x14ac:dyDescent="0.25">
      <c r="A27" s="304">
        <v>3304715052</v>
      </c>
      <c r="B27" s="8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44</v>
      </c>
      <c r="D27" s="2" cm="1">
        <f t="array" ref="D27">IF(SUMPRODUCT((Upload_Indiv_Player=$A26)*(Upload_Indiv_Date=D$2)*(Upload_Indiv_Net))=0,"",SUMPRODUCT((Upload_Indiv_Player=$A26)*(Upload_Indiv_Date=D$2)*(Upload_Indiv_Net)))</f>
        <v>42</v>
      </c>
      <c r="E27" s="2" cm="1">
        <f t="array" ref="E27">IF(SUMPRODUCT((Upload_Indiv_Player=$A26)*(Upload_Indiv_Date=E$2)*(Upload_Indiv_Net))=0,"",SUMPRODUCT((Upload_Indiv_Player=$A26)*(Upload_Indiv_Date=E$2)*(Upload_Indiv_Net)))</f>
        <v>46</v>
      </c>
      <c r="F27" s="2" cm="1">
        <f t="array" ref="F27">IF(SUMPRODUCT((Upload_Indiv_Player=$A26)*(Upload_Indiv_Date=F$2)*(Upload_Indiv_Net))=0,"",SUMPRODUCT((Upload_Indiv_Player=$A26)*(Upload_Indiv_Date=F$2)*(Upload_Indiv_Net)))</f>
        <v>52</v>
      </c>
      <c r="G27" s="2" t="str" cm="1">
        <f t="array" ref="G27">IF(SUMPRODUCT((Upload_Indiv_Player=$A26)*(Upload_Indiv_Date=G$2)*(Upload_Indiv_Net))=0,"",SUMPRODUCT((Upload_Indiv_Player=$A26)*(Upload_Indiv_Date=G$2)*(Upload_Indiv_Net)))</f>
        <v/>
      </c>
      <c r="H27" s="2" t="str" cm="1">
        <f t="array" ref="H27">IF(SUMPRODUCT((Upload_Indiv_Player=$A26)*(Upload_Indiv_Date=H$2)*(Upload_Indiv_Net))=0,"",SUMPRODUCT((Upload_Indiv_Player=$A26)*(Upload_Indiv_Date=H$2)*(Upload_Indiv_Net)))</f>
        <v/>
      </c>
      <c r="I27" s="2" cm="1">
        <f t="array" ref="I27">IF(SUMPRODUCT((Upload_Indiv_Player=$A26)*(Upload_Indiv_Date=I$2)*(Upload_Indiv_Net))=0,"",SUMPRODUCT((Upload_Indiv_Player=$A26)*(Upload_Indiv_Date=I$2)*(Upload_Indiv_Net)))</f>
        <v>39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t="str" cm="1">
        <f t="array" ref="K27">IF(SUMPRODUCT((Upload_Indiv_Player=$A26)*(Upload_Indiv_Date=K$2)*(Upload_Indiv_Net))=0,"",SUMPRODUCT((Upload_Indiv_Player=$A26)*(Upload_Indiv_Date=K$2)*(Upload_Indiv_Net)))</f>
        <v/>
      </c>
      <c r="L27" s="2" t="str" cm="1">
        <f t="array" ref="L27">IF(SUMPRODUCT((Upload_Indiv_Player=$A26)*(Upload_Indiv_Date=L$2)*(Upload_Indiv_Net))=0,"",SUMPRODUCT((Upload_Indiv_Player=$A26)*(Upload_Indiv_Date=L$2)*(Upload_Indiv_Net)))</f>
        <v/>
      </c>
      <c r="M27" s="2" cm="1">
        <f t="array" ref="M27">IF(SUMPRODUCT((Upload_Indiv_Player=$A26)*(Upload_Indiv_Date=M$2)*(Upload_Indiv_Net))=0,"",SUMPRODUCT((Upload_Indiv_Player=$A26)*(Upload_Indiv_Date=M$2)*(Upload_Indiv_Net)))</f>
        <v>46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t="str" cm="1">
        <f t="array" ref="O27">IF(SUMPRODUCT((Upload_Indiv_Player=$A26)*(Upload_Indiv_Date=O$2)*(Upload_Indiv_Net))=0,"",SUMPRODUCT((Upload_Indiv_Player=$A26)*(Upload_Indiv_Date=O$2)*(Upload_Indiv_Net)))</f>
        <v/>
      </c>
      <c r="P27" s="2" cm="1">
        <f t="array" ref="P27">IF(SUMPRODUCT((Upload_Indiv_Player=$A26)*(Upload_Indiv_Date=P$2)*(Upload_Indiv_Net))=0,"",SUMPRODUCT((Upload_Indiv_Player=$A26)*(Upload_Indiv_Date=P$2)*(Upload_Indiv_Net)))</f>
        <v>42</v>
      </c>
      <c r="Q27" s="2" cm="1">
        <f t="array" ref="Q27">IF(SUMPRODUCT((Upload_Indiv_Player=$A26)*(Upload_Indiv_Date=Q$2)*(Upload_Indiv_Net))=0,"",SUMPRODUCT((Upload_Indiv_Player=$A26)*(Upload_Indiv_Date=Q$2)*(Upload_Indiv_Net)))</f>
        <v>33</v>
      </c>
      <c r="R27" s="2" cm="1">
        <f t="array" ref="R27">IF(SUMPRODUCT((Upload_Indiv_Player=$A26)*(Upload_Indiv_Date=R$2)*(Upload_Indiv_Net))=0,"",SUMPRODUCT((Upload_Indiv_Player=$A26)*(Upload_Indiv_Date=R$2)*(Upload_Indiv_Net)))</f>
        <v>46</v>
      </c>
      <c r="S27" s="2" t="str" cm="1">
        <f t="array" ref="S27">IF(SUMPRODUCT((Upload_Indiv_Player=$A26)*(Upload_Indiv_Date=S$2)*(Upload_Indiv_Net))=0,"",SUMPRODUCT((Upload_Indiv_Player=$A26)*(Upload_Indiv_Date=S$2)*(Upload_Indiv_Net)))</f>
        <v/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>
        <v>46</v>
      </c>
      <c r="W27" s="276"/>
      <c r="X27" s="276"/>
      <c r="Y27" s="277"/>
      <c r="Z27" s="277"/>
      <c r="AA27" s="277"/>
    </row>
    <row r="28" spans="1:27" x14ac:dyDescent="0.25">
      <c r="A28" s="305" t="s">
        <v>293</v>
      </c>
      <c r="B28" s="8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11</v>
      </c>
      <c r="D28" s="2" cm="1">
        <f t="array" ref="D28">IF(SUMPRODUCT((Upload_Indiv_Player=$A26)*(Upload_Indiv_Date=D$2)*(Upload_Indiv_PointsTot))=0,"",SUMPRODUCT((Upload_Indiv_Player=$A26)*(Upload_Indiv_Date=D$2)*(Upload_Indiv_PointsTot)))</f>
        <v>8</v>
      </c>
      <c r="E28" s="2" cm="1">
        <f t="array" ref="E28">IF(SUMPRODUCT((Upload_Indiv_Player=$A26)*(Upload_Indiv_Date=E$2)*(Upload_Indiv_PointsTot))=0,"",SUMPRODUCT((Upload_Indiv_Player=$A26)*(Upload_Indiv_Date=E$2)*(Upload_Indiv_PointsTot)))</f>
        <v>4</v>
      </c>
      <c r="F28" s="2" cm="1">
        <f t="array" ref="F28">IF(SUMPRODUCT((Upload_Indiv_Player=$A26)*(Upload_Indiv_Date=F$2)*(Upload_Indiv_PointsTot))=0,"",SUMPRODUCT((Upload_Indiv_Player=$A26)*(Upload_Indiv_Date=F$2)*(Upload_Indiv_PointsTot)))</f>
        <v>3</v>
      </c>
      <c r="G28" s="2" t="str" cm="1">
        <f t="array" ref="G28">IF(SUMPRODUCT((Upload_Indiv_Player=$A26)*(Upload_Indiv_Date=G$2)*(Upload_Indiv_PointsTot))=0,"",SUMPRODUCT((Upload_Indiv_Player=$A26)*(Upload_Indiv_Date=G$2)*(Upload_Indiv_PointsTot)))</f>
        <v/>
      </c>
      <c r="H28" s="2" t="str" cm="1">
        <f t="array" ref="H28">IF(SUMPRODUCT((Upload_Indiv_Player=$A26)*(Upload_Indiv_Date=H$2)*(Upload_Indiv_PointsTot))=0,"",SUMPRODUCT((Upload_Indiv_Player=$A26)*(Upload_Indiv_Date=H$2)*(Upload_Indiv_PointsTot)))</f>
        <v/>
      </c>
      <c r="I28" s="2" cm="1">
        <f t="array" ref="I28">IF(SUMPRODUCT((Upload_Indiv_Player=$A26)*(Upload_Indiv_Date=I$2)*(Upload_Indiv_PointsTot))=0,"",SUMPRODUCT((Upload_Indiv_Player=$A26)*(Upload_Indiv_Date=I$2)*(Upload_Indiv_PointsTot)))</f>
        <v>13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t="str" cm="1">
        <f t="array" ref="K28">IF(SUMPRODUCT((Upload_Indiv_Player=$A26)*(Upload_Indiv_Date=K$2)*(Upload_Indiv_PointsTot))=0,"",SUMPRODUCT((Upload_Indiv_Player=$A26)*(Upload_Indiv_Date=K$2)*(Upload_Indiv_PointsTot)))</f>
        <v/>
      </c>
      <c r="L28" s="2" t="str" cm="1">
        <f t="array" ref="L28">IF(SUMPRODUCT((Upload_Indiv_Player=$A26)*(Upload_Indiv_Date=L$2)*(Upload_Indiv_PointsTot))=0,"",SUMPRODUCT((Upload_Indiv_Player=$A26)*(Upload_Indiv_Date=L$2)*(Upload_Indiv_PointsTot)))</f>
        <v/>
      </c>
      <c r="M28" s="2" cm="1">
        <f t="array" ref="M28">IF(SUMPRODUCT((Upload_Indiv_Player=$A26)*(Upload_Indiv_Date=M$2)*(Upload_Indiv_PointsTot))=0,"",SUMPRODUCT((Upload_Indiv_Player=$A26)*(Upload_Indiv_Date=M$2)*(Upload_Indiv_PointsTot)))</f>
        <v>5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t="str" cm="1">
        <f t="array" ref="O28">IF(SUMPRODUCT((Upload_Indiv_Player=$A26)*(Upload_Indiv_Date=O$2)*(Upload_Indiv_PointsTot))=0,"",SUMPRODUCT((Upload_Indiv_Player=$A26)*(Upload_Indiv_Date=O$2)*(Upload_Indiv_PointsTot)))</f>
        <v/>
      </c>
      <c r="P28" s="2" cm="1">
        <f t="array" ref="P28">IF(SUMPRODUCT((Upload_Indiv_Player=$A26)*(Upload_Indiv_Date=P$2)*(Upload_Indiv_PointsTot))=0,"",SUMPRODUCT((Upload_Indiv_Player=$A26)*(Upload_Indiv_Date=P$2)*(Upload_Indiv_PointsTot)))</f>
        <v>7</v>
      </c>
      <c r="Q28" s="2" cm="1">
        <f t="array" ref="Q28">IF(SUMPRODUCT((Upload_Indiv_Player=$A26)*(Upload_Indiv_Date=Q$2)*(Upload_Indiv_PointsTot))=0,"",SUMPRODUCT((Upload_Indiv_Player=$A26)*(Upload_Indiv_Date=Q$2)*(Upload_Indiv_PointsTot)))</f>
        <v>14</v>
      </c>
      <c r="R28" s="2" cm="1">
        <f t="array" ref="R28">IF(SUMPRODUCT((Upload_Indiv_Player=$A26)*(Upload_Indiv_Date=R$2)*(Upload_Indiv_PointsTot))=0,"",SUMPRODUCT((Upload_Indiv_Player=$A26)*(Upload_Indiv_Date=R$2)*(Upload_Indiv_PointsTot)))</f>
        <v>6</v>
      </c>
      <c r="S28" s="2" t="str" cm="1">
        <f t="array" ref="S28">IF(SUMPRODUCT((Upload_Indiv_Player=$A26)*(Upload_Indiv_Date=S$2)*(Upload_Indiv_PointsTot))=0,"",SUMPRODUCT((Upload_Indiv_Player=$A26)*(Upload_Indiv_Date=S$2)*(Upload_Indiv_PointsTot)))</f>
        <v/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/>
      <c r="B29" s="8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cm="1">
        <f t="array" ref="I29">IF(SUMPRODUCT((Upload_Indiv_Player=$A26)*(Upload_Indiv_Date=I$2)*(Upload_Indiv_Tot_Birds))=0,"",SUMPRODUCT((Upload_Indiv_Player=$A26)*(Upload_Indiv_Date=I$2)*(Upload_Indiv_Tot_Birds)))</f>
        <v>1</v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306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t="str" cm="1">
        <f t="array" ref="T31">IF(SUMPRODUCT((Upload_Indiv_Player=$A26)*(Upload_Indiv_Date=T$2)*(Upload_Indiv_Excl_Score))=0,"",SUMPRODUCT((Upload_Indiv_Player=$A26)*(Upload_Indiv_Date=T$2)*(Upload_Indiv_Excl_Score)))</f>
        <v/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306"/>
      <c r="B32" s="8" t="s">
        <v>178</v>
      </c>
      <c r="C32" s="58" t="str">
        <f>IF(C26="", "", IF(C28&gt;=11, "w", IF(C28&lt;=9, "l", "t")))</f>
        <v>w</v>
      </c>
      <c r="D32" s="58" t="str">
        <f t="shared" ref="D32:S32" si="4">IF(D26="", "", IF(D28&gt;=11, "w", IF(D28&lt;=9, "l", "t")))</f>
        <v>l</v>
      </c>
      <c r="E32" s="58" t="str">
        <f t="shared" si="4"/>
        <v>l</v>
      </c>
      <c r="F32" s="58" t="str">
        <f t="shared" si="4"/>
        <v>l</v>
      </c>
      <c r="G32" s="58" t="str">
        <f t="shared" si="4"/>
        <v/>
      </c>
      <c r="H32" s="58" t="str">
        <f t="shared" si="4"/>
        <v/>
      </c>
      <c r="I32" s="58" t="str">
        <f t="shared" si="4"/>
        <v>w</v>
      </c>
      <c r="J32" s="58" t="str">
        <f t="shared" si="4"/>
        <v/>
      </c>
      <c r="K32" s="58" t="str">
        <f t="shared" si="4"/>
        <v/>
      </c>
      <c r="L32" s="58" t="str">
        <f t="shared" si="4"/>
        <v/>
      </c>
      <c r="M32" s="58" t="str">
        <f t="shared" si="4"/>
        <v>l</v>
      </c>
      <c r="N32" s="58" t="str">
        <f t="shared" si="4"/>
        <v/>
      </c>
      <c r="O32" s="58" t="str">
        <f t="shared" si="4"/>
        <v/>
      </c>
      <c r="P32" s="58" t="str">
        <f t="shared" si="4"/>
        <v>l</v>
      </c>
      <c r="Q32" s="58" t="str">
        <f t="shared" si="4"/>
        <v>w</v>
      </c>
      <c r="R32" s="58" t="str">
        <f t="shared" si="4"/>
        <v>l</v>
      </c>
      <c r="S32" s="58" t="str">
        <f t="shared" si="4"/>
        <v/>
      </c>
      <c r="T32" s="58" t="str">
        <f>IF(T26="", "", IF(T28&gt;=11, "w", IF(T28&lt;=9, "l", "t")))</f>
        <v/>
      </c>
      <c r="U32" s="58" t="str">
        <f>IF(U26="", "", IF(U28&gt;=11, "w", IF(U28&lt;=9, "l", "t")))</f>
        <v/>
      </c>
      <c r="V32" s="276"/>
      <c r="W32" s="276"/>
      <c r="X32" s="276"/>
      <c r="Y32" s="277"/>
      <c r="Z32" s="277"/>
      <c r="AA32" s="277"/>
    </row>
    <row r="33" spans="1:27" x14ac:dyDescent="0.25">
      <c r="A33" s="303" t="s">
        <v>294</v>
      </c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cm="1">
        <f t="array" ref="E33">IF(SUMPRODUCT((Upload_Indiv_Player=$A33)*(Upload_Indiv_Date=E$2)*(Upload_Indiv_Gross))=0,"",SUMPRODUCT((Upload_Indiv_Player=$A33)*(Upload_Indiv_Date=E$2)*(Upload_Indiv_Gross)))</f>
        <v>43</v>
      </c>
      <c r="F33" s="3" cm="1">
        <f t="array" ref="F33">IF(SUMPRODUCT((Upload_Indiv_Player=$A33)*(Upload_Indiv_Date=F$2)*(Upload_Indiv_Gross))=0,"",SUMPRODUCT((Upload_Indiv_Player=$A33)*(Upload_Indiv_Date=F$2)*(Upload_Indiv_Gross)))</f>
        <v>49</v>
      </c>
      <c r="G33" s="3" cm="1">
        <f t="array" ref="G33">IF(SUMPRODUCT((Upload_Indiv_Player=$A33)*(Upload_Indiv_Date=G$2)*(Upload_Indiv_Gross))=0,"",SUMPRODUCT((Upload_Indiv_Player=$A33)*(Upload_Indiv_Date=G$2)*(Upload_Indiv_Gross)))</f>
        <v>41</v>
      </c>
      <c r="H33" s="3" cm="1">
        <f t="array" ref="H33">IF(SUMPRODUCT((Upload_Indiv_Player=$A33)*(Upload_Indiv_Date=H$2)*(Upload_Indiv_Gross))=0,"",SUMPRODUCT((Upload_Indiv_Player=$A33)*(Upload_Indiv_Date=H$2)*(Upload_Indiv_Gross)))</f>
        <v>50</v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cm="1">
        <f t="array" ref="K33">IF(SUMPRODUCT((Upload_Indiv_Player=$A33)*(Upload_Indiv_Date=K$2)*(Upload_Indiv_Gross))=0,"",SUMPRODUCT((Upload_Indiv_Player=$A33)*(Upload_Indiv_Date=K$2)*(Upload_Indiv_Gross)))</f>
        <v>43</v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cm="1">
        <f t="array" ref="Q33">IF(SUMPRODUCT((Upload_Indiv_Player=$A33)*(Upload_Indiv_Date=Q$2)*(Upload_Indiv_Gross))=0,"",SUMPRODUCT((Upload_Indiv_Player=$A33)*(Upload_Indiv_Date=Q$2)*(Upload_Indiv_Gross)))</f>
        <v>47</v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cm="1">
        <f t="array" ref="S33">IF(SUMPRODUCT((Upload_Indiv_Player=$A33)*(Upload_Indiv_Date=S$2)*(Upload_Indiv_Gross))=0,"",SUMPRODUCT((Upload_Indiv_Player=$A33)*(Upload_Indiv_Date=S$2)*(Upload_Indiv_Gross)))</f>
        <v>45</v>
      </c>
      <c r="T33" s="2" cm="1">
        <f t="array" ref="T33">IF(SUMPRODUCT((Upload_Indiv_Player=$A33)*(Upload_Indiv_Date=T$2)*(Upload_Indiv_Gross))=0,"",SUMPRODUCT((Upload_Indiv_Player=$A33)*(Upload_Indiv_Date=T$2)*(Upload_Indiv_Gross)))</f>
        <v>48</v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>
        <v>11</v>
      </c>
      <c r="W33" s="273">
        <v>3</v>
      </c>
      <c r="X33" s="273">
        <v>4</v>
      </c>
      <c r="Y33" s="277">
        <v>5</v>
      </c>
      <c r="Z33" s="277">
        <v>0</v>
      </c>
      <c r="AA33" s="277">
        <v>0</v>
      </c>
    </row>
    <row r="34" spans="1:27" x14ac:dyDescent="0.25">
      <c r="A34" s="304">
        <v>3309349216</v>
      </c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cm="1">
        <f t="array" ref="E34">IF(SUMPRODUCT((Upload_Indiv_Player=$A33)*(Upload_Indiv_Date=E$2)*(Upload_Indiv_Net))=0,"",SUMPRODUCT((Upload_Indiv_Player=$A33)*(Upload_Indiv_Date=E$2)*(Upload_Indiv_Net)))</f>
        <v>39</v>
      </c>
      <c r="F34" s="2" cm="1">
        <f t="array" ref="F34">IF(SUMPRODUCT((Upload_Indiv_Player=$A33)*(Upload_Indiv_Date=F$2)*(Upload_Indiv_Net))=0,"",SUMPRODUCT((Upload_Indiv_Player=$A33)*(Upload_Indiv_Date=F$2)*(Upload_Indiv_Net)))</f>
        <v>45</v>
      </c>
      <c r="G34" s="2" cm="1">
        <f t="array" ref="G34">IF(SUMPRODUCT((Upload_Indiv_Player=$A33)*(Upload_Indiv_Date=G$2)*(Upload_Indiv_Net))=0,"",SUMPRODUCT((Upload_Indiv_Player=$A33)*(Upload_Indiv_Date=G$2)*(Upload_Indiv_Net)))</f>
        <v>36</v>
      </c>
      <c r="H34" s="2" cm="1">
        <f t="array" ref="H34">IF(SUMPRODUCT((Upload_Indiv_Player=$A33)*(Upload_Indiv_Date=H$2)*(Upload_Indiv_Net))=0,"",SUMPRODUCT((Upload_Indiv_Player=$A33)*(Upload_Indiv_Date=H$2)*(Upload_Indiv_Net)))</f>
        <v>45</v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cm="1">
        <f t="array" ref="K34">IF(SUMPRODUCT((Upload_Indiv_Player=$A33)*(Upload_Indiv_Date=K$2)*(Upload_Indiv_Net))=0,"",SUMPRODUCT((Upload_Indiv_Player=$A33)*(Upload_Indiv_Date=K$2)*(Upload_Indiv_Net)))</f>
        <v>38</v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cm="1">
        <f t="array" ref="Q34">IF(SUMPRODUCT((Upload_Indiv_Player=$A33)*(Upload_Indiv_Date=Q$2)*(Upload_Indiv_Net))=0,"",SUMPRODUCT((Upload_Indiv_Player=$A33)*(Upload_Indiv_Date=Q$2)*(Upload_Indiv_Net)))</f>
        <v>42</v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cm="1">
        <f t="array" ref="S34">IF(SUMPRODUCT((Upload_Indiv_Player=$A33)*(Upload_Indiv_Date=S$2)*(Upload_Indiv_Net))=0,"",SUMPRODUCT((Upload_Indiv_Player=$A33)*(Upload_Indiv_Date=S$2)*(Upload_Indiv_Net)))</f>
        <v>40</v>
      </c>
      <c r="T34" s="2" cm="1">
        <f t="array" ref="T34">IF(SUMPRODUCT((Upload_Indiv_Player=$A33)*(Upload_Indiv_Date=T$2)*(Upload_Indiv_Net))=0,"",SUMPRODUCT((Upload_Indiv_Player=$A33)*(Upload_Indiv_Date=T$2)*(Upload_Indiv_Net)))</f>
        <v>43</v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9">
        <v>43.55</v>
      </c>
      <c r="W34" s="276"/>
      <c r="X34" s="276"/>
      <c r="Y34" s="277"/>
      <c r="Z34" s="277"/>
      <c r="AA34" s="277"/>
    </row>
    <row r="35" spans="1:27" x14ac:dyDescent="0.25">
      <c r="A35" s="305" t="s">
        <v>295</v>
      </c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cm="1">
        <f t="array" ref="E35">IF(SUMPRODUCT((Upload_Indiv_Player=$A33)*(Upload_Indiv_Date=E$2)*(Upload_Indiv_PointsTot))=0,"",SUMPRODUCT((Upload_Indiv_Player=$A33)*(Upload_Indiv_Date=E$2)*(Upload_Indiv_PointsTot)))</f>
        <v>12</v>
      </c>
      <c r="F35" s="2" cm="1">
        <f t="array" ref="F35">IF(SUMPRODUCT((Upload_Indiv_Player=$A33)*(Upload_Indiv_Date=F$2)*(Upload_Indiv_PointsTot))=0,"",SUMPRODUCT((Upload_Indiv_Player=$A33)*(Upload_Indiv_Date=F$2)*(Upload_Indiv_PointsTot)))</f>
        <v>4</v>
      </c>
      <c r="G35" s="2" cm="1">
        <f t="array" ref="G35">IF(SUMPRODUCT((Upload_Indiv_Player=$A33)*(Upload_Indiv_Date=G$2)*(Upload_Indiv_PointsTot))=0,"",SUMPRODUCT((Upload_Indiv_Player=$A33)*(Upload_Indiv_Date=G$2)*(Upload_Indiv_PointsTot)))</f>
        <v>10</v>
      </c>
      <c r="H35" s="2" cm="1">
        <f t="array" ref="H35">IF(SUMPRODUCT((Upload_Indiv_Player=$A33)*(Upload_Indiv_Date=H$2)*(Upload_Indiv_PointsTot))=0,"",SUMPRODUCT((Upload_Indiv_Player=$A33)*(Upload_Indiv_Date=H$2)*(Upload_Indiv_PointsTot)))</f>
        <v>5</v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cm="1">
        <f t="array" ref="K35">IF(SUMPRODUCT((Upload_Indiv_Player=$A33)*(Upload_Indiv_Date=K$2)*(Upload_Indiv_PointsTot))=0,"",SUMPRODUCT((Upload_Indiv_Player=$A33)*(Upload_Indiv_Date=K$2)*(Upload_Indiv_PointsTot)))</f>
        <v>10</v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cm="1">
        <f t="array" ref="Q35">IF(SUMPRODUCT((Upload_Indiv_Player=$A33)*(Upload_Indiv_Date=Q$2)*(Upload_Indiv_PointsTot))=0,"",SUMPRODUCT((Upload_Indiv_Player=$A33)*(Upload_Indiv_Date=Q$2)*(Upload_Indiv_PointsTot)))</f>
        <v>11</v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cm="1">
        <f t="array" ref="S35">IF(SUMPRODUCT((Upload_Indiv_Player=$A33)*(Upload_Indiv_Date=S$2)*(Upload_Indiv_PointsTot))=0,"",SUMPRODUCT((Upload_Indiv_Player=$A33)*(Upload_Indiv_Date=S$2)*(Upload_Indiv_PointsTot)))</f>
        <v>4</v>
      </c>
      <c r="T35" s="2" cm="1">
        <f t="array" ref="T35">IF(SUMPRODUCT((Upload_Indiv_Player=$A33)*(Upload_Indiv_Date=T$2)*(Upload_Indiv_PointsTot))=0,"",SUMPRODUCT((Upload_Indiv_Player=$A33)*(Upload_Indiv_Date=T$2)*(Upload_Indiv_PointsTot)))</f>
        <v>6</v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9"/>
      <c r="W35" s="279"/>
      <c r="X35" s="279"/>
      <c r="Y35" s="277"/>
      <c r="Z35" s="277"/>
      <c r="AA35" s="277"/>
    </row>
    <row r="36" spans="1:27" x14ac:dyDescent="0.25">
      <c r="A36" s="306" t="s">
        <v>160</v>
      </c>
      <c r="B36" s="2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9"/>
      <c r="W36" s="279"/>
      <c r="X36" s="279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9"/>
      <c r="W37" s="279"/>
      <c r="X37" s="279"/>
      <c r="Y37" s="277"/>
      <c r="Z37" s="278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cm="1">
        <f t="array" ref="T38">IF(SUMPRODUCT((Upload_Indiv_Player=$A33)*(Upload_Indiv_Date=T$2)*(Upload_Indiv_Excl_Score))=0,"",SUMPRODUCT((Upload_Indiv_Player=$A33)*(Upload_Indiv_Date=T$2)*(Upload_Indiv_Excl_Score)))</f>
        <v>1</v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9"/>
      <c r="W38" s="279"/>
      <c r="X38" s="279"/>
      <c r="Y38" s="277"/>
      <c r="Z38" s="277"/>
      <c r="AA38" s="277"/>
    </row>
    <row r="39" spans="1:27" ht="13.8" thickBot="1" x14ac:dyDescent="0.3">
      <c r="A39" s="330" t="s">
        <v>160</v>
      </c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>w</v>
      </c>
      <c r="F39" s="58" t="str">
        <f t="shared" si="5"/>
        <v>l</v>
      </c>
      <c r="G39" s="58" t="str">
        <f t="shared" si="5"/>
        <v>t</v>
      </c>
      <c r="H39" s="58" t="str">
        <f t="shared" si="5"/>
        <v>l</v>
      </c>
      <c r="I39" s="58" t="str">
        <f t="shared" si="5"/>
        <v/>
      </c>
      <c r="J39" s="58" t="str">
        <f t="shared" si="5"/>
        <v/>
      </c>
      <c r="K39" s="58" t="str">
        <f t="shared" si="5"/>
        <v>t</v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>w</v>
      </c>
      <c r="R39" s="58" t="str">
        <f t="shared" si="5"/>
        <v/>
      </c>
      <c r="S39" s="58" t="str">
        <f t="shared" si="5"/>
        <v>l</v>
      </c>
      <c r="T39" s="58" t="str">
        <f>IF(T33="", "", IF(T35&gt;=11, "w", IF(T35&lt;=9, "l", "t")))</f>
        <v>l</v>
      </c>
      <c r="U39" s="58" t="str">
        <f>IF(U33="", "", IF(U35&gt;=11, "w", IF(U35&lt;=9, "l", "t")))</f>
        <v/>
      </c>
      <c r="V39" s="279"/>
      <c r="W39" s="279"/>
      <c r="X39" s="279"/>
      <c r="Y39" s="277"/>
      <c r="Z39" s="277"/>
      <c r="AA39" s="277"/>
    </row>
    <row r="40" spans="1:27" x14ac:dyDescent="0.25">
      <c r="A40" s="294" t="s">
        <v>296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cm="1">
        <f t="array" ref="O40">IF(SUMPRODUCT((Upload_Indiv_Player=$A40)*(Upload_Indiv_Date=O$2)*(Upload_Indiv_Gross))=0,"",SUMPRODUCT((Upload_Indiv_Player=$A40)*(Upload_Indiv_Date=O$2)*(Upload_Indiv_Gross)))</f>
        <v>40</v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cm="1">
        <f t="array" ref="O41">IF(SUMPRODUCT((Upload_Indiv_Player=$A40)*(Upload_Indiv_Date=O$2)*(Upload_Indiv_Net))=0,"",SUMPRODUCT((Upload_Indiv_Player=$A40)*(Upload_Indiv_Date=O$2)*(Upload_Indiv_Net)))</f>
        <v>40</v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cm="1">
        <f t="array" ref="O42">IF(SUMPRODUCT((Upload_Indiv_Player=$A40)*(Upload_Indiv_Date=O$2)*(Upload_Indiv_PointsTot))=0,"",SUMPRODUCT((Upload_Indiv_Player=$A40)*(Upload_Indiv_Date=O$2)*(Upload_Indiv_PointsTot)))</f>
        <v>10</v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>t</v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28" r:id="rId1" display="john.a.holzer@timkensteel.com" xr:uid="{07279103-105E-461E-9634-09293854D514}"/>
    <hyperlink ref="A21" r:id="rId2" display="richard.l.reed@timkensteel.com" xr:uid="{540F77C5-B900-422D-A0A1-504B1E143BE5}"/>
    <hyperlink ref="A7" r:id="rId3" xr:uid="{F265C630-3E28-4B43-9E88-2A8F877BCF06}"/>
    <hyperlink ref="A14" r:id="rId4" display="Charles.rundquist@timkensteel.com" xr:uid="{69AE63A5-B3D9-4221-A9B2-D8608230DB2B}"/>
    <hyperlink ref="A35" r:id="rId5" xr:uid="{0DA1D1D4-340F-489B-ADEA-AE132C599065}"/>
  </hyperlinks>
  <pageMargins left="0.75" right="0.75" top="1" bottom="1" header="0.5" footer="0.5"/>
  <pageSetup orientation="portrait" r:id="rId6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AA46"/>
  <sheetViews>
    <sheetView workbookViewId="0"/>
  </sheetViews>
  <sheetFormatPr defaultRowHeight="13.2" x14ac:dyDescent="0.25"/>
  <cols>
    <col min="1" max="1" width="26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27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4">
        <v>2024</v>
      </c>
      <c r="W2" s="274">
        <v>2023</v>
      </c>
      <c r="X2" s="274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24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27</v>
      </c>
      <c r="D3" s="5" cm="1">
        <f t="array" ref="D3">IF(SUMPRODUCT((Upload_Team_Team=$A$3)*(Upload_Team_Date=D$2)*(Upload_Team_Tm_Tot_Points))=0,"",SUMPRODUCT((Upload_Team_Team=$A$3)*(Upload_Team_Date=D$2)*(Upload_Team_Tm_Tot_Points)))</f>
        <v>23</v>
      </c>
      <c r="E3" s="5" cm="1">
        <f t="array" ref="E3">IF(SUMPRODUCT((Upload_Team_Team=$A$3)*(Upload_Team_Date=E$2)*(Upload_Team_Tm_Tot_Points))=0,"",SUMPRODUCT((Upload_Team_Team=$A$3)*(Upload_Team_Date=E$2)*(Upload_Team_Tm_Tot_Points)))</f>
        <v>28</v>
      </c>
      <c r="F3" s="5" cm="1">
        <f t="array" ref="F3">IF(SUMPRODUCT((Upload_Team_Team=$A$3)*(Upload_Team_Date=F$2)*(Upload_Team_Tm_Tot_Points))=0,"",SUMPRODUCT((Upload_Team_Team=$A$3)*(Upload_Team_Date=F$2)*(Upload_Team_Tm_Tot_Points)))</f>
        <v>34</v>
      </c>
      <c r="G3" s="5" cm="1">
        <f t="array" ref="G3">IF(SUMPRODUCT((Upload_Team_Team=$A$3)*(Upload_Team_Date=G$2)*(Upload_Team_Tm_Tot_Points))=0,"",SUMPRODUCT((Upload_Team_Team=$A$3)*(Upload_Team_Date=G$2)*(Upload_Team_Tm_Tot_Points)))</f>
        <v>33</v>
      </c>
      <c r="H3" s="5" cm="1">
        <f t="array" ref="H3">IF(SUMPRODUCT((Upload_Team_Team=$A$3)*(Upload_Team_Date=H$2)*(Upload_Team_Tm_Tot_Points))=0,"",SUMPRODUCT((Upload_Team_Team=$A$3)*(Upload_Team_Date=H$2)*(Upload_Team_Tm_Tot_Points)))</f>
        <v>34</v>
      </c>
      <c r="I3" s="5" cm="1">
        <f t="array" ref="I3">IF(SUMPRODUCT((Upload_Team_Team=$A$3)*(Upload_Team_Date=I$2)*(Upload_Team_Tm_Tot_Points))=0,"",SUMPRODUCT((Upload_Team_Team=$A$3)*(Upload_Team_Date=I$2)*(Upload_Team_Tm_Tot_Points)))</f>
        <v>29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33</v>
      </c>
      <c r="L3" s="5" cm="1">
        <f t="array" ref="L3">IF(SUMPRODUCT((Upload_Team_Team=$A$3)*(Upload_Team_Date=L$2)*(Upload_Team_Tm_Tot_Points))=0,"",SUMPRODUCT((Upload_Team_Team=$A$3)*(Upload_Team_Date=L$2)*(Upload_Team_Tm_Tot_Points)))</f>
        <v>24</v>
      </c>
      <c r="M3" s="5" cm="1">
        <f t="array" ref="M3">IF(SUMPRODUCT((Upload_Team_Team=$A$3)*(Upload_Team_Date=M$2)*(Upload_Team_Tm_Tot_Points))=0,"",SUMPRODUCT((Upload_Team_Team=$A$3)*(Upload_Team_Date=M$2)*(Upload_Team_Tm_Tot_Points)))</f>
        <v>35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34</v>
      </c>
      <c r="P3" s="5" cm="1">
        <f t="array" ref="P3">IF(SUMPRODUCT((Upload_Team_Team=$A$3)*(Upload_Team_Date=P$2)*(Upload_Team_Tm_Tot_Points))=0,"",SUMPRODUCT((Upload_Team_Team=$A$3)*(Upload_Team_Date=P$2)*(Upload_Team_Tm_Tot_Points)))</f>
        <v>47</v>
      </c>
      <c r="Q3" s="5" cm="1">
        <f t="array" ref="Q3">IF(SUMPRODUCT((Upload_Team_Team=$A$3)*(Upload_Team_Date=Q$2)*(Upload_Team_Tm_Tot_Points))=0,"",SUMPRODUCT((Upload_Team_Team=$A$3)*(Upload_Team_Date=Q$2)*(Upload_Team_Tm_Tot_Points)))</f>
        <v>47</v>
      </c>
      <c r="R3" s="5" cm="1">
        <f t="array" ref="R3">IF(SUMPRODUCT((Upload_Team_Team=$A$3)*(Upload_Team_Date=R$2)*(Upload_Team_Tm_Tot_Points))=0,"",SUMPRODUCT((Upload_Team_Team=$A$3)*(Upload_Team_Date=R$2)*(Upload_Team_Tm_Tot_Points)))</f>
        <v>46</v>
      </c>
      <c r="S3" s="5" cm="1">
        <f t="array" ref="S3">IF(SUMPRODUCT((Upload_Team_Team=$A$3)*(Upload_Team_Date=S$2)*(Upload_Team_Tm_Tot_Points))=0,"",SUMPRODUCT((Upload_Team_Team=$A$3)*(Upload_Team_Date=S$2)*(Upload_Team_Tm_Tot_Points)))</f>
        <v>56</v>
      </c>
      <c r="T3" s="5" cm="1">
        <f t="array" ref="T3">IF(SUMPRODUCT((Upload_Team_Team=$A$3)*(Upload_Team_Date=T$2)*(Upload_Team_Tm_Tot_Points))=0,"",SUMPRODUCT((Upload_Team_Team=$A$3)*(Upload_Team_Date=T$2)*(Upload_Team_Tm_Tot_Points)))</f>
        <v>50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189</v>
      </c>
      <c r="D4" s="7" cm="1">
        <f t="array" ref="D4">IF(SUMPRODUCT((Upload_Team_Team=$A$3)*(Upload_Team_Date=D$2)*(Upload_Team_Tm_Net))=0,"",SUMPRODUCT((Upload_Team_Team=$A$3)*(Upload_Team_Date=D$2)*(Upload_Team_Tm_Net)))</f>
        <v>174</v>
      </c>
      <c r="E4" s="7" cm="1">
        <f t="array" ref="E4">IF(SUMPRODUCT((Upload_Team_Team=$A$3)*(Upload_Team_Date=E$2)*(Upload_Team_Tm_Net))=0,"",SUMPRODUCT((Upload_Team_Team=$A$3)*(Upload_Team_Date=E$2)*(Upload_Team_Tm_Net)))</f>
        <v>197</v>
      </c>
      <c r="F4" s="7" cm="1">
        <f t="array" ref="F4">IF(SUMPRODUCT((Upload_Team_Team=$A$3)*(Upload_Team_Date=F$2)*(Upload_Team_Tm_Net))=0,"",SUMPRODUCT((Upload_Team_Team=$A$3)*(Upload_Team_Date=F$2)*(Upload_Team_Tm_Net)))</f>
        <v>182</v>
      </c>
      <c r="G4" s="7" cm="1">
        <f t="array" ref="G4">IF(SUMPRODUCT((Upload_Team_Team=$A$3)*(Upload_Team_Date=G$2)*(Upload_Team_Tm_Net))=0,"",SUMPRODUCT((Upload_Team_Team=$A$3)*(Upload_Team_Date=G$2)*(Upload_Team_Tm_Net)))</f>
        <v>172</v>
      </c>
      <c r="H4" s="7" cm="1">
        <f t="array" ref="H4">IF(SUMPRODUCT((Upload_Team_Team=$A$3)*(Upload_Team_Date=H$2)*(Upload_Team_Tm_Net))=0,"",SUMPRODUCT((Upload_Team_Team=$A$3)*(Upload_Team_Date=H$2)*(Upload_Team_Tm_Net)))</f>
        <v>165</v>
      </c>
      <c r="I4" s="7" cm="1">
        <f t="array" ref="I4">IF(SUMPRODUCT((Upload_Team_Team=$A$3)*(Upload_Team_Date=I$2)*(Upload_Team_Tm_Net))=0,"",SUMPRODUCT((Upload_Team_Team=$A$3)*(Upload_Team_Date=I$2)*(Upload_Team_Tm_Net)))</f>
        <v>170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164</v>
      </c>
      <c r="L4" s="7" cm="1">
        <f t="array" ref="L4">IF(SUMPRODUCT((Upload_Team_Team=$A$3)*(Upload_Team_Date=L$2)*(Upload_Team_Tm_Net))=0,"",SUMPRODUCT((Upload_Team_Team=$A$3)*(Upload_Team_Date=L$2)*(Upload_Team_Tm_Net)))</f>
        <v>157</v>
      </c>
      <c r="M4" s="7" cm="1">
        <f t="array" ref="M4">IF(SUMPRODUCT((Upload_Team_Team=$A$3)*(Upload_Team_Date=M$2)*(Upload_Team_Tm_Net))=0,"",SUMPRODUCT((Upload_Team_Team=$A$3)*(Upload_Team_Date=M$2)*(Upload_Team_Tm_Net)))</f>
        <v>154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117</v>
      </c>
      <c r="P4" s="7" cm="1">
        <f t="array" ref="P4">IF(SUMPRODUCT((Upload_Team_Team=$A$3)*(Upload_Team_Date=P$2)*(Upload_Team_Tm_Net))=0,"",SUMPRODUCT((Upload_Team_Team=$A$3)*(Upload_Team_Date=P$2)*(Upload_Team_Tm_Net)))</f>
        <v>146</v>
      </c>
      <c r="Q4" s="7" cm="1">
        <f t="array" ref="Q4">IF(SUMPRODUCT((Upload_Team_Team=$A$3)*(Upload_Team_Date=Q$2)*(Upload_Team_Tm_Net))=0,"",SUMPRODUCT((Upload_Team_Team=$A$3)*(Upload_Team_Date=Q$2)*(Upload_Team_Tm_Net)))</f>
        <v>72</v>
      </c>
      <c r="R4" s="7" cm="1">
        <f t="array" ref="R4">IF(SUMPRODUCT((Upload_Team_Team=$A$3)*(Upload_Team_Date=R$2)*(Upload_Team_Tm_Net))=0,"",SUMPRODUCT((Upload_Team_Team=$A$3)*(Upload_Team_Date=R$2)*(Upload_Team_Tm_Net)))</f>
        <v>157</v>
      </c>
      <c r="S4" s="7" cm="1">
        <f t="array" ref="S4">IF(SUMPRODUCT((Upload_Team_Team=$A$3)*(Upload_Team_Date=S$2)*(Upload_Team_Tm_Net))=0,"",SUMPRODUCT((Upload_Team_Team=$A$3)*(Upload_Team_Date=S$2)*(Upload_Team_Tm_Net)))</f>
        <v>141</v>
      </c>
      <c r="T4" s="7" cm="1">
        <f t="array" ref="T4">IF(SUMPRODUCT((Upload_Team_Team=$A$3)*(Upload_Team_Date=T$2)*(Upload_Team_Tm_Net))=0,"",SUMPRODUCT((Upload_Team_Team=$A$3)*(Upload_Team_Date=T$2)*(Upload_Team_Tm_Net)))</f>
        <v>146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54" t="s">
        <v>106</v>
      </c>
      <c r="B5" s="3" t="s">
        <v>170</v>
      </c>
      <c r="C5" s="2" cm="1">
        <f t="array" ref="C5">IF(SUMPRODUCT((Upload_Indiv_Player=$A5)*(Upload_Indiv_Date=C$2)*(Upload_Indiv_Gross))=0,"",SUMPRODUCT((Upload_Indiv_Player=$A5)*(Upload_Indiv_Date=C$2)*(Upload_Indiv_Gross)))</f>
        <v>56</v>
      </c>
      <c r="D5" s="2" cm="1">
        <f t="array" ref="D5">IF(SUMPRODUCT((Upload_Indiv_Player=$A5)*(Upload_Indiv_Date=D$2)*(Upload_Indiv_Gross))=0,"",SUMPRODUCT((Upload_Indiv_Player=$A5)*(Upload_Indiv_Date=D$2)*(Upload_Indiv_Gross)))</f>
        <v>52</v>
      </c>
      <c r="E5" s="2" cm="1">
        <f t="array" ref="E5">IF(SUMPRODUCT((Upload_Indiv_Player=$A5)*(Upload_Indiv_Date=E$2)*(Upload_Indiv_Gross))=0,"",SUMPRODUCT((Upload_Indiv_Player=$A5)*(Upload_Indiv_Date=E$2)*(Upload_Indiv_Gross)))</f>
        <v>62</v>
      </c>
      <c r="F5" s="2" cm="1">
        <f t="array" ref="F5">IF(SUMPRODUCT((Upload_Indiv_Player=$A5)*(Upload_Indiv_Date=F$2)*(Upload_Indiv_Gross))=0,"",SUMPRODUCT((Upload_Indiv_Player=$A5)*(Upload_Indiv_Date=F$2)*(Upload_Indiv_Gross)))</f>
        <v>63</v>
      </c>
      <c r="G5" s="2" cm="1">
        <f t="array" ref="G5">IF(SUMPRODUCT((Upload_Indiv_Player=$A5)*(Upload_Indiv_Date=G$2)*(Upload_Indiv_Gross))=0,"",SUMPRODUCT((Upload_Indiv_Player=$A5)*(Upload_Indiv_Date=G$2)*(Upload_Indiv_Gross)))</f>
        <v>63</v>
      </c>
      <c r="H5" s="2" cm="1">
        <f t="array" ref="H5">IF(SUMPRODUCT((Upload_Indiv_Player=$A5)*(Upload_Indiv_Date=H$2)*(Upload_Indiv_Gross))=0,"",SUMPRODUCT((Upload_Indiv_Player=$A5)*(Upload_Indiv_Date=H$2)*(Upload_Indiv_Gross)))</f>
        <v>58</v>
      </c>
      <c r="I5" s="2" cm="1">
        <f t="array" ref="I5">IF(SUMPRODUCT((Upload_Indiv_Player=$A5)*(Upload_Indiv_Date=I$2)*(Upload_Indiv_Gross))=0,"",SUMPRODUCT((Upload_Indiv_Player=$A5)*(Upload_Indiv_Date=I$2)*(Upload_Indiv_Gross)))</f>
        <v>57</v>
      </c>
      <c r="J5" s="2" t="str" cm="1">
        <f t="array" ref="J5">IF(SUMPRODUCT((Upload_Indiv_Player=$A5)*(Upload_Indiv_Date=J$2)*(Upload_Indiv_Gross))=0,"",SUMPRODUCT((Upload_Indiv_Player=$A5)*(Upload_Indiv_Date=J$2)*(Upload_Indiv_Gross)))</f>
        <v/>
      </c>
      <c r="K5" s="2" cm="1">
        <f t="array" ref="K5">IF(SUMPRODUCT((Upload_Indiv_Player=$A5)*(Upload_Indiv_Date=K$2)*(Upload_Indiv_Gross))=0,"",SUMPRODUCT((Upload_Indiv_Player=$A5)*(Upload_Indiv_Date=K$2)*(Upload_Indiv_Gross)))</f>
        <v>49</v>
      </c>
      <c r="L5" s="2" t="str" cm="1">
        <f t="array" ref="L5">IF(SUMPRODUCT((Upload_Indiv_Player=$A5)*(Upload_Indiv_Date=L$2)*(Upload_Indiv_Gross))=0,"",SUMPRODUCT((Upload_Indiv_Player=$A5)*(Upload_Indiv_Date=L$2)*(Upload_Indiv_Gross)))</f>
        <v/>
      </c>
      <c r="M5" s="2" cm="1">
        <f t="array" ref="M5">IF(SUMPRODUCT((Upload_Indiv_Player=$A5)*(Upload_Indiv_Date=M$2)*(Upload_Indiv_Gross))=0,"",SUMPRODUCT((Upload_Indiv_Player=$A5)*(Upload_Indiv_Date=M$2)*(Upload_Indiv_Gross)))</f>
        <v>50</v>
      </c>
      <c r="N5" s="2" t="str" cm="1">
        <f t="array" ref="N5">IF(SUMPRODUCT((Upload_Indiv_Player=$A5)*(Upload_Indiv_Date=N$2)*(Upload_Indiv_Gross))=0,"",SUMPRODUCT((Upload_Indiv_Player=$A5)*(Upload_Indiv_Date=N$2)*(Upload_Indiv_Gross)))</f>
        <v/>
      </c>
      <c r="O5" s="2" t="str" cm="1">
        <f t="array" ref="O5">IF(SUMPRODUCT((Upload_Indiv_Player=$A5)*(Upload_Indiv_Date=O$2)*(Upload_Indiv_Gross))=0,"",SUMPRODUCT((Upload_Indiv_Player=$A5)*(Upload_Indiv_Date=O$2)*(Upload_Indiv_Gross)))</f>
        <v/>
      </c>
      <c r="P5" s="2" cm="1">
        <f t="array" ref="P5">IF(SUMPRODUCT((Upload_Indiv_Player=$A5)*(Upload_Indiv_Date=P$2)*(Upload_Indiv_Gross))=0,"",SUMPRODUCT((Upload_Indiv_Player=$A5)*(Upload_Indiv_Date=P$2)*(Upload_Indiv_Gross)))</f>
        <v>54</v>
      </c>
      <c r="Q5" s="2" cm="1">
        <f t="array" ref="Q5">IF(SUMPRODUCT((Upload_Indiv_Player=$A5)*(Upload_Indiv_Date=Q$2)*(Upload_Indiv_Gross))=0,"",SUMPRODUCT((Upload_Indiv_Player=$A5)*(Upload_Indiv_Date=Q$2)*(Upload_Indiv_Gross)))</f>
        <v>38</v>
      </c>
      <c r="R5" s="2" cm="1">
        <f t="array" ref="R5">IF(SUMPRODUCT((Upload_Indiv_Player=$A5)*(Upload_Indiv_Date=R$2)*(Upload_Indiv_Gross))=0,"",SUMPRODUCT((Upload_Indiv_Player=$A5)*(Upload_Indiv_Date=R$2)*(Upload_Indiv_Gross)))</f>
        <v>52</v>
      </c>
      <c r="S5" s="2" cm="1">
        <f t="array" ref="S5">IF(SUMPRODUCT((Upload_Indiv_Player=$A5)*(Upload_Indiv_Date=S$2)*(Upload_Indiv_Gross))=0,"",SUMPRODUCT((Upload_Indiv_Player=$A5)*(Upload_Indiv_Date=S$2)*(Upload_Indiv_Gross)))</f>
        <v>48</v>
      </c>
      <c r="T5" s="2" cm="1">
        <f t="array" ref="T5">IF(SUMPRODUCT((Upload_Indiv_Player=$A5)*(Upload_Indiv_Date=T$2)*(Upload_Indiv_Gross))=0,"",SUMPRODUCT((Upload_Indiv_Player=$A5)*(Upload_Indiv_Date=T$2)*(Upload_Indiv_Gross)))</f>
        <v>49</v>
      </c>
      <c r="U5" s="2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12</v>
      </c>
      <c r="W5" s="280">
        <v>8</v>
      </c>
      <c r="X5" s="280"/>
      <c r="Y5" s="277">
        <v>0</v>
      </c>
      <c r="Z5" s="277">
        <v>0</v>
      </c>
      <c r="AA5" s="277">
        <v>0</v>
      </c>
    </row>
    <row r="6" spans="1:27" x14ac:dyDescent="0.25">
      <c r="A6" s="304">
        <v>3302241454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42</v>
      </c>
      <c r="D6" s="2" cm="1">
        <f t="array" ref="D6">IF(SUMPRODUCT((Upload_Indiv_Player=$A5)*(Upload_Indiv_Date=D$2)*(Upload_Indiv_Net))=0,"",SUMPRODUCT((Upload_Indiv_Player=$A5)*(Upload_Indiv_Date=D$2)*(Upload_Indiv_Net)))</f>
        <v>38</v>
      </c>
      <c r="E6" s="2" cm="1">
        <f t="array" ref="E6">IF(SUMPRODUCT((Upload_Indiv_Player=$A5)*(Upload_Indiv_Date=E$2)*(Upload_Indiv_Net))=0,"",SUMPRODUCT((Upload_Indiv_Player=$A5)*(Upload_Indiv_Date=E$2)*(Upload_Indiv_Net)))</f>
        <v>48</v>
      </c>
      <c r="F6" s="2" cm="1">
        <f t="array" ref="F6">IF(SUMPRODUCT((Upload_Indiv_Player=$A5)*(Upload_Indiv_Date=F$2)*(Upload_Indiv_Net))=0,"",SUMPRODUCT((Upload_Indiv_Player=$A5)*(Upload_Indiv_Date=F$2)*(Upload_Indiv_Net)))</f>
        <v>49</v>
      </c>
      <c r="G6" s="2" cm="1">
        <f t="array" ref="G6">IF(SUMPRODUCT((Upload_Indiv_Player=$A5)*(Upload_Indiv_Date=G$2)*(Upload_Indiv_Net))=0,"",SUMPRODUCT((Upload_Indiv_Player=$A5)*(Upload_Indiv_Date=G$2)*(Upload_Indiv_Net)))</f>
        <v>49</v>
      </c>
      <c r="H6" s="2" cm="1">
        <f t="array" ref="H6">IF(SUMPRODUCT((Upload_Indiv_Player=$A5)*(Upload_Indiv_Date=H$2)*(Upload_Indiv_Net))=0,"",SUMPRODUCT((Upload_Indiv_Player=$A5)*(Upload_Indiv_Date=H$2)*(Upload_Indiv_Net)))</f>
        <v>43</v>
      </c>
      <c r="I6" s="2" cm="1">
        <f t="array" ref="I6">IF(SUMPRODUCT((Upload_Indiv_Player=$A5)*(Upload_Indiv_Date=I$2)*(Upload_Indiv_Net))=0,"",SUMPRODUCT((Upload_Indiv_Player=$A5)*(Upload_Indiv_Date=I$2)*(Upload_Indiv_Net)))</f>
        <v>41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32</v>
      </c>
      <c r="L6" s="2" t="str" cm="1">
        <f t="array" ref="L6">IF(SUMPRODUCT((Upload_Indiv_Player=$A5)*(Upload_Indiv_Date=L$2)*(Upload_Indiv_Net))=0,"",SUMPRODUCT((Upload_Indiv_Player=$A5)*(Upload_Indiv_Date=L$2)*(Upload_Indiv_Net)))</f>
        <v/>
      </c>
      <c r="M6" s="2" cm="1">
        <f t="array" ref="M6">IF(SUMPRODUCT((Upload_Indiv_Player=$A5)*(Upload_Indiv_Date=M$2)*(Upload_Indiv_Net))=0,"",SUMPRODUCT((Upload_Indiv_Player=$A5)*(Upload_Indiv_Date=M$2)*(Upload_Indiv_Net)))</f>
        <v>33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t="str" cm="1">
        <f t="array" ref="O6">IF(SUMPRODUCT((Upload_Indiv_Player=$A5)*(Upload_Indiv_Date=O$2)*(Upload_Indiv_Net))=0,"",SUMPRODUCT((Upload_Indiv_Player=$A5)*(Upload_Indiv_Date=O$2)*(Upload_Indiv_Net)))</f>
        <v/>
      </c>
      <c r="P6" s="2" cm="1">
        <f t="array" ref="P6">IF(SUMPRODUCT((Upload_Indiv_Player=$A5)*(Upload_Indiv_Date=P$2)*(Upload_Indiv_Net))=0,"",SUMPRODUCT((Upload_Indiv_Player=$A5)*(Upload_Indiv_Date=P$2)*(Upload_Indiv_Net)))</f>
        <v>38</v>
      </c>
      <c r="Q6" s="2" cm="1">
        <f t="array" ref="Q6">IF(SUMPRODUCT((Upload_Indiv_Player=$A5)*(Upload_Indiv_Date=Q$2)*(Upload_Indiv_Net))=0,"",SUMPRODUCT((Upload_Indiv_Player=$A5)*(Upload_Indiv_Date=Q$2)*(Upload_Indiv_Net)))</f>
        <v>22</v>
      </c>
      <c r="R6" s="2" cm="1">
        <f t="array" ref="R6">IF(SUMPRODUCT((Upload_Indiv_Player=$A5)*(Upload_Indiv_Date=R$2)*(Upload_Indiv_Net))=0,"",SUMPRODUCT((Upload_Indiv_Player=$A5)*(Upload_Indiv_Date=R$2)*(Upload_Indiv_Net)))</f>
        <v>36</v>
      </c>
      <c r="S6" s="2" cm="1">
        <f t="array" ref="S6">IF(SUMPRODUCT((Upload_Indiv_Player=$A5)*(Upload_Indiv_Date=S$2)*(Upload_Indiv_Net))=0,"",SUMPRODUCT((Upload_Indiv_Player=$A5)*(Upload_Indiv_Date=S$2)*(Upload_Indiv_Net)))</f>
        <v>33</v>
      </c>
      <c r="T6" s="2" cm="1">
        <f t="array" ref="T6">IF(SUMPRODUCT((Upload_Indiv_Player=$A5)*(Upload_Indiv_Date=T$2)*(Upload_Indiv_Net))=0,"",SUMPRODUCT((Upload_Indiv_Player=$A5)*(Upload_Indiv_Date=T$2)*(Upload_Indiv_Net)))</f>
        <v>35</v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>
        <v>53.33</v>
      </c>
      <c r="W6" s="279"/>
      <c r="X6" s="279"/>
      <c r="Y6" s="277"/>
      <c r="Z6" s="277"/>
      <c r="AA6" s="277"/>
    </row>
    <row r="7" spans="1:27" x14ac:dyDescent="0.25">
      <c r="A7" s="305" t="s">
        <v>297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8</v>
      </c>
      <c r="D7" s="2" cm="1">
        <f t="array" ref="D7">IF(SUMPRODUCT((Upload_Indiv_Player=$A5)*(Upload_Indiv_Date=D$2)*(Upload_Indiv_PointsTot))=0,"",SUMPRODUCT((Upload_Indiv_Player=$A5)*(Upload_Indiv_Date=D$2)*(Upload_Indiv_PointsTot)))</f>
        <v>9</v>
      </c>
      <c r="E7" s="2" cm="1">
        <f t="array" ref="E7">IF(SUMPRODUCT((Upload_Indiv_Player=$A5)*(Upload_Indiv_Date=E$2)*(Upload_Indiv_PointsTot))=0,"",SUMPRODUCT((Upload_Indiv_Player=$A5)*(Upload_Indiv_Date=E$2)*(Upload_Indiv_PointsTot)))</f>
        <v>7</v>
      </c>
      <c r="F7" s="2" cm="1">
        <f t="array" ref="F7">IF(SUMPRODUCT((Upload_Indiv_Player=$A5)*(Upload_Indiv_Date=F$2)*(Upload_Indiv_PointsTot))=0,"",SUMPRODUCT((Upload_Indiv_Player=$A5)*(Upload_Indiv_Date=F$2)*(Upload_Indiv_PointsTot)))</f>
        <v>5</v>
      </c>
      <c r="G7" s="2" cm="1">
        <f t="array" ref="G7">IF(SUMPRODUCT((Upload_Indiv_Player=$A5)*(Upload_Indiv_Date=G$2)*(Upload_Indiv_PointsTot))=0,"",SUMPRODUCT((Upload_Indiv_Player=$A5)*(Upload_Indiv_Date=G$2)*(Upload_Indiv_PointsTot)))</f>
        <v>6</v>
      </c>
      <c r="H7" s="2" cm="1">
        <f t="array" ref="H7">IF(SUMPRODUCT((Upload_Indiv_Player=$A5)*(Upload_Indiv_Date=H$2)*(Upload_Indiv_PointsTot))=0,"",SUMPRODUCT((Upload_Indiv_Player=$A5)*(Upload_Indiv_Date=H$2)*(Upload_Indiv_PointsTot)))</f>
        <v>9</v>
      </c>
      <c r="I7" s="2" cm="1">
        <f t="array" ref="I7">IF(SUMPRODUCT((Upload_Indiv_Player=$A5)*(Upload_Indiv_Date=I$2)*(Upload_Indiv_PointsTot))=0,"",SUMPRODUCT((Upload_Indiv_Player=$A5)*(Upload_Indiv_Date=I$2)*(Upload_Indiv_PointsTot)))</f>
        <v>9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16</v>
      </c>
      <c r="L7" s="2" t="str" cm="1">
        <f t="array" ref="L7">IF(SUMPRODUCT((Upload_Indiv_Player=$A5)*(Upload_Indiv_Date=L$2)*(Upload_Indiv_PointsTot))=0,"",SUMPRODUCT((Upload_Indiv_Player=$A5)*(Upload_Indiv_Date=L$2)*(Upload_Indiv_PointsTot)))</f>
        <v/>
      </c>
      <c r="M7" s="2" cm="1">
        <f t="array" ref="M7">IF(SUMPRODUCT((Upload_Indiv_Player=$A5)*(Upload_Indiv_Date=M$2)*(Upload_Indiv_PointsTot))=0,"",SUMPRODUCT((Upload_Indiv_Player=$A5)*(Upload_Indiv_Date=M$2)*(Upload_Indiv_PointsTot)))</f>
        <v>7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t="str" cm="1">
        <f t="array" ref="O7">IF(SUMPRODUCT((Upload_Indiv_Player=$A5)*(Upload_Indiv_Date=O$2)*(Upload_Indiv_PointsTot))=0,"",SUMPRODUCT((Upload_Indiv_Player=$A5)*(Upload_Indiv_Date=O$2)*(Upload_Indiv_PointsTot)))</f>
        <v/>
      </c>
      <c r="P7" s="2" cm="1">
        <f t="array" ref="P7">IF(SUMPRODUCT((Upload_Indiv_Player=$A5)*(Upload_Indiv_Date=P$2)*(Upload_Indiv_PointsTot))=0,"",SUMPRODUCT((Upload_Indiv_Player=$A5)*(Upload_Indiv_Date=P$2)*(Upload_Indiv_PointsTot)))</f>
        <v>9</v>
      </c>
      <c r="Q7" s="2" cm="1">
        <f t="array" ref="Q7">IF(SUMPRODUCT((Upload_Indiv_Player=$A5)*(Upload_Indiv_Date=Q$2)*(Upload_Indiv_PointsTot))=0,"",SUMPRODUCT((Upload_Indiv_Player=$A5)*(Upload_Indiv_Date=Q$2)*(Upload_Indiv_PointsTot)))</f>
        <v>12</v>
      </c>
      <c r="R7" s="2" cm="1">
        <f t="array" ref="R7">IF(SUMPRODUCT((Upload_Indiv_Player=$A5)*(Upload_Indiv_Date=R$2)*(Upload_Indiv_PointsTot))=0,"",SUMPRODUCT((Upload_Indiv_Player=$A5)*(Upload_Indiv_Date=R$2)*(Upload_Indiv_PointsTot)))</f>
        <v>14</v>
      </c>
      <c r="S7" s="2" cm="1">
        <f t="array" ref="S7">IF(SUMPRODUCT((Upload_Indiv_Player=$A5)*(Upload_Indiv_Date=S$2)*(Upload_Indiv_PointsTot))=0,"",SUMPRODUCT((Upload_Indiv_Player=$A5)*(Upload_Indiv_Date=S$2)*(Upload_Indiv_PointsTot)))</f>
        <v>14</v>
      </c>
      <c r="T7" s="2" cm="1">
        <f t="array" ref="T7">IF(SUMPRODUCT((Upload_Indiv_Player=$A5)*(Upload_Indiv_Date=T$2)*(Upload_Indiv_PointsTot))=0,"",SUMPRODUCT((Upload_Indiv_Player=$A5)*(Upload_Indiv_Date=T$2)*(Upload_Indiv_PointsTot)))</f>
        <v>12</v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9"/>
      <c r="W7" s="279"/>
      <c r="X7" s="279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9"/>
      <c r="W8" s="279"/>
      <c r="X8" s="279"/>
      <c r="Y8" s="277"/>
      <c r="Z8" s="277"/>
      <c r="AA8" s="277"/>
    </row>
    <row r="9" spans="1:27" x14ac:dyDescent="0.25">
      <c r="A9" s="306"/>
      <c r="B9" s="8" t="s">
        <v>175</v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9"/>
      <c r="W9" s="279"/>
      <c r="X9" s="279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cm="1">
        <f t="array" ref="Q10">IF(SUMPRODUCT((Upload_Indiv_Player=$A5)*(Upload_Indiv_Date=Q$2)*(Upload_Indiv_Excl_Score))=0,"",SUMPRODUCT((Upload_Indiv_Player=$A5)*(Upload_Indiv_Date=Q$2)*(Upload_Indiv_Excl_Score)))</f>
        <v>1</v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cm="1">
        <f t="array" ref="T10">IF(SUMPRODUCT((Upload_Indiv_Player=$A5)*(Upload_Indiv_Date=T$2)*(Upload_Indiv_Excl_Score))=0,"",SUMPRODUCT((Upload_Indiv_Player=$A5)*(Upload_Indiv_Date=T$2)*(Upload_Indiv_Excl_Score)))</f>
        <v>1</v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9"/>
      <c r="W10" s="279"/>
      <c r="X10" s="279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l</v>
      </c>
      <c r="D11" s="58" t="str">
        <f t="shared" ref="D11:S11" si="1">IF(D5="", "", IF(D7&gt;=11, "w", IF(D7&lt;=9, "l", "t")))</f>
        <v>l</v>
      </c>
      <c r="E11" s="58" t="str">
        <f t="shared" si="1"/>
        <v>l</v>
      </c>
      <c r="F11" s="58" t="str">
        <f t="shared" si="1"/>
        <v>l</v>
      </c>
      <c r="G11" s="58" t="str">
        <f t="shared" si="1"/>
        <v>l</v>
      </c>
      <c r="H11" s="58" t="str">
        <f t="shared" si="1"/>
        <v>l</v>
      </c>
      <c r="I11" s="58" t="str">
        <f t="shared" si="1"/>
        <v>l</v>
      </c>
      <c r="J11" s="58" t="str">
        <f t="shared" si="1"/>
        <v/>
      </c>
      <c r="K11" s="58" t="str">
        <f t="shared" si="1"/>
        <v>w</v>
      </c>
      <c r="L11" s="58" t="str">
        <f t="shared" si="1"/>
        <v/>
      </c>
      <c r="M11" s="58" t="str">
        <f t="shared" si="1"/>
        <v>l</v>
      </c>
      <c r="N11" s="58" t="str">
        <f t="shared" si="1"/>
        <v/>
      </c>
      <c r="O11" s="58" t="str">
        <f t="shared" si="1"/>
        <v/>
      </c>
      <c r="P11" s="58" t="str">
        <f t="shared" si="1"/>
        <v>l</v>
      </c>
      <c r="Q11" s="58" t="str">
        <f t="shared" si="1"/>
        <v>w</v>
      </c>
      <c r="R11" s="58" t="str">
        <f t="shared" si="1"/>
        <v>w</v>
      </c>
      <c r="S11" s="58" t="str">
        <f t="shared" si="1"/>
        <v>w</v>
      </c>
      <c r="T11" s="58" t="str">
        <f>IF(T5="", "", IF(T7&gt;=11, "w", IF(T7&lt;=9, "l", "t")))</f>
        <v>w</v>
      </c>
      <c r="U11" s="58" t="str">
        <f>IF(U5="", "", IF(U7&gt;=11, "w", IF(U7&lt;=9, "l", "t")))</f>
        <v/>
      </c>
      <c r="V11" s="279"/>
      <c r="W11" s="279"/>
      <c r="X11" s="279"/>
      <c r="Y11" s="277"/>
      <c r="Z11" s="277"/>
      <c r="AA11" s="277"/>
    </row>
    <row r="12" spans="1:27" x14ac:dyDescent="0.25">
      <c r="A12" s="354" t="s">
        <v>298</v>
      </c>
      <c r="B12" s="17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58</v>
      </c>
      <c r="D12" s="3" cm="1">
        <f t="array" ref="D12">IF(SUMPRODUCT((Upload_Indiv_Player=$A12)*(Upload_Indiv_Date=D$2)*(Upload_Indiv_Gross))=0,"",SUMPRODUCT((Upload_Indiv_Player=$A12)*(Upload_Indiv_Date=D$2)*(Upload_Indiv_Gross)))</f>
        <v>55</v>
      </c>
      <c r="E12" s="3" t="str" cm="1">
        <f t="array" ref="E12">IF(SUMPRODUCT((Upload_Indiv_Player=$A12)*(Upload_Indiv_Date=E$2)*(Upload_Indiv_Gross))=0,"",SUMPRODUCT((Upload_Indiv_Player=$A12)*(Upload_Indiv_Date=E$2)*(Upload_Indiv_Gross)))</f>
        <v/>
      </c>
      <c r="F12" s="3" t="str" cm="1">
        <f t="array" ref="F12">IF(SUMPRODUCT((Upload_Indiv_Player=$A12)*(Upload_Indiv_Date=F$2)*(Upload_Indiv_Gross))=0,"",SUMPRODUCT((Upload_Indiv_Player=$A12)*(Upload_Indiv_Date=F$2)*(Upload_Indiv_Gross)))</f>
        <v/>
      </c>
      <c r="G12" s="3" cm="1">
        <f t="array" ref="G12">IF(SUMPRODUCT((Upload_Indiv_Player=$A12)*(Upload_Indiv_Date=G$2)*(Upload_Indiv_Gross))=0,"",SUMPRODUCT((Upload_Indiv_Player=$A12)*(Upload_Indiv_Date=G$2)*(Upload_Indiv_Gross)))</f>
        <v>47</v>
      </c>
      <c r="H12" s="3" cm="1">
        <f t="array" ref="H12">IF(SUMPRODUCT((Upload_Indiv_Player=$A12)*(Upload_Indiv_Date=H$2)*(Upload_Indiv_Gross))=0,"",SUMPRODUCT((Upload_Indiv_Player=$A12)*(Upload_Indiv_Date=H$2)*(Upload_Indiv_Gross)))</f>
        <v>55</v>
      </c>
      <c r="I12" s="3" cm="1">
        <f t="array" ref="I12">IF(SUMPRODUCT((Upload_Indiv_Player=$A12)*(Upload_Indiv_Date=I$2)*(Upload_Indiv_Gross))=0,"",SUMPRODUCT((Upload_Indiv_Player=$A12)*(Upload_Indiv_Date=I$2)*(Upload_Indiv_Gross)))</f>
        <v>45</v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46</v>
      </c>
      <c r="L12" s="3" t="str" cm="1">
        <f t="array" ref="L12">IF(SUMPRODUCT((Upload_Indiv_Player=$A12)*(Upload_Indiv_Date=L$2)*(Upload_Indiv_Gross))=0,"",SUMPRODUCT((Upload_Indiv_Player=$A12)*(Upload_Indiv_Date=L$2)*(Upload_Indiv_Gross)))</f>
        <v/>
      </c>
      <c r="M12" s="3" t="str" cm="1">
        <f t="array" ref="M12">IF(SUMPRODUCT((Upload_Indiv_Player=$A12)*(Upload_Indiv_Date=M$2)*(Upload_Indiv_Gross))=0,"",SUMPRODUCT((Upload_Indiv_Player=$A12)*(Upload_Indiv_Date=M$2)*(Upload_Indiv_Gross)))</f>
        <v/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48</v>
      </c>
      <c r="P12" s="2" cm="1">
        <f t="array" ref="P12">IF(SUMPRODUCT((Upload_Indiv_Player=$A12)*(Upload_Indiv_Date=P$2)*(Upload_Indiv_Gross))=0,"",SUMPRODUCT((Upload_Indiv_Player=$A12)*(Upload_Indiv_Date=P$2)*(Upload_Indiv_Gross)))</f>
        <v>48</v>
      </c>
      <c r="Q12" s="2" cm="1">
        <f t="array" ref="Q12">IF(SUMPRODUCT((Upload_Indiv_Player=$A12)*(Upload_Indiv_Date=Q$2)*(Upload_Indiv_Gross))=0,"",SUMPRODUCT((Upload_Indiv_Player=$A12)*(Upload_Indiv_Date=Q$2)*(Upload_Indiv_Gross)))</f>
        <v>43</v>
      </c>
      <c r="R12" s="2" cm="1">
        <f t="array" ref="R12">IF(SUMPRODUCT((Upload_Indiv_Player=$A12)*(Upload_Indiv_Date=R$2)*(Upload_Indiv_Gross))=0,"",SUMPRODUCT((Upload_Indiv_Player=$A12)*(Upload_Indiv_Date=R$2)*(Upload_Indiv_Gross)))</f>
        <v>49</v>
      </c>
      <c r="S12" s="2" cm="1">
        <f t="array" ref="S12">IF(SUMPRODUCT((Upload_Indiv_Player=$A12)*(Upload_Indiv_Date=S$2)*(Upload_Indiv_Gross))=0,"",SUMPRODUCT((Upload_Indiv_Player=$A12)*(Upload_Indiv_Date=S$2)*(Upload_Indiv_Gross)))</f>
        <v>46</v>
      </c>
      <c r="T12" s="2" cm="1">
        <f t="array" ref="T12">IF(SUMPRODUCT((Upload_Indiv_Player=$A12)*(Upload_Indiv_Date=T$2)*(Upload_Indiv_Gross))=0,"",SUMPRODUCT((Upload_Indiv_Player=$A12)*(Upload_Indiv_Date=T$2)*(Upload_Indiv_Gross)))</f>
        <v>46</v>
      </c>
      <c r="U12" s="2" t="str" cm="1">
        <f t="array" ref="U12">IF(SUMPRODUCT((Upload_Indiv_Player=$A12)*(Upload_Indiv_Date=U$2)*(Upload_Indiv_Gross))=0,"",SUMPRODUCT((Upload_Indiv_Player=$A12)*(Upload_Indiv_Date=U$2)*(Upload_Indiv_Gross)))</f>
        <v/>
      </c>
      <c r="V12" s="273">
        <v>13</v>
      </c>
      <c r="W12" s="273">
        <v>0</v>
      </c>
      <c r="X12" s="273">
        <v>0</v>
      </c>
      <c r="Y12" s="277">
        <v>0</v>
      </c>
      <c r="Z12" s="277">
        <v>0</v>
      </c>
      <c r="AA12" s="277">
        <v>0</v>
      </c>
    </row>
    <row r="13" spans="1:27" x14ac:dyDescent="0.25">
      <c r="A13" s="309">
        <v>3307867007</v>
      </c>
      <c r="B13" s="8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51</v>
      </c>
      <c r="D13" s="2" cm="1">
        <f t="array" ref="D13">IF(SUMPRODUCT((Upload_Indiv_Player=$A12)*(Upload_Indiv_Date=D$2)*(Upload_Indiv_Net))=0,"",SUMPRODUCT((Upload_Indiv_Player=$A12)*(Upload_Indiv_Date=D$2)*(Upload_Indiv_Net)))</f>
        <v>48</v>
      </c>
      <c r="E13" s="2" t="str" cm="1">
        <f t="array" ref="E13">IF(SUMPRODUCT((Upload_Indiv_Player=$A12)*(Upload_Indiv_Date=E$2)*(Upload_Indiv_Net))=0,"",SUMPRODUCT((Upload_Indiv_Player=$A12)*(Upload_Indiv_Date=E$2)*(Upload_Indiv_Net)))</f>
        <v/>
      </c>
      <c r="F13" s="2" t="str" cm="1">
        <f t="array" ref="F13">IF(SUMPRODUCT((Upload_Indiv_Player=$A12)*(Upload_Indiv_Date=F$2)*(Upload_Indiv_Net))=0,"",SUMPRODUCT((Upload_Indiv_Player=$A12)*(Upload_Indiv_Date=F$2)*(Upload_Indiv_Net)))</f>
        <v/>
      </c>
      <c r="G13" s="2" cm="1">
        <f t="array" ref="G13">IF(SUMPRODUCT((Upload_Indiv_Player=$A12)*(Upload_Indiv_Date=G$2)*(Upload_Indiv_Net))=0,"",SUMPRODUCT((Upload_Indiv_Player=$A12)*(Upload_Indiv_Date=G$2)*(Upload_Indiv_Net)))</f>
        <v>40</v>
      </c>
      <c r="H13" s="2" cm="1">
        <f t="array" ref="H13">IF(SUMPRODUCT((Upload_Indiv_Player=$A12)*(Upload_Indiv_Date=H$2)*(Upload_Indiv_Net))=0,"",SUMPRODUCT((Upload_Indiv_Player=$A12)*(Upload_Indiv_Date=H$2)*(Upload_Indiv_Net)))</f>
        <v>48</v>
      </c>
      <c r="I13" s="2" cm="1">
        <f t="array" ref="I13">IF(SUMPRODUCT((Upload_Indiv_Player=$A12)*(Upload_Indiv_Date=I$2)*(Upload_Indiv_Net))=0,"",SUMPRODUCT((Upload_Indiv_Player=$A12)*(Upload_Indiv_Date=I$2)*(Upload_Indiv_Net)))</f>
        <v>38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38</v>
      </c>
      <c r="L13" s="2" t="str" cm="1">
        <f t="array" ref="L13">IF(SUMPRODUCT((Upload_Indiv_Player=$A12)*(Upload_Indiv_Date=L$2)*(Upload_Indiv_Net))=0,"",SUMPRODUCT((Upload_Indiv_Player=$A12)*(Upload_Indiv_Date=L$2)*(Upload_Indiv_Net)))</f>
        <v/>
      </c>
      <c r="M13" s="2" t="str" cm="1">
        <f t="array" ref="M13">IF(SUMPRODUCT((Upload_Indiv_Player=$A12)*(Upload_Indiv_Date=M$2)*(Upload_Indiv_Net))=0,"",SUMPRODUCT((Upload_Indiv_Player=$A12)*(Upload_Indiv_Date=M$2)*(Upload_Indiv_Net)))</f>
        <v/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39</v>
      </c>
      <c r="P13" s="2" cm="1">
        <f t="array" ref="P13">IF(SUMPRODUCT((Upload_Indiv_Player=$A12)*(Upload_Indiv_Date=P$2)*(Upload_Indiv_Net))=0,"",SUMPRODUCT((Upload_Indiv_Player=$A12)*(Upload_Indiv_Date=P$2)*(Upload_Indiv_Net)))</f>
        <v>39</v>
      </c>
      <c r="Q13" s="2" cm="1">
        <f t="array" ref="Q13">IF(SUMPRODUCT((Upload_Indiv_Player=$A12)*(Upload_Indiv_Date=Q$2)*(Upload_Indiv_Net))=0,"",SUMPRODUCT((Upload_Indiv_Player=$A12)*(Upload_Indiv_Date=Q$2)*(Upload_Indiv_Net)))</f>
        <v>34</v>
      </c>
      <c r="R13" s="2" cm="1">
        <f t="array" ref="R13">IF(SUMPRODUCT((Upload_Indiv_Player=$A12)*(Upload_Indiv_Date=R$2)*(Upload_Indiv_Net))=0,"",SUMPRODUCT((Upload_Indiv_Player=$A12)*(Upload_Indiv_Date=R$2)*(Upload_Indiv_Net)))</f>
        <v>41</v>
      </c>
      <c r="S13" s="2" cm="1">
        <f t="array" ref="S13">IF(SUMPRODUCT((Upload_Indiv_Player=$A12)*(Upload_Indiv_Date=S$2)*(Upload_Indiv_Net))=0,"",SUMPRODUCT((Upload_Indiv_Player=$A12)*(Upload_Indiv_Date=S$2)*(Upload_Indiv_Net)))</f>
        <v>37</v>
      </c>
      <c r="T13" s="2" cm="1">
        <f t="array" ref="T13">IF(SUMPRODUCT((Upload_Indiv_Player=$A12)*(Upload_Indiv_Date=T$2)*(Upload_Indiv_Net))=0,"",SUMPRODUCT((Upload_Indiv_Player=$A12)*(Upload_Indiv_Date=T$2)*(Upload_Indiv_Net)))</f>
        <v>37</v>
      </c>
      <c r="U13" s="2" t="str" cm="1">
        <f t="array" ref="U13">IF(SUMPRODUCT((Upload_Indiv_Player=$A12)*(Upload_Indiv_Date=U$2)*(Upload_Indiv_Net))=0,"",SUMPRODUCT((Upload_Indiv_Player=$A12)*(Upload_Indiv_Date=U$2)*(Upload_Indiv_Net)))</f>
        <v/>
      </c>
      <c r="V13" s="279">
        <v>48.54</v>
      </c>
      <c r="W13" s="276"/>
      <c r="X13" s="276"/>
      <c r="Y13" s="279"/>
      <c r="Z13" s="277"/>
      <c r="AA13" s="277"/>
    </row>
    <row r="14" spans="1:27" x14ac:dyDescent="0.25">
      <c r="A14" s="305" t="s">
        <v>299</v>
      </c>
      <c r="B14" s="8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8</v>
      </c>
      <c r="D14" s="2" cm="1">
        <f t="array" ref="D14">IF(SUMPRODUCT((Upload_Indiv_Player=$A12)*(Upload_Indiv_Date=D$2)*(Upload_Indiv_PointsTot))=0,"",SUMPRODUCT((Upload_Indiv_Player=$A12)*(Upload_Indiv_Date=D$2)*(Upload_Indiv_PointsTot)))</f>
        <v>5</v>
      </c>
      <c r="E14" s="2" t="str" cm="1">
        <f t="array" ref="E14">IF(SUMPRODUCT((Upload_Indiv_Player=$A12)*(Upload_Indiv_Date=E$2)*(Upload_Indiv_PointsTot))=0,"",SUMPRODUCT((Upload_Indiv_Player=$A12)*(Upload_Indiv_Date=E$2)*(Upload_Indiv_PointsTot)))</f>
        <v/>
      </c>
      <c r="F14" s="2" t="str" cm="1">
        <f t="array" ref="F14">IF(SUMPRODUCT((Upload_Indiv_Player=$A12)*(Upload_Indiv_Date=F$2)*(Upload_Indiv_PointsTot))=0,"",SUMPRODUCT((Upload_Indiv_Player=$A12)*(Upload_Indiv_Date=F$2)*(Upload_Indiv_PointsTot)))</f>
        <v/>
      </c>
      <c r="G14" s="2" cm="1">
        <f t="array" ref="G14">IF(SUMPRODUCT((Upload_Indiv_Player=$A12)*(Upload_Indiv_Date=G$2)*(Upload_Indiv_PointsTot))=0,"",SUMPRODUCT((Upload_Indiv_Player=$A12)*(Upload_Indiv_Date=G$2)*(Upload_Indiv_PointsTot)))</f>
        <v>6</v>
      </c>
      <c r="H14" s="2" cm="1">
        <f t="array" ref="H14">IF(SUMPRODUCT((Upload_Indiv_Player=$A12)*(Upload_Indiv_Date=H$2)*(Upload_Indiv_PointsTot))=0,"",SUMPRODUCT((Upload_Indiv_Player=$A12)*(Upload_Indiv_Date=H$2)*(Upload_Indiv_PointsTot)))</f>
        <v>5</v>
      </c>
      <c r="I14" s="2" cm="1">
        <f t="array" ref="I14">IF(SUMPRODUCT((Upload_Indiv_Player=$A12)*(Upload_Indiv_Date=I$2)*(Upload_Indiv_PointsTot))=0,"",SUMPRODUCT((Upload_Indiv_Player=$A12)*(Upload_Indiv_Date=I$2)*(Upload_Indiv_PointsTot)))</f>
        <v>8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10</v>
      </c>
      <c r="L14" s="2" t="str" cm="1">
        <f t="array" ref="L14">IF(SUMPRODUCT((Upload_Indiv_Player=$A12)*(Upload_Indiv_Date=L$2)*(Upload_Indiv_PointsTot))=0,"",SUMPRODUCT((Upload_Indiv_Player=$A12)*(Upload_Indiv_Date=L$2)*(Upload_Indiv_PointsTot)))</f>
        <v/>
      </c>
      <c r="M14" s="2" t="str" cm="1">
        <f t="array" ref="M14">IF(SUMPRODUCT((Upload_Indiv_Player=$A12)*(Upload_Indiv_Date=M$2)*(Upload_Indiv_PointsTot))=0,"",SUMPRODUCT((Upload_Indiv_Player=$A12)*(Upload_Indiv_Date=M$2)*(Upload_Indiv_PointsTot)))</f>
        <v/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8</v>
      </c>
      <c r="P14" s="2" cm="1">
        <f t="array" ref="P14">IF(SUMPRODUCT((Upload_Indiv_Player=$A12)*(Upload_Indiv_Date=P$2)*(Upload_Indiv_PointsTot))=0,"",SUMPRODUCT((Upload_Indiv_Player=$A12)*(Upload_Indiv_Date=P$2)*(Upload_Indiv_PointsTot)))</f>
        <v>7</v>
      </c>
      <c r="Q14" s="2" cm="1">
        <f t="array" ref="Q14">IF(SUMPRODUCT((Upload_Indiv_Player=$A12)*(Upload_Indiv_Date=Q$2)*(Upload_Indiv_PointsTot))=0,"",SUMPRODUCT((Upload_Indiv_Player=$A12)*(Upload_Indiv_Date=Q$2)*(Upload_Indiv_PointsTot)))</f>
        <v>16</v>
      </c>
      <c r="R14" s="2" cm="1">
        <f t="array" ref="R14">IF(SUMPRODUCT((Upload_Indiv_Player=$A12)*(Upload_Indiv_Date=R$2)*(Upload_Indiv_PointsTot))=0,"",SUMPRODUCT((Upload_Indiv_Player=$A12)*(Upload_Indiv_Date=R$2)*(Upload_Indiv_PointsTot)))</f>
        <v>12</v>
      </c>
      <c r="S14" s="2" cm="1">
        <f t="array" ref="S14">IF(SUMPRODUCT((Upload_Indiv_Player=$A12)*(Upload_Indiv_Date=S$2)*(Upload_Indiv_PointsTot))=0,"",SUMPRODUCT((Upload_Indiv_Player=$A12)*(Upload_Indiv_Date=S$2)*(Upload_Indiv_PointsTot)))</f>
        <v>12</v>
      </c>
      <c r="T14" s="2" cm="1">
        <f t="array" ref="T14">IF(SUMPRODUCT((Upload_Indiv_Player=$A12)*(Upload_Indiv_Date=T$2)*(Upload_Indiv_PointsTot))=0,"",SUMPRODUCT((Upload_Indiv_Player=$A12)*(Upload_Indiv_Date=T$2)*(Upload_Indiv_PointsTot)))</f>
        <v>12</v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8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t="str" cm="1">
        <f t="array" ref="Q17">IF(SUMPRODUCT((Upload_Indiv_Player=$A12)*(Upload_Indiv_Date=Q$2)*(Upload_Indiv_Excl_Score))=0,"",SUMPRODUCT((Upload_Indiv_Player=$A12)*(Upload_Indiv_Date=Q$2)*(Upload_Indiv_Excl_Score)))</f>
        <v/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9"/>
      <c r="B18" s="8" t="s">
        <v>178</v>
      </c>
      <c r="C18" s="58" t="str">
        <f>IF(C12="", "", IF(C14&gt;=11, "w", IF(C14&lt;=9, "l", "t")))</f>
        <v>l</v>
      </c>
      <c r="D18" s="58" t="str">
        <f t="shared" ref="D18:S18" si="2">IF(D12="", "", IF(D14&gt;=11, "w", IF(D14&lt;=9, "l", "t")))</f>
        <v>l</v>
      </c>
      <c r="E18" s="58" t="str">
        <f t="shared" si="2"/>
        <v/>
      </c>
      <c r="F18" s="58" t="str">
        <f t="shared" si="2"/>
        <v/>
      </c>
      <c r="G18" s="58" t="str">
        <f t="shared" si="2"/>
        <v>l</v>
      </c>
      <c r="H18" s="58" t="str">
        <f t="shared" si="2"/>
        <v>l</v>
      </c>
      <c r="I18" s="58" t="str">
        <f t="shared" si="2"/>
        <v>l</v>
      </c>
      <c r="J18" s="58" t="str">
        <f t="shared" si="2"/>
        <v/>
      </c>
      <c r="K18" s="58" t="str">
        <f t="shared" si="2"/>
        <v>t</v>
      </c>
      <c r="L18" s="58" t="str">
        <f t="shared" si="2"/>
        <v/>
      </c>
      <c r="M18" s="58" t="str">
        <f t="shared" si="2"/>
        <v/>
      </c>
      <c r="N18" s="58" t="str">
        <f t="shared" si="2"/>
        <v/>
      </c>
      <c r="O18" s="58" t="str">
        <f t="shared" si="2"/>
        <v>l</v>
      </c>
      <c r="P18" s="58" t="str">
        <f t="shared" si="2"/>
        <v>l</v>
      </c>
      <c r="Q18" s="58" t="str">
        <f t="shared" si="2"/>
        <v>w</v>
      </c>
      <c r="R18" s="58" t="str">
        <f t="shared" si="2"/>
        <v>w</v>
      </c>
      <c r="S18" s="58" t="str">
        <f t="shared" si="2"/>
        <v>w</v>
      </c>
      <c r="T18" s="58" t="str">
        <f>IF(T12="", "", IF(T14&gt;=11, "w", IF(T14&lt;=9, "l", "t")))</f>
        <v>w</v>
      </c>
      <c r="U18" s="58" t="str">
        <f>IF(U12="", "", IF(U14&gt;=11, "w", IF(U14&lt;=9, "l", "t")))</f>
        <v/>
      </c>
      <c r="V18" s="276"/>
      <c r="W18" s="276"/>
      <c r="X18" s="276"/>
      <c r="Y18" s="277"/>
      <c r="Z18" s="277"/>
      <c r="AA18" s="277"/>
    </row>
    <row r="19" spans="1:27" x14ac:dyDescent="0.25">
      <c r="A19" s="354" t="s">
        <v>300</v>
      </c>
      <c r="B19" s="3" t="s">
        <v>170</v>
      </c>
      <c r="C19" s="3" cm="1">
        <f t="array" ref="C19">IF(SUMPRODUCT((Upload_Indiv_Player=$A19)*(Upload_Indiv_Date=C$2)*(Upload_Indiv_Gross))=0,"",SUMPRODUCT((Upload_Indiv_Player=$A19)*(Upload_Indiv_Date=C$2)*(Upload_Indiv_Gross)))</f>
        <v>55</v>
      </c>
      <c r="D19" s="3" cm="1">
        <f t="array" ref="D19">IF(SUMPRODUCT((Upload_Indiv_Player=$A19)*(Upload_Indiv_Date=D$2)*(Upload_Indiv_Gross))=0,"",SUMPRODUCT((Upload_Indiv_Player=$A19)*(Upload_Indiv_Date=D$2)*(Upload_Indiv_Gross)))</f>
        <v>50</v>
      </c>
      <c r="E19" s="3" cm="1">
        <f t="array" ref="E19">IF(SUMPRODUCT((Upload_Indiv_Player=$A19)*(Upload_Indiv_Date=E$2)*(Upload_Indiv_Gross))=0,"",SUMPRODUCT((Upload_Indiv_Player=$A19)*(Upload_Indiv_Date=E$2)*(Upload_Indiv_Gross)))</f>
        <v>53</v>
      </c>
      <c r="F19" s="3" cm="1">
        <f t="array" ref="F19">IF(SUMPRODUCT((Upload_Indiv_Player=$A19)*(Upload_Indiv_Date=F$2)*(Upload_Indiv_Gross))=0,"",SUMPRODUCT((Upload_Indiv_Player=$A19)*(Upload_Indiv_Date=F$2)*(Upload_Indiv_Gross)))</f>
        <v>47</v>
      </c>
      <c r="G19" s="3" cm="1">
        <f t="array" ref="G19">IF(SUMPRODUCT((Upload_Indiv_Player=$A19)*(Upload_Indiv_Date=G$2)*(Upload_Indiv_Gross))=0,"",SUMPRODUCT((Upload_Indiv_Player=$A19)*(Upload_Indiv_Date=G$2)*(Upload_Indiv_Gross)))</f>
        <v>48</v>
      </c>
      <c r="H19" s="3" t="str" cm="1">
        <f t="array" ref="H19">IF(SUMPRODUCT((Upload_Indiv_Player=$A19)*(Upload_Indiv_Date=H$2)*(Upload_Indiv_Gross))=0,"",SUMPRODUCT((Upload_Indiv_Player=$A19)*(Upload_Indiv_Date=H$2)*(Upload_Indiv_Gross)))</f>
        <v/>
      </c>
      <c r="I19" s="3" t="str" cm="1">
        <f t="array" ref="I19">IF(SUMPRODUCT((Upload_Indiv_Player=$A19)*(Upload_Indiv_Date=I$2)*(Upload_Indiv_Gross))=0,"",SUMPRODUCT((Upload_Indiv_Player=$A19)*(Upload_Indiv_Date=I$2)*(Upload_Indiv_Gross)))</f>
        <v/>
      </c>
      <c r="J19" s="3" t="str" cm="1">
        <f t="array" ref="J19">IF(SUMPRODUCT((Upload_Indiv_Player=$A19)*(Upload_Indiv_Date=J$2)*(Upload_Indiv_Gross))=0,"",SUMPRODUCT((Upload_Indiv_Player=$A19)*(Upload_Indiv_Date=J$2)*(Upload_Indiv_Gross)))</f>
        <v/>
      </c>
      <c r="K19" s="3" cm="1">
        <f t="array" ref="K19">IF(SUMPRODUCT((Upload_Indiv_Player=$A19)*(Upload_Indiv_Date=K$2)*(Upload_Indiv_Gross))=0,"",SUMPRODUCT((Upload_Indiv_Player=$A19)*(Upload_Indiv_Date=K$2)*(Upload_Indiv_Gross)))</f>
        <v>54</v>
      </c>
      <c r="L19" s="3" cm="1">
        <f t="array" ref="L19">IF(SUMPRODUCT((Upload_Indiv_Player=$A19)*(Upload_Indiv_Date=L$2)*(Upload_Indiv_Gross))=0,"",SUMPRODUCT((Upload_Indiv_Player=$A19)*(Upload_Indiv_Date=L$2)*(Upload_Indiv_Gross)))</f>
        <v>48</v>
      </c>
      <c r="M19" s="3" t="str" cm="1">
        <f t="array" ref="M19">IF(SUMPRODUCT((Upload_Indiv_Player=$A19)*(Upload_Indiv_Date=M$2)*(Upload_Indiv_Gross))=0,"",SUMPRODUCT((Upload_Indiv_Player=$A19)*(Upload_Indiv_Date=M$2)*(Upload_Indiv_Gross)))</f>
        <v/>
      </c>
      <c r="N19" s="3" t="str" cm="1">
        <f t="array" ref="N19">IF(SUMPRODUCT((Upload_Indiv_Player=$A19)*(Upload_Indiv_Date=N$2)*(Upload_Indiv_Gross))=0,"",SUMPRODUCT((Upload_Indiv_Player=$A19)*(Upload_Indiv_Date=N$2)*(Upload_Indiv_Gross)))</f>
        <v/>
      </c>
      <c r="O19" s="3" cm="1">
        <f t="array" ref="O19">IF(SUMPRODUCT((Upload_Indiv_Player=$A19)*(Upload_Indiv_Date=O$2)*(Upload_Indiv_Gross))=0,"",SUMPRODUCT((Upload_Indiv_Player=$A19)*(Upload_Indiv_Date=O$2)*(Upload_Indiv_Gross)))</f>
        <v>48</v>
      </c>
      <c r="P19" s="3" cm="1">
        <f t="array" ref="P19">IF(SUMPRODUCT((Upload_Indiv_Player=$A19)*(Upload_Indiv_Date=P$2)*(Upload_Indiv_Gross))=0,"",SUMPRODUCT((Upload_Indiv_Player=$A19)*(Upload_Indiv_Date=P$2)*(Upload_Indiv_Gross)))</f>
        <v>44</v>
      </c>
      <c r="Q19" s="2" cm="1">
        <f t="array" ref="Q19">IF(SUMPRODUCT((Upload_Indiv_Player=$A19)*(Upload_Indiv_Date=Q$2)*(Upload_Indiv_Gross))=0,"",SUMPRODUCT((Upload_Indiv_Player=$A19)*(Upload_Indiv_Date=Q$2)*(Upload_Indiv_Gross)))</f>
        <v>48</v>
      </c>
      <c r="R19" s="2" cm="1">
        <f t="array" ref="R19">IF(SUMPRODUCT((Upload_Indiv_Player=$A19)*(Upload_Indiv_Date=R$2)*(Upload_Indiv_Gross))=0,"",SUMPRODUCT((Upload_Indiv_Player=$A19)*(Upload_Indiv_Date=R$2)*(Upload_Indiv_Gross)))</f>
        <v>49</v>
      </c>
      <c r="S19" s="2" cm="1">
        <f t="array" ref="S19">IF(SUMPRODUCT((Upload_Indiv_Player=$A19)*(Upload_Indiv_Date=S$2)*(Upload_Indiv_Gross))=0,"",SUMPRODUCT((Upload_Indiv_Player=$A19)*(Upload_Indiv_Date=S$2)*(Upload_Indiv_Gross)))</f>
        <v>45</v>
      </c>
      <c r="T19" s="2" cm="1">
        <f t="array" ref="T19">IF(SUMPRODUCT((Upload_Indiv_Player=$A19)*(Upload_Indiv_Date=T$2)*(Upload_Indiv_Gross))=0,"",SUMPRODUCT((Upload_Indiv_Player=$A19)*(Upload_Indiv_Date=T$2)*(Upload_Indiv_Gross)))</f>
        <v>48</v>
      </c>
      <c r="U19" s="2" t="str" cm="1">
        <f t="array" ref="U19">IF(SUMPRODUCT((Upload_Indiv_Player=$A19)*(Upload_Indiv_Date=U$2)*(Upload_Indiv_Gross))=0,"",SUMPRODUCT((Upload_Indiv_Player=$A19)*(Upload_Indiv_Date=U$2)*(Upload_Indiv_Gross)))</f>
        <v/>
      </c>
      <c r="V19" s="273">
        <v>13</v>
      </c>
      <c r="W19" s="273">
        <v>10</v>
      </c>
      <c r="X19" s="273">
        <v>10</v>
      </c>
      <c r="Y19" s="277">
        <v>14</v>
      </c>
      <c r="Z19" s="277">
        <v>11</v>
      </c>
      <c r="AA19" s="277">
        <v>15</v>
      </c>
    </row>
    <row r="20" spans="1:27" x14ac:dyDescent="0.25">
      <c r="A20" s="304">
        <v>3308334244</v>
      </c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46</v>
      </c>
      <c r="D20" s="2" cm="1">
        <f t="array" ref="D20">IF(SUMPRODUCT((Upload_Indiv_Player=$A19)*(Upload_Indiv_Date=D$2)*(Upload_Indiv_Net))=0,"",SUMPRODUCT((Upload_Indiv_Player=$A19)*(Upload_Indiv_Date=D$2)*(Upload_Indiv_Net)))</f>
        <v>41</v>
      </c>
      <c r="E20" s="2" cm="1">
        <f t="array" ref="E20">IF(SUMPRODUCT((Upload_Indiv_Player=$A19)*(Upload_Indiv_Date=E$2)*(Upload_Indiv_Net))=0,"",SUMPRODUCT((Upload_Indiv_Player=$A19)*(Upload_Indiv_Date=E$2)*(Upload_Indiv_Net)))</f>
        <v>44</v>
      </c>
      <c r="F20" s="2" cm="1">
        <f t="array" ref="F20">IF(SUMPRODUCT((Upload_Indiv_Player=$A19)*(Upload_Indiv_Date=F$2)*(Upload_Indiv_Net))=0,"",SUMPRODUCT((Upload_Indiv_Player=$A19)*(Upload_Indiv_Date=F$2)*(Upload_Indiv_Net)))</f>
        <v>38</v>
      </c>
      <c r="G20" s="2" cm="1">
        <f t="array" ref="G20">IF(SUMPRODUCT((Upload_Indiv_Player=$A19)*(Upload_Indiv_Date=G$2)*(Upload_Indiv_Net))=0,"",SUMPRODUCT((Upload_Indiv_Player=$A19)*(Upload_Indiv_Date=G$2)*(Upload_Indiv_Net)))</f>
        <v>39</v>
      </c>
      <c r="H20" s="2" t="str" cm="1">
        <f t="array" ref="H20">IF(SUMPRODUCT((Upload_Indiv_Player=$A19)*(Upload_Indiv_Date=H$2)*(Upload_Indiv_Net))=0,"",SUMPRODUCT((Upload_Indiv_Player=$A19)*(Upload_Indiv_Date=H$2)*(Upload_Indiv_Net)))</f>
        <v/>
      </c>
      <c r="I20" s="2" t="str" cm="1">
        <f t="array" ref="I20">IF(SUMPRODUCT((Upload_Indiv_Player=$A19)*(Upload_Indiv_Date=I$2)*(Upload_Indiv_Net))=0,"",SUMPRODUCT((Upload_Indiv_Player=$A19)*(Upload_Indiv_Date=I$2)*(Upload_Indiv_Net)))</f>
        <v/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45</v>
      </c>
      <c r="L20" s="2" cm="1">
        <f t="array" ref="L20">IF(SUMPRODUCT((Upload_Indiv_Player=$A19)*(Upload_Indiv_Date=L$2)*(Upload_Indiv_Net))=0,"",SUMPRODUCT((Upload_Indiv_Player=$A19)*(Upload_Indiv_Date=L$2)*(Upload_Indiv_Net)))</f>
        <v>38</v>
      </c>
      <c r="M20" s="2" t="str" cm="1">
        <f t="array" ref="M20">IF(SUMPRODUCT((Upload_Indiv_Player=$A19)*(Upload_Indiv_Date=M$2)*(Upload_Indiv_Net))=0,"",SUMPRODUCT((Upload_Indiv_Player=$A19)*(Upload_Indiv_Date=M$2)*(Upload_Indiv_Net)))</f>
        <v/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37</v>
      </c>
      <c r="P20" s="2" cm="1">
        <f t="array" ref="P20">IF(SUMPRODUCT((Upload_Indiv_Player=$A19)*(Upload_Indiv_Date=P$2)*(Upload_Indiv_Net))=0,"",SUMPRODUCT((Upload_Indiv_Player=$A19)*(Upload_Indiv_Date=P$2)*(Upload_Indiv_Net)))</f>
        <v>33</v>
      </c>
      <c r="Q20" s="2" cm="1">
        <f t="array" ref="Q20">IF(SUMPRODUCT((Upload_Indiv_Player=$A19)*(Upload_Indiv_Date=Q$2)*(Upload_Indiv_Net))=0,"",SUMPRODUCT((Upload_Indiv_Player=$A19)*(Upload_Indiv_Date=Q$2)*(Upload_Indiv_Net)))</f>
        <v>38</v>
      </c>
      <c r="R20" s="2" cm="1">
        <f t="array" ref="R20">IF(SUMPRODUCT((Upload_Indiv_Player=$A19)*(Upload_Indiv_Date=R$2)*(Upload_Indiv_Net))=0,"",SUMPRODUCT((Upload_Indiv_Player=$A19)*(Upload_Indiv_Date=R$2)*(Upload_Indiv_Net)))</f>
        <v>38</v>
      </c>
      <c r="S20" s="2" cm="1">
        <f t="array" ref="S20">IF(SUMPRODUCT((Upload_Indiv_Player=$A19)*(Upload_Indiv_Date=S$2)*(Upload_Indiv_Net))=0,"",SUMPRODUCT((Upload_Indiv_Player=$A19)*(Upload_Indiv_Date=S$2)*(Upload_Indiv_Net)))</f>
        <v>34</v>
      </c>
      <c r="T20" s="2" cm="1">
        <f t="array" ref="T20">IF(SUMPRODUCT((Upload_Indiv_Player=$A19)*(Upload_Indiv_Date=T$2)*(Upload_Indiv_Net))=0,"",SUMPRODUCT((Upload_Indiv_Player=$A19)*(Upload_Indiv_Date=T$2)*(Upload_Indiv_Net)))</f>
        <v>38</v>
      </c>
      <c r="U20" s="2" t="str" cm="1">
        <f t="array" ref="U20">IF(SUMPRODUCT((Upload_Indiv_Player=$A19)*(Upload_Indiv_Date=U$2)*(Upload_Indiv_Net))=0,"",SUMPRODUCT((Upload_Indiv_Player=$A19)*(Upload_Indiv_Date=U$2)*(Upload_Indiv_Net)))</f>
        <v/>
      </c>
      <c r="V20" s="279">
        <v>47.77</v>
      </c>
      <c r="W20" s="276"/>
      <c r="X20" s="276"/>
      <c r="Y20" s="277"/>
      <c r="Z20" s="277"/>
      <c r="AA20" s="277"/>
    </row>
    <row r="21" spans="1:27" x14ac:dyDescent="0.25">
      <c r="A21" s="305" t="s">
        <v>301</v>
      </c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8</v>
      </c>
      <c r="D21" s="2" cm="1">
        <f t="array" ref="D21">IF(SUMPRODUCT((Upload_Indiv_Player=$A19)*(Upload_Indiv_Date=D$2)*(Upload_Indiv_PointsTot))=0,"",SUMPRODUCT((Upload_Indiv_Player=$A19)*(Upload_Indiv_Date=D$2)*(Upload_Indiv_PointsTot)))</f>
        <v>6</v>
      </c>
      <c r="E21" s="2" cm="1">
        <f t="array" ref="E21">IF(SUMPRODUCT((Upload_Indiv_Player=$A19)*(Upload_Indiv_Date=E$2)*(Upload_Indiv_PointsTot))=0,"",SUMPRODUCT((Upload_Indiv_Player=$A19)*(Upload_Indiv_Date=E$2)*(Upload_Indiv_PointsTot)))</f>
        <v>13</v>
      </c>
      <c r="F21" s="2" cm="1">
        <f t="array" ref="F21">IF(SUMPRODUCT((Upload_Indiv_Player=$A19)*(Upload_Indiv_Date=F$2)*(Upload_Indiv_PointsTot))=0,"",SUMPRODUCT((Upload_Indiv_Player=$A19)*(Upload_Indiv_Date=F$2)*(Upload_Indiv_PointsTot)))</f>
        <v>15</v>
      </c>
      <c r="G21" s="2" cm="1">
        <f t="array" ref="G21">IF(SUMPRODUCT((Upload_Indiv_Player=$A19)*(Upload_Indiv_Date=G$2)*(Upload_Indiv_PointsTot))=0,"",SUMPRODUCT((Upload_Indiv_Player=$A19)*(Upload_Indiv_Date=G$2)*(Upload_Indiv_PointsTot)))</f>
        <v>10</v>
      </c>
      <c r="H21" s="2" t="str" cm="1">
        <f t="array" ref="H21">IF(SUMPRODUCT((Upload_Indiv_Player=$A19)*(Upload_Indiv_Date=H$2)*(Upload_Indiv_PointsTot))=0,"",SUMPRODUCT((Upload_Indiv_Player=$A19)*(Upload_Indiv_Date=H$2)*(Upload_Indiv_PointsTot)))</f>
        <v/>
      </c>
      <c r="I21" s="2" t="str" cm="1">
        <f t="array" ref="I21">IF(SUMPRODUCT((Upload_Indiv_Player=$A19)*(Upload_Indiv_Date=I$2)*(Upload_Indiv_PointsTot))=0,"",SUMPRODUCT((Upload_Indiv_Player=$A19)*(Upload_Indiv_Date=I$2)*(Upload_Indiv_PointsTot)))</f>
        <v/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4</v>
      </c>
      <c r="L21" s="2" cm="1">
        <f t="array" ref="L21">IF(SUMPRODUCT((Upload_Indiv_Player=$A19)*(Upload_Indiv_Date=L$2)*(Upload_Indiv_PointsTot))=0,"",SUMPRODUCT((Upload_Indiv_Player=$A19)*(Upload_Indiv_Date=L$2)*(Upload_Indiv_PointsTot)))</f>
        <v>11</v>
      </c>
      <c r="M21" s="2" t="str" cm="1">
        <f t="array" ref="M21">IF(SUMPRODUCT((Upload_Indiv_Player=$A19)*(Upload_Indiv_Date=M$2)*(Upload_Indiv_PointsTot))=0,"",SUMPRODUCT((Upload_Indiv_Player=$A19)*(Upload_Indiv_Date=M$2)*(Upload_Indiv_PointsTot)))</f>
        <v/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13</v>
      </c>
      <c r="P21" s="2" cm="1">
        <f t="array" ref="P21">IF(SUMPRODUCT((Upload_Indiv_Player=$A19)*(Upload_Indiv_Date=P$2)*(Upload_Indiv_PointsTot))=0,"",SUMPRODUCT((Upload_Indiv_Player=$A19)*(Upload_Indiv_Date=P$2)*(Upload_Indiv_PointsTot)))</f>
        <v>15</v>
      </c>
      <c r="Q21" s="2" cm="1">
        <f t="array" ref="Q21">IF(SUMPRODUCT((Upload_Indiv_Player=$A19)*(Upload_Indiv_Date=Q$2)*(Upload_Indiv_PointsTot))=0,"",SUMPRODUCT((Upload_Indiv_Player=$A19)*(Upload_Indiv_Date=Q$2)*(Upload_Indiv_PointsTot)))</f>
        <v>5</v>
      </c>
      <c r="R21" s="2" cm="1">
        <f t="array" ref="R21">IF(SUMPRODUCT((Upload_Indiv_Player=$A19)*(Upload_Indiv_Date=R$2)*(Upload_Indiv_PointsTot))=0,"",SUMPRODUCT((Upload_Indiv_Player=$A19)*(Upload_Indiv_Date=R$2)*(Upload_Indiv_PointsTot)))</f>
        <v>8</v>
      </c>
      <c r="S21" s="2" cm="1">
        <f t="array" ref="S21">IF(SUMPRODUCT((Upload_Indiv_Player=$A19)*(Upload_Indiv_Date=S$2)*(Upload_Indiv_PointsTot))=0,"",SUMPRODUCT((Upload_Indiv_Player=$A19)*(Upload_Indiv_Date=S$2)*(Upload_Indiv_PointsTot)))</f>
        <v>14</v>
      </c>
      <c r="T21" s="2" cm="1">
        <f t="array" ref="T21">IF(SUMPRODUCT((Upload_Indiv_Player=$A19)*(Upload_Indiv_Date=T$2)*(Upload_Indiv_PointsTot))=0,"",SUMPRODUCT((Upload_Indiv_Player=$A19)*(Upload_Indiv_Date=T$2)*(Upload_Indiv_PointsTot)))</f>
        <v>10</v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2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cm="1">
        <f t="array" ref="G22">IF(SUMPRODUCT((Upload_Indiv_Player=$A19)*(Upload_Indiv_Date=G$2)*(Upload_Indiv_Tot_Birds))=0,"",SUMPRODUCT((Upload_Indiv_Player=$A19)*(Upload_Indiv_Date=G$2)*(Upload_Indiv_Tot_Birds)))</f>
        <v>2</v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cm="1">
        <f t="array" ref="S22">IF(SUMPRODUCT((Upload_Indiv_Player=$A19)*(Upload_Indiv_Date=S$2)*(Upload_Indiv_Tot_Birds))=0,"",SUMPRODUCT((Upload_Indiv_Player=$A19)*(Upload_Indiv_Date=S$2)*(Upload_Indiv_Tot_Birds)))</f>
        <v>1</v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t="str" cm="1">
        <f t="array" ref="Q24">IF(SUMPRODUCT((Upload_Indiv_Player=$A19)*(Upload_Indiv_Date=Q$2)*(Upload_Indiv_Excl_Score))=0,"",SUMPRODUCT((Upload_Indiv_Player=$A19)*(Upload_Indiv_Date=Q$2)*(Upload_Indiv_Excl_Score)))</f>
        <v/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1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9"/>
      <c r="B25" s="8" t="s">
        <v>178</v>
      </c>
      <c r="C25" s="58" t="str">
        <f>IF(C19="", "", IF(C21&gt;=11, "w", IF(C21&lt;=9, "l", "t")))</f>
        <v>l</v>
      </c>
      <c r="D25" s="58" t="str">
        <f t="shared" ref="D25:S25" si="3">IF(D19="", "", IF(D21&gt;=11, "w", IF(D21&lt;=9, "l", "t")))</f>
        <v>l</v>
      </c>
      <c r="E25" s="58" t="str">
        <f t="shared" si="3"/>
        <v>w</v>
      </c>
      <c r="F25" s="58" t="str">
        <f t="shared" si="3"/>
        <v>w</v>
      </c>
      <c r="G25" s="58" t="str">
        <f t="shared" si="3"/>
        <v>t</v>
      </c>
      <c r="H25" s="58" t="str">
        <f t="shared" si="3"/>
        <v/>
      </c>
      <c r="I25" s="58" t="str">
        <f t="shared" si="3"/>
        <v/>
      </c>
      <c r="J25" s="58" t="str">
        <f t="shared" si="3"/>
        <v/>
      </c>
      <c r="K25" s="58" t="str">
        <f t="shared" si="3"/>
        <v>l</v>
      </c>
      <c r="L25" s="58" t="str">
        <f t="shared" si="3"/>
        <v>w</v>
      </c>
      <c r="M25" s="58" t="str">
        <f t="shared" si="3"/>
        <v/>
      </c>
      <c r="N25" s="58" t="str">
        <f t="shared" si="3"/>
        <v/>
      </c>
      <c r="O25" s="58" t="str">
        <f t="shared" si="3"/>
        <v>w</v>
      </c>
      <c r="P25" s="58" t="str">
        <f t="shared" si="3"/>
        <v>w</v>
      </c>
      <c r="Q25" s="58" t="str">
        <f t="shared" si="3"/>
        <v>l</v>
      </c>
      <c r="R25" s="58" t="str">
        <f t="shared" si="3"/>
        <v>l</v>
      </c>
      <c r="S25" s="58" t="str">
        <f t="shared" si="3"/>
        <v>w</v>
      </c>
      <c r="T25" s="58" t="str">
        <f>IF(T19="", "", IF(T21&gt;=11, "w", IF(T21&lt;=9, "l", "t")))</f>
        <v>t</v>
      </c>
      <c r="U25" s="58" t="str">
        <f>IF(U19="", "", IF(U21&gt;=11, "w", IF(U21&lt;=9, "l", "t")))</f>
        <v/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479</v>
      </c>
      <c r="B26" s="3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70</v>
      </c>
      <c r="D26" s="3" cm="1">
        <f t="array" ref="D26">IF(SUMPRODUCT((Upload_Indiv_Player=$A26)*(Upload_Indiv_Date=D$2)*(Upload_Indiv_Gross))=0,"",SUMPRODUCT((Upload_Indiv_Player=$A26)*(Upload_Indiv_Date=D$2)*(Upload_Indiv_Gross)))</f>
        <v>67</v>
      </c>
      <c r="E26" s="3" cm="1">
        <f t="array" ref="E26">IF(SUMPRODUCT((Upload_Indiv_Player=$A26)*(Upload_Indiv_Date=E$2)*(Upload_Indiv_Gross))=0,"",SUMPRODUCT((Upload_Indiv_Player=$A26)*(Upload_Indiv_Date=E$2)*(Upload_Indiv_Gross)))</f>
        <v>78</v>
      </c>
      <c r="F26" s="3" t="str" cm="1">
        <f t="array" ref="F26">IF(SUMPRODUCT((Upload_Indiv_Player=$A26)*(Upload_Indiv_Date=F$2)*(Upload_Indiv_Gross))=0,"",SUMPRODUCT((Upload_Indiv_Player=$A26)*(Upload_Indiv_Date=F$2)*(Upload_Indiv_Gross)))</f>
        <v/>
      </c>
      <c r="G26" s="3" t="str" cm="1">
        <f t="array" ref="G26">IF(SUMPRODUCT((Upload_Indiv_Player=$A26)*(Upload_Indiv_Date=G$2)*(Upload_Indiv_Gross))=0,"",SUMPRODUCT((Upload_Indiv_Player=$A26)*(Upload_Indiv_Date=G$2)*(Upload_Indiv_Gross)))</f>
        <v/>
      </c>
      <c r="H26" s="3" t="str" cm="1">
        <f t="array" ref="H26">IF(SUMPRODUCT((Upload_Indiv_Player=$A26)*(Upload_Indiv_Date=H$2)*(Upload_Indiv_Gross))=0,"",SUMPRODUCT((Upload_Indiv_Player=$A26)*(Upload_Indiv_Date=H$2)*(Upload_Indiv_Gross)))</f>
        <v/>
      </c>
      <c r="I26" s="3" cm="1">
        <f t="array" ref="I26">IF(SUMPRODUCT((Upload_Indiv_Player=$A26)*(Upload_Indiv_Date=I$2)*(Upload_Indiv_Gross))=0,"",SUMPRODUCT((Upload_Indiv_Player=$A26)*(Upload_Indiv_Date=I$2)*(Upload_Indiv_Gross)))</f>
        <v>76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69</v>
      </c>
      <c r="L26" s="3" t="str" cm="1">
        <f t="array" ref="L26">IF(SUMPRODUCT((Upload_Indiv_Player=$A26)*(Upload_Indiv_Date=L$2)*(Upload_Indiv_Gross))=0,"",SUMPRODUCT((Upload_Indiv_Player=$A26)*(Upload_Indiv_Date=L$2)*(Upload_Indiv_Gross)))</f>
        <v/>
      </c>
      <c r="M26" s="3" t="str" cm="1">
        <f t="array" ref="M26">IF(SUMPRODUCT((Upload_Indiv_Player=$A26)*(Upload_Indiv_Date=M$2)*(Upload_Indiv_Gross))=0,"",SUMPRODUCT((Upload_Indiv_Player=$A26)*(Upload_Indiv_Date=M$2)*(Upload_Indiv_Gross)))</f>
        <v/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9</v>
      </c>
      <c r="P26" s="3" t="str" cm="1">
        <f t="array" ref="P26">IF(SUMPRODUCT((Upload_Indiv_Player=$A26)*(Upload_Indiv_Date=P$2)*(Upload_Indiv_Gross))=0,"",SUMPRODUCT((Upload_Indiv_Player=$A26)*(Upload_Indiv_Date=P$2)*(Upload_Indiv_Gross)))</f>
        <v/>
      </c>
      <c r="Q26" s="2" t="str" cm="1">
        <f t="array" ref="Q26">IF(SUMPRODUCT((Upload_Indiv_Player=$A26)*(Upload_Indiv_Date=Q$2)*(Upload_Indiv_Gross))=0,"",SUMPRODUCT((Upload_Indiv_Player=$A26)*(Upload_Indiv_Date=Q$2)*(Upload_Indiv_Gross)))</f>
        <v/>
      </c>
      <c r="R26" s="2" t="str" cm="1">
        <f t="array" ref="R26">IF(SUMPRODUCT((Upload_Indiv_Player=$A26)*(Upload_Indiv_Date=R$2)*(Upload_Indiv_Gross))=0,"",SUMPRODUCT((Upload_Indiv_Player=$A26)*(Upload_Indiv_Date=R$2)*(Upload_Indiv_Gross)))</f>
        <v/>
      </c>
      <c r="S26" s="2" t="str" cm="1">
        <f t="array" ref="S26">IF(SUMPRODUCT((Upload_Indiv_Player=$A26)*(Upload_Indiv_Date=S$2)*(Upload_Indiv_Gross))=0,"",SUMPRODUCT((Upload_Indiv_Player=$A26)*(Upload_Indiv_Date=S$2)*(Upload_Indiv_Gross)))</f>
        <v/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0</v>
      </c>
      <c r="W26" s="273">
        <v>0</v>
      </c>
      <c r="X26" s="273">
        <v>0</v>
      </c>
      <c r="Y26" s="277">
        <v>0</v>
      </c>
      <c r="Z26" s="277">
        <v>0</v>
      </c>
      <c r="AA26" s="277">
        <v>0</v>
      </c>
    </row>
    <row r="27" spans="1:27" x14ac:dyDescent="0.25">
      <c r="A27" s="304">
        <v>3306079396</v>
      </c>
      <c r="B27" s="2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50</v>
      </c>
      <c r="D27" s="2" cm="1">
        <f t="array" ref="D27">IF(SUMPRODUCT((Upload_Indiv_Player=$A26)*(Upload_Indiv_Date=D$2)*(Upload_Indiv_Net))=0,"",SUMPRODUCT((Upload_Indiv_Player=$A26)*(Upload_Indiv_Date=D$2)*(Upload_Indiv_Net)))</f>
        <v>47</v>
      </c>
      <c r="E27" s="2" cm="1">
        <f t="array" ref="E27">IF(SUMPRODUCT((Upload_Indiv_Player=$A26)*(Upload_Indiv_Date=E$2)*(Upload_Indiv_Net))=0,"",SUMPRODUCT((Upload_Indiv_Player=$A26)*(Upload_Indiv_Date=E$2)*(Upload_Indiv_Net)))</f>
        <v>58</v>
      </c>
      <c r="F27" s="2" t="str" cm="1">
        <f t="array" ref="F27">IF(SUMPRODUCT((Upload_Indiv_Player=$A26)*(Upload_Indiv_Date=F$2)*(Upload_Indiv_Net))=0,"",SUMPRODUCT((Upload_Indiv_Player=$A26)*(Upload_Indiv_Date=F$2)*(Upload_Indiv_Net)))</f>
        <v/>
      </c>
      <c r="G27" s="2" t="str" cm="1">
        <f t="array" ref="G27">IF(SUMPRODUCT((Upload_Indiv_Player=$A26)*(Upload_Indiv_Date=G$2)*(Upload_Indiv_Net))=0,"",SUMPRODUCT((Upload_Indiv_Player=$A26)*(Upload_Indiv_Date=G$2)*(Upload_Indiv_Net)))</f>
        <v/>
      </c>
      <c r="H27" s="2" t="str" cm="1">
        <f t="array" ref="H27">IF(SUMPRODUCT((Upload_Indiv_Player=$A26)*(Upload_Indiv_Date=H$2)*(Upload_Indiv_Net))=0,"",SUMPRODUCT((Upload_Indiv_Player=$A26)*(Upload_Indiv_Date=H$2)*(Upload_Indiv_Net)))</f>
        <v/>
      </c>
      <c r="I27" s="2" cm="1">
        <f t="array" ref="I27">IF(SUMPRODUCT((Upload_Indiv_Player=$A26)*(Upload_Indiv_Date=I$2)*(Upload_Indiv_Net))=0,"",SUMPRODUCT((Upload_Indiv_Player=$A26)*(Upload_Indiv_Date=I$2)*(Upload_Indiv_Net)))</f>
        <v>56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49</v>
      </c>
      <c r="L27" s="2" t="str" cm="1">
        <f t="array" ref="L27">IF(SUMPRODUCT((Upload_Indiv_Player=$A26)*(Upload_Indiv_Date=L$2)*(Upload_Indiv_Net))=0,"",SUMPRODUCT((Upload_Indiv_Player=$A26)*(Upload_Indiv_Date=L$2)*(Upload_Indiv_Net)))</f>
        <v/>
      </c>
      <c r="M27" s="2" t="str" cm="1">
        <f t="array" ref="M27">IF(SUMPRODUCT((Upload_Indiv_Player=$A26)*(Upload_Indiv_Date=M$2)*(Upload_Indiv_Net))=0,"",SUMPRODUCT((Upload_Indiv_Player=$A26)*(Upload_Indiv_Date=M$2)*(Upload_Indiv_Net)))</f>
        <v/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-11</v>
      </c>
      <c r="P27" s="2" t="str" cm="1">
        <f t="array" ref="P27">IF(SUMPRODUCT((Upload_Indiv_Player=$A26)*(Upload_Indiv_Date=P$2)*(Upload_Indiv_Net))=0,"",SUMPRODUCT((Upload_Indiv_Player=$A26)*(Upload_Indiv_Date=P$2)*(Upload_Indiv_Net)))</f>
        <v/>
      </c>
      <c r="Q27" s="2" t="str" cm="1">
        <f t="array" ref="Q27">IF(SUMPRODUCT((Upload_Indiv_Player=$A26)*(Upload_Indiv_Date=Q$2)*(Upload_Indiv_Net))=0,"",SUMPRODUCT((Upload_Indiv_Player=$A26)*(Upload_Indiv_Date=Q$2)*(Upload_Indiv_Net)))</f>
        <v/>
      </c>
      <c r="R27" s="2" t="str" cm="1">
        <f t="array" ref="R27">IF(SUMPRODUCT((Upload_Indiv_Player=$A26)*(Upload_Indiv_Date=R$2)*(Upload_Indiv_Net))=0,"",SUMPRODUCT((Upload_Indiv_Player=$A26)*(Upload_Indiv_Date=R$2)*(Upload_Indiv_Net)))</f>
        <v/>
      </c>
      <c r="S27" s="2" t="str" cm="1">
        <f t="array" ref="S27">IF(SUMPRODUCT((Upload_Indiv_Player=$A26)*(Upload_Indiv_Date=S$2)*(Upload_Indiv_Net))=0,"",SUMPRODUCT((Upload_Indiv_Player=$A26)*(Upload_Indiv_Date=S$2)*(Upload_Indiv_Net)))</f>
        <v/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/>
      <c r="W27" s="276"/>
      <c r="X27" s="276"/>
      <c r="Y27" s="277"/>
      <c r="Z27" s="277"/>
      <c r="AA27" s="277"/>
    </row>
    <row r="28" spans="1:27" x14ac:dyDescent="0.25">
      <c r="A28" s="356" t="s">
        <v>475</v>
      </c>
      <c r="B28" s="2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3</v>
      </c>
      <c r="D28" s="2" cm="1">
        <f t="array" ref="D28">IF(SUMPRODUCT((Upload_Indiv_Player=$A26)*(Upload_Indiv_Date=D$2)*(Upload_Indiv_PointsTot))=0,"",SUMPRODUCT((Upload_Indiv_Player=$A26)*(Upload_Indiv_Date=D$2)*(Upload_Indiv_PointsTot)))</f>
        <v>3</v>
      </c>
      <c r="E28" s="2" t="str" cm="1">
        <f t="array" ref="E28">IF(SUMPRODUCT((Upload_Indiv_Player=$A26)*(Upload_Indiv_Date=E$2)*(Upload_Indiv_PointsTot))=0,"",SUMPRODUCT((Upload_Indiv_Player=$A26)*(Upload_Indiv_Date=E$2)*(Upload_Indiv_PointsTot)))</f>
        <v/>
      </c>
      <c r="F28" s="2" t="str" cm="1">
        <f t="array" ref="F28">IF(SUMPRODUCT((Upload_Indiv_Player=$A26)*(Upload_Indiv_Date=F$2)*(Upload_Indiv_PointsTot))=0,"",SUMPRODUCT((Upload_Indiv_Player=$A26)*(Upload_Indiv_Date=F$2)*(Upload_Indiv_PointsTot)))</f>
        <v/>
      </c>
      <c r="G28" s="2" t="str" cm="1">
        <f t="array" ref="G28">IF(SUMPRODUCT((Upload_Indiv_Player=$A26)*(Upload_Indiv_Date=G$2)*(Upload_Indiv_PointsTot))=0,"",SUMPRODUCT((Upload_Indiv_Player=$A26)*(Upload_Indiv_Date=G$2)*(Upload_Indiv_PointsTot)))</f>
        <v/>
      </c>
      <c r="H28" s="2" t="str" cm="1">
        <f t="array" ref="H28">IF(SUMPRODUCT((Upload_Indiv_Player=$A26)*(Upload_Indiv_Date=H$2)*(Upload_Indiv_PointsTot))=0,"",SUMPRODUCT((Upload_Indiv_Player=$A26)*(Upload_Indiv_Date=H$2)*(Upload_Indiv_PointsTot)))</f>
        <v/>
      </c>
      <c r="I28" s="2" t="str" cm="1">
        <f t="array" ref="I28">IF(SUMPRODUCT((Upload_Indiv_Player=$A26)*(Upload_Indiv_Date=I$2)*(Upload_Indiv_PointsTot))=0,"",SUMPRODUCT((Upload_Indiv_Player=$A26)*(Upload_Indiv_Date=I$2)*(Upload_Indiv_PointsTot)))</f>
        <v/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3</v>
      </c>
      <c r="L28" s="2" t="str" cm="1">
        <f t="array" ref="L28">IF(SUMPRODUCT((Upload_Indiv_Player=$A26)*(Upload_Indiv_Date=L$2)*(Upload_Indiv_PointsTot))=0,"",SUMPRODUCT((Upload_Indiv_Player=$A26)*(Upload_Indiv_Date=L$2)*(Upload_Indiv_PointsTot)))</f>
        <v/>
      </c>
      <c r="M28" s="2" t="str" cm="1">
        <f t="array" ref="M28">IF(SUMPRODUCT((Upload_Indiv_Player=$A26)*(Upload_Indiv_Date=M$2)*(Upload_Indiv_PointsTot))=0,"",SUMPRODUCT((Upload_Indiv_Player=$A26)*(Upload_Indiv_Date=M$2)*(Upload_Indiv_PointsTot)))</f>
        <v/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8</v>
      </c>
      <c r="P28" s="2" t="str" cm="1">
        <f t="array" ref="P28">IF(SUMPRODUCT((Upload_Indiv_Player=$A26)*(Upload_Indiv_Date=P$2)*(Upload_Indiv_PointsTot))=0,"",SUMPRODUCT((Upload_Indiv_Player=$A26)*(Upload_Indiv_Date=P$2)*(Upload_Indiv_PointsTot)))</f>
        <v/>
      </c>
      <c r="Q28" s="2" t="str" cm="1">
        <f t="array" ref="Q28">IF(SUMPRODUCT((Upload_Indiv_Player=$A26)*(Upload_Indiv_Date=Q$2)*(Upload_Indiv_PointsTot))=0,"",SUMPRODUCT((Upload_Indiv_Player=$A26)*(Upload_Indiv_Date=Q$2)*(Upload_Indiv_PointsTot)))</f>
        <v/>
      </c>
      <c r="R28" s="2" t="str" cm="1">
        <f t="array" ref="R28">IF(SUMPRODUCT((Upload_Indiv_Player=$A26)*(Upload_Indiv_Date=R$2)*(Upload_Indiv_PointsTot))=0,"",SUMPRODUCT((Upload_Indiv_Player=$A26)*(Upload_Indiv_Date=R$2)*(Upload_Indiv_PointsTot)))</f>
        <v/>
      </c>
      <c r="S28" s="2" t="str" cm="1">
        <f t="array" ref="S28">IF(SUMPRODUCT((Upload_Indiv_Player=$A26)*(Upload_Indiv_Date=S$2)*(Upload_Indiv_PointsTot))=0,"",SUMPRODUCT((Upload_Indiv_Player=$A26)*(Upload_Indiv_Date=S$2)*(Upload_Indiv_PointsTot)))</f>
        <v/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/>
      <c r="B29" s="2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306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cm="1">
        <f t="array" ref="O31">IF(SUMPRODUCT((Upload_Indiv_Player=$A26)*(Upload_Indiv_Date=O$2)*(Upload_Indiv_Excl_Score))=0,"",SUMPRODUCT((Upload_Indiv_Player=$A26)*(Upload_Indiv_Date=O$2)*(Upload_Indiv_Excl_Score)))</f>
        <v>1</v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t="str" cm="1">
        <f t="array" ref="T31">IF(SUMPRODUCT((Upload_Indiv_Player=$A26)*(Upload_Indiv_Date=T$2)*(Upload_Indiv_Excl_Score))=0,"",SUMPRODUCT((Upload_Indiv_Player=$A26)*(Upload_Indiv_Date=T$2)*(Upload_Indiv_Excl_Score)))</f>
        <v/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9"/>
      <c r="W31" s="279"/>
      <c r="X31" s="279"/>
      <c r="Y31" s="277"/>
      <c r="Z31" s="277"/>
      <c r="AA31" s="277"/>
    </row>
    <row r="32" spans="1:27" ht="13.8" thickBot="1" x14ac:dyDescent="0.3">
      <c r="A32" s="9"/>
      <c r="B32" s="8" t="s">
        <v>178</v>
      </c>
      <c r="C32" s="58" t="str">
        <f>IF(C26="", "", IF(C28&gt;=11, "w", IF(C28&lt;=9, "l", "t")))</f>
        <v>l</v>
      </c>
      <c r="D32" s="58" t="str">
        <f t="shared" ref="D32:S32" si="4">IF(D26="", "", IF(D28&gt;=11, "w", IF(D28&lt;=9, "l", "t")))</f>
        <v>l</v>
      </c>
      <c r="E32" s="58" t="str">
        <f t="shared" si="4"/>
        <v>w</v>
      </c>
      <c r="F32" s="58" t="str">
        <f t="shared" si="4"/>
        <v/>
      </c>
      <c r="G32" s="58" t="str">
        <f t="shared" si="4"/>
        <v/>
      </c>
      <c r="H32" s="58" t="str">
        <f t="shared" si="4"/>
        <v/>
      </c>
      <c r="I32" s="58" t="str">
        <f t="shared" si="4"/>
        <v>w</v>
      </c>
      <c r="J32" s="58" t="str">
        <f t="shared" si="4"/>
        <v/>
      </c>
      <c r="K32" s="58" t="str">
        <f t="shared" si="4"/>
        <v>l</v>
      </c>
      <c r="L32" s="58" t="str">
        <f t="shared" si="4"/>
        <v/>
      </c>
      <c r="M32" s="58" t="str">
        <f t="shared" si="4"/>
        <v/>
      </c>
      <c r="N32" s="58" t="str">
        <f t="shared" si="4"/>
        <v/>
      </c>
      <c r="O32" s="58" t="str">
        <f t="shared" si="4"/>
        <v>l</v>
      </c>
      <c r="P32" s="58" t="str">
        <f t="shared" si="4"/>
        <v/>
      </c>
      <c r="Q32" s="58" t="str">
        <f t="shared" si="4"/>
        <v/>
      </c>
      <c r="R32" s="58" t="str">
        <f t="shared" si="4"/>
        <v/>
      </c>
      <c r="S32" s="58" t="str">
        <f t="shared" si="4"/>
        <v/>
      </c>
      <c r="T32" s="58" t="str">
        <f>IF(T26="", "", IF(T28&gt;=11, "w", IF(T28&lt;=9, "l", "t")))</f>
        <v/>
      </c>
      <c r="U32" s="58" t="str">
        <f>IF(U26="", "", IF(U28&gt;=11, "w", IF(U28&lt;=9, "l", "t")))</f>
        <v/>
      </c>
      <c r="V32" s="279"/>
      <c r="W32" s="279"/>
      <c r="X32" s="279"/>
      <c r="Y32" s="277"/>
      <c r="Z32" s="277"/>
      <c r="AA32" s="277"/>
    </row>
    <row r="33" spans="1:27" x14ac:dyDescent="0.25">
      <c r="A33" s="303" t="s">
        <v>425</v>
      </c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cm="1">
        <f t="array" ref="E33">IF(SUMPRODUCT((Upload_Indiv_Player=$A33)*(Upload_Indiv_Date=E$2)*(Upload_Indiv_Gross))=0,"",SUMPRODUCT((Upload_Indiv_Player=$A33)*(Upload_Indiv_Date=E$2)*(Upload_Indiv_Gross)))</f>
        <v>61</v>
      </c>
      <c r="F33" s="3" cm="1">
        <f t="array" ref="F33">IF(SUMPRODUCT((Upload_Indiv_Player=$A33)*(Upload_Indiv_Date=F$2)*(Upload_Indiv_Gross))=0,"",SUMPRODUCT((Upload_Indiv_Player=$A33)*(Upload_Indiv_Date=F$2)*(Upload_Indiv_Gross)))</f>
        <v>63</v>
      </c>
      <c r="G33" s="3" cm="1">
        <f t="array" ref="G33">IF(SUMPRODUCT((Upload_Indiv_Player=$A33)*(Upload_Indiv_Date=G$2)*(Upload_Indiv_Gross))=0,"",SUMPRODUCT((Upload_Indiv_Player=$A33)*(Upload_Indiv_Date=G$2)*(Upload_Indiv_Gross)))</f>
        <v>60</v>
      </c>
      <c r="H33" s="3" cm="1">
        <f t="array" ref="H33">IF(SUMPRODUCT((Upload_Indiv_Player=$A33)*(Upload_Indiv_Date=H$2)*(Upload_Indiv_Gross))=0,"",SUMPRODUCT((Upload_Indiv_Player=$A33)*(Upload_Indiv_Date=H$2)*(Upload_Indiv_Gross)))</f>
        <v>51</v>
      </c>
      <c r="I33" s="3" cm="1">
        <f t="array" ref="I33">IF(SUMPRODUCT((Upload_Indiv_Player=$A33)*(Upload_Indiv_Date=I$2)*(Upload_Indiv_Gross))=0,"",SUMPRODUCT((Upload_Indiv_Player=$A33)*(Upload_Indiv_Date=I$2)*(Upload_Indiv_Gross)))</f>
        <v>51</v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cm="1">
        <f t="array" ref="M33">IF(SUMPRODUCT((Upload_Indiv_Player=$A33)*(Upload_Indiv_Date=M$2)*(Upload_Indiv_Gross))=0,"",SUMPRODUCT((Upload_Indiv_Player=$A33)*(Upload_Indiv_Date=M$2)*(Upload_Indiv_Gross)))</f>
        <v>60</v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cm="1">
        <f t="array" ref="R33">IF(SUMPRODUCT((Upload_Indiv_Player=$A33)*(Upload_Indiv_Date=R$2)*(Upload_Indiv_Gross))=0,"",SUMPRODUCT((Upload_Indiv_Player=$A33)*(Upload_Indiv_Date=R$2)*(Upload_Indiv_Gross)))</f>
        <v>59</v>
      </c>
      <c r="S33" s="2" cm="1">
        <f t="array" ref="S33">IF(SUMPRODUCT((Upload_Indiv_Player=$A33)*(Upload_Indiv_Date=S$2)*(Upload_Indiv_Gross))=0,"",SUMPRODUCT((Upload_Indiv_Player=$A33)*(Upload_Indiv_Date=S$2)*(Upload_Indiv_Gross)))</f>
        <v>54</v>
      </c>
      <c r="T33" s="2" cm="1">
        <f t="array" ref="T33">IF(SUMPRODUCT((Upload_Indiv_Player=$A33)*(Upload_Indiv_Date=T$2)*(Upload_Indiv_Gross))=0,"",SUMPRODUCT((Upload_Indiv_Player=$A33)*(Upload_Indiv_Date=T$2)*(Upload_Indiv_Gross)))</f>
        <v>53</v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>
        <v>6</v>
      </c>
      <c r="W33" s="273">
        <v>0</v>
      </c>
      <c r="X33" s="273">
        <v>0</v>
      </c>
      <c r="Y33" s="325">
        <v>0</v>
      </c>
      <c r="Z33" s="277">
        <v>0</v>
      </c>
      <c r="AA33" s="277">
        <v>0</v>
      </c>
    </row>
    <row r="34" spans="1:27" x14ac:dyDescent="0.25">
      <c r="A34" s="304">
        <v>3303090723</v>
      </c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cm="1">
        <f t="array" ref="E34">IF(SUMPRODUCT((Upload_Indiv_Player=$A33)*(Upload_Indiv_Date=E$2)*(Upload_Indiv_Net))=0,"",SUMPRODUCT((Upload_Indiv_Player=$A33)*(Upload_Indiv_Date=E$2)*(Upload_Indiv_Net)))</f>
        <v>47</v>
      </c>
      <c r="F34" s="2" cm="1">
        <f t="array" ref="F34">IF(SUMPRODUCT((Upload_Indiv_Player=$A33)*(Upload_Indiv_Date=F$2)*(Upload_Indiv_Net))=0,"",SUMPRODUCT((Upload_Indiv_Player=$A33)*(Upload_Indiv_Date=F$2)*(Upload_Indiv_Net)))</f>
        <v>48</v>
      </c>
      <c r="G34" s="2" cm="1">
        <f t="array" ref="G34">IF(SUMPRODUCT((Upload_Indiv_Player=$A33)*(Upload_Indiv_Date=G$2)*(Upload_Indiv_Net))=0,"",SUMPRODUCT((Upload_Indiv_Player=$A33)*(Upload_Indiv_Date=G$2)*(Upload_Indiv_Net)))</f>
        <v>44</v>
      </c>
      <c r="H34" s="2" cm="1">
        <f t="array" ref="H34">IF(SUMPRODUCT((Upload_Indiv_Player=$A33)*(Upload_Indiv_Date=H$2)*(Upload_Indiv_Net))=0,"",SUMPRODUCT((Upload_Indiv_Player=$A33)*(Upload_Indiv_Date=H$2)*(Upload_Indiv_Net)))</f>
        <v>35</v>
      </c>
      <c r="I34" s="2" cm="1">
        <f t="array" ref="I34">IF(SUMPRODUCT((Upload_Indiv_Player=$A33)*(Upload_Indiv_Date=I$2)*(Upload_Indiv_Net))=0,"",SUMPRODUCT((Upload_Indiv_Player=$A33)*(Upload_Indiv_Date=I$2)*(Upload_Indiv_Net)))</f>
        <v>35</v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cm="1">
        <f t="array" ref="M34">IF(SUMPRODUCT((Upload_Indiv_Player=$A33)*(Upload_Indiv_Date=M$2)*(Upload_Indiv_Net))=0,"",SUMPRODUCT((Upload_Indiv_Player=$A33)*(Upload_Indiv_Date=M$2)*(Upload_Indiv_Net)))</f>
        <v>44</v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cm="1">
        <f t="array" ref="R34">IF(SUMPRODUCT((Upload_Indiv_Player=$A33)*(Upload_Indiv_Date=R$2)*(Upload_Indiv_Net))=0,"",SUMPRODUCT((Upload_Indiv_Player=$A33)*(Upload_Indiv_Date=R$2)*(Upload_Indiv_Net)))</f>
        <v>42</v>
      </c>
      <c r="S34" s="2" cm="1">
        <f t="array" ref="S34">IF(SUMPRODUCT((Upload_Indiv_Player=$A33)*(Upload_Indiv_Date=S$2)*(Upload_Indiv_Net))=0,"",SUMPRODUCT((Upload_Indiv_Player=$A33)*(Upload_Indiv_Date=S$2)*(Upload_Indiv_Net)))</f>
        <v>37</v>
      </c>
      <c r="T34" s="2" cm="1">
        <f t="array" ref="T34">IF(SUMPRODUCT((Upload_Indiv_Player=$A33)*(Upload_Indiv_Date=T$2)*(Upload_Indiv_Net))=0,"",SUMPRODUCT((Upload_Indiv_Player=$A33)*(Upload_Indiv_Date=T$2)*(Upload_Indiv_Net)))</f>
        <v>36</v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9">
        <v>53.83</v>
      </c>
      <c r="W34" s="279"/>
      <c r="X34" s="279"/>
      <c r="Y34" s="277"/>
      <c r="Z34" s="277"/>
      <c r="AA34" s="277"/>
    </row>
    <row r="35" spans="1:27" x14ac:dyDescent="0.25">
      <c r="A35" s="308" t="s">
        <v>427</v>
      </c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cm="1">
        <f t="array" ref="E35">IF(SUMPRODUCT((Upload_Indiv_Player=$A33)*(Upload_Indiv_Date=E$2)*(Upload_Indiv_PointsTot))=0,"",SUMPRODUCT((Upload_Indiv_Player=$A33)*(Upload_Indiv_Date=E$2)*(Upload_Indiv_PointsTot)))</f>
        <v>8</v>
      </c>
      <c r="F35" s="2" cm="1">
        <f t="array" ref="F35">IF(SUMPRODUCT((Upload_Indiv_Player=$A33)*(Upload_Indiv_Date=F$2)*(Upload_Indiv_PointsTot))=0,"",SUMPRODUCT((Upload_Indiv_Player=$A33)*(Upload_Indiv_Date=F$2)*(Upload_Indiv_PointsTot)))</f>
        <v>5</v>
      </c>
      <c r="G35" s="2" cm="1">
        <f t="array" ref="G35">IF(SUMPRODUCT((Upload_Indiv_Player=$A33)*(Upload_Indiv_Date=G$2)*(Upload_Indiv_PointsTot))=0,"",SUMPRODUCT((Upload_Indiv_Player=$A33)*(Upload_Indiv_Date=G$2)*(Upload_Indiv_PointsTot)))</f>
        <v>11</v>
      </c>
      <c r="H35" s="2" cm="1">
        <f t="array" ref="H35">IF(SUMPRODUCT((Upload_Indiv_Player=$A33)*(Upload_Indiv_Date=H$2)*(Upload_Indiv_PointsTot))=0,"",SUMPRODUCT((Upload_Indiv_Player=$A33)*(Upload_Indiv_Date=H$2)*(Upload_Indiv_PointsTot)))</f>
        <v>12</v>
      </c>
      <c r="I35" s="2" cm="1">
        <f t="array" ref="I35">IF(SUMPRODUCT((Upload_Indiv_Player=$A33)*(Upload_Indiv_Date=I$2)*(Upload_Indiv_PointsTot))=0,"",SUMPRODUCT((Upload_Indiv_Player=$A33)*(Upload_Indiv_Date=I$2)*(Upload_Indiv_PointsTot)))</f>
        <v>12</v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cm="1">
        <f t="array" ref="M35">IF(SUMPRODUCT((Upload_Indiv_Player=$A33)*(Upload_Indiv_Date=M$2)*(Upload_Indiv_PointsTot))=0,"",SUMPRODUCT((Upload_Indiv_Player=$A33)*(Upload_Indiv_Date=M$2)*(Upload_Indiv_PointsTot)))</f>
        <v>6</v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cm="1">
        <f t="array" ref="R35">IF(SUMPRODUCT((Upload_Indiv_Player=$A33)*(Upload_Indiv_Date=R$2)*(Upload_Indiv_PointsTot))=0,"",SUMPRODUCT((Upload_Indiv_Player=$A33)*(Upload_Indiv_Date=R$2)*(Upload_Indiv_PointsTot)))</f>
        <v>8</v>
      </c>
      <c r="S35" s="2" cm="1">
        <f t="array" ref="S35">IF(SUMPRODUCT((Upload_Indiv_Player=$A33)*(Upload_Indiv_Date=S$2)*(Upload_Indiv_PointsTot))=0,"",SUMPRODUCT((Upload_Indiv_Player=$A33)*(Upload_Indiv_Date=S$2)*(Upload_Indiv_PointsTot)))</f>
        <v>12</v>
      </c>
      <c r="T35" s="2" cm="1">
        <f t="array" ref="T35">IF(SUMPRODUCT((Upload_Indiv_Player=$A33)*(Upload_Indiv_Date=T$2)*(Upload_Indiv_PointsTot))=0,"",SUMPRODUCT((Upload_Indiv_Player=$A33)*(Upload_Indiv_Date=T$2)*(Upload_Indiv_PointsTot)))</f>
        <v>12</v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9"/>
      <c r="W35" s="279"/>
      <c r="X35" s="279"/>
      <c r="Y35" s="281"/>
      <c r="Z35" s="277"/>
      <c r="AA35" s="277"/>
    </row>
    <row r="36" spans="1:27" x14ac:dyDescent="0.25">
      <c r="A36" s="306"/>
      <c r="B36" s="8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9"/>
      <c r="W36" s="279"/>
      <c r="X36" s="279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9"/>
      <c r="W37" s="279"/>
      <c r="X37" s="279"/>
      <c r="Y37" s="277"/>
      <c r="Z37" s="277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cm="1">
        <f t="array" ref="T38">IF(SUMPRODUCT((Upload_Indiv_Player=$A33)*(Upload_Indiv_Date=T$2)*(Upload_Indiv_Excl_Score))=0,"",SUMPRODUCT((Upload_Indiv_Player=$A33)*(Upload_Indiv_Date=T$2)*(Upload_Indiv_Excl_Score)))</f>
        <v>1</v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9"/>
      <c r="W38" s="279"/>
      <c r="X38" s="279"/>
      <c r="Y38" s="277"/>
      <c r="Z38" s="277"/>
      <c r="AA38" s="277"/>
    </row>
    <row r="39" spans="1:27" ht="13.8" thickBot="1" x14ac:dyDescent="0.3">
      <c r="A39" s="307"/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>l</v>
      </c>
      <c r="F39" s="58" t="str">
        <f t="shared" si="5"/>
        <v>l</v>
      </c>
      <c r="G39" s="58" t="str">
        <f t="shared" si="5"/>
        <v>w</v>
      </c>
      <c r="H39" s="58" t="str">
        <f t="shared" si="5"/>
        <v>w</v>
      </c>
      <c r="I39" s="58" t="str">
        <f t="shared" si="5"/>
        <v>w</v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>l</v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/>
      </c>
      <c r="R39" s="58" t="str">
        <f t="shared" si="5"/>
        <v>l</v>
      </c>
      <c r="S39" s="58" t="str">
        <f t="shared" si="5"/>
        <v>w</v>
      </c>
      <c r="T39" s="58" t="str">
        <f>IF(T33="", "", IF(T35&gt;=11, "w", IF(T35&lt;=9, "l", "t")))</f>
        <v>w</v>
      </c>
      <c r="U39" s="58" t="str">
        <f>IF(U33="", "", IF(U35&gt;=11, "w", IF(U35&lt;=9, "l", "t")))</f>
        <v/>
      </c>
      <c r="V39" s="279"/>
      <c r="W39" s="279"/>
      <c r="X39" s="279"/>
      <c r="Y39" s="277"/>
      <c r="Z39" s="277"/>
      <c r="AA39" s="277"/>
    </row>
    <row r="40" spans="1:27" x14ac:dyDescent="0.25">
      <c r="A40" s="294" t="s">
        <v>306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cm="1">
        <f t="array" ref="L40">IF(SUMPRODUCT((Upload_Indiv_Player=$A40)*(Upload_Indiv_Date=L$2)*(Upload_Indiv_Gross))=0,"",SUMPRODUCT((Upload_Indiv_Player=$A40)*(Upload_Indiv_Date=L$2)*(Upload_Indiv_Gross)))</f>
        <v>40</v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cm="1">
        <f t="array" ref="L41">IF(SUMPRODUCT((Upload_Indiv_Player=$A40)*(Upload_Indiv_Date=L$2)*(Upload_Indiv_Net))=0,"",SUMPRODUCT((Upload_Indiv_Player=$A40)*(Upload_Indiv_Date=L$2)*(Upload_Indiv_Net)))</f>
        <v>40</v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cm="1">
        <f t="array" ref="L42">IF(SUMPRODUCT((Upload_Indiv_Player=$A40)*(Upload_Indiv_Date=L$2)*(Upload_Indiv_PointsTot))=0,"",SUMPRODUCT((Upload_Indiv_Player=$A40)*(Upload_Indiv_Date=L$2)*(Upload_Indiv_PointsTot)))</f>
        <v>7</v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>l</v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21" r:id="rId1" display="rcekme1@gmail.com" xr:uid="{5F99A237-547F-484B-BCE5-A9C1DF7CD748}"/>
    <hyperlink ref="A7" r:id="rId2" display="john.kushner@timkensteel.com" xr:uid="{61D66657-0E3E-4CD8-A0A7-43D124F97538}"/>
    <hyperlink ref="A14" r:id="rId3" xr:uid="{BE982270-7D76-485C-B876-94E889CDE097}"/>
    <hyperlink ref="A28" r:id="rId4" display="mailto:kb8mmf@gmail.com" xr:uid="{7E89090A-5055-45E9-B551-C0B7E19A5E61}"/>
  </hyperlinks>
  <pageMargins left="0.75" right="0.75" top="1" bottom="1" header="0.5" footer="0.5"/>
  <pageSetup orientation="portrait" r:id="rId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9C4CC-B966-4B95-8C39-80E9F1B3E424}">
  <sheetPr codeName="Sheet12"/>
  <dimension ref="A1:AA46"/>
  <sheetViews>
    <sheetView workbookViewId="0"/>
  </sheetViews>
  <sheetFormatPr defaultRowHeight="13.2" x14ac:dyDescent="0.25"/>
  <cols>
    <col min="1" max="1" width="29.8867187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29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28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57</v>
      </c>
      <c r="D3" s="5" cm="1">
        <f t="array" ref="D3">IF(SUMPRODUCT((Upload_Team_Team=$A$3)*(Upload_Team_Date=D$2)*(Upload_Team_Tm_Tot_Points))=0,"",SUMPRODUCT((Upload_Team_Team=$A$3)*(Upload_Team_Date=D$2)*(Upload_Team_Tm_Tot_Points)))</f>
        <v>30</v>
      </c>
      <c r="E3" s="5" cm="1">
        <f t="array" ref="E3">IF(SUMPRODUCT((Upload_Team_Team=$A$3)*(Upload_Team_Date=E$2)*(Upload_Team_Tm_Tot_Points))=0,"",SUMPRODUCT((Upload_Team_Team=$A$3)*(Upload_Team_Date=E$2)*(Upload_Team_Tm_Tot_Points)))</f>
        <v>23</v>
      </c>
      <c r="F3" s="5" cm="1">
        <f t="array" ref="F3">IF(SUMPRODUCT((Upload_Team_Team=$A$3)*(Upload_Team_Date=F$2)*(Upload_Team_Tm_Tot_Points))=0,"",SUMPRODUCT((Upload_Team_Team=$A$3)*(Upload_Team_Date=F$2)*(Upload_Team_Tm_Tot_Points)))</f>
        <v>34</v>
      </c>
      <c r="G3" s="5" cm="1">
        <f t="array" ref="G3">IF(SUMPRODUCT((Upload_Team_Team=$A$3)*(Upload_Team_Date=G$2)*(Upload_Team_Tm_Tot_Points))=0,"",SUMPRODUCT((Upload_Team_Team=$A$3)*(Upload_Team_Date=G$2)*(Upload_Team_Tm_Tot_Points)))</f>
        <v>31</v>
      </c>
      <c r="H3" s="5" cm="1">
        <f t="array" ref="H3">IF(SUMPRODUCT((Upload_Team_Team=$A$3)*(Upload_Team_Date=H$2)*(Upload_Team_Tm_Tot_Points))=0,"",SUMPRODUCT((Upload_Team_Team=$A$3)*(Upload_Team_Date=H$2)*(Upload_Team_Tm_Tot_Points)))</f>
        <v>26</v>
      </c>
      <c r="I3" s="5" cm="1">
        <f t="array" ref="I3">IF(SUMPRODUCT((Upload_Team_Team=$A$3)*(Upload_Team_Date=I$2)*(Upload_Team_Tm_Tot_Points))=0,"",SUMPRODUCT((Upload_Team_Team=$A$3)*(Upload_Team_Date=I$2)*(Upload_Team_Tm_Tot_Points)))</f>
        <v>51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23</v>
      </c>
      <c r="L3" s="5" cm="1">
        <f t="array" ref="L3">IF(SUMPRODUCT((Upload_Team_Team=$A$3)*(Upload_Team_Date=L$2)*(Upload_Team_Tm_Tot_Points))=0,"",SUMPRODUCT((Upload_Team_Team=$A$3)*(Upload_Team_Date=L$2)*(Upload_Team_Tm_Tot_Points)))</f>
        <v>41</v>
      </c>
      <c r="M3" s="5" cm="1">
        <f t="array" ref="M3">IF(SUMPRODUCT((Upload_Team_Team=$A$3)*(Upload_Team_Date=M$2)*(Upload_Team_Tm_Tot_Points))=0,"",SUMPRODUCT((Upload_Team_Team=$A$3)*(Upload_Team_Date=M$2)*(Upload_Team_Tm_Tot_Points)))</f>
        <v>40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32</v>
      </c>
      <c r="P3" s="5" cm="1">
        <f t="array" ref="P3">IF(SUMPRODUCT((Upload_Team_Team=$A$3)*(Upload_Team_Date=P$2)*(Upload_Team_Tm_Tot_Points))=0,"",SUMPRODUCT((Upload_Team_Team=$A$3)*(Upload_Team_Date=P$2)*(Upload_Team_Tm_Tot_Points)))</f>
        <v>42</v>
      </c>
      <c r="Q3" s="5" cm="1">
        <f t="array" ref="Q3">IF(SUMPRODUCT((Upload_Team_Team=$A$3)*(Upload_Team_Date=Q$2)*(Upload_Team_Tm_Tot_Points))=0,"",SUMPRODUCT((Upload_Team_Team=$A$3)*(Upload_Team_Date=Q$2)*(Upload_Team_Tm_Tot_Points)))</f>
        <v>33</v>
      </c>
      <c r="R3" s="5" cm="1">
        <f t="array" ref="R3">IF(SUMPRODUCT((Upload_Team_Team=$A$3)*(Upload_Team_Date=R$2)*(Upload_Team_Tm_Tot_Points))=0,"",SUMPRODUCT((Upload_Team_Team=$A$3)*(Upload_Team_Date=R$2)*(Upload_Team_Tm_Tot_Points)))</f>
        <v>37</v>
      </c>
      <c r="S3" s="5" cm="1">
        <f t="array" ref="S3">IF(SUMPRODUCT((Upload_Team_Team=$A$3)*(Upload_Team_Date=S$2)*(Upload_Team_Tm_Tot_Points))=0,"",SUMPRODUCT((Upload_Team_Team=$A$3)*(Upload_Team_Date=S$2)*(Upload_Team_Tm_Tot_Points)))</f>
        <v>46</v>
      </c>
      <c r="T3" s="5" cm="1">
        <f t="array" ref="T3">IF(SUMPRODUCT((Upload_Team_Team=$A$3)*(Upload_Team_Date=T$2)*(Upload_Team_Tm_Tot_Points))=0,"",SUMPRODUCT((Upload_Team_Team=$A$3)*(Upload_Team_Date=T$2)*(Upload_Team_Tm_Tot_Points)))</f>
        <v>4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168</v>
      </c>
      <c r="D4" s="7" cm="1">
        <f t="array" ref="D4">IF(SUMPRODUCT((Upload_Team_Team=$A$3)*(Upload_Team_Date=D$2)*(Upload_Team_Tm_Net))=0,"",SUMPRODUCT((Upload_Team_Team=$A$3)*(Upload_Team_Date=D$2)*(Upload_Team_Tm_Net)))</f>
        <v>174</v>
      </c>
      <c r="E4" s="7" cm="1">
        <f t="array" ref="E4">IF(SUMPRODUCT((Upload_Team_Team=$A$3)*(Upload_Team_Date=E$2)*(Upload_Team_Tm_Net))=0,"",SUMPRODUCT((Upload_Team_Team=$A$3)*(Upload_Team_Date=E$2)*(Upload_Team_Tm_Net)))</f>
        <v>172</v>
      </c>
      <c r="F4" s="7" cm="1">
        <f t="array" ref="F4">IF(SUMPRODUCT((Upload_Team_Team=$A$3)*(Upload_Team_Date=F$2)*(Upload_Team_Tm_Net))=0,"",SUMPRODUCT((Upload_Team_Team=$A$3)*(Upload_Team_Date=F$2)*(Upload_Team_Tm_Net)))</f>
        <v>159</v>
      </c>
      <c r="G4" s="7" cm="1">
        <f t="array" ref="G4">IF(SUMPRODUCT((Upload_Team_Team=$A$3)*(Upload_Team_Date=G$2)*(Upload_Team_Tm_Net))=0,"",SUMPRODUCT((Upload_Team_Team=$A$3)*(Upload_Team_Date=G$2)*(Upload_Team_Tm_Net)))</f>
        <v>174</v>
      </c>
      <c r="H4" s="7" cm="1">
        <f t="array" ref="H4">IF(SUMPRODUCT((Upload_Team_Team=$A$3)*(Upload_Team_Date=H$2)*(Upload_Team_Tm_Net))=0,"",SUMPRODUCT((Upload_Team_Team=$A$3)*(Upload_Team_Date=H$2)*(Upload_Team_Tm_Net)))</f>
        <v>182</v>
      </c>
      <c r="I4" s="7" cm="1">
        <f t="array" ref="I4">IF(SUMPRODUCT((Upload_Team_Team=$A$3)*(Upload_Team_Date=I$2)*(Upload_Team_Tm_Net))=0,"",SUMPRODUCT((Upload_Team_Team=$A$3)*(Upload_Team_Date=I$2)*(Upload_Team_Tm_Net)))</f>
        <v>160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162</v>
      </c>
      <c r="L4" s="7" cm="1">
        <f t="array" ref="L4">IF(SUMPRODUCT((Upload_Team_Team=$A$3)*(Upload_Team_Date=L$2)*(Upload_Team_Tm_Net))=0,"",SUMPRODUCT((Upload_Team_Team=$A$3)*(Upload_Team_Date=L$2)*(Upload_Team_Tm_Net)))</f>
        <v>152</v>
      </c>
      <c r="M4" s="7" cm="1">
        <f t="array" ref="M4">IF(SUMPRODUCT((Upload_Team_Team=$A$3)*(Upload_Team_Date=M$2)*(Upload_Team_Tm_Net))=0,"",SUMPRODUCT((Upload_Team_Team=$A$3)*(Upload_Team_Date=M$2)*(Upload_Team_Tm_Net)))</f>
        <v>150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170</v>
      </c>
      <c r="P4" s="7" cm="1">
        <f t="array" ref="P4">IF(SUMPRODUCT((Upload_Team_Team=$A$3)*(Upload_Team_Date=P$2)*(Upload_Team_Tm_Net))=0,"",SUMPRODUCT((Upload_Team_Team=$A$3)*(Upload_Team_Date=P$2)*(Upload_Team_Tm_Net)))</f>
        <v>150</v>
      </c>
      <c r="Q4" s="7" cm="1">
        <f t="array" ref="Q4">IF(SUMPRODUCT((Upload_Team_Team=$A$3)*(Upload_Team_Date=Q$2)*(Upload_Team_Tm_Net))=0,"",SUMPRODUCT((Upload_Team_Team=$A$3)*(Upload_Team_Date=Q$2)*(Upload_Team_Tm_Net)))</f>
        <v>73</v>
      </c>
      <c r="R4" s="7" cm="1">
        <f t="array" ref="R4">IF(SUMPRODUCT((Upload_Team_Team=$A$3)*(Upload_Team_Date=R$2)*(Upload_Team_Tm_Net))=0,"",SUMPRODUCT((Upload_Team_Team=$A$3)*(Upload_Team_Date=R$2)*(Upload_Team_Tm_Net)))</f>
        <v>160</v>
      </c>
      <c r="S4" s="7" cm="1">
        <f t="array" ref="S4">IF(SUMPRODUCT((Upload_Team_Team=$A$3)*(Upload_Team_Date=S$2)*(Upload_Team_Tm_Net))=0,"",SUMPRODUCT((Upload_Team_Team=$A$3)*(Upload_Team_Date=S$2)*(Upload_Team_Tm_Net)))</f>
        <v>155</v>
      </c>
      <c r="T4" s="7" cm="1">
        <f t="array" ref="T4">IF(SUMPRODUCT((Upload_Team_Team=$A$3)*(Upload_Team_Date=T$2)*(Upload_Team_Tm_Net))=0,"",SUMPRODUCT((Upload_Team_Team=$A$3)*(Upload_Team_Date=T$2)*(Upload_Team_Tm_Net)))</f>
        <v>135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03" t="s">
        <v>315</v>
      </c>
      <c r="B5" s="3" t="s">
        <v>170</v>
      </c>
      <c r="C5" s="3" cm="1">
        <f t="array" ref="C5">IF(SUMPRODUCT((Upload_Indiv_Player=$A5)*(Upload_Indiv_Date=C$2)*(Upload_Indiv_Gross))=0,"",SUMPRODUCT((Upload_Indiv_Player=$A5)*(Upload_Indiv_Date=C$2)*(Upload_Indiv_Gross)))</f>
        <v>54</v>
      </c>
      <c r="D5" s="3" t="str" cm="1">
        <f t="array" ref="D5">IF(SUMPRODUCT((Upload_Indiv_Player=$A5)*(Upload_Indiv_Date=D$2)*(Upload_Indiv_Gross))=0,"",SUMPRODUCT((Upload_Indiv_Player=$A5)*(Upload_Indiv_Date=D$2)*(Upload_Indiv_Gross)))</f>
        <v/>
      </c>
      <c r="E5" s="3" t="str" cm="1">
        <f t="array" ref="E5">IF(SUMPRODUCT((Upload_Indiv_Player=$A5)*(Upload_Indiv_Date=E$2)*(Upload_Indiv_Gross))=0,"",SUMPRODUCT((Upload_Indiv_Player=$A5)*(Upload_Indiv_Date=E$2)*(Upload_Indiv_Gross)))</f>
        <v/>
      </c>
      <c r="F5" s="3" t="str" cm="1">
        <f t="array" ref="F5">IF(SUMPRODUCT((Upload_Indiv_Player=$A5)*(Upload_Indiv_Date=F$2)*(Upload_Indiv_Gross))=0,"",SUMPRODUCT((Upload_Indiv_Player=$A5)*(Upload_Indiv_Date=F$2)*(Upload_Indiv_Gross)))</f>
        <v/>
      </c>
      <c r="G5" s="3" cm="1">
        <f t="array" ref="G5">IF(SUMPRODUCT((Upload_Indiv_Player=$A5)*(Upload_Indiv_Date=G$2)*(Upload_Indiv_Gross))=0,"",SUMPRODUCT((Upload_Indiv_Player=$A5)*(Upload_Indiv_Date=G$2)*(Upload_Indiv_Gross)))</f>
        <v>56</v>
      </c>
      <c r="H5" s="3" cm="1">
        <f t="array" ref="H5">IF(SUMPRODUCT((Upload_Indiv_Player=$A5)*(Upload_Indiv_Date=H$2)*(Upload_Indiv_Gross))=0,"",SUMPRODUCT((Upload_Indiv_Player=$A5)*(Upload_Indiv_Date=H$2)*(Upload_Indiv_Gross)))</f>
        <v>59</v>
      </c>
      <c r="I5" s="3" cm="1">
        <f t="array" ref="I5">IF(SUMPRODUCT((Upload_Indiv_Player=$A5)*(Upload_Indiv_Date=I$2)*(Upload_Indiv_Gross))=0,"",SUMPRODUCT((Upload_Indiv_Player=$A5)*(Upload_Indiv_Date=I$2)*(Upload_Indiv_Gross)))</f>
        <v>61</v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t="str" cm="1">
        <f t="array" ref="K5">IF(SUMPRODUCT((Upload_Indiv_Player=$A5)*(Upload_Indiv_Date=K$2)*(Upload_Indiv_Gross))=0,"",SUMPRODUCT((Upload_Indiv_Player=$A5)*(Upload_Indiv_Date=K$2)*(Upload_Indiv_Gross)))</f>
        <v/>
      </c>
      <c r="L5" s="3" cm="1">
        <f t="array" ref="L5">IF(SUMPRODUCT((Upload_Indiv_Player=$A5)*(Upload_Indiv_Date=L$2)*(Upload_Indiv_Gross))=0,"",SUMPRODUCT((Upload_Indiv_Player=$A5)*(Upload_Indiv_Date=L$2)*(Upload_Indiv_Gross)))</f>
        <v>54</v>
      </c>
      <c r="M5" s="3" cm="1">
        <f t="array" ref="M5">IF(SUMPRODUCT((Upload_Indiv_Player=$A5)*(Upload_Indiv_Date=M$2)*(Upload_Indiv_Gross))=0,"",SUMPRODUCT((Upload_Indiv_Player=$A5)*(Upload_Indiv_Date=M$2)*(Upload_Indiv_Gross)))</f>
        <v>55</v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cm="1">
        <f t="array" ref="O5">IF(SUMPRODUCT((Upload_Indiv_Player=$A5)*(Upload_Indiv_Date=O$2)*(Upload_Indiv_Gross))=0,"",SUMPRODUCT((Upload_Indiv_Player=$A5)*(Upload_Indiv_Date=O$2)*(Upload_Indiv_Gross)))</f>
        <v>59</v>
      </c>
      <c r="P5" s="3" cm="1">
        <f t="array" ref="P5">IF(SUMPRODUCT((Upload_Indiv_Player=$A5)*(Upload_Indiv_Date=P$2)*(Upload_Indiv_Gross))=0,"",SUMPRODUCT((Upload_Indiv_Player=$A5)*(Upload_Indiv_Date=P$2)*(Upload_Indiv_Gross)))</f>
        <v>56</v>
      </c>
      <c r="Q5" s="3" t="str" cm="1">
        <f t="array" ref="Q5">IF(SUMPRODUCT((Upload_Indiv_Player=$A5)*(Upload_Indiv_Date=Q$2)*(Upload_Indiv_Gross))=0,"",SUMPRODUCT((Upload_Indiv_Player=$A5)*(Upload_Indiv_Date=Q$2)*(Upload_Indiv_Gross)))</f>
        <v/>
      </c>
      <c r="R5" s="3" cm="1">
        <f t="array" ref="R5">IF(SUMPRODUCT((Upload_Indiv_Player=$A5)*(Upload_Indiv_Date=R$2)*(Upload_Indiv_Gross))=0,"",SUMPRODUCT((Upload_Indiv_Player=$A5)*(Upload_Indiv_Date=R$2)*(Upload_Indiv_Gross)))</f>
        <v>56</v>
      </c>
      <c r="S5" s="3" cm="1">
        <f t="array" ref="S5">IF(SUMPRODUCT((Upload_Indiv_Player=$A5)*(Upload_Indiv_Date=S$2)*(Upload_Indiv_Gross))=0,"",SUMPRODUCT((Upload_Indiv_Player=$A5)*(Upload_Indiv_Date=S$2)*(Upload_Indiv_Gross)))</f>
        <v>52</v>
      </c>
      <c r="T5" s="3" t="str" cm="1">
        <f t="array" ref="T5">IF(SUMPRODUCT((Upload_Indiv_Player=$A5)*(Upload_Indiv_Date=T$2)*(Upload_Indiv_Gross))=0,"",SUMPRODUCT((Upload_Indiv_Player=$A5)*(Upload_Indiv_Date=T$2)*(Upload_Indiv_Gross)))</f>
        <v/>
      </c>
      <c r="U5" s="3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12</v>
      </c>
      <c r="W5" s="273">
        <v>9</v>
      </c>
      <c r="X5" s="273">
        <v>9</v>
      </c>
      <c r="Y5" s="277">
        <v>0</v>
      </c>
      <c r="Z5" s="277">
        <v>0</v>
      </c>
      <c r="AA5" s="277">
        <v>0</v>
      </c>
    </row>
    <row r="6" spans="1:27" x14ac:dyDescent="0.25">
      <c r="A6" s="304">
        <v>3304952692</v>
      </c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39</v>
      </c>
      <c r="D6" s="2" t="str" cm="1">
        <f t="array" ref="D6">IF(SUMPRODUCT((Upload_Indiv_Player=$A5)*(Upload_Indiv_Date=D$2)*(Upload_Indiv_Net))=0,"",SUMPRODUCT((Upload_Indiv_Player=$A5)*(Upload_Indiv_Date=D$2)*(Upload_Indiv_Net)))</f>
        <v/>
      </c>
      <c r="E6" s="2" t="str" cm="1">
        <f t="array" ref="E6">IF(SUMPRODUCT((Upload_Indiv_Player=$A5)*(Upload_Indiv_Date=E$2)*(Upload_Indiv_Net))=0,"",SUMPRODUCT((Upload_Indiv_Player=$A5)*(Upload_Indiv_Date=E$2)*(Upload_Indiv_Net)))</f>
        <v/>
      </c>
      <c r="F6" s="2" t="str" cm="1">
        <f t="array" ref="F6">IF(SUMPRODUCT((Upload_Indiv_Player=$A5)*(Upload_Indiv_Date=F$2)*(Upload_Indiv_Net))=0,"",SUMPRODUCT((Upload_Indiv_Player=$A5)*(Upload_Indiv_Date=F$2)*(Upload_Indiv_Net)))</f>
        <v/>
      </c>
      <c r="G6" s="2" cm="1">
        <f t="array" ref="G6">IF(SUMPRODUCT((Upload_Indiv_Player=$A5)*(Upload_Indiv_Date=G$2)*(Upload_Indiv_Net))=0,"",SUMPRODUCT((Upload_Indiv_Player=$A5)*(Upload_Indiv_Date=G$2)*(Upload_Indiv_Net)))</f>
        <v>41</v>
      </c>
      <c r="H6" s="2" cm="1">
        <f t="array" ref="H6">IF(SUMPRODUCT((Upload_Indiv_Player=$A5)*(Upload_Indiv_Date=H$2)*(Upload_Indiv_Net))=0,"",SUMPRODUCT((Upload_Indiv_Player=$A5)*(Upload_Indiv_Date=H$2)*(Upload_Indiv_Net)))</f>
        <v>44</v>
      </c>
      <c r="I6" s="2" cm="1">
        <f t="array" ref="I6">IF(SUMPRODUCT((Upload_Indiv_Player=$A5)*(Upload_Indiv_Date=I$2)*(Upload_Indiv_Net))=0,"",SUMPRODUCT((Upload_Indiv_Player=$A5)*(Upload_Indiv_Date=I$2)*(Upload_Indiv_Net)))</f>
        <v>46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t="str" cm="1">
        <f t="array" ref="K6">IF(SUMPRODUCT((Upload_Indiv_Player=$A5)*(Upload_Indiv_Date=K$2)*(Upload_Indiv_Net))=0,"",SUMPRODUCT((Upload_Indiv_Player=$A5)*(Upload_Indiv_Date=K$2)*(Upload_Indiv_Net)))</f>
        <v/>
      </c>
      <c r="L6" s="2" cm="1">
        <f t="array" ref="L6">IF(SUMPRODUCT((Upload_Indiv_Player=$A5)*(Upload_Indiv_Date=L$2)*(Upload_Indiv_Net))=0,"",SUMPRODUCT((Upload_Indiv_Player=$A5)*(Upload_Indiv_Date=L$2)*(Upload_Indiv_Net)))</f>
        <v>38</v>
      </c>
      <c r="M6" s="2" cm="1">
        <f t="array" ref="M6">IF(SUMPRODUCT((Upload_Indiv_Player=$A5)*(Upload_Indiv_Date=M$2)*(Upload_Indiv_Net))=0,"",SUMPRODUCT((Upload_Indiv_Player=$A5)*(Upload_Indiv_Date=M$2)*(Upload_Indiv_Net)))</f>
        <v>39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42</v>
      </c>
      <c r="P6" s="2" cm="1">
        <f t="array" ref="P6">IF(SUMPRODUCT((Upload_Indiv_Player=$A5)*(Upload_Indiv_Date=P$2)*(Upload_Indiv_Net))=0,"",SUMPRODUCT((Upload_Indiv_Player=$A5)*(Upload_Indiv_Date=P$2)*(Upload_Indiv_Net)))</f>
        <v>38</v>
      </c>
      <c r="Q6" s="2" t="str" cm="1">
        <f t="array" ref="Q6">IF(SUMPRODUCT((Upload_Indiv_Player=$A5)*(Upload_Indiv_Date=Q$2)*(Upload_Indiv_Net))=0,"",SUMPRODUCT((Upload_Indiv_Player=$A5)*(Upload_Indiv_Date=Q$2)*(Upload_Indiv_Net)))</f>
        <v/>
      </c>
      <c r="R6" s="2" cm="1">
        <f t="array" ref="R6">IF(SUMPRODUCT((Upload_Indiv_Player=$A5)*(Upload_Indiv_Date=R$2)*(Upload_Indiv_Net))=0,"",SUMPRODUCT((Upload_Indiv_Player=$A5)*(Upload_Indiv_Date=R$2)*(Upload_Indiv_Net)))</f>
        <v>38</v>
      </c>
      <c r="S6" s="2" cm="1">
        <f t="array" ref="S6">IF(SUMPRODUCT((Upload_Indiv_Player=$A5)*(Upload_Indiv_Date=S$2)*(Upload_Indiv_Net))=0,"",SUMPRODUCT((Upload_Indiv_Player=$A5)*(Upload_Indiv_Date=S$2)*(Upload_Indiv_Net)))</f>
        <v>34</v>
      </c>
      <c r="T6" s="2" t="str" cm="1">
        <f t="array" ref="T6">IF(SUMPRODUCT((Upload_Indiv_Player=$A5)*(Upload_Indiv_Date=T$2)*(Upload_Indiv_Net))=0,"",SUMPRODUCT((Upload_Indiv_Player=$A5)*(Upload_Indiv_Date=T$2)*(Upload_Indiv_Net)))</f>
        <v/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>
        <v>53.17</v>
      </c>
      <c r="W6" s="276"/>
      <c r="X6" s="276"/>
      <c r="Y6" s="277"/>
      <c r="Z6" s="277"/>
      <c r="AA6" s="277"/>
    </row>
    <row r="7" spans="1:27" x14ac:dyDescent="0.25">
      <c r="A7" s="305" t="s">
        <v>316</v>
      </c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17</v>
      </c>
      <c r="D7" s="2" t="str" cm="1">
        <f t="array" ref="D7">IF(SUMPRODUCT((Upload_Indiv_Player=$A5)*(Upload_Indiv_Date=D$2)*(Upload_Indiv_PointsTot))=0,"",SUMPRODUCT((Upload_Indiv_Player=$A5)*(Upload_Indiv_Date=D$2)*(Upload_Indiv_PointsTot)))</f>
        <v/>
      </c>
      <c r="E7" s="2" t="str" cm="1">
        <f t="array" ref="E7">IF(SUMPRODUCT((Upload_Indiv_Player=$A5)*(Upload_Indiv_Date=E$2)*(Upload_Indiv_PointsTot))=0,"",SUMPRODUCT((Upload_Indiv_Player=$A5)*(Upload_Indiv_Date=E$2)*(Upload_Indiv_PointsTot)))</f>
        <v/>
      </c>
      <c r="F7" s="2" t="str" cm="1">
        <f t="array" ref="F7">IF(SUMPRODUCT((Upload_Indiv_Player=$A5)*(Upload_Indiv_Date=F$2)*(Upload_Indiv_PointsTot))=0,"",SUMPRODUCT((Upload_Indiv_Player=$A5)*(Upload_Indiv_Date=F$2)*(Upload_Indiv_PointsTot)))</f>
        <v/>
      </c>
      <c r="G7" s="2" cm="1">
        <f t="array" ref="G7">IF(SUMPRODUCT((Upload_Indiv_Player=$A5)*(Upload_Indiv_Date=G$2)*(Upload_Indiv_PointsTot))=0,"",SUMPRODUCT((Upload_Indiv_Player=$A5)*(Upload_Indiv_Date=G$2)*(Upload_Indiv_PointsTot)))</f>
        <v>12</v>
      </c>
      <c r="H7" s="2" cm="1">
        <f t="array" ref="H7">IF(SUMPRODUCT((Upload_Indiv_Player=$A5)*(Upload_Indiv_Date=H$2)*(Upload_Indiv_PointsTot))=0,"",SUMPRODUCT((Upload_Indiv_Player=$A5)*(Upload_Indiv_Date=H$2)*(Upload_Indiv_PointsTot)))</f>
        <v>5</v>
      </c>
      <c r="I7" s="2" cm="1">
        <f t="array" ref="I7">IF(SUMPRODUCT((Upload_Indiv_Player=$A5)*(Upload_Indiv_Date=I$2)*(Upload_Indiv_PointsTot))=0,"",SUMPRODUCT((Upload_Indiv_Player=$A5)*(Upload_Indiv_Date=I$2)*(Upload_Indiv_PointsTot)))</f>
        <v>7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t="str" cm="1">
        <f t="array" ref="K7">IF(SUMPRODUCT((Upload_Indiv_Player=$A5)*(Upload_Indiv_Date=K$2)*(Upload_Indiv_PointsTot))=0,"",SUMPRODUCT((Upload_Indiv_Player=$A5)*(Upload_Indiv_Date=K$2)*(Upload_Indiv_PointsTot)))</f>
        <v/>
      </c>
      <c r="L7" s="2" cm="1">
        <f t="array" ref="L7">IF(SUMPRODUCT((Upload_Indiv_Player=$A5)*(Upload_Indiv_Date=L$2)*(Upload_Indiv_PointsTot))=0,"",SUMPRODUCT((Upload_Indiv_Player=$A5)*(Upload_Indiv_Date=L$2)*(Upload_Indiv_PointsTot)))</f>
        <v>11</v>
      </c>
      <c r="M7" s="2" cm="1">
        <f t="array" ref="M7">IF(SUMPRODUCT((Upload_Indiv_Player=$A5)*(Upload_Indiv_Date=M$2)*(Upload_Indiv_PointsTot))=0,"",SUMPRODUCT((Upload_Indiv_Player=$A5)*(Upload_Indiv_Date=M$2)*(Upload_Indiv_PointsTot)))</f>
        <v>9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9</v>
      </c>
      <c r="P7" s="2" cm="1">
        <f t="array" ref="P7">IF(SUMPRODUCT((Upload_Indiv_Player=$A5)*(Upload_Indiv_Date=P$2)*(Upload_Indiv_PointsTot))=0,"",SUMPRODUCT((Upload_Indiv_Player=$A5)*(Upload_Indiv_Date=P$2)*(Upload_Indiv_PointsTot)))</f>
        <v>13</v>
      </c>
      <c r="Q7" s="2" t="str" cm="1">
        <f t="array" ref="Q7">IF(SUMPRODUCT((Upload_Indiv_Player=$A5)*(Upload_Indiv_Date=Q$2)*(Upload_Indiv_PointsTot))=0,"",SUMPRODUCT((Upload_Indiv_Player=$A5)*(Upload_Indiv_Date=Q$2)*(Upload_Indiv_PointsTot)))</f>
        <v/>
      </c>
      <c r="R7" s="2" cm="1">
        <f t="array" ref="R7">IF(SUMPRODUCT((Upload_Indiv_Player=$A5)*(Upload_Indiv_Date=R$2)*(Upload_Indiv_PointsTot))=0,"",SUMPRODUCT((Upload_Indiv_Player=$A5)*(Upload_Indiv_Date=R$2)*(Upload_Indiv_PointsTot)))</f>
        <v>11</v>
      </c>
      <c r="S7" s="2" cm="1">
        <f t="array" ref="S7">IF(SUMPRODUCT((Upload_Indiv_Player=$A5)*(Upload_Indiv_Date=S$2)*(Upload_Indiv_PointsTot))=0,"",SUMPRODUCT((Upload_Indiv_Player=$A5)*(Upload_Indiv_Date=S$2)*(Upload_Indiv_PointsTot)))</f>
        <v>16</v>
      </c>
      <c r="T7" s="2" t="str" cm="1">
        <f t="array" ref="T7">IF(SUMPRODUCT((Upload_Indiv_Player=$A5)*(Upload_Indiv_Date=T$2)*(Upload_Indiv_PointsTot))=0,"",SUMPRODUCT((Upload_Indiv_Player=$A5)*(Upload_Indiv_Date=T$2)*(Upload_Indiv_PointsTot)))</f>
        <v/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3"/>
      <c r="W8" s="273"/>
      <c r="X8" s="273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t="str" cm="1">
        <f t="array" ref="Q10">IF(SUMPRODUCT((Upload_Indiv_Player=$A5)*(Upload_Indiv_Date=Q$2)*(Upload_Indiv_Excl_Score))=0,"",SUMPRODUCT((Upload_Indiv_Player=$A5)*(Upload_Indiv_Date=Q$2)*(Upload_Indiv_Excl_Score)))</f>
        <v/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cm="1">
        <f t="array" ref="T10">IF(SUMPRODUCT((Upload_Indiv_Player=$A5)*(Upload_Indiv_Date=T$2)*(Upload_Indiv_Excl_Score))=0,"",SUMPRODUCT((Upload_Indiv_Player=$A5)*(Upload_Indiv_Date=T$2)*(Upload_Indiv_Excl_Score)))</f>
        <v>1</v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w</v>
      </c>
      <c r="D11" s="58" t="str">
        <f t="shared" ref="D11:S11" si="1">IF(D5="", "", IF(D7&gt;=11, "w", IF(D7&lt;=9, "l", "t")))</f>
        <v/>
      </c>
      <c r="E11" s="58" t="str">
        <f t="shared" si="1"/>
        <v/>
      </c>
      <c r="F11" s="58" t="str">
        <f t="shared" si="1"/>
        <v/>
      </c>
      <c r="G11" s="58" t="str">
        <f t="shared" si="1"/>
        <v>w</v>
      </c>
      <c r="H11" s="58" t="str">
        <f t="shared" si="1"/>
        <v>l</v>
      </c>
      <c r="I11" s="58" t="str">
        <f t="shared" si="1"/>
        <v>l</v>
      </c>
      <c r="J11" s="58" t="str">
        <f t="shared" si="1"/>
        <v/>
      </c>
      <c r="K11" s="58" t="str">
        <f t="shared" si="1"/>
        <v/>
      </c>
      <c r="L11" s="58" t="str">
        <f t="shared" si="1"/>
        <v>w</v>
      </c>
      <c r="M11" s="58" t="str">
        <f t="shared" si="1"/>
        <v>l</v>
      </c>
      <c r="N11" s="58" t="str">
        <f t="shared" si="1"/>
        <v/>
      </c>
      <c r="O11" s="58" t="str">
        <f t="shared" si="1"/>
        <v>l</v>
      </c>
      <c r="P11" s="58" t="str">
        <f t="shared" si="1"/>
        <v>w</v>
      </c>
      <c r="Q11" s="58" t="str">
        <f t="shared" si="1"/>
        <v/>
      </c>
      <c r="R11" s="58" t="str">
        <f t="shared" si="1"/>
        <v>w</v>
      </c>
      <c r="S11" s="58" t="str">
        <f t="shared" si="1"/>
        <v>w</v>
      </c>
      <c r="T11" s="58" t="str">
        <f>IF(T5="", "", IF(T7&gt;=11, "w", IF(T7&lt;=9, "l", "t")))</f>
        <v/>
      </c>
      <c r="U11" s="58" t="str">
        <f>IF(U5="", "", IF(U7&gt;=11, "w", IF(U7&lt;=9, "l", "t")))</f>
        <v/>
      </c>
      <c r="V11" s="276"/>
      <c r="W11" s="276"/>
      <c r="X11" s="276"/>
      <c r="Y11" s="277"/>
      <c r="Z11" s="277"/>
      <c r="AA11" s="277"/>
    </row>
    <row r="12" spans="1:27" x14ac:dyDescent="0.25">
      <c r="A12" s="303" t="s">
        <v>317</v>
      </c>
      <c r="B12" s="3" t="s">
        <v>170</v>
      </c>
      <c r="C12" s="3" cm="1">
        <f t="array" ref="C12">IF(SUMPRODUCT((Upload_Indiv_Player=$A12)*(Upload_Indiv_Date=C$2)*(Upload_Indiv_Gross))=0,"",SUMPRODUCT((Upload_Indiv_Player=$A12)*(Upload_Indiv_Date=C$2)*(Upload_Indiv_Gross)))</f>
        <v>59</v>
      </c>
      <c r="D12" s="3" t="str" cm="1">
        <f t="array" ref="D12">IF(SUMPRODUCT((Upload_Indiv_Player=$A12)*(Upload_Indiv_Date=D$2)*(Upload_Indiv_Gross))=0,"",SUMPRODUCT((Upload_Indiv_Player=$A12)*(Upload_Indiv_Date=D$2)*(Upload_Indiv_Gross)))</f>
        <v/>
      </c>
      <c r="E12" s="3" cm="1">
        <f t="array" ref="E12">IF(SUMPRODUCT((Upload_Indiv_Player=$A12)*(Upload_Indiv_Date=E$2)*(Upload_Indiv_Gross))=0,"",SUMPRODUCT((Upload_Indiv_Player=$A12)*(Upload_Indiv_Date=E$2)*(Upload_Indiv_Gross)))</f>
        <v>64</v>
      </c>
      <c r="F12" s="3" t="str" cm="1">
        <f t="array" ref="F12">IF(SUMPRODUCT((Upload_Indiv_Player=$A12)*(Upload_Indiv_Date=F$2)*(Upload_Indiv_Gross))=0,"",SUMPRODUCT((Upload_Indiv_Player=$A12)*(Upload_Indiv_Date=F$2)*(Upload_Indiv_Gross)))</f>
        <v/>
      </c>
      <c r="G12" s="3" cm="1">
        <f t="array" ref="G12">IF(SUMPRODUCT((Upload_Indiv_Player=$A12)*(Upload_Indiv_Date=G$2)*(Upload_Indiv_Gross))=0,"",SUMPRODUCT((Upload_Indiv_Player=$A12)*(Upload_Indiv_Date=G$2)*(Upload_Indiv_Gross)))</f>
        <v>58</v>
      </c>
      <c r="H12" s="3" cm="1">
        <f t="array" ref="H12">IF(SUMPRODUCT((Upload_Indiv_Player=$A12)*(Upload_Indiv_Date=H$2)*(Upload_Indiv_Gross))=0,"",SUMPRODUCT((Upload_Indiv_Player=$A12)*(Upload_Indiv_Date=H$2)*(Upload_Indiv_Gross)))</f>
        <v>58</v>
      </c>
      <c r="I12" s="3" t="str" cm="1">
        <f t="array" ref="I12">IF(SUMPRODUCT((Upload_Indiv_Player=$A12)*(Upload_Indiv_Date=I$2)*(Upload_Indiv_Gross))=0,"",SUMPRODUCT((Upload_Indiv_Player=$A12)*(Upload_Indiv_Date=I$2)*(Upload_Indiv_Gross)))</f>
        <v/>
      </c>
      <c r="J12" s="3" t="str" cm="1">
        <f t="array" ref="J12">IF(SUMPRODUCT((Upload_Indiv_Player=$A12)*(Upload_Indiv_Date=J$2)*(Upload_Indiv_Gross))=0,"",SUMPRODUCT((Upload_Indiv_Player=$A12)*(Upload_Indiv_Date=J$2)*(Upload_Indiv_Gross)))</f>
        <v/>
      </c>
      <c r="K12" s="3" cm="1">
        <f t="array" ref="K12">IF(SUMPRODUCT((Upload_Indiv_Player=$A12)*(Upload_Indiv_Date=K$2)*(Upload_Indiv_Gross))=0,"",SUMPRODUCT((Upload_Indiv_Player=$A12)*(Upload_Indiv_Date=K$2)*(Upload_Indiv_Gross)))</f>
        <v>58</v>
      </c>
      <c r="L12" s="3" cm="1">
        <f t="array" ref="L12">IF(SUMPRODUCT((Upload_Indiv_Player=$A12)*(Upload_Indiv_Date=L$2)*(Upload_Indiv_Gross))=0,"",SUMPRODUCT((Upload_Indiv_Player=$A12)*(Upload_Indiv_Date=L$2)*(Upload_Indiv_Gross)))</f>
        <v>54</v>
      </c>
      <c r="M12" s="3" cm="1">
        <f t="array" ref="M12">IF(SUMPRODUCT((Upload_Indiv_Player=$A12)*(Upload_Indiv_Date=M$2)*(Upload_Indiv_Gross))=0,"",SUMPRODUCT((Upload_Indiv_Player=$A12)*(Upload_Indiv_Date=M$2)*(Upload_Indiv_Gross)))</f>
        <v>57</v>
      </c>
      <c r="N12" s="3" t="str" cm="1">
        <f t="array" ref="N12">IF(SUMPRODUCT((Upload_Indiv_Player=$A12)*(Upload_Indiv_Date=N$2)*(Upload_Indiv_Gross))=0,"",SUMPRODUCT((Upload_Indiv_Player=$A12)*(Upload_Indiv_Date=N$2)*(Upload_Indiv_Gross)))</f>
        <v/>
      </c>
      <c r="O12" s="3" cm="1">
        <f t="array" ref="O12">IF(SUMPRODUCT((Upload_Indiv_Player=$A12)*(Upload_Indiv_Date=O$2)*(Upload_Indiv_Gross))=0,"",SUMPRODUCT((Upload_Indiv_Player=$A12)*(Upload_Indiv_Date=O$2)*(Upload_Indiv_Gross)))</f>
        <v>61</v>
      </c>
      <c r="P12" s="3" cm="1">
        <f t="array" ref="P12">IF(SUMPRODUCT((Upload_Indiv_Player=$A12)*(Upload_Indiv_Date=P$2)*(Upload_Indiv_Gross))=0,"",SUMPRODUCT((Upload_Indiv_Player=$A12)*(Upload_Indiv_Date=P$2)*(Upload_Indiv_Gross)))</f>
        <v>51</v>
      </c>
      <c r="Q12" s="2" cm="1">
        <f t="array" ref="Q12">IF(SUMPRODUCT((Upload_Indiv_Player=$A12)*(Upload_Indiv_Date=Q$2)*(Upload_Indiv_Gross))=0,"",SUMPRODUCT((Upload_Indiv_Player=$A12)*(Upload_Indiv_Date=Q$2)*(Upload_Indiv_Gross)))</f>
        <v>44</v>
      </c>
      <c r="R12" s="2" cm="1">
        <f t="array" ref="R12">IF(SUMPRODUCT((Upload_Indiv_Player=$A12)*(Upload_Indiv_Date=R$2)*(Upload_Indiv_Gross))=0,"",SUMPRODUCT((Upload_Indiv_Player=$A12)*(Upload_Indiv_Date=R$2)*(Upload_Indiv_Gross)))</f>
        <v>62</v>
      </c>
      <c r="S12" s="2" cm="1">
        <f t="array" ref="S12">IF(SUMPRODUCT((Upload_Indiv_Player=$A12)*(Upload_Indiv_Date=S$2)*(Upload_Indiv_Gross))=0,"",SUMPRODUCT((Upload_Indiv_Player=$A12)*(Upload_Indiv_Date=S$2)*(Upload_Indiv_Gross)))</f>
        <v>62</v>
      </c>
      <c r="T12" s="2" t="str" cm="1">
        <f t="array" ref="T12">IF(SUMPRODUCT((Upload_Indiv_Player=$A12)*(Upload_Indiv_Date=T$2)*(Upload_Indiv_Gross))=0,"",SUMPRODUCT((Upload_Indiv_Player=$A12)*(Upload_Indiv_Date=T$2)*(Upload_Indiv_Gross)))</f>
        <v/>
      </c>
      <c r="U12" s="2" t="str" cm="1">
        <f t="array" ref="U12">IF(SUMPRODUCT((Upload_Indiv_Player=$A12)*(Upload_Indiv_Date=U$2)*(Upload_Indiv_Gross))=0,"",SUMPRODUCT((Upload_Indiv_Player=$A12)*(Upload_Indiv_Date=U$2)*(Upload_Indiv_Gross)))</f>
        <v/>
      </c>
      <c r="V12" s="273">
        <v>12</v>
      </c>
      <c r="W12" s="273">
        <v>10</v>
      </c>
      <c r="X12" s="273">
        <v>10</v>
      </c>
      <c r="Y12" s="277">
        <v>0</v>
      </c>
      <c r="Z12" s="277">
        <v>0</v>
      </c>
      <c r="AA12" s="277">
        <v>0</v>
      </c>
    </row>
    <row r="13" spans="1:27" x14ac:dyDescent="0.25">
      <c r="A13" s="304">
        <v>3302658898</v>
      </c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43</v>
      </c>
      <c r="D13" s="2" t="str" cm="1">
        <f t="array" ref="D13">IF(SUMPRODUCT((Upload_Indiv_Player=$A12)*(Upload_Indiv_Date=D$2)*(Upload_Indiv_Net))=0,"",SUMPRODUCT((Upload_Indiv_Player=$A12)*(Upload_Indiv_Date=D$2)*(Upload_Indiv_Net)))</f>
        <v/>
      </c>
      <c r="E13" s="2" cm="1">
        <f t="array" ref="E13">IF(SUMPRODUCT((Upload_Indiv_Player=$A12)*(Upload_Indiv_Date=E$2)*(Upload_Indiv_Net))=0,"",SUMPRODUCT((Upload_Indiv_Player=$A12)*(Upload_Indiv_Date=E$2)*(Upload_Indiv_Net)))</f>
        <v>48</v>
      </c>
      <c r="F13" s="2" t="str" cm="1">
        <f t="array" ref="F13">IF(SUMPRODUCT((Upload_Indiv_Player=$A12)*(Upload_Indiv_Date=F$2)*(Upload_Indiv_Net))=0,"",SUMPRODUCT((Upload_Indiv_Player=$A12)*(Upload_Indiv_Date=F$2)*(Upload_Indiv_Net)))</f>
        <v/>
      </c>
      <c r="G13" s="2" cm="1">
        <f t="array" ref="G13">IF(SUMPRODUCT((Upload_Indiv_Player=$A12)*(Upload_Indiv_Date=G$2)*(Upload_Indiv_Net))=0,"",SUMPRODUCT((Upload_Indiv_Player=$A12)*(Upload_Indiv_Date=G$2)*(Upload_Indiv_Net)))</f>
        <v>42</v>
      </c>
      <c r="H13" s="2" cm="1">
        <f t="array" ref="H13">IF(SUMPRODUCT((Upload_Indiv_Player=$A12)*(Upload_Indiv_Date=H$2)*(Upload_Indiv_Net))=0,"",SUMPRODUCT((Upload_Indiv_Player=$A12)*(Upload_Indiv_Date=H$2)*(Upload_Indiv_Net)))</f>
        <v>41</v>
      </c>
      <c r="I13" s="2" t="str" cm="1">
        <f t="array" ref="I13">IF(SUMPRODUCT((Upload_Indiv_Player=$A12)*(Upload_Indiv_Date=I$2)*(Upload_Indiv_Net))=0,"",SUMPRODUCT((Upload_Indiv_Player=$A12)*(Upload_Indiv_Date=I$2)*(Upload_Indiv_Net)))</f>
        <v/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41</v>
      </c>
      <c r="L13" s="2" cm="1">
        <f t="array" ref="L13">IF(SUMPRODUCT((Upload_Indiv_Player=$A12)*(Upload_Indiv_Date=L$2)*(Upload_Indiv_Net))=0,"",SUMPRODUCT((Upload_Indiv_Player=$A12)*(Upload_Indiv_Date=L$2)*(Upload_Indiv_Net)))</f>
        <v>36</v>
      </c>
      <c r="M13" s="2" cm="1">
        <f t="array" ref="M13">IF(SUMPRODUCT((Upload_Indiv_Player=$A12)*(Upload_Indiv_Date=M$2)*(Upload_Indiv_Net))=0,"",SUMPRODUCT((Upload_Indiv_Player=$A12)*(Upload_Indiv_Date=M$2)*(Upload_Indiv_Net)))</f>
        <v>40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43</v>
      </c>
      <c r="P13" s="2" cm="1">
        <f t="array" ref="P13">IF(SUMPRODUCT((Upload_Indiv_Player=$A12)*(Upload_Indiv_Date=P$2)*(Upload_Indiv_Net))=0,"",SUMPRODUCT((Upload_Indiv_Player=$A12)*(Upload_Indiv_Date=P$2)*(Upload_Indiv_Net)))</f>
        <v>33</v>
      </c>
      <c r="Q13" s="2" cm="1">
        <f t="array" ref="Q13">IF(SUMPRODUCT((Upload_Indiv_Player=$A12)*(Upload_Indiv_Date=Q$2)*(Upload_Indiv_Net))=0,"",SUMPRODUCT((Upload_Indiv_Player=$A12)*(Upload_Indiv_Date=Q$2)*(Upload_Indiv_Net)))</f>
        <v>26</v>
      </c>
      <c r="R13" s="2" cm="1">
        <f t="array" ref="R13">IF(SUMPRODUCT((Upload_Indiv_Player=$A12)*(Upload_Indiv_Date=R$2)*(Upload_Indiv_Net))=0,"",SUMPRODUCT((Upload_Indiv_Player=$A12)*(Upload_Indiv_Date=R$2)*(Upload_Indiv_Net)))</f>
        <v>44</v>
      </c>
      <c r="S13" s="2" cm="1">
        <f t="array" ref="S13">IF(SUMPRODUCT((Upload_Indiv_Player=$A12)*(Upload_Indiv_Date=S$2)*(Upload_Indiv_Net))=0,"",SUMPRODUCT((Upload_Indiv_Player=$A12)*(Upload_Indiv_Date=S$2)*(Upload_Indiv_Net)))</f>
        <v>43</v>
      </c>
      <c r="T13" s="2" cm="1">
        <f t="array" ref="T13">IF(SUMPRODUCT((Upload_Indiv_Player=$A12)*(Upload_Indiv_Date=T$2)*(Upload_Indiv_Net))=0,"",SUMPRODUCT((Upload_Indiv_Player=$A12)*(Upload_Indiv_Date=T$2)*(Upload_Indiv_Net)))</f>
        <v>-19</v>
      </c>
      <c r="U13" s="2" t="str" cm="1">
        <f t="array" ref="U13">IF(SUMPRODUCT((Upload_Indiv_Player=$A12)*(Upload_Indiv_Date=U$2)*(Upload_Indiv_Net))=0,"",SUMPRODUCT((Upload_Indiv_Player=$A12)*(Upload_Indiv_Date=U$2)*(Upload_Indiv_Net)))</f>
        <v/>
      </c>
      <c r="V13" s="279">
        <v>56.33</v>
      </c>
      <c r="W13" s="276"/>
      <c r="X13" s="276"/>
      <c r="Y13" s="277"/>
      <c r="Z13" s="277"/>
      <c r="AA13" s="277"/>
    </row>
    <row r="14" spans="1:27" x14ac:dyDescent="0.25">
      <c r="A14" s="305" t="s">
        <v>318</v>
      </c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12</v>
      </c>
      <c r="D14" s="2" t="str" cm="1">
        <f t="array" ref="D14">IF(SUMPRODUCT((Upload_Indiv_Player=$A12)*(Upload_Indiv_Date=D$2)*(Upload_Indiv_PointsTot))=0,"",SUMPRODUCT((Upload_Indiv_Player=$A12)*(Upload_Indiv_Date=D$2)*(Upload_Indiv_PointsTot)))</f>
        <v/>
      </c>
      <c r="E14" s="2" cm="1">
        <f t="array" ref="E14">IF(SUMPRODUCT((Upload_Indiv_Player=$A12)*(Upload_Indiv_Date=E$2)*(Upload_Indiv_PointsTot))=0,"",SUMPRODUCT((Upload_Indiv_Player=$A12)*(Upload_Indiv_Date=E$2)*(Upload_Indiv_PointsTot)))</f>
        <v>4</v>
      </c>
      <c r="F14" s="2" t="str" cm="1">
        <f t="array" ref="F14">IF(SUMPRODUCT((Upload_Indiv_Player=$A12)*(Upload_Indiv_Date=F$2)*(Upload_Indiv_PointsTot))=0,"",SUMPRODUCT((Upload_Indiv_Player=$A12)*(Upload_Indiv_Date=F$2)*(Upload_Indiv_PointsTot)))</f>
        <v/>
      </c>
      <c r="G14" s="2" cm="1">
        <f t="array" ref="G14">IF(SUMPRODUCT((Upload_Indiv_Player=$A12)*(Upload_Indiv_Date=G$2)*(Upload_Indiv_PointsTot))=0,"",SUMPRODUCT((Upload_Indiv_Player=$A12)*(Upload_Indiv_Date=G$2)*(Upload_Indiv_PointsTot)))</f>
        <v>9</v>
      </c>
      <c r="H14" s="2" cm="1">
        <f t="array" ref="H14">IF(SUMPRODUCT((Upload_Indiv_Player=$A12)*(Upload_Indiv_Date=H$2)*(Upload_Indiv_PointsTot))=0,"",SUMPRODUCT((Upload_Indiv_Player=$A12)*(Upload_Indiv_Date=H$2)*(Upload_Indiv_PointsTot)))</f>
        <v>14</v>
      </c>
      <c r="I14" s="2" t="str" cm="1">
        <f t="array" ref="I14">IF(SUMPRODUCT((Upload_Indiv_Player=$A12)*(Upload_Indiv_Date=I$2)*(Upload_Indiv_PointsTot))=0,"",SUMPRODUCT((Upload_Indiv_Player=$A12)*(Upload_Indiv_Date=I$2)*(Upload_Indiv_PointsTot)))</f>
        <v/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7</v>
      </c>
      <c r="L14" s="2" cm="1">
        <f t="array" ref="L14">IF(SUMPRODUCT((Upload_Indiv_Player=$A12)*(Upload_Indiv_Date=L$2)*(Upload_Indiv_PointsTot))=0,"",SUMPRODUCT((Upload_Indiv_Player=$A12)*(Upload_Indiv_Date=L$2)*(Upload_Indiv_PointsTot)))</f>
        <v>11</v>
      </c>
      <c r="M14" s="2" cm="1">
        <f t="array" ref="M14">IF(SUMPRODUCT((Upload_Indiv_Player=$A12)*(Upload_Indiv_Date=M$2)*(Upload_Indiv_PointsTot))=0,"",SUMPRODUCT((Upload_Indiv_Player=$A12)*(Upload_Indiv_Date=M$2)*(Upload_Indiv_PointsTot)))</f>
        <v>9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9</v>
      </c>
      <c r="P14" s="2" cm="1">
        <f t="array" ref="P14">IF(SUMPRODUCT((Upload_Indiv_Player=$A12)*(Upload_Indiv_Date=P$2)*(Upload_Indiv_PointsTot))=0,"",SUMPRODUCT((Upload_Indiv_Player=$A12)*(Upload_Indiv_Date=P$2)*(Upload_Indiv_PointsTot)))</f>
        <v>13</v>
      </c>
      <c r="Q14" s="2" cm="1">
        <f t="array" ref="Q14">IF(SUMPRODUCT((Upload_Indiv_Player=$A12)*(Upload_Indiv_Date=Q$2)*(Upload_Indiv_PointsTot))=0,"",SUMPRODUCT((Upload_Indiv_Player=$A12)*(Upload_Indiv_Date=Q$2)*(Upload_Indiv_PointsTot)))</f>
        <v>10</v>
      </c>
      <c r="R14" s="2" cm="1">
        <f t="array" ref="R14">IF(SUMPRODUCT((Upload_Indiv_Player=$A12)*(Upload_Indiv_Date=R$2)*(Upload_Indiv_PointsTot))=0,"",SUMPRODUCT((Upload_Indiv_Player=$A12)*(Upload_Indiv_Date=R$2)*(Upload_Indiv_PointsTot)))</f>
        <v>7</v>
      </c>
      <c r="S14" s="2" cm="1">
        <f t="array" ref="S14">IF(SUMPRODUCT((Upload_Indiv_Player=$A12)*(Upload_Indiv_Date=S$2)*(Upload_Indiv_PointsTot))=0,"",SUMPRODUCT((Upload_Indiv_Player=$A12)*(Upload_Indiv_Date=S$2)*(Upload_Indiv_PointsTot)))</f>
        <v>7</v>
      </c>
      <c r="T14" s="2" t="str" cm="1">
        <f t="array" ref="T14">IF(SUMPRODUCT((Upload_Indiv_Player=$A12)*(Upload_Indiv_Date=T$2)*(Upload_Indiv_PointsTot))=0,"",SUMPRODUCT((Upload_Indiv_Player=$A12)*(Upload_Indiv_Date=T$2)*(Upload_Indiv_PointsTot)))</f>
        <v/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2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cm="1">
        <f t="array" ref="P15">IF(SUMPRODUCT((Upload_Indiv_Player=$A12)*(Upload_Indiv_Date=P$2)*(Upload_Indiv_Tot_Birds))=0,"",SUMPRODUCT((Upload_Indiv_Player=$A12)*(Upload_Indiv_Date=P$2)*(Upload_Indiv_Tot_Birds)))</f>
        <v>1</v>
      </c>
      <c r="Q15" s="2" cm="1">
        <f t="array" ref="Q15">IF(SUMPRODUCT((Upload_Indiv_Player=$A12)*(Upload_Indiv_Date=Q$2)*(Upload_Indiv_Tot_Birds))=0,"",SUMPRODUCT((Upload_Indiv_Player=$A12)*(Upload_Indiv_Date=Q$2)*(Upload_Indiv_Tot_Birds)))</f>
        <v>1</v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cm="1">
        <f t="array" ref="Q17">IF(SUMPRODUCT((Upload_Indiv_Player=$A12)*(Upload_Indiv_Date=Q$2)*(Upload_Indiv_Excl_Score))=0,"",SUMPRODUCT((Upload_Indiv_Player=$A12)*(Upload_Indiv_Date=Q$2)*(Upload_Indiv_Excl_Score)))</f>
        <v>1</v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1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9"/>
      <c r="B18" s="8" t="s">
        <v>178</v>
      </c>
      <c r="C18" s="58" t="str">
        <f>IF(C12="", "", IF(C14&gt;=11, "w", IF(C14&lt;=9, "l", "t")))</f>
        <v>w</v>
      </c>
      <c r="D18" s="58" t="str">
        <f t="shared" ref="D18:S18" si="2">IF(D12="", "", IF(D14&gt;=11, "w", IF(D14&lt;=9, "l", "t")))</f>
        <v/>
      </c>
      <c r="E18" s="58" t="str">
        <f t="shared" si="2"/>
        <v>l</v>
      </c>
      <c r="F18" s="58" t="str">
        <f t="shared" si="2"/>
        <v/>
      </c>
      <c r="G18" s="58" t="str">
        <f t="shared" si="2"/>
        <v>l</v>
      </c>
      <c r="H18" s="58" t="str">
        <f t="shared" si="2"/>
        <v>w</v>
      </c>
      <c r="I18" s="58" t="str">
        <f t="shared" si="2"/>
        <v/>
      </c>
      <c r="J18" s="58" t="str">
        <f t="shared" si="2"/>
        <v/>
      </c>
      <c r="K18" s="58" t="str">
        <f t="shared" si="2"/>
        <v>l</v>
      </c>
      <c r="L18" s="58" t="str">
        <f t="shared" si="2"/>
        <v>w</v>
      </c>
      <c r="M18" s="58" t="str">
        <f t="shared" si="2"/>
        <v>l</v>
      </c>
      <c r="N18" s="58" t="str">
        <f t="shared" si="2"/>
        <v/>
      </c>
      <c r="O18" s="58" t="str">
        <f t="shared" si="2"/>
        <v>l</v>
      </c>
      <c r="P18" s="58" t="str">
        <f t="shared" si="2"/>
        <v>w</v>
      </c>
      <c r="Q18" s="58" t="str">
        <f t="shared" si="2"/>
        <v>t</v>
      </c>
      <c r="R18" s="58" t="str">
        <f t="shared" si="2"/>
        <v>l</v>
      </c>
      <c r="S18" s="58" t="str">
        <f t="shared" si="2"/>
        <v>l</v>
      </c>
      <c r="T18" s="58" t="str">
        <f>IF(T12="", "", IF(T14&gt;=11, "w", IF(T14&lt;=9, "l", "t")))</f>
        <v/>
      </c>
      <c r="U18" s="58" t="str">
        <f>IF(U12="", "", IF(U14&gt;=11, "w", IF(U14&lt;=9, "l", "t")))</f>
        <v/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101</v>
      </c>
      <c r="B19" s="3" t="s">
        <v>170</v>
      </c>
      <c r="C19" s="2" cm="1">
        <f t="array" ref="C19">IF(SUMPRODUCT((Upload_Indiv_Player=$A19)*(Upload_Indiv_Date=C$2)*(Upload_Indiv_Gross))=0,"",SUMPRODUCT((Upload_Indiv_Player=$A19)*(Upload_Indiv_Date=C$2)*(Upload_Indiv_Gross)))</f>
        <v>55</v>
      </c>
      <c r="D19" s="2" cm="1">
        <f t="array" ref="D19">IF(SUMPRODUCT((Upload_Indiv_Player=$A19)*(Upload_Indiv_Date=D$2)*(Upload_Indiv_Gross))=0,"",SUMPRODUCT((Upload_Indiv_Player=$A19)*(Upload_Indiv_Date=D$2)*(Upload_Indiv_Gross)))</f>
        <v>58</v>
      </c>
      <c r="E19" s="2" cm="1">
        <f t="array" ref="E19">IF(SUMPRODUCT((Upload_Indiv_Player=$A19)*(Upload_Indiv_Date=E$2)*(Upload_Indiv_Gross))=0,"",SUMPRODUCT((Upload_Indiv_Player=$A19)*(Upload_Indiv_Date=E$2)*(Upload_Indiv_Gross)))</f>
        <v>61</v>
      </c>
      <c r="F19" s="2" cm="1">
        <f t="array" ref="F19">IF(SUMPRODUCT((Upload_Indiv_Player=$A19)*(Upload_Indiv_Date=F$2)*(Upload_Indiv_Gross))=0,"",SUMPRODUCT((Upload_Indiv_Player=$A19)*(Upload_Indiv_Date=F$2)*(Upload_Indiv_Gross)))</f>
        <v>56</v>
      </c>
      <c r="G19" s="2" cm="1">
        <f t="array" ref="G19">IF(SUMPRODUCT((Upload_Indiv_Player=$A19)*(Upload_Indiv_Date=G$2)*(Upload_Indiv_Gross))=0,"",SUMPRODUCT((Upload_Indiv_Player=$A19)*(Upload_Indiv_Date=G$2)*(Upload_Indiv_Gross)))</f>
        <v>63</v>
      </c>
      <c r="H19" s="2" cm="1">
        <f t="array" ref="H19">IF(SUMPRODUCT((Upload_Indiv_Player=$A19)*(Upload_Indiv_Date=H$2)*(Upload_Indiv_Gross))=0,"",SUMPRODUCT((Upload_Indiv_Player=$A19)*(Upload_Indiv_Date=H$2)*(Upload_Indiv_Gross)))</f>
        <v>66</v>
      </c>
      <c r="I19" s="2" cm="1">
        <f t="array" ref="I19">IF(SUMPRODUCT((Upload_Indiv_Player=$A19)*(Upload_Indiv_Date=I$2)*(Upload_Indiv_Gross))=0,"",SUMPRODUCT((Upload_Indiv_Player=$A19)*(Upload_Indiv_Date=I$2)*(Upload_Indiv_Gross)))</f>
        <v>53</v>
      </c>
      <c r="J19" s="2" t="str" cm="1">
        <f t="array" ref="J19">IF(SUMPRODUCT((Upload_Indiv_Player=$A19)*(Upload_Indiv_Date=J$2)*(Upload_Indiv_Gross))=0,"",SUMPRODUCT((Upload_Indiv_Player=$A19)*(Upload_Indiv_Date=J$2)*(Upload_Indiv_Gross)))</f>
        <v/>
      </c>
      <c r="K19" s="2" cm="1">
        <f t="array" ref="K19">IF(SUMPRODUCT((Upload_Indiv_Player=$A19)*(Upload_Indiv_Date=K$2)*(Upload_Indiv_Gross))=0,"",SUMPRODUCT((Upload_Indiv_Player=$A19)*(Upload_Indiv_Date=K$2)*(Upload_Indiv_Gross)))</f>
        <v>58</v>
      </c>
      <c r="L19" s="2" cm="1">
        <f t="array" ref="L19">IF(SUMPRODUCT((Upload_Indiv_Player=$A19)*(Upload_Indiv_Date=L$2)*(Upload_Indiv_Gross))=0,"",SUMPRODUCT((Upload_Indiv_Player=$A19)*(Upload_Indiv_Date=L$2)*(Upload_Indiv_Gross)))</f>
        <v>59</v>
      </c>
      <c r="M19" s="2" cm="1">
        <f t="array" ref="M19">IF(SUMPRODUCT((Upload_Indiv_Player=$A19)*(Upload_Indiv_Date=M$2)*(Upload_Indiv_Gross))=0,"",SUMPRODUCT((Upload_Indiv_Player=$A19)*(Upload_Indiv_Date=M$2)*(Upload_Indiv_Gross)))</f>
        <v>59</v>
      </c>
      <c r="N19" s="2" t="str" cm="1">
        <f t="array" ref="N19">IF(SUMPRODUCT((Upload_Indiv_Player=$A19)*(Upload_Indiv_Date=N$2)*(Upload_Indiv_Gross))=0,"",SUMPRODUCT((Upload_Indiv_Player=$A19)*(Upload_Indiv_Date=N$2)*(Upload_Indiv_Gross)))</f>
        <v/>
      </c>
      <c r="O19" s="2" cm="1">
        <f t="array" ref="O19">IF(SUMPRODUCT((Upload_Indiv_Player=$A19)*(Upload_Indiv_Date=O$2)*(Upload_Indiv_Gross))=0,"",SUMPRODUCT((Upload_Indiv_Player=$A19)*(Upload_Indiv_Date=O$2)*(Upload_Indiv_Gross)))</f>
        <v>61</v>
      </c>
      <c r="P19" s="2" cm="1">
        <f t="array" ref="P19">IF(SUMPRODUCT((Upload_Indiv_Player=$A19)*(Upload_Indiv_Date=P$2)*(Upload_Indiv_Gross))=0,"",SUMPRODUCT((Upload_Indiv_Player=$A19)*(Upload_Indiv_Date=P$2)*(Upload_Indiv_Gross)))</f>
        <v>61</v>
      </c>
      <c r="Q19" s="2" cm="1">
        <f t="array" ref="Q19">IF(SUMPRODUCT((Upload_Indiv_Player=$A19)*(Upload_Indiv_Date=Q$2)*(Upload_Indiv_Gross))=0,"",SUMPRODUCT((Upload_Indiv_Player=$A19)*(Upload_Indiv_Date=Q$2)*(Upload_Indiv_Gross)))</f>
        <v>45</v>
      </c>
      <c r="R19" s="2" cm="1">
        <f t="array" ref="R19">IF(SUMPRODUCT((Upload_Indiv_Player=$A19)*(Upload_Indiv_Date=R$2)*(Upload_Indiv_Gross))=0,"",SUMPRODUCT((Upload_Indiv_Player=$A19)*(Upload_Indiv_Date=R$2)*(Upload_Indiv_Gross)))</f>
        <v>61</v>
      </c>
      <c r="S19" s="2" cm="1">
        <f t="array" ref="S19">IF(SUMPRODUCT((Upload_Indiv_Player=$A19)*(Upload_Indiv_Date=S$2)*(Upload_Indiv_Gross))=0,"",SUMPRODUCT((Upload_Indiv_Player=$A19)*(Upload_Indiv_Date=S$2)*(Upload_Indiv_Gross)))</f>
        <v>58</v>
      </c>
      <c r="T19" s="2" t="str" cm="1">
        <f t="array" ref="T19">IF(SUMPRODUCT((Upload_Indiv_Player=$A19)*(Upload_Indiv_Date=T$2)*(Upload_Indiv_Gross))=0,"",SUMPRODUCT((Upload_Indiv_Player=$A19)*(Upload_Indiv_Date=T$2)*(Upload_Indiv_Gross)))</f>
        <v/>
      </c>
      <c r="U19" s="2" t="str" cm="1">
        <f t="array" ref="U19">IF(SUMPRODUCT((Upload_Indiv_Player=$A19)*(Upload_Indiv_Date=U$2)*(Upload_Indiv_Gross))=0,"",SUMPRODUCT((Upload_Indiv_Player=$A19)*(Upload_Indiv_Date=U$2)*(Upload_Indiv_Gross)))</f>
        <v/>
      </c>
      <c r="V19" s="273">
        <v>15</v>
      </c>
      <c r="W19" s="273">
        <v>11</v>
      </c>
      <c r="X19" s="273">
        <v>10</v>
      </c>
      <c r="Y19" s="277">
        <v>0</v>
      </c>
      <c r="Z19" s="277">
        <v>0</v>
      </c>
      <c r="AA19" s="277">
        <v>0</v>
      </c>
    </row>
    <row r="20" spans="1:27" x14ac:dyDescent="0.25">
      <c r="A20" s="304">
        <v>3308018978</v>
      </c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38</v>
      </c>
      <c r="D20" s="2" cm="1">
        <f t="array" ref="D20">IF(SUMPRODUCT((Upload_Indiv_Player=$A19)*(Upload_Indiv_Date=D$2)*(Upload_Indiv_Net))=0,"",SUMPRODUCT((Upload_Indiv_Player=$A19)*(Upload_Indiv_Date=D$2)*(Upload_Indiv_Net)))</f>
        <v>41</v>
      </c>
      <c r="E20" s="2" cm="1">
        <f t="array" ref="E20">IF(SUMPRODUCT((Upload_Indiv_Player=$A19)*(Upload_Indiv_Date=E$2)*(Upload_Indiv_Net))=0,"",SUMPRODUCT((Upload_Indiv_Player=$A19)*(Upload_Indiv_Date=E$2)*(Upload_Indiv_Net)))</f>
        <v>44</v>
      </c>
      <c r="F20" s="2" cm="1">
        <f t="array" ref="F20">IF(SUMPRODUCT((Upload_Indiv_Player=$A19)*(Upload_Indiv_Date=F$2)*(Upload_Indiv_Net))=0,"",SUMPRODUCT((Upload_Indiv_Player=$A19)*(Upload_Indiv_Date=F$2)*(Upload_Indiv_Net)))</f>
        <v>39</v>
      </c>
      <c r="G20" s="2" cm="1">
        <f t="array" ref="G20">IF(SUMPRODUCT((Upload_Indiv_Player=$A19)*(Upload_Indiv_Date=G$2)*(Upload_Indiv_Net))=0,"",SUMPRODUCT((Upload_Indiv_Player=$A19)*(Upload_Indiv_Date=G$2)*(Upload_Indiv_Net)))</f>
        <v>46</v>
      </c>
      <c r="H20" s="2" cm="1">
        <f t="array" ref="H20">IF(SUMPRODUCT((Upload_Indiv_Player=$A19)*(Upload_Indiv_Date=H$2)*(Upload_Indiv_Net))=0,"",SUMPRODUCT((Upload_Indiv_Player=$A19)*(Upload_Indiv_Date=H$2)*(Upload_Indiv_Net)))</f>
        <v>47</v>
      </c>
      <c r="I20" s="2" cm="1">
        <f t="array" ref="I20">IF(SUMPRODUCT((Upload_Indiv_Player=$A19)*(Upload_Indiv_Date=I$2)*(Upload_Indiv_Net))=0,"",SUMPRODUCT((Upload_Indiv_Player=$A19)*(Upload_Indiv_Date=I$2)*(Upload_Indiv_Net)))</f>
        <v>34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40</v>
      </c>
      <c r="L20" s="2" cm="1">
        <f t="array" ref="L20">IF(SUMPRODUCT((Upload_Indiv_Player=$A19)*(Upload_Indiv_Date=L$2)*(Upload_Indiv_Net))=0,"",SUMPRODUCT((Upload_Indiv_Player=$A19)*(Upload_Indiv_Date=L$2)*(Upload_Indiv_Net)))</f>
        <v>40</v>
      </c>
      <c r="M20" s="2" cm="1">
        <f t="array" ref="M20">IF(SUMPRODUCT((Upload_Indiv_Player=$A19)*(Upload_Indiv_Date=M$2)*(Upload_Indiv_Net))=0,"",SUMPRODUCT((Upload_Indiv_Player=$A19)*(Upload_Indiv_Date=M$2)*(Upload_Indiv_Net)))</f>
        <v>40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42</v>
      </c>
      <c r="P20" s="2" cm="1">
        <f t="array" ref="P20">IF(SUMPRODUCT((Upload_Indiv_Player=$A19)*(Upload_Indiv_Date=P$2)*(Upload_Indiv_Net))=0,"",SUMPRODUCT((Upload_Indiv_Player=$A19)*(Upload_Indiv_Date=P$2)*(Upload_Indiv_Net)))</f>
        <v>41</v>
      </c>
      <c r="Q20" s="2" cm="1">
        <f t="array" ref="Q20">IF(SUMPRODUCT((Upload_Indiv_Player=$A19)*(Upload_Indiv_Date=Q$2)*(Upload_Indiv_Net))=0,"",SUMPRODUCT((Upload_Indiv_Player=$A19)*(Upload_Indiv_Date=Q$2)*(Upload_Indiv_Net)))</f>
        <v>25</v>
      </c>
      <c r="R20" s="2" cm="1">
        <f t="array" ref="R20">IF(SUMPRODUCT((Upload_Indiv_Player=$A19)*(Upload_Indiv_Date=R$2)*(Upload_Indiv_Net))=0,"",SUMPRODUCT((Upload_Indiv_Player=$A19)*(Upload_Indiv_Date=R$2)*(Upload_Indiv_Net)))</f>
        <v>41</v>
      </c>
      <c r="S20" s="2" cm="1">
        <f t="array" ref="S20">IF(SUMPRODUCT((Upload_Indiv_Player=$A19)*(Upload_Indiv_Date=S$2)*(Upload_Indiv_Net))=0,"",SUMPRODUCT((Upload_Indiv_Player=$A19)*(Upload_Indiv_Date=S$2)*(Upload_Indiv_Net)))</f>
        <v>38</v>
      </c>
      <c r="T20" s="2" cm="1">
        <f t="array" ref="T20">IF(SUMPRODUCT((Upload_Indiv_Player=$A19)*(Upload_Indiv_Date=T$2)*(Upload_Indiv_Net))=0,"",SUMPRODUCT((Upload_Indiv_Player=$A19)*(Upload_Indiv_Date=T$2)*(Upload_Indiv_Net)))</f>
        <v>-20</v>
      </c>
      <c r="U20" s="2" t="str" cm="1">
        <f t="array" ref="U20">IF(SUMPRODUCT((Upload_Indiv_Player=$A19)*(Upload_Indiv_Date=U$2)*(Upload_Indiv_Net))=0,"",SUMPRODUCT((Upload_Indiv_Player=$A19)*(Upload_Indiv_Date=U$2)*(Upload_Indiv_Net)))</f>
        <v/>
      </c>
      <c r="V20" s="279">
        <v>56.13</v>
      </c>
      <c r="W20" s="276"/>
      <c r="X20" s="276"/>
      <c r="Y20" s="277"/>
      <c r="Z20" s="277"/>
      <c r="AA20" s="277"/>
    </row>
    <row r="21" spans="1:27" x14ac:dyDescent="0.25">
      <c r="A21" s="305" t="s">
        <v>319</v>
      </c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12</v>
      </c>
      <c r="D21" s="2" cm="1">
        <f t="array" ref="D21">IF(SUMPRODUCT((Upload_Indiv_Player=$A19)*(Upload_Indiv_Date=D$2)*(Upload_Indiv_PointsTot))=0,"",SUMPRODUCT((Upload_Indiv_Player=$A19)*(Upload_Indiv_Date=D$2)*(Upload_Indiv_PointsTot)))</f>
        <v>6</v>
      </c>
      <c r="E21" s="2" cm="1">
        <f t="array" ref="E21">IF(SUMPRODUCT((Upload_Indiv_Player=$A19)*(Upload_Indiv_Date=E$2)*(Upload_Indiv_PointsTot))=0,"",SUMPRODUCT((Upload_Indiv_Player=$A19)*(Upload_Indiv_Date=E$2)*(Upload_Indiv_PointsTot)))</f>
        <v>4</v>
      </c>
      <c r="F21" s="2" cm="1">
        <f t="array" ref="F21">IF(SUMPRODUCT((Upload_Indiv_Player=$A19)*(Upload_Indiv_Date=F$2)*(Upload_Indiv_PointsTot))=0,"",SUMPRODUCT((Upload_Indiv_Player=$A19)*(Upload_Indiv_Date=F$2)*(Upload_Indiv_PointsTot)))</f>
        <v>11</v>
      </c>
      <c r="G21" s="2" cm="1">
        <f t="array" ref="G21">IF(SUMPRODUCT((Upload_Indiv_Player=$A19)*(Upload_Indiv_Date=G$2)*(Upload_Indiv_PointsTot))=0,"",SUMPRODUCT((Upload_Indiv_Player=$A19)*(Upload_Indiv_Date=G$2)*(Upload_Indiv_PointsTot)))</f>
        <v>5</v>
      </c>
      <c r="H21" s="2" cm="1">
        <f t="array" ref="H21">IF(SUMPRODUCT((Upload_Indiv_Player=$A19)*(Upload_Indiv_Date=H$2)*(Upload_Indiv_PointsTot))=0,"",SUMPRODUCT((Upload_Indiv_Player=$A19)*(Upload_Indiv_Date=H$2)*(Upload_Indiv_PointsTot)))</f>
        <v>4</v>
      </c>
      <c r="I21" s="2" cm="1">
        <f t="array" ref="I21">IF(SUMPRODUCT((Upload_Indiv_Player=$A19)*(Upload_Indiv_Date=I$2)*(Upload_Indiv_PointsTot))=0,"",SUMPRODUCT((Upload_Indiv_Player=$A19)*(Upload_Indiv_Date=I$2)*(Upload_Indiv_PointsTot)))</f>
        <v>15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9</v>
      </c>
      <c r="L21" s="2" cm="1">
        <f t="array" ref="L21">IF(SUMPRODUCT((Upload_Indiv_Player=$A19)*(Upload_Indiv_Date=L$2)*(Upload_Indiv_PointsTot))=0,"",SUMPRODUCT((Upload_Indiv_Player=$A19)*(Upload_Indiv_Date=L$2)*(Upload_Indiv_PointsTot)))</f>
        <v>6</v>
      </c>
      <c r="M21" s="2" cm="1">
        <f t="array" ref="M21">IF(SUMPRODUCT((Upload_Indiv_Player=$A19)*(Upload_Indiv_Date=M$2)*(Upload_Indiv_PointsTot))=0,"",SUMPRODUCT((Upload_Indiv_Player=$A19)*(Upload_Indiv_Date=M$2)*(Upload_Indiv_PointsTot)))</f>
        <v>7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7</v>
      </c>
      <c r="P21" s="2" cm="1">
        <f t="array" ref="P21">IF(SUMPRODUCT((Upload_Indiv_Player=$A19)*(Upload_Indiv_Date=P$2)*(Upload_Indiv_PointsTot))=0,"",SUMPRODUCT((Upload_Indiv_Player=$A19)*(Upload_Indiv_Date=P$2)*(Upload_Indiv_PointsTot)))</f>
        <v>6</v>
      </c>
      <c r="Q21" s="2" cm="1">
        <f t="array" ref="Q21">IF(SUMPRODUCT((Upload_Indiv_Player=$A19)*(Upload_Indiv_Date=Q$2)*(Upload_Indiv_PointsTot))=0,"",SUMPRODUCT((Upload_Indiv_Player=$A19)*(Upload_Indiv_Date=Q$2)*(Upload_Indiv_PointsTot)))</f>
        <v>8</v>
      </c>
      <c r="R21" s="2" cm="1">
        <f t="array" ref="R21">IF(SUMPRODUCT((Upload_Indiv_Player=$A19)*(Upload_Indiv_Date=R$2)*(Upload_Indiv_PointsTot))=0,"",SUMPRODUCT((Upload_Indiv_Player=$A19)*(Upload_Indiv_Date=R$2)*(Upload_Indiv_PointsTot)))</f>
        <v>8</v>
      </c>
      <c r="S21" s="2" cm="1">
        <f t="array" ref="S21">IF(SUMPRODUCT((Upload_Indiv_Player=$A19)*(Upload_Indiv_Date=S$2)*(Upload_Indiv_PointsTot))=0,"",SUMPRODUCT((Upload_Indiv_Player=$A19)*(Upload_Indiv_Date=S$2)*(Upload_Indiv_PointsTot)))</f>
        <v>8</v>
      </c>
      <c r="T21" s="2" t="str" cm="1">
        <f t="array" ref="T21">IF(SUMPRODUCT((Upload_Indiv_Player=$A19)*(Upload_Indiv_Date=T$2)*(Upload_Indiv_PointsTot))=0,"",SUMPRODUCT((Upload_Indiv_Player=$A19)*(Upload_Indiv_Date=T$2)*(Upload_Indiv_PointsTot)))</f>
        <v/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2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cm="1">
        <f t="array" ref="M22">IF(SUMPRODUCT((Upload_Indiv_Player=$A19)*(Upload_Indiv_Date=M$2)*(Upload_Indiv_Tot_Birds))=0,"",SUMPRODUCT((Upload_Indiv_Player=$A19)*(Upload_Indiv_Date=M$2)*(Upload_Indiv_Tot_Birds)))</f>
        <v>1</v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1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9"/>
      <c r="B25" s="8" t="s">
        <v>178</v>
      </c>
      <c r="C25" s="58" t="str">
        <f>IF(C19="", "", IF(C21&gt;=11, "w", IF(C21&lt;=9, "l", "t")))</f>
        <v>w</v>
      </c>
      <c r="D25" s="58" t="str">
        <f t="shared" ref="D25:S25" si="3">IF(D19="", "", IF(D21&gt;=11, "w", IF(D21&lt;=9, "l", "t")))</f>
        <v>l</v>
      </c>
      <c r="E25" s="58" t="str">
        <f t="shared" si="3"/>
        <v>l</v>
      </c>
      <c r="F25" s="58" t="str">
        <f t="shared" si="3"/>
        <v>w</v>
      </c>
      <c r="G25" s="58" t="str">
        <f t="shared" si="3"/>
        <v>l</v>
      </c>
      <c r="H25" s="58" t="str">
        <f t="shared" si="3"/>
        <v>l</v>
      </c>
      <c r="I25" s="58" t="str">
        <f t="shared" si="3"/>
        <v>w</v>
      </c>
      <c r="J25" s="58" t="str">
        <f t="shared" si="3"/>
        <v/>
      </c>
      <c r="K25" s="58" t="str">
        <f t="shared" si="3"/>
        <v>l</v>
      </c>
      <c r="L25" s="58" t="str">
        <f t="shared" si="3"/>
        <v>l</v>
      </c>
      <c r="M25" s="58" t="str">
        <f t="shared" si="3"/>
        <v>l</v>
      </c>
      <c r="N25" s="58" t="str">
        <f t="shared" si="3"/>
        <v/>
      </c>
      <c r="O25" s="58" t="str">
        <f t="shared" si="3"/>
        <v>l</v>
      </c>
      <c r="P25" s="58" t="str">
        <f t="shared" si="3"/>
        <v>l</v>
      </c>
      <c r="Q25" s="58" t="str">
        <f t="shared" si="3"/>
        <v>l</v>
      </c>
      <c r="R25" s="58" t="str">
        <f t="shared" si="3"/>
        <v>l</v>
      </c>
      <c r="S25" s="58" t="str">
        <f t="shared" si="3"/>
        <v>l</v>
      </c>
      <c r="T25" s="58" t="str">
        <f>IF(T19="", "", IF(T21&gt;=11, "w", IF(T21&lt;=9, "l", "t")))</f>
        <v/>
      </c>
      <c r="U25" s="58" t="str">
        <f>IF(U19="", "", IF(U21&gt;=11, "w", IF(U21&lt;=9, "l", "t")))</f>
        <v/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320</v>
      </c>
      <c r="B26" s="17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61</v>
      </c>
      <c r="D26" s="3" cm="1">
        <f t="array" ref="D26">IF(SUMPRODUCT((Upload_Indiv_Player=$A26)*(Upload_Indiv_Date=D$2)*(Upload_Indiv_Gross))=0,"",SUMPRODUCT((Upload_Indiv_Player=$A26)*(Upload_Indiv_Date=D$2)*(Upload_Indiv_Gross)))</f>
        <v>62</v>
      </c>
      <c r="E26" s="3" cm="1">
        <f t="array" ref="E26">IF(SUMPRODUCT((Upload_Indiv_Player=$A26)*(Upload_Indiv_Date=E$2)*(Upload_Indiv_Gross))=0,"",SUMPRODUCT((Upload_Indiv_Player=$A26)*(Upload_Indiv_Date=E$2)*(Upload_Indiv_Gross)))</f>
        <v>55</v>
      </c>
      <c r="F26" s="3" cm="1">
        <f t="array" ref="F26">IF(SUMPRODUCT((Upload_Indiv_Player=$A26)*(Upload_Indiv_Date=F$2)*(Upload_Indiv_Gross))=0,"",SUMPRODUCT((Upload_Indiv_Player=$A26)*(Upload_Indiv_Date=F$2)*(Upload_Indiv_Gross)))</f>
        <v>56</v>
      </c>
      <c r="G26" s="3" cm="1">
        <f t="array" ref="G26">IF(SUMPRODUCT((Upload_Indiv_Player=$A26)*(Upload_Indiv_Date=G$2)*(Upload_Indiv_Gross))=0,"",SUMPRODUCT((Upload_Indiv_Player=$A26)*(Upload_Indiv_Date=G$2)*(Upload_Indiv_Gross)))</f>
        <v>58</v>
      </c>
      <c r="H26" s="3" cm="1">
        <f t="array" ref="H26">IF(SUMPRODUCT((Upload_Indiv_Player=$A26)*(Upload_Indiv_Date=H$2)*(Upload_Indiv_Gross))=0,"",SUMPRODUCT((Upload_Indiv_Player=$A26)*(Upload_Indiv_Date=H$2)*(Upload_Indiv_Gross)))</f>
        <v>64</v>
      </c>
      <c r="I26" s="3" cm="1">
        <f t="array" ref="I26">IF(SUMPRODUCT((Upload_Indiv_Player=$A26)*(Upload_Indiv_Date=I$2)*(Upload_Indiv_Gross))=0,"",SUMPRODUCT((Upload_Indiv_Player=$A26)*(Upload_Indiv_Date=I$2)*(Upload_Indiv_Gross)))</f>
        <v>53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57</v>
      </c>
      <c r="L26" s="3" cm="1">
        <f t="array" ref="L26">IF(SUMPRODUCT((Upload_Indiv_Player=$A26)*(Upload_Indiv_Date=L$2)*(Upload_Indiv_Gross))=0,"",SUMPRODUCT((Upload_Indiv_Player=$A26)*(Upload_Indiv_Date=L$2)*(Upload_Indiv_Gross)))</f>
        <v>55</v>
      </c>
      <c r="M26" s="3" cm="1">
        <f t="array" ref="M26">IF(SUMPRODUCT((Upload_Indiv_Player=$A26)*(Upload_Indiv_Date=M$2)*(Upload_Indiv_Gross))=0,"",SUMPRODUCT((Upload_Indiv_Player=$A26)*(Upload_Indiv_Date=M$2)*(Upload_Indiv_Gross)))</f>
        <v>49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60</v>
      </c>
      <c r="P26" s="2" cm="1">
        <f t="array" ref="P26">IF(SUMPRODUCT((Upload_Indiv_Player=$A26)*(Upload_Indiv_Date=P$2)*(Upload_Indiv_Gross))=0,"",SUMPRODUCT((Upload_Indiv_Player=$A26)*(Upload_Indiv_Date=P$2)*(Upload_Indiv_Gross)))</f>
        <v>55</v>
      </c>
      <c r="Q26" s="2" cm="1">
        <f t="array" ref="Q26">IF(SUMPRODUCT((Upload_Indiv_Player=$A26)*(Upload_Indiv_Date=Q$2)*(Upload_Indiv_Gross))=0,"",SUMPRODUCT((Upload_Indiv_Player=$A26)*(Upload_Indiv_Date=Q$2)*(Upload_Indiv_Gross)))</f>
        <v>50</v>
      </c>
      <c r="R26" s="2" cm="1">
        <f t="array" ref="R26">IF(SUMPRODUCT((Upload_Indiv_Player=$A26)*(Upload_Indiv_Date=R$2)*(Upload_Indiv_Gross))=0,"",SUMPRODUCT((Upload_Indiv_Player=$A26)*(Upload_Indiv_Date=R$2)*(Upload_Indiv_Gross)))</f>
        <v>53</v>
      </c>
      <c r="S26" s="2" cm="1">
        <f t="array" ref="S26">IF(SUMPRODUCT((Upload_Indiv_Player=$A26)*(Upload_Indiv_Date=S$2)*(Upload_Indiv_Gross))=0,"",SUMPRODUCT((Upload_Indiv_Player=$A26)*(Upload_Indiv_Date=S$2)*(Upload_Indiv_Gross)))</f>
        <v>55</v>
      </c>
      <c r="T26" s="2" t="str" cm="1">
        <f t="array" ref="T26">IF(SUMPRODUCT((Upload_Indiv_Player=$A26)*(Upload_Indiv_Date=T$2)*(Upload_Indiv_Gross))=0,"",SUMPRODUCT((Upload_Indiv_Player=$A26)*(Upload_Indiv_Date=T$2)*(Upload_Indiv_Gross)))</f>
        <v/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15</v>
      </c>
      <c r="W26" s="273">
        <v>10</v>
      </c>
      <c r="X26" s="273">
        <v>9</v>
      </c>
      <c r="Y26" s="277">
        <v>12</v>
      </c>
      <c r="Z26" s="277">
        <v>14</v>
      </c>
      <c r="AA26" s="277">
        <v>13</v>
      </c>
    </row>
    <row r="27" spans="1:27" x14ac:dyDescent="0.25">
      <c r="A27" s="304">
        <v>3304547007</v>
      </c>
      <c r="B27" s="8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48</v>
      </c>
      <c r="D27" s="2" cm="1">
        <f t="array" ref="D27">IF(SUMPRODUCT((Upload_Indiv_Player=$A26)*(Upload_Indiv_Date=D$2)*(Upload_Indiv_Net))=0,"",SUMPRODUCT((Upload_Indiv_Player=$A26)*(Upload_Indiv_Date=D$2)*(Upload_Indiv_Net)))</f>
        <v>49</v>
      </c>
      <c r="E27" s="2" cm="1">
        <f t="array" ref="E27">IF(SUMPRODUCT((Upload_Indiv_Player=$A26)*(Upload_Indiv_Date=E$2)*(Upload_Indiv_Net))=0,"",SUMPRODUCT((Upload_Indiv_Player=$A26)*(Upload_Indiv_Date=E$2)*(Upload_Indiv_Net)))</f>
        <v>42</v>
      </c>
      <c r="F27" s="2" cm="1">
        <f t="array" ref="F27">IF(SUMPRODUCT((Upload_Indiv_Player=$A26)*(Upload_Indiv_Date=F$2)*(Upload_Indiv_Net))=0,"",SUMPRODUCT((Upload_Indiv_Player=$A26)*(Upload_Indiv_Date=F$2)*(Upload_Indiv_Net)))</f>
        <v>43</v>
      </c>
      <c r="G27" s="2" cm="1">
        <f t="array" ref="G27">IF(SUMPRODUCT((Upload_Indiv_Player=$A26)*(Upload_Indiv_Date=G$2)*(Upload_Indiv_Net))=0,"",SUMPRODUCT((Upload_Indiv_Player=$A26)*(Upload_Indiv_Date=G$2)*(Upload_Indiv_Net)))</f>
        <v>45</v>
      </c>
      <c r="H27" s="2" cm="1">
        <f t="array" ref="H27">IF(SUMPRODUCT((Upload_Indiv_Player=$A26)*(Upload_Indiv_Date=H$2)*(Upload_Indiv_Net))=0,"",SUMPRODUCT((Upload_Indiv_Player=$A26)*(Upload_Indiv_Date=H$2)*(Upload_Indiv_Net)))</f>
        <v>50</v>
      </c>
      <c r="I27" s="2" cm="1">
        <f t="array" ref="I27">IF(SUMPRODUCT((Upload_Indiv_Player=$A26)*(Upload_Indiv_Date=I$2)*(Upload_Indiv_Net))=0,"",SUMPRODUCT((Upload_Indiv_Player=$A26)*(Upload_Indiv_Date=I$2)*(Upload_Indiv_Net)))</f>
        <v>38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41</v>
      </c>
      <c r="L27" s="2" cm="1">
        <f t="array" ref="L27">IF(SUMPRODUCT((Upload_Indiv_Player=$A26)*(Upload_Indiv_Date=L$2)*(Upload_Indiv_Net))=0,"",SUMPRODUCT((Upload_Indiv_Player=$A26)*(Upload_Indiv_Date=L$2)*(Upload_Indiv_Net)))</f>
        <v>38</v>
      </c>
      <c r="M27" s="2" cm="1">
        <f t="array" ref="M27">IF(SUMPRODUCT((Upload_Indiv_Player=$A26)*(Upload_Indiv_Date=M$2)*(Upload_Indiv_Net))=0,"",SUMPRODUCT((Upload_Indiv_Player=$A26)*(Upload_Indiv_Date=M$2)*(Upload_Indiv_Net)))</f>
        <v>31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43</v>
      </c>
      <c r="P27" s="2" cm="1">
        <f t="array" ref="P27">IF(SUMPRODUCT((Upload_Indiv_Player=$A26)*(Upload_Indiv_Date=P$2)*(Upload_Indiv_Net))=0,"",SUMPRODUCT((Upload_Indiv_Player=$A26)*(Upload_Indiv_Date=P$2)*(Upload_Indiv_Net)))</f>
        <v>38</v>
      </c>
      <c r="Q27" s="2" cm="1">
        <f t="array" ref="Q27">IF(SUMPRODUCT((Upload_Indiv_Player=$A26)*(Upload_Indiv_Date=Q$2)*(Upload_Indiv_Net))=0,"",SUMPRODUCT((Upload_Indiv_Player=$A26)*(Upload_Indiv_Date=Q$2)*(Upload_Indiv_Net)))</f>
        <v>33</v>
      </c>
      <c r="R27" s="2" cm="1">
        <f t="array" ref="R27">IF(SUMPRODUCT((Upload_Indiv_Player=$A26)*(Upload_Indiv_Date=R$2)*(Upload_Indiv_Net))=0,"",SUMPRODUCT((Upload_Indiv_Player=$A26)*(Upload_Indiv_Date=R$2)*(Upload_Indiv_Net)))</f>
        <v>37</v>
      </c>
      <c r="S27" s="2" cm="1">
        <f t="array" ref="S27">IF(SUMPRODUCT((Upload_Indiv_Player=$A26)*(Upload_Indiv_Date=S$2)*(Upload_Indiv_Net))=0,"",SUMPRODUCT((Upload_Indiv_Player=$A26)*(Upload_Indiv_Date=S$2)*(Upload_Indiv_Net)))</f>
        <v>40</v>
      </c>
      <c r="T27" s="2" t="str" cm="1">
        <f t="array" ref="T27">IF(SUMPRODUCT((Upload_Indiv_Player=$A26)*(Upload_Indiv_Date=T$2)*(Upload_Indiv_Net))=0,"",SUMPRODUCT((Upload_Indiv_Player=$A26)*(Upload_Indiv_Date=T$2)*(Upload_Indiv_Net)))</f>
        <v/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>
        <v>52.13</v>
      </c>
      <c r="W27" s="276"/>
      <c r="X27" s="276"/>
      <c r="Y27" s="277"/>
      <c r="Z27" s="277"/>
      <c r="AA27" s="277"/>
    </row>
    <row r="28" spans="1:27" x14ac:dyDescent="0.25">
      <c r="A28" s="305" t="s">
        <v>321</v>
      </c>
      <c r="B28" s="8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12</v>
      </c>
      <c r="D28" s="2" cm="1">
        <f t="array" ref="D28">IF(SUMPRODUCT((Upload_Indiv_Player=$A26)*(Upload_Indiv_Date=D$2)*(Upload_Indiv_PointsTot))=0,"",SUMPRODUCT((Upload_Indiv_Player=$A26)*(Upload_Indiv_Date=D$2)*(Upload_Indiv_PointsTot)))</f>
        <v>6</v>
      </c>
      <c r="E28" s="2" cm="1">
        <f t="array" ref="E28">IF(SUMPRODUCT((Upload_Indiv_Player=$A26)*(Upload_Indiv_Date=E$2)*(Upload_Indiv_PointsTot))=0,"",SUMPRODUCT((Upload_Indiv_Player=$A26)*(Upload_Indiv_Date=E$2)*(Upload_Indiv_PointsTot)))</f>
        <v>7</v>
      </c>
      <c r="F28" s="2" cm="1">
        <f t="array" ref="F28">IF(SUMPRODUCT((Upload_Indiv_Player=$A26)*(Upload_Indiv_Date=F$2)*(Upload_Indiv_PointsTot))=0,"",SUMPRODUCT((Upload_Indiv_Player=$A26)*(Upload_Indiv_Date=F$2)*(Upload_Indiv_PointsTot)))</f>
        <v>10</v>
      </c>
      <c r="G28" s="2" cm="1">
        <f t="array" ref="G28">IF(SUMPRODUCT((Upload_Indiv_Player=$A26)*(Upload_Indiv_Date=G$2)*(Upload_Indiv_PointsTot))=0,"",SUMPRODUCT((Upload_Indiv_Player=$A26)*(Upload_Indiv_Date=G$2)*(Upload_Indiv_PointsTot)))</f>
        <v>5</v>
      </c>
      <c r="H28" s="2" cm="1">
        <f t="array" ref="H28">IF(SUMPRODUCT((Upload_Indiv_Player=$A26)*(Upload_Indiv_Date=H$2)*(Upload_Indiv_PointsTot))=0,"",SUMPRODUCT((Upload_Indiv_Player=$A26)*(Upload_Indiv_Date=H$2)*(Upload_Indiv_PointsTot)))</f>
        <v>3</v>
      </c>
      <c r="I28" s="2" cm="1">
        <f t="array" ref="I28">IF(SUMPRODUCT((Upload_Indiv_Player=$A26)*(Upload_Indiv_Date=I$2)*(Upload_Indiv_PointsTot))=0,"",SUMPRODUCT((Upload_Indiv_Player=$A26)*(Upload_Indiv_Date=I$2)*(Upload_Indiv_PointsTot)))</f>
        <v>12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7</v>
      </c>
      <c r="L28" s="2" cm="1">
        <f t="array" ref="L28">IF(SUMPRODUCT((Upload_Indiv_Player=$A26)*(Upload_Indiv_Date=L$2)*(Upload_Indiv_PointsTot))=0,"",SUMPRODUCT((Upload_Indiv_Player=$A26)*(Upload_Indiv_Date=L$2)*(Upload_Indiv_PointsTot)))</f>
        <v>11</v>
      </c>
      <c r="M28" s="2" cm="1">
        <f t="array" ref="M28">IF(SUMPRODUCT((Upload_Indiv_Player=$A26)*(Upload_Indiv_Date=M$2)*(Upload_Indiv_PointsTot))=0,"",SUMPRODUCT((Upload_Indiv_Player=$A26)*(Upload_Indiv_Date=M$2)*(Upload_Indiv_PointsTot)))</f>
        <v>13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7</v>
      </c>
      <c r="P28" s="2" cm="1">
        <f t="array" ref="P28">IF(SUMPRODUCT((Upload_Indiv_Player=$A26)*(Upload_Indiv_Date=P$2)*(Upload_Indiv_PointsTot))=0,"",SUMPRODUCT((Upload_Indiv_Player=$A26)*(Upload_Indiv_Date=P$2)*(Upload_Indiv_PointsTot)))</f>
        <v>8</v>
      </c>
      <c r="Q28" s="2" cm="1">
        <f t="array" ref="Q28">IF(SUMPRODUCT((Upload_Indiv_Player=$A26)*(Upload_Indiv_Date=Q$2)*(Upload_Indiv_PointsTot))=0,"",SUMPRODUCT((Upload_Indiv_Player=$A26)*(Upload_Indiv_Date=Q$2)*(Upload_Indiv_PointsTot)))</f>
        <v>15</v>
      </c>
      <c r="R28" s="2" cm="1">
        <f t="array" ref="R28">IF(SUMPRODUCT((Upload_Indiv_Player=$A26)*(Upload_Indiv_Date=R$2)*(Upload_Indiv_PointsTot))=0,"",SUMPRODUCT((Upload_Indiv_Player=$A26)*(Upload_Indiv_Date=R$2)*(Upload_Indiv_PointsTot)))</f>
        <v>9</v>
      </c>
      <c r="S28" s="2" cm="1">
        <f t="array" ref="S28">IF(SUMPRODUCT((Upload_Indiv_Player=$A26)*(Upload_Indiv_Date=S$2)*(Upload_Indiv_PointsTot))=0,"",SUMPRODUCT((Upload_Indiv_Player=$A26)*(Upload_Indiv_Date=S$2)*(Upload_Indiv_PointsTot)))</f>
        <v>11</v>
      </c>
      <c r="T28" s="2" t="str" cm="1">
        <f t="array" ref="T28">IF(SUMPRODUCT((Upload_Indiv_Player=$A26)*(Upload_Indiv_Date=T$2)*(Upload_Indiv_PointsTot))=0,"",SUMPRODUCT((Upload_Indiv_Player=$A26)*(Upload_Indiv_Date=T$2)*(Upload_Indiv_PointsTot)))</f>
        <v/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/>
      <c r="B29" s="8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cm="1">
        <f t="array" ref="R29">IF(SUMPRODUCT((Upload_Indiv_Player=$A26)*(Upload_Indiv_Date=R$2)*(Upload_Indiv_Tot_Birds))=0,"",SUMPRODUCT((Upload_Indiv_Player=$A26)*(Upload_Indiv_Date=R$2)*(Upload_Indiv_Tot_Birds)))</f>
        <v>1</v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306"/>
      <c r="B31" s="2" t="s">
        <v>176</v>
      </c>
      <c r="C31" s="8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t="str" cm="1">
        <f t="array" ref="Q31">IF(SUMPRODUCT((Upload_Indiv_Player=$A26)*(Upload_Indiv_Date=Q$2)*(Upload_Indiv_Excl_Score))=0,"",SUMPRODUCT((Upload_Indiv_Player=$A26)*(Upload_Indiv_Date=Q$2)*(Upload_Indiv_Excl_Score)))</f>
        <v/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cm="1">
        <f t="array" ref="T31">IF(SUMPRODUCT((Upload_Indiv_Player=$A26)*(Upload_Indiv_Date=T$2)*(Upload_Indiv_Excl_Score))=0,"",SUMPRODUCT((Upload_Indiv_Player=$A26)*(Upload_Indiv_Date=T$2)*(Upload_Indiv_Excl_Score)))</f>
        <v>1</v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9"/>
      <c r="B32" s="8" t="s">
        <v>178</v>
      </c>
      <c r="C32" s="58" t="str">
        <f>IF(C26="", "", IF(C28&gt;=11, "w", IF(C28&lt;=9, "l", "t")))</f>
        <v>w</v>
      </c>
      <c r="D32" s="58" t="str">
        <f t="shared" ref="D32:S32" si="4">IF(D26="", "", IF(D28&gt;=11, "w", IF(D28&lt;=9, "l", "t")))</f>
        <v>l</v>
      </c>
      <c r="E32" s="58" t="str">
        <f t="shared" si="4"/>
        <v>l</v>
      </c>
      <c r="F32" s="58" t="str">
        <f t="shared" si="4"/>
        <v>t</v>
      </c>
      <c r="G32" s="58" t="str">
        <f t="shared" si="4"/>
        <v>l</v>
      </c>
      <c r="H32" s="58" t="str">
        <f t="shared" si="4"/>
        <v>l</v>
      </c>
      <c r="I32" s="58" t="str">
        <f t="shared" si="4"/>
        <v>w</v>
      </c>
      <c r="J32" s="58" t="str">
        <f t="shared" si="4"/>
        <v/>
      </c>
      <c r="K32" s="58" t="str">
        <f t="shared" si="4"/>
        <v>l</v>
      </c>
      <c r="L32" s="58" t="str">
        <f t="shared" si="4"/>
        <v>w</v>
      </c>
      <c r="M32" s="58" t="str">
        <f t="shared" si="4"/>
        <v>w</v>
      </c>
      <c r="N32" s="58" t="str">
        <f t="shared" si="4"/>
        <v/>
      </c>
      <c r="O32" s="58" t="str">
        <f t="shared" si="4"/>
        <v>l</v>
      </c>
      <c r="P32" s="58" t="str">
        <f t="shared" si="4"/>
        <v>l</v>
      </c>
      <c r="Q32" s="58" t="str">
        <f t="shared" si="4"/>
        <v>w</v>
      </c>
      <c r="R32" s="58" t="str">
        <f t="shared" si="4"/>
        <v>l</v>
      </c>
      <c r="S32" s="58" t="str">
        <f t="shared" si="4"/>
        <v>w</v>
      </c>
      <c r="T32" s="58" t="str">
        <f>IF(T26="", "", IF(T28&gt;=11, "w", IF(T28&lt;=9, "l", "t")))</f>
        <v/>
      </c>
      <c r="U32" s="58" t="str">
        <f>IF(U26="", "", IF(U28&gt;=11, "w", IF(U28&lt;=9, "l", "t")))</f>
        <v/>
      </c>
      <c r="V32" s="276"/>
      <c r="W32" s="276"/>
      <c r="X32" s="276"/>
      <c r="Y32" s="277"/>
      <c r="Z32" s="277"/>
      <c r="AA32" s="277"/>
    </row>
    <row r="33" spans="1:27" x14ac:dyDescent="0.25">
      <c r="A33" s="303"/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t="str" cm="1">
        <f t="array" ref="E33">IF(SUMPRODUCT((Upload_Indiv_Player=$A33)*(Upload_Indiv_Date=E$2)*(Upload_Indiv_Gross))=0,"",SUMPRODUCT((Upload_Indiv_Player=$A33)*(Upload_Indiv_Date=E$2)*(Upload_Indiv_Gross)))</f>
        <v/>
      </c>
      <c r="F33" s="3" t="str" cm="1">
        <f t="array" ref="F33">IF(SUMPRODUCT((Upload_Indiv_Player=$A33)*(Upload_Indiv_Date=F$2)*(Upload_Indiv_Gross))=0,"",SUMPRODUCT((Upload_Indiv_Player=$A33)*(Upload_Indiv_Date=F$2)*(Upload_Indiv_Gross)))</f>
        <v/>
      </c>
      <c r="G33" s="3" t="str" cm="1">
        <f t="array" ref="G33">IF(SUMPRODUCT((Upload_Indiv_Player=$A33)*(Upload_Indiv_Date=G$2)*(Upload_Indiv_Gross))=0,"",SUMPRODUCT((Upload_Indiv_Player=$A33)*(Upload_Indiv_Date=G$2)*(Upload_Indiv_Gross)))</f>
        <v/>
      </c>
      <c r="H33" s="3" t="str" cm="1">
        <f t="array" ref="H33">IF(SUMPRODUCT((Upload_Indiv_Player=$A33)*(Upload_Indiv_Date=H$2)*(Upload_Indiv_Gross))=0,"",SUMPRODUCT((Upload_Indiv_Player=$A33)*(Upload_Indiv_Date=H$2)*(Upload_Indiv_Gross)))</f>
        <v/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t="str" cm="1">
        <f t="array" ref="S33">IF(SUMPRODUCT((Upload_Indiv_Player=$A33)*(Upload_Indiv_Date=S$2)*(Upload_Indiv_Gross))=0,"",SUMPRODUCT((Upload_Indiv_Player=$A33)*(Upload_Indiv_Date=S$2)*(Upload_Indiv_Gross)))</f>
        <v/>
      </c>
      <c r="T33" s="2" t="str" cm="1">
        <f t="array" ref="T33">IF(SUMPRODUCT((Upload_Indiv_Player=$A33)*(Upload_Indiv_Date=T$2)*(Upload_Indiv_Gross))=0,"",SUMPRODUCT((Upload_Indiv_Player=$A33)*(Upload_Indiv_Date=T$2)*(Upload_Indiv_Gross)))</f>
        <v/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/>
      <c r="W33" s="273"/>
      <c r="X33" s="273"/>
      <c r="Y33" s="279"/>
      <c r="Z33" s="277"/>
      <c r="AA33" s="277"/>
    </row>
    <row r="34" spans="1:27" x14ac:dyDescent="0.25">
      <c r="A34" s="304"/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t="str" cm="1">
        <f t="array" ref="F34">IF(SUMPRODUCT((Upload_Indiv_Player=$A33)*(Upload_Indiv_Date=F$2)*(Upload_Indiv_Net))=0,"",SUMPRODUCT((Upload_Indiv_Player=$A33)*(Upload_Indiv_Date=F$2)*(Upload_Indiv_Net)))</f>
        <v/>
      </c>
      <c r="G34" s="2" t="str" cm="1">
        <f t="array" ref="G34">IF(SUMPRODUCT((Upload_Indiv_Player=$A33)*(Upload_Indiv_Date=G$2)*(Upload_Indiv_Net))=0,"",SUMPRODUCT((Upload_Indiv_Player=$A33)*(Upload_Indiv_Date=G$2)*(Upload_Indiv_Net)))</f>
        <v/>
      </c>
      <c r="H34" s="2" t="str" cm="1">
        <f t="array" ref="H34">IF(SUMPRODUCT((Upload_Indiv_Player=$A33)*(Upload_Indiv_Date=H$2)*(Upload_Indiv_Net))=0,"",SUMPRODUCT((Upload_Indiv_Player=$A33)*(Upload_Indiv_Date=H$2)*(Upload_Indiv_Net)))</f>
        <v/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t="str" cm="1">
        <f t="array" ref="S34">IF(SUMPRODUCT((Upload_Indiv_Player=$A33)*(Upload_Indiv_Date=S$2)*(Upload_Indiv_Net))=0,"",SUMPRODUCT((Upload_Indiv_Player=$A33)*(Upload_Indiv_Date=S$2)*(Upload_Indiv_Net)))</f>
        <v/>
      </c>
      <c r="T34" s="2" t="str" cm="1">
        <f t="array" ref="T34">IF(SUMPRODUCT((Upload_Indiv_Player=$A33)*(Upload_Indiv_Date=T$2)*(Upload_Indiv_Net))=0,"",SUMPRODUCT((Upload_Indiv_Player=$A33)*(Upload_Indiv_Date=T$2)*(Upload_Indiv_Net)))</f>
        <v/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6"/>
      <c r="W34" s="276"/>
      <c r="X34" s="276"/>
      <c r="Y34" s="277"/>
      <c r="Z34" s="277"/>
      <c r="AA34" s="277"/>
    </row>
    <row r="35" spans="1:27" x14ac:dyDescent="0.25">
      <c r="A35" s="305"/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t="str" cm="1">
        <f t="array" ref="F35">IF(SUMPRODUCT((Upload_Indiv_Player=$A33)*(Upload_Indiv_Date=F$2)*(Upload_Indiv_PointsTot))=0,"",SUMPRODUCT((Upload_Indiv_Player=$A33)*(Upload_Indiv_Date=F$2)*(Upload_Indiv_PointsTot)))</f>
        <v/>
      </c>
      <c r="G35" s="2" t="str" cm="1">
        <f t="array" ref="G35">IF(SUMPRODUCT((Upload_Indiv_Player=$A33)*(Upload_Indiv_Date=G$2)*(Upload_Indiv_PointsTot))=0,"",SUMPRODUCT((Upload_Indiv_Player=$A33)*(Upload_Indiv_Date=G$2)*(Upload_Indiv_PointsTot)))</f>
        <v/>
      </c>
      <c r="H35" s="2" t="str" cm="1">
        <f t="array" ref="H35">IF(SUMPRODUCT((Upload_Indiv_Player=$A33)*(Upload_Indiv_Date=H$2)*(Upload_Indiv_PointsTot))=0,"",SUMPRODUCT((Upload_Indiv_Player=$A33)*(Upload_Indiv_Date=H$2)*(Upload_Indiv_PointsTot)))</f>
        <v/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t="str" cm="1">
        <f t="array" ref="S35">IF(SUMPRODUCT((Upload_Indiv_Player=$A33)*(Upload_Indiv_Date=S$2)*(Upload_Indiv_PointsTot))=0,"",SUMPRODUCT((Upload_Indiv_Player=$A33)*(Upload_Indiv_Date=S$2)*(Upload_Indiv_PointsTot)))</f>
        <v/>
      </c>
      <c r="T35" s="2" t="str" cm="1">
        <f t="array" ref="T35">IF(SUMPRODUCT((Upload_Indiv_Player=$A33)*(Upload_Indiv_Date=T$2)*(Upload_Indiv_PointsTot))=0,"",SUMPRODUCT((Upload_Indiv_Player=$A33)*(Upload_Indiv_Date=T$2)*(Upload_Indiv_PointsTot)))</f>
        <v/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6"/>
      <c r="W35" s="276"/>
      <c r="X35" s="276"/>
      <c r="Y35" s="277"/>
      <c r="Z35" s="277"/>
      <c r="AA35" s="277"/>
    </row>
    <row r="36" spans="1:27" x14ac:dyDescent="0.25">
      <c r="A36" s="306"/>
      <c r="B36" s="8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6"/>
      <c r="W36" s="276"/>
      <c r="X36" s="276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9"/>
      <c r="W37" s="279"/>
      <c r="X37" s="279"/>
      <c r="Y37" s="277"/>
      <c r="Z37" s="277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t="str" cm="1">
        <f t="array" ref="T38">IF(SUMPRODUCT((Upload_Indiv_Player=$A33)*(Upload_Indiv_Date=T$2)*(Upload_Indiv_Excl_Score))=0,"",SUMPRODUCT((Upload_Indiv_Player=$A33)*(Upload_Indiv_Date=T$2)*(Upload_Indiv_Excl_Score)))</f>
        <v/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9"/>
      <c r="W38" s="279"/>
      <c r="X38" s="279"/>
      <c r="Y38" s="277"/>
      <c r="Z38" s="277"/>
      <c r="AA38" s="277"/>
    </row>
    <row r="39" spans="1:27" ht="13.8" thickBot="1" x14ac:dyDescent="0.3">
      <c r="A39" s="307"/>
      <c r="B39" s="16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/>
      </c>
      <c r="F39" s="58" t="str">
        <f t="shared" si="5"/>
        <v/>
      </c>
      <c r="G39" s="58" t="str">
        <f t="shared" si="5"/>
        <v/>
      </c>
      <c r="H39" s="58" t="str">
        <f t="shared" si="5"/>
        <v/>
      </c>
      <c r="I39" s="58" t="str">
        <f t="shared" si="5"/>
        <v/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>IF(T33="", "", IF(T35&gt;=11, "w", IF(T35&lt;=9, "l", "t")))</f>
        <v/>
      </c>
      <c r="U39" s="58" t="str">
        <f>IF(U33="", "", IF(U35&gt;=11, "w", IF(U35&lt;=9, "l", "t")))</f>
        <v/>
      </c>
      <c r="V39" s="279"/>
      <c r="W39" s="279"/>
      <c r="X39" s="279"/>
      <c r="Y39" s="277"/>
      <c r="Z39" s="277"/>
      <c r="AA39" s="277"/>
    </row>
    <row r="40" spans="1:27" x14ac:dyDescent="0.25">
      <c r="A40" s="294" t="s">
        <v>322</v>
      </c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cm="1">
        <f t="array" ref="F40">IF(SUMPRODUCT((Upload_Indiv_Player=$A40)*(Upload_Indiv_Date=F$2)*(Upload_Indiv_Gross))=0,"",SUMPRODUCT((Upload_Indiv_Player=$A40)*(Upload_Indiv_Date=F$2)*(Upload_Indiv_Gross)))</f>
        <v>40</v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cm="1">
        <f t="array" ref="K40">IF(SUMPRODUCT((Upload_Indiv_Player=$A40)*(Upload_Indiv_Date=K$2)*(Upload_Indiv_Gross))=0,"",SUMPRODUCT((Upload_Indiv_Player=$A40)*(Upload_Indiv_Date=K$2)*(Upload_Indiv_Gross)))</f>
        <v>40</v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cm="1">
        <f t="array" ref="Q40">IF(SUMPRODUCT((Upload_Indiv_Player=$A40)*(Upload_Indiv_Date=Q$2)*(Upload_Indiv_Gross))=0,"",SUMPRODUCT((Upload_Indiv_Player=$A40)*(Upload_Indiv_Date=Q$2)*(Upload_Indiv_Gross)))</f>
        <v>40</v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cm="1">
        <f t="array" ref="F41">IF(SUMPRODUCT((Upload_Indiv_Player=$A40)*(Upload_Indiv_Date=F$2)*(Upload_Indiv_Net))=0,"",SUMPRODUCT((Upload_Indiv_Player=$A40)*(Upload_Indiv_Date=F$2)*(Upload_Indiv_Net)))</f>
        <v>40</v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cm="1">
        <f t="array" ref="K41">IF(SUMPRODUCT((Upload_Indiv_Player=$A40)*(Upload_Indiv_Date=K$2)*(Upload_Indiv_Net))=0,"",SUMPRODUCT((Upload_Indiv_Player=$A40)*(Upload_Indiv_Date=K$2)*(Upload_Indiv_Net)))</f>
        <v>40</v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cm="1">
        <f t="array" ref="Q41">IF(SUMPRODUCT((Upload_Indiv_Player=$A40)*(Upload_Indiv_Date=Q$2)*(Upload_Indiv_Net))=0,"",SUMPRODUCT((Upload_Indiv_Player=$A40)*(Upload_Indiv_Date=Q$2)*(Upload_Indiv_Net)))</f>
        <v>40</v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cm="1">
        <f t="array" ref="K42">IF(SUMPRODUCT((Upload_Indiv_Player=$A40)*(Upload_Indiv_Date=K$2)*(Upload_Indiv_PointsTot))=0,"",SUMPRODUCT((Upload_Indiv_Player=$A40)*(Upload_Indiv_Date=K$2)*(Upload_Indiv_PointsTot)))</f>
        <v>8</v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cm="1">
        <f t="array" ref="Q42">IF(SUMPRODUCT((Upload_Indiv_Player=$A40)*(Upload_Indiv_Date=Q$2)*(Upload_Indiv_PointsTot))=0,"",SUMPRODUCT((Upload_Indiv_Player=$A40)*(Upload_Indiv_Date=Q$2)*(Upload_Indiv_PointsTot)))</f>
        <v>4</v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>w</v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>l</v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>l</v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hyperlinks>
    <hyperlink ref="A7" r:id="rId1" xr:uid="{85247AF6-8254-4B1D-83B7-D7B5818E51D1}"/>
    <hyperlink ref="A14" r:id="rId2" xr:uid="{842F3B4E-1360-4D43-B0B8-E2F5A09BFF9C}"/>
    <hyperlink ref="A21" r:id="rId3" xr:uid="{5C2EC727-7365-4E8F-8B78-15AC26365F95}"/>
  </hyperlinks>
  <pageMargins left="0.75" right="0.75" top="1" bottom="1" header="0.5" footer="0.5"/>
  <pageSetup orientation="portrait" r:id="rId4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A46"/>
  <sheetViews>
    <sheetView workbookViewId="0"/>
  </sheetViews>
  <sheetFormatPr defaultRowHeight="13.2" x14ac:dyDescent="0.25"/>
  <cols>
    <col min="1" max="1" width="30.88671875" style="4" bestFit="1" customWidth="1"/>
    <col min="2" max="2" width="8.77734375" style="2" bestFit="1" customWidth="1"/>
    <col min="3" max="21" width="5.77734375" style="2" customWidth="1"/>
    <col min="22" max="22" width="9.109375" style="50"/>
    <col min="23" max="24" width="9" style="50"/>
  </cols>
  <sheetData>
    <row r="1" spans="1:27" x14ac:dyDescent="0.25">
      <c r="A1" s="9" t="s">
        <v>31</v>
      </c>
      <c r="B1" s="8" t="s">
        <v>80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71" t="s">
        <v>46</v>
      </c>
      <c r="W1" s="271"/>
      <c r="X1" s="271"/>
      <c r="Y1" s="271"/>
      <c r="Z1" s="271"/>
      <c r="AA1" s="271"/>
    </row>
    <row r="2" spans="1:27" x14ac:dyDescent="0.25">
      <c r="B2" s="8" t="s">
        <v>167</v>
      </c>
      <c r="C2" s="1">
        <v>45761</v>
      </c>
      <c r="D2" s="1">
        <f>C2+7</f>
        <v>45768</v>
      </c>
      <c r="E2" s="1">
        <f>D2+7</f>
        <v>45775</v>
      </c>
      <c r="F2" s="1">
        <f>E2+7</f>
        <v>45782</v>
      </c>
      <c r="G2" s="1">
        <f>F2+7</f>
        <v>45789</v>
      </c>
      <c r="H2" s="1">
        <f>G2+7</f>
        <v>45796</v>
      </c>
      <c r="I2" s="1">
        <f>H2+14</f>
        <v>45810</v>
      </c>
      <c r="J2" s="1">
        <f>I2+7</f>
        <v>45817</v>
      </c>
      <c r="K2" s="1">
        <f t="shared" ref="K2:U2" si="0">J2+7</f>
        <v>45824</v>
      </c>
      <c r="L2" s="1">
        <f t="shared" si="0"/>
        <v>45831</v>
      </c>
      <c r="M2" s="1">
        <f t="shared" si="0"/>
        <v>45838</v>
      </c>
      <c r="N2" s="1">
        <f t="shared" si="0"/>
        <v>45845</v>
      </c>
      <c r="O2" s="1">
        <f t="shared" si="0"/>
        <v>45852</v>
      </c>
      <c r="P2" s="1">
        <f t="shared" si="0"/>
        <v>45859</v>
      </c>
      <c r="Q2" s="1">
        <f t="shared" si="0"/>
        <v>45866</v>
      </c>
      <c r="R2" s="1">
        <f t="shared" si="0"/>
        <v>45873</v>
      </c>
      <c r="S2" s="1">
        <f t="shared" si="0"/>
        <v>45880</v>
      </c>
      <c r="T2" s="1">
        <f t="shared" si="0"/>
        <v>45887</v>
      </c>
      <c r="U2" s="1">
        <f t="shared" si="0"/>
        <v>45894</v>
      </c>
      <c r="V2" s="273">
        <v>2024</v>
      </c>
      <c r="W2" s="273">
        <v>2023</v>
      </c>
      <c r="X2" s="273">
        <v>2022</v>
      </c>
      <c r="Y2" s="274">
        <v>2021</v>
      </c>
      <c r="Z2" s="274">
        <v>2020</v>
      </c>
      <c r="AA2" s="275">
        <v>2019</v>
      </c>
    </row>
    <row r="3" spans="1:27" x14ac:dyDescent="0.25">
      <c r="A3" s="10" t="s">
        <v>30</v>
      </c>
      <c r="B3" s="8" t="s">
        <v>260</v>
      </c>
      <c r="C3" s="5" cm="1">
        <f t="array" ref="C3">IF(SUMPRODUCT((Upload_Team_Team=$A$3)*(Upload_Team_Date=C$2)*(Upload_Team_Tm_Tot_Points))=0,"",SUMPRODUCT((Upload_Team_Team=$A$3)*(Upload_Team_Date=C$2)*(Upload_Team_Tm_Tot_Points)))</f>
        <v>56</v>
      </c>
      <c r="D3" s="5" cm="1">
        <f t="array" ref="D3">IF(SUMPRODUCT((Upload_Team_Team=$A$3)*(Upload_Team_Date=D$2)*(Upload_Team_Tm_Tot_Points))=0,"",SUMPRODUCT((Upload_Team_Team=$A$3)*(Upload_Team_Date=D$2)*(Upload_Team_Tm_Tot_Points)))</f>
        <v>61</v>
      </c>
      <c r="E3" s="5" cm="1">
        <f t="array" ref="E3">IF(SUMPRODUCT((Upload_Team_Team=$A$3)*(Upload_Team_Date=E$2)*(Upload_Team_Tm_Tot_Points))=0,"",SUMPRODUCT((Upload_Team_Team=$A$3)*(Upload_Team_Date=E$2)*(Upload_Team_Tm_Tot_Points)))</f>
        <v>61</v>
      </c>
      <c r="F3" s="5" cm="1">
        <f t="array" ref="F3">IF(SUMPRODUCT((Upload_Team_Team=$A$3)*(Upload_Team_Date=F$2)*(Upload_Team_Tm_Tot_Points))=0,"",SUMPRODUCT((Upload_Team_Team=$A$3)*(Upload_Team_Date=F$2)*(Upload_Team_Tm_Tot_Points)))</f>
        <v>61</v>
      </c>
      <c r="G3" s="5" cm="1">
        <f t="array" ref="G3">IF(SUMPRODUCT((Upload_Team_Team=$A$3)*(Upload_Team_Date=G$2)*(Upload_Team_Tm_Tot_Points))=0,"",SUMPRODUCT((Upload_Team_Team=$A$3)*(Upload_Team_Date=G$2)*(Upload_Team_Tm_Tot_Points)))</f>
        <v>52</v>
      </c>
      <c r="H3" s="5" cm="1">
        <f t="array" ref="H3">IF(SUMPRODUCT((Upload_Team_Team=$A$3)*(Upload_Team_Date=H$2)*(Upload_Team_Tm_Tot_Points))=0,"",SUMPRODUCT((Upload_Team_Team=$A$3)*(Upload_Team_Date=H$2)*(Upload_Team_Tm_Tot_Points)))</f>
        <v>46</v>
      </c>
      <c r="I3" s="5" cm="1">
        <f t="array" ref="I3">IF(SUMPRODUCT((Upload_Team_Team=$A$3)*(Upload_Team_Date=I$2)*(Upload_Team_Tm_Tot_Points))=0,"",SUMPRODUCT((Upload_Team_Team=$A$3)*(Upload_Team_Date=I$2)*(Upload_Team_Tm_Tot_Points)))</f>
        <v>45</v>
      </c>
      <c r="J3" s="5" t="str" cm="1">
        <f t="array" ref="J3">IF(SUMPRODUCT((Upload_Team_Team=$A$3)*(Upload_Team_Date=J$2)*(Upload_Team_Tm_Tot_Points))=0,"",SUMPRODUCT((Upload_Team_Team=$A$3)*(Upload_Team_Date=J$2)*(Upload_Team_Tm_Tot_Points)))</f>
        <v/>
      </c>
      <c r="K3" s="5" cm="1">
        <f t="array" ref="K3">IF(SUMPRODUCT((Upload_Team_Team=$A$3)*(Upload_Team_Date=K$2)*(Upload_Team_Tm_Tot_Points))=0,"",SUMPRODUCT((Upload_Team_Team=$A$3)*(Upload_Team_Date=K$2)*(Upload_Team_Tm_Tot_Points)))</f>
        <v>51</v>
      </c>
      <c r="L3" s="5" cm="1">
        <f t="array" ref="L3">IF(SUMPRODUCT((Upload_Team_Team=$A$3)*(Upload_Team_Date=L$2)*(Upload_Team_Tm_Tot_Points))=0,"",SUMPRODUCT((Upload_Team_Team=$A$3)*(Upload_Team_Date=L$2)*(Upload_Team_Tm_Tot_Points)))</f>
        <v>43</v>
      </c>
      <c r="M3" s="5" cm="1">
        <f t="array" ref="M3">IF(SUMPRODUCT((Upload_Team_Team=$A$3)*(Upload_Team_Date=M$2)*(Upload_Team_Tm_Tot_Points))=0,"",SUMPRODUCT((Upload_Team_Team=$A$3)*(Upload_Team_Date=M$2)*(Upload_Team_Tm_Tot_Points)))</f>
        <v>42</v>
      </c>
      <c r="N3" s="5" t="str" cm="1">
        <f t="array" ref="N3">IF(SUMPRODUCT((Upload_Team_Team=$A$3)*(Upload_Team_Date=N$2)*(Upload_Team_Tm_Tot_Points))=0,"",SUMPRODUCT((Upload_Team_Team=$A$3)*(Upload_Team_Date=N$2)*(Upload_Team_Tm_Tot_Points)))</f>
        <v/>
      </c>
      <c r="O3" s="5" cm="1">
        <f t="array" ref="O3">IF(SUMPRODUCT((Upload_Team_Team=$A$3)*(Upload_Team_Date=O$2)*(Upload_Team_Tm_Tot_Points))=0,"",SUMPRODUCT((Upload_Team_Team=$A$3)*(Upload_Team_Date=O$2)*(Upload_Team_Tm_Tot_Points)))</f>
        <v>44</v>
      </c>
      <c r="P3" s="5" cm="1">
        <f t="array" ref="P3">IF(SUMPRODUCT((Upload_Team_Team=$A$3)*(Upload_Team_Date=P$2)*(Upload_Team_Tm_Tot_Points))=0,"",SUMPRODUCT((Upload_Team_Team=$A$3)*(Upload_Team_Date=P$2)*(Upload_Team_Tm_Tot_Points)))</f>
        <v>46</v>
      </c>
      <c r="Q3" s="5" cm="1">
        <f t="array" ref="Q3">IF(SUMPRODUCT((Upload_Team_Team=$A$3)*(Upload_Team_Date=Q$2)*(Upload_Team_Tm_Tot_Points))=0,"",SUMPRODUCT((Upload_Team_Team=$A$3)*(Upload_Team_Date=Q$2)*(Upload_Team_Tm_Tot_Points)))</f>
        <v>26</v>
      </c>
      <c r="R3" s="5" cm="1">
        <f t="array" ref="R3">IF(SUMPRODUCT((Upload_Team_Team=$A$3)*(Upload_Team_Date=R$2)*(Upload_Team_Tm_Tot_Points))=0,"",SUMPRODUCT((Upload_Team_Team=$A$3)*(Upload_Team_Date=R$2)*(Upload_Team_Tm_Tot_Points)))</f>
        <v>31</v>
      </c>
      <c r="S3" s="5" cm="1">
        <f t="array" ref="S3">IF(SUMPRODUCT((Upload_Team_Team=$A$3)*(Upload_Team_Date=S$2)*(Upload_Team_Tm_Tot_Points))=0,"",SUMPRODUCT((Upload_Team_Team=$A$3)*(Upload_Team_Date=S$2)*(Upload_Team_Tm_Tot_Points)))</f>
        <v>28</v>
      </c>
      <c r="T3" s="5" cm="1">
        <f t="array" ref="T3">IF(SUMPRODUCT((Upload_Team_Team=$A$3)*(Upload_Team_Date=T$2)*(Upload_Team_Tm_Tot_Points))=0,"",SUMPRODUCT((Upload_Team_Team=$A$3)*(Upload_Team_Date=T$2)*(Upload_Team_Tm_Tot_Points)))</f>
        <v>254</v>
      </c>
      <c r="U3" s="5" t="str" cm="1">
        <f t="array" ref="U3">IF(SUMPRODUCT((Upload_Team_Team=$A$3)*(Upload_Team_Date=U$2)*(Upload_Team_Tm_Tot_Points))=0,"",SUMPRODUCT((Upload_Team_Team=$A$3)*(Upload_Team_Date=U$2)*(Upload_Team_Tm_Tot_Points)))</f>
        <v/>
      </c>
      <c r="V3" s="279"/>
      <c r="W3" s="279"/>
      <c r="X3" s="279"/>
      <c r="Y3" s="277"/>
      <c r="Z3" s="277"/>
      <c r="AA3" s="277"/>
    </row>
    <row r="4" spans="1:27" ht="13.8" thickBot="1" x14ac:dyDescent="0.3">
      <c r="A4" s="56"/>
      <c r="B4" s="8" t="s">
        <v>261</v>
      </c>
      <c r="C4" s="7" cm="1">
        <f t="array" ref="C4">IF(SUMPRODUCT((Upload_Team_Team=$A$3)*(Upload_Team_Date=C$2)*(Upload_Team_Tm_Net))=0,"",SUMPRODUCT((Upload_Team_Team=$A$3)*(Upload_Team_Date=C$2)*(Upload_Team_Tm_Net)))</f>
        <v>152</v>
      </c>
      <c r="D4" s="7" cm="1">
        <f t="array" ref="D4">IF(SUMPRODUCT((Upload_Team_Team=$A$3)*(Upload_Team_Date=D$2)*(Upload_Team_Tm_Net))=0,"",SUMPRODUCT((Upload_Team_Team=$A$3)*(Upload_Team_Date=D$2)*(Upload_Team_Tm_Net)))</f>
        <v>152</v>
      </c>
      <c r="E4" s="7" cm="1">
        <f t="array" ref="E4">IF(SUMPRODUCT((Upload_Team_Team=$A$3)*(Upload_Team_Date=E$2)*(Upload_Team_Tm_Net))=0,"",SUMPRODUCT((Upload_Team_Team=$A$3)*(Upload_Team_Date=E$2)*(Upload_Team_Tm_Net)))</f>
        <v>152</v>
      </c>
      <c r="F4" s="7" cm="1">
        <f t="array" ref="F4">IF(SUMPRODUCT((Upload_Team_Team=$A$3)*(Upload_Team_Date=F$2)*(Upload_Team_Tm_Net))=0,"",SUMPRODUCT((Upload_Team_Team=$A$3)*(Upload_Team_Date=F$2)*(Upload_Team_Tm_Net)))</f>
        <v>152</v>
      </c>
      <c r="G4" s="7" cm="1">
        <f t="array" ref="G4">IF(SUMPRODUCT((Upload_Team_Team=$A$3)*(Upload_Team_Date=G$2)*(Upload_Team_Tm_Net))=0,"",SUMPRODUCT((Upload_Team_Team=$A$3)*(Upload_Team_Date=G$2)*(Upload_Team_Tm_Net)))</f>
        <v>152</v>
      </c>
      <c r="H4" s="7" cm="1">
        <f t="array" ref="H4">IF(SUMPRODUCT((Upload_Team_Team=$A$3)*(Upload_Team_Date=H$2)*(Upload_Team_Tm_Net))=0,"",SUMPRODUCT((Upload_Team_Team=$A$3)*(Upload_Team_Date=H$2)*(Upload_Team_Tm_Net)))</f>
        <v>152</v>
      </c>
      <c r="I4" s="7" cm="1">
        <f t="array" ref="I4">IF(SUMPRODUCT((Upload_Team_Team=$A$3)*(Upload_Team_Date=I$2)*(Upload_Team_Tm_Net))=0,"",SUMPRODUCT((Upload_Team_Team=$A$3)*(Upload_Team_Date=I$2)*(Upload_Team_Tm_Net)))</f>
        <v>152</v>
      </c>
      <c r="J4" s="7" t="str" cm="1">
        <f t="array" ref="J4">IF(SUMPRODUCT((Upload_Team_Team=$A$3)*(Upload_Team_Date=J$2)*(Upload_Team_Tm_Net))=0,"",SUMPRODUCT((Upload_Team_Team=$A$3)*(Upload_Team_Date=J$2)*(Upload_Team_Tm_Net)))</f>
        <v/>
      </c>
      <c r="K4" s="7" cm="1">
        <f t="array" ref="K4">IF(SUMPRODUCT((Upload_Team_Team=$A$3)*(Upload_Team_Date=K$2)*(Upload_Team_Tm_Net))=0,"",SUMPRODUCT((Upload_Team_Team=$A$3)*(Upload_Team_Date=K$2)*(Upload_Team_Tm_Net)))</f>
        <v>152</v>
      </c>
      <c r="L4" s="7" cm="1">
        <f t="array" ref="L4">IF(SUMPRODUCT((Upload_Team_Team=$A$3)*(Upload_Team_Date=L$2)*(Upload_Team_Tm_Net))=0,"",SUMPRODUCT((Upload_Team_Team=$A$3)*(Upload_Team_Date=L$2)*(Upload_Team_Tm_Net)))</f>
        <v>152</v>
      </c>
      <c r="M4" s="7" cm="1">
        <f t="array" ref="M4">IF(SUMPRODUCT((Upload_Team_Team=$A$3)*(Upload_Team_Date=M$2)*(Upload_Team_Tm_Net))=0,"",SUMPRODUCT((Upload_Team_Team=$A$3)*(Upload_Team_Date=M$2)*(Upload_Team_Tm_Net)))</f>
        <v>152</v>
      </c>
      <c r="N4" s="7" t="str" cm="1">
        <f t="array" ref="N4">IF(SUMPRODUCT((Upload_Team_Team=$A$3)*(Upload_Team_Date=N$2)*(Upload_Team_Tm_Net))=0,"",SUMPRODUCT((Upload_Team_Team=$A$3)*(Upload_Team_Date=N$2)*(Upload_Team_Tm_Net)))</f>
        <v/>
      </c>
      <c r="O4" s="7" cm="1">
        <f t="array" ref="O4">IF(SUMPRODUCT((Upload_Team_Team=$A$3)*(Upload_Team_Date=O$2)*(Upload_Team_Tm_Net))=0,"",SUMPRODUCT((Upload_Team_Team=$A$3)*(Upload_Team_Date=O$2)*(Upload_Team_Tm_Net)))</f>
        <v>152</v>
      </c>
      <c r="P4" s="7" cm="1">
        <f t="array" ref="P4">IF(SUMPRODUCT((Upload_Team_Team=$A$3)*(Upload_Team_Date=P$2)*(Upload_Team_Tm_Net))=0,"",SUMPRODUCT((Upload_Team_Team=$A$3)*(Upload_Team_Date=P$2)*(Upload_Team_Tm_Net)))</f>
        <v>152</v>
      </c>
      <c r="Q4" s="7" t="str" cm="1">
        <f t="array" ref="Q4">IF(SUMPRODUCT((Upload_Team_Team=$A$3)*(Upload_Team_Date=Q$2)*(Upload_Team_Tm_Net))=0,"",SUMPRODUCT((Upload_Team_Team=$A$3)*(Upload_Team_Date=Q$2)*(Upload_Team_Tm_Net)))</f>
        <v/>
      </c>
      <c r="R4" s="7" cm="1">
        <f t="array" ref="R4">IF(SUMPRODUCT((Upload_Team_Team=$A$3)*(Upload_Team_Date=R$2)*(Upload_Team_Tm_Net))=0,"",SUMPRODUCT((Upload_Team_Team=$A$3)*(Upload_Team_Date=R$2)*(Upload_Team_Tm_Net)))</f>
        <v>152</v>
      </c>
      <c r="S4" s="7" cm="1">
        <f t="array" ref="S4">IF(SUMPRODUCT((Upload_Team_Team=$A$3)*(Upload_Team_Date=S$2)*(Upload_Team_Tm_Net))=0,"",SUMPRODUCT((Upload_Team_Team=$A$3)*(Upload_Team_Date=S$2)*(Upload_Team_Tm_Net)))</f>
        <v>152</v>
      </c>
      <c r="T4" s="7" cm="1">
        <f t="array" ref="T4">IF(SUMPRODUCT((Upload_Team_Team=$A$3)*(Upload_Team_Date=T$2)*(Upload_Team_Tm_Net))=0,"",SUMPRODUCT((Upload_Team_Team=$A$3)*(Upload_Team_Date=T$2)*(Upload_Team_Tm_Net)))</f>
        <v>912</v>
      </c>
      <c r="U4" s="7" t="str" cm="1">
        <f t="array" ref="U4">IF(SUMPRODUCT((Upload_Team_Team=$A$3)*(Upload_Team_Date=U$2)*(Upload_Team_Tm_Net))=0,"",SUMPRODUCT((Upload_Team_Team=$A$3)*(Upload_Team_Date=U$2)*(Upload_Team_Tm_Net)))</f>
        <v/>
      </c>
      <c r="V4" s="279"/>
      <c r="W4" s="279"/>
      <c r="X4" s="279"/>
      <c r="Y4" s="277"/>
      <c r="Z4" s="278"/>
      <c r="AA4" s="277"/>
    </row>
    <row r="5" spans="1:27" x14ac:dyDescent="0.25">
      <c r="A5" s="303" t="s">
        <v>323</v>
      </c>
      <c r="B5" s="3" t="s">
        <v>170</v>
      </c>
      <c r="C5" s="3" cm="1">
        <f t="array" ref="C5">IF(SUMPRODUCT((Upload_Indiv_Player=$A5)*(Upload_Indiv_Date=C$2)*(Upload_Indiv_Gross))=0,"",SUMPRODUCT((Upload_Indiv_Player=$A5)*(Upload_Indiv_Date=C$2)*(Upload_Indiv_Gross)))</f>
        <v>38</v>
      </c>
      <c r="D5" s="3" cm="1">
        <f t="array" ref="D5">IF(SUMPRODUCT((Upload_Indiv_Player=$A5)*(Upload_Indiv_Date=D$2)*(Upload_Indiv_Gross))=0,"",SUMPRODUCT((Upload_Indiv_Player=$A5)*(Upload_Indiv_Date=D$2)*(Upload_Indiv_Gross)))</f>
        <v>38</v>
      </c>
      <c r="E5" s="3" cm="1">
        <f t="array" ref="E5">IF(SUMPRODUCT((Upload_Indiv_Player=$A5)*(Upload_Indiv_Date=E$2)*(Upload_Indiv_Gross))=0,"",SUMPRODUCT((Upload_Indiv_Player=$A5)*(Upload_Indiv_Date=E$2)*(Upload_Indiv_Gross)))</f>
        <v>38</v>
      </c>
      <c r="F5" s="3" cm="1">
        <f t="array" ref="F5">IF(SUMPRODUCT((Upload_Indiv_Player=$A5)*(Upload_Indiv_Date=F$2)*(Upload_Indiv_Gross))=0,"",SUMPRODUCT((Upload_Indiv_Player=$A5)*(Upload_Indiv_Date=F$2)*(Upload_Indiv_Gross)))</f>
        <v>38</v>
      </c>
      <c r="G5" s="3" cm="1">
        <f t="array" ref="G5">IF(SUMPRODUCT((Upload_Indiv_Player=$A5)*(Upload_Indiv_Date=G$2)*(Upload_Indiv_Gross))=0,"",SUMPRODUCT((Upload_Indiv_Player=$A5)*(Upload_Indiv_Date=G$2)*(Upload_Indiv_Gross)))</f>
        <v>38</v>
      </c>
      <c r="H5" s="3" cm="1">
        <f t="array" ref="H5">IF(SUMPRODUCT((Upload_Indiv_Player=$A5)*(Upload_Indiv_Date=H$2)*(Upload_Indiv_Gross))=0,"",SUMPRODUCT((Upload_Indiv_Player=$A5)*(Upload_Indiv_Date=H$2)*(Upload_Indiv_Gross)))</f>
        <v>38</v>
      </c>
      <c r="I5" s="3" cm="1">
        <f t="array" ref="I5">IF(SUMPRODUCT((Upload_Indiv_Player=$A5)*(Upload_Indiv_Date=I$2)*(Upload_Indiv_Gross))=0,"",SUMPRODUCT((Upload_Indiv_Player=$A5)*(Upload_Indiv_Date=I$2)*(Upload_Indiv_Gross)))</f>
        <v>38</v>
      </c>
      <c r="J5" s="3" t="str" cm="1">
        <f t="array" ref="J5">IF(SUMPRODUCT((Upload_Indiv_Player=$A5)*(Upload_Indiv_Date=J$2)*(Upload_Indiv_Gross))=0,"",SUMPRODUCT((Upload_Indiv_Player=$A5)*(Upload_Indiv_Date=J$2)*(Upload_Indiv_Gross)))</f>
        <v/>
      </c>
      <c r="K5" s="3" cm="1">
        <f t="array" ref="K5">IF(SUMPRODUCT((Upload_Indiv_Player=$A5)*(Upload_Indiv_Date=K$2)*(Upload_Indiv_Gross))=0,"",SUMPRODUCT((Upload_Indiv_Player=$A5)*(Upload_Indiv_Date=K$2)*(Upload_Indiv_Gross)))</f>
        <v>38</v>
      </c>
      <c r="L5" s="3" cm="1">
        <f t="array" ref="L5">IF(SUMPRODUCT((Upload_Indiv_Player=$A5)*(Upload_Indiv_Date=L$2)*(Upload_Indiv_Gross))=0,"",SUMPRODUCT((Upload_Indiv_Player=$A5)*(Upload_Indiv_Date=L$2)*(Upload_Indiv_Gross)))</f>
        <v>38</v>
      </c>
      <c r="M5" s="3" cm="1">
        <f t="array" ref="M5">IF(SUMPRODUCT((Upload_Indiv_Player=$A5)*(Upload_Indiv_Date=M$2)*(Upload_Indiv_Gross))=0,"",SUMPRODUCT((Upload_Indiv_Player=$A5)*(Upload_Indiv_Date=M$2)*(Upload_Indiv_Gross)))</f>
        <v>38</v>
      </c>
      <c r="N5" s="3" t="str" cm="1">
        <f t="array" ref="N5">IF(SUMPRODUCT((Upload_Indiv_Player=$A5)*(Upload_Indiv_Date=N$2)*(Upload_Indiv_Gross))=0,"",SUMPRODUCT((Upload_Indiv_Player=$A5)*(Upload_Indiv_Date=N$2)*(Upload_Indiv_Gross)))</f>
        <v/>
      </c>
      <c r="O5" s="3" cm="1">
        <f t="array" ref="O5">IF(SUMPRODUCT((Upload_Indiv_Player=$A5)*(Upload_Indiv_Date=O$2)*(Upload_Indiv_Gross))=0,"",SUMPRODUCT((Upload_Indiv_Player=$A5)*(Upload_Indiv_Date=O$2)*(Upload_Indiv_Gross)))</f>
        <v>38</v>
      </c>
      <c r="P5" s="3" cm="1">
        <f t="array" ref="P5">IF(SUMPRODUCT((Upload_Indiv_Player=$A5)*(Upload_Indiv_Date=P$2)*(Upload_Indiv_Gross))=0,"",SUMPRODUCT((Upload_Indiv_Player=$A5)*(Upload_Indiv_Date=P$2)*(Upload_Indiv_Gross)))</f>
        <v>38</v>
      </c>
      <c r="Q5" s="3" cm="1">
        <f t="array" ref="Q5">IF(SUMPRODUCT((Upload_Indiv_Player=$A5)*(Upload_Indiv_Date=Q$2)*(Upload_Indiv_Gross))=0,"",SUMPRODUCT((Upload_Indiv_Player=$A5)*(Upload_Indiv_Date=Q$2)*(Upload_Indiv_Gross)))</f>
        <v>33</v>
      </c>
      <c r="R5" s="3" cm="1">
        <f t="array" ref="R5">IF(SUMPRODUCT((Upload_Indiv_Player=$A5)*(Upload_Indiv_Date=R$2)*(Upload_Indiv_Gross))=0,"",SUMPRODUCT((Upload_Indiv_Player=$A5)*(Upload_Indiv_Date=R$2)*(Upload_Indiv_Gross)))</f>
        <v>38</v>
      </c>
      <c r="S5" s="3" cm="1">
        <f t="array" ref="S5">IF(SUMPRODUCT((Upload_Indiv_Player=$A5)*(Upload_Indiv_Date=S$2)*(Upload_Indiv_Gross))=0,"",SUMPRODUCT((Upload_Indiv_Player=$A5)*(Upload_Indiv_Date=S$2)*(Upload_Indiv_Gross)))</f>
        <v>38</v>
      </c>
      <c r="T5" s="3" cm="1">
        <f t="array" ref="T5">IF(SUMPRODUCT((Upload_Indiv_Player=$A5)*(Upload_Indiv_Date=T$2)*(Upload_Indiv_Gross))=0,"",SUMPRODUCT((Upload_Indiv_Player=$A5)*(Upload_Indiv_Date=T$2)*(Upload_Indiv_Gross)))</f>
        <v>228</v>
      </c>
      <c r="U5" s="3" t="str" cm="1">
        <f t="array" ref="U5">IF(SUMPRODUCT((Upload_Indiv_Player=$A5)*(Upload_Indiv_Date=U$2)*(Upload_Indiv_Gross))=0,"",SUMPRODUCT((Upload_Indiv_Player=$A5)*(Upload_Indiv_Date=U$2)*(Upload_Indiv_Gross)))</f>
        <v/>
      </c>
      <c r="V5" s="273">
        <v>14</v>
      </c>
      <c r="W5" s="273"/>
      <c r="X5" s="273"/>
      <c r="Y5" s="277"/>
      <c r="Z5" s="277"/>
      <c r="AA5" s="277"/>
    </row>
    <row r="6" spans="1:27" x14ac:dyDescent="0.25">
      <c r="A6" s="304"/>
      <c r="B6" s="2" t="s">
        <v>171</v>
      </c>
      <c r="C6" s="2" cm="1">
        <f t="array" ref="C6">IF(SUMPRODUCT((Upload_Indiv_Player=$A5)*(Upload_Indiv_Date=C$2)*(Upload_Indiv_Net))=0,"",SUMPRODUCT((Upload_Indiv_Player=$A5)*(Upload_Indiv_Date=C$2)*(Upload_Indiv_Net)))</f>
        <v>38</v>
      </c>
      <c r="D6" s="2" cm="1">
        <f t="array" ref="D6">IF(SUMPRODUCT((Upload_Indiv_Player=$A5)*(Upload_Indiv_Date=D$2)*(Upload_Indiv_Net))=0,"",SUMPRODUCT((Upload_Indiv_Player=$A5)*(Upload_Indiv_Date=D$2)*(Upload_Indiv_Net)))</f>
        <v>38</v>
      </c>
      <c r="E6" s="2" cm="1">
        <f t="array" ref="E6">IF(SUMPRODUCT((Upload_Indiv_Player=$A5)*(Upload_Indiv_Date=E$2)*(Upload_Indiv_Net))=0,"",SUMPRODUCT((Upload_Indiv_Player=$A5)*(Upload_Indiv_Date=E$2)*(Upload_Indiv_Net)))</f>
        <v>38</v>
      </c>
      <c r="F6" s="2" cm="1">
        <f t="array" ref="F6">IF(SUMPRODUCT((Upload_Indiv_Player=$A5)*(Upload_Indiv_Date=F$2)*(Upload_Indiv_Net))=0,"",SUMPRODUCT((Upload_Indiv_Player=$A5)*(Upload_Indiv_Date=F$2)*(Upload_Indiv_Net)))</f>
        <v>38</v>
      </c>
      <c r="G6" s="2" cm="1">
        <f t="array" ref="G6">IF(SUMPRODUCT((Upload_Indiv_Player=$A5)*(Upload_Indiv_Date=G$2)*(Upload_Indiv_Net))=0,"",SUMPRODUCT((Upload_Indiv_Player=$A5)*(Upload_Indiv_Date=G$2)*(Upload_Indiv_Net)))</f>
        <v>38</v>
      </c>
      <c r="H6" s="2" cm="1">
        <f t="array" ref="H6">IF(SUMPRODUCT((Upload_Indiv_Player=$A5)*(Upload_Indiv_Date=H$2)*(Upload_Indiv_Net))=0,"",SUMPRODUCT((Upload_Indiv_Player=$A5)*(Upload_Indiv_Date=H$2)*(Upload_Indiv_Net)))</f>
        <v>38</v>
      </c>
      <c r="I6" s="2" cm="1">
        <f t="array" ref="I6">IF(SUMPRODUCT((Upload_Indiv_Player=$A5)*(Upload_Indiv_Date=I$2)*(Upload_Indiv_Net))=0,"",SUMPRODUCT((Upload_Indiv_Player=$A5)*(Upload_Indiv_Date=I$2)*(Upload_Indiv_Net)))</f>
        <v>38</v>
      </c>
      <c r="J6" s="2" t="str" cm="1">
        <f t="array" ref="J6">IF(SUMPRODUCT((Upload_Indiv_Player=$A5)*(Upload_Indiv_Date=J$2)*(Upload_Indiv_Net))=0,"",SUMPRODUCT((Upload_Indiv_Player=$A5)*(Upload_Indiv_Date=J$2)*(Upload_Indiv_Net)))</f>
        <v/>
      </c>
      <c r="K6" s="2" cm="1">
        <f t="array" ref="K6">IF(SUMPRODUCT((Upload_Indiv_Player=$A5)*(Upload_Indiv_Date=K$2)*(Upload_Indiv_Net))=0,"",SUMPRODUCT((Upload_Indiv_Player=$A5)*(Upload_Indiv_Date=K$2)*(Upload_Indiv_Net)))</f>
        <v>38</v>
      </c>
      <c r="L6" s="2" cm="1">
        <f t="array" ref="L6">IF(SUMPRODUCT((Upload_Indiv_Player=$A5)*(Upload_Indiv_Date=L$2)*(Upload_Indiv_Net))=0,"",SUMPRODUCT((Upload_Indiv_Player=$A5)*(Upload_Indiv_Date=L$2)*(Upload_Indiv_Net)))</f>
        <v>38</v>
      </c>
      <c r="M6" s="2" cm="1">
        <f t="array" ref="M6">IF(SUMPRODUCT((Upload_Indiv_Player=$A5)*(Upload_Indiv_Date=M$2)*(Upload_Indiv_Net))=0,"",SUMPRODUCT((Upload_Indiv_Player=$A5)*(Upload_Indiv_Date=M$2)*(Upload_Indiv_Net)))</f>
        <v>38</v>
      </c>
      <c r="N6" s="2" t="str" cm="1">
        <f t="array" ref="N6">IF(SUMPRODUCT((Upload_Indiv_Player=$A5)*(Upload_Indiv_Date=N$2)*(Upload_Indiv_Net))=0,"",SUMPRODUCT((Upload_Indiv_Player=$A5)*(Upload_Indiv_Date=N$2)*(Upload_Indiv_Net)))</f>
        <v/>
      </c>
      <c r="O6" s="2" cm="1">
        <f t="array" ref="O6">IF(SUMPRODUCT((Upload_Indiv_Player=$A5)*(Upload_Indiv_Date=O$2)*(Upload_Indiv_Net))=0,"",SUMPRODUCT((Upload_Indiv_Player=$A5)*(Upload_Indiv_Date=O$2)*(Upload_Indiv_Net)))</f>
        <v>38</v>
      </c>
      <c r="P6" s="2" cm="1">
        <f t="array" ref="P6">IF(SUMPRODUCT((Upload_Indiv_Player=$A5)*(Upload_Indiv_Date=P$2)*(Upload_Indiv_Net))=0,"",SUMPRODUCT((Upload_Indiv_Player=$A5)*(Upload_Indiv_Date=P$2)*(Upload_Indiv_Net)))</f>
        <v>38</v>
      </c>
      <c r="Q6" s="2" cm="1">
        <f t="array" ref="Q6">IF(SUMPRODUCT((Upload_Indiv_Player=$A5)*(Upload_Indiv_Date=Q$2)*(Upload_Indiv_Net))=0,"",SUMPRODUCT((Upload_Indiv_Player=$A5)*(Upload_Indiv_Date=Q$2)*(Upload_Indiv_Net)))</f>
        <v>33</v>
      </c>
      <c r="R6" s="2" cm="1">
        <f t="array" ref="R6">IF(SUMPRODUCT((Upload_Indiv_Player=$A5)*(Upload_Indiv_Date=R$2)*(Upload_Indiv_Net))=0,"",SUMPRODUCT((Upload_Indiv_Player=$A5)*(Upload_Indiv_Date=R$2)*(Upload_Indiv_Net)))</f>
        <v>38</v>
      </c>
      <c r="S6" s="2" cm="1">
        <f t="array" ref="S6">IF(SUMPRODUCT((Upload_Indiv_Player=$A5)*(Upload_Indiv_Date=S$2)*(Upload_Indiv_Net))=0,"",SUMPRODUCT((Upload_Indiv_Player=$A5)*(Upload_Indiv_Date=S$2)*(Upload_Indiv_Net)))</f>
        <v>38</v>
      </c>
      <c r="T6" s="2" cm="1">
        <f t="array" ref="T6">IF(SUMPRODUCT((Upload_Indiv_Player=$A5)*(Upload_Indiv_Date=T$2)*(Upload_Indiv_Net))=0,"",SUMPRODUCT((Upload_Indiv_Player=$A5)*(Upload_Indiv_Date=T$2)*(Upload_Indiv_Net)))</f>
        <v>228</v>
      </c>
      <c r="U6" s="2" t="str" cm="1">
        <f t="array" ref="U6">IF(SUMPRODUCT((Upload_Indiv_Player=$A5)*(Upload_Indiv_Date=U$2)*(Upload_Indiv_Net))=0,"",SUMPRODUCT((Upload_Indiv_Player=$A5)*(Upload_Indiv_Date=U$2)*(Upload_Indiv_Net)))</f>
        <v/>
      </c>
      <c r="V6" s="279">
        <v>40</v>
      </c>
      <c r="W6" s="276"/>
      <c r="X6" s="276"/>
      <c r="Y6" s="277"/>
      <c r="Z6" s="277"/>
      <c r="AA6" s="277"/>
    </row>
    <row r="7" spans="1:27" x14ac:dyDescent="0.25">
      <c r="A7" s="305"/>
      <c r="B7" s="2" t="s">
        <v>173</v>
      </c>
      <c r="C7" s="2" cm="1">
        <f t="array" ref="C7">IF(SUMPRODUCT((Upload_Indiv_Player=$A5)*(Upload_Indiv_Date=C$2)*(Upload_Indiv_PointsTot))=0,"",SUMPRODUCT((Upload_Indiv_Player=$A5)*(Upload_Indiv_Date=C$2)*(Upload_Indiv_PointsTot)))</f>
        <v>14</v>
      </c>
      <c r="D7" s="2" cm="1">
        <f t="array" ref="D7">IF(SUMPRODUCT((Upload_Indiv_Player=$A5)*(Upload_Indiv_Date=D$2)*(Upload_Indiv_PointsTot))=0,"",SUMPRODUCT((Upload_Indiv_Player=$A5)*(Upload_Indiv_Date=D$2)*(Upload_Indiv_PointsTot)))</f>
        <v>15</v>
      </c>
      <c r="E7" s="2" cm="1">
        <f t="array" ref="E7">IF(SUMPRODUCT((Upload_Indiv_Player=$A5)*(Upload_Indiv_Date=E$2)*(Upload_Indiv_PointsTot))=0,"",SUMPRODUCT((Upload_Indiv_Player=$A5)*(Upload_Indiv_Date=E$2)*(Upload_Indiv_PointsTot)))</f>
        <v>13</v>
      </c>
      <c r="F7" s="2" cm="1">
        <f t="array" ref="F7">IF(SUMPRODUCT((Upload_Indiv_Player=$A5)*(Upload_Indiv_Date=F$2)*(Upload_Indiv_PointsTot))=0,"",SUMPRODUCT((Upload_Indiv_Player=$A5)*(Upload_Indiv_Date=F$2)*(Upload_Indiv_PointsTot)))</f>
        <v>16</v>
      </c>
      <c r="G7" s="2" cm="1">
        <f t="array" ref="G7">IF(SUMPRODUCT((Upload_Indiv_Player=$A5)*(Upload_Indiv_Date=G$2)*(Upload_Indiv_PointsTot))=0,"",SUMPRODUCT((Upload_Indiv_Player=$A5)*(Upload_Indiv_Date=G$2)*(Upload_Indiv_PointsTot)))</f>
        <v>11</v>
      </c>
      <c r="H7" s="2" cm="1">
        <f t="array" ref="H7">IF(SUMPRODUCT((Upload_Indiv_Player=$A5)*(Upload_Indiv_Date=H$2)*(Upload_Indiv_PointsTot))=0,"",SUMPRODUCT((Upload_Indiv_Player=$A5)*(Upload_Indiv_Date=H$2)*(Upload_Indiv_PointsTot)))</f>
        <v>11</v>
      </c>
      <c r="I7" s="2" cm="1">
        <f t="array" ref="I7">IF(SUMPRODUCT((Upload_Indiv_Player=$A5)*(Upload_Indiv_Date=I$2)*(Upload_Indiv_PointsTot))=0,"",SUMPRODUCT((Upload_Indiv_Player=$A5)*(Upload_Indiv_Date=I$2)*(Upload_Indiv_PointsTot)))</f>
        <v>12</v>
      </c>
      <c r="J7" s="2" t="str" cm="1">
        <f t="array" ref="J7">IF(SUMPRODUCT((Upload_Indiv_Player=$A5)*(Upload_Indiv_Date=J$2)*(Upload_Indiv_PointsTot))=0,"",SUMPRODUCT((Upload_Indiv_Player=$A5)*(Upload_Indiv_Date=J$2)*(Upload_Indiv_PointsTot)))</f>
        <v/>
      </c>
      <c r="K7" s="2" cm="1">
        <f t="array" ref="K7">IF(SUMPRODUCT((Upload_Indiv_Player=$A5)*(Upload_Indiv_Date=K$2)*(Upload_Indiv_PointsTot))=0,"",SUMPRODUCT((Upload_Indiv_Player=$A5)*(Upload_Indiv_Date=K$2)*(Upload_Indiv_PointsTot)))</f>
        <v>10</v>
      </c>
      <c r="L7" s="2" cm="1">
        <f t="array" ref="L7">IF(SUMPRODUCT((Upload_Indiv_Player=$A5)*(Upload_Indiv_Date=L$2)*(Upload_Indiv_PointsTot))=0,"",SUMPRODUCT((Upload_Indiv_Player=$A5)*(Upload_Indiv_Date=L$2)*(Upload_Indiv_PointsTot)))</f>
        <v>9</v>
      </c>
      <c r="M7" s="2" cm="1">
        <f t="array" ref="M7">IF(SUMPRODUCT((Upload_Indiv_Player=$A5)*(Upload_Indiv_Date=M$2)*(Upload_Indiv_PointsTot))=0,"",SUMPRODUCT((Upload_Indiv_Player=$A5)*(Upload_Indiv_Date=M$2)*(Upload_Indiv_PointsTot)))</f>
        <v>8</v>
      </c>
      <c r="N7" s="2" t="str" cm="1">
        <f t="array" ref="N7">IF(SUMPRODUCT((Upload_Indiv_Player=$A5)*(Upload_Indiv_Date=N$2)*(Upload_Indiv_PointsTot))=0,"",SUMPRODUCT((Upload_Indiv_Player=$A5)*(Upload_Indiv_Date=N$2)*(Upload_Indiv_PointsTot)))</f>
        <v/>
      </c>
      <c r="O7" s="2" cm="1">
        <f t="array" ref="O7">IF(SUMPRODUCT((Upload_Indiv_Player=$A5)*(Upload_Indiv_Date=O$2)*(Upload_Indiv_PointsTot))=0,"",SUMPRODUCT((Upload_Indiv_Player=$A5)*(Upload_Indiv_Date=O$2)*(Upload_Indiv_PointsTot)))</f>
        <v>6</v>
      </c>
      <c r="P7" s="2" cm="1">
        <f t="array" ref="P7">IF(SUMPRODUCT((Upload_Indiv_Player=$A5)*(Upload_Indiv_Date=P$2)*(Upload_Indiv_PointsTot))=0,"",SUMPRODUCT((Upload_Indiv_Player=$A5)*(Upload_Indiv_Date=P$2)*(Upload_Indiv_PointsTot)))</f>
        <v>12</v>
      </c>
      <c r="Q7" s="2" cm="1">
        <f t="array" ref="Q7">IF(SUMPRODUCT((Upload_Indiv_Player=$A5)*(Upload_Indiv_Date=Q$2)*(Upload_Indiv_PointsTot))=0,"",SUMPRODUCT((Upload_Indiv_Player=$A5)*(Upload_Indiv_Date=Q$2)*(Upload_Indiv_PointsTot)))</f>
        <v>6</v>
      </c>
      <c r="R7" s="2" cm="1">
        <f t="array" ref="R7">IF(SUMPRODUCT((Upload_Indiv_Player=$A5)*(Upload_Indiv_Date=R$2)*(Upload_Indiv_PointsTot))=0,"",SUMPRODUCT((Upload_Indiv_Player=$A5)*(Upload_Indiv_Date=R$2)*(Upload_Indiv_PointsTot)))</f>
        <v>9</v>
      </c>
      <c r="S7" s="2" cm="1">
        <f t="array" ref="S7">IF(SUMPRODUCT((Upload_Indiv_Player=$A5)*(Upload_Indiv_Date=S$2)*(Upload_Indiv_PointsTot))=0,"",SUMPRODUCT((Upload_Indiv_Player=$A5)*(Upload_Indiv_Date=S$2)*(Upload_Indiv_PointsTot)))</f>
        <v>8</v>
      </c>
      <c r="T7" s="2" cm="1">
        <f t="array" ref="T7">IF(SUMPRODUCT((Upload_Indiv_Player=$A5)*(Upload_Indiv_Date=T$2)*(Upload_Indiv_PointsTot))=0,"",SUMPRODUCT((Upload_Indiv_Player=$A5)*(Upload_Indiv_Date=T$2)*(Upload_Indiv_PointsTot)))</f>
        <v>55</v>
      </c>
      <c r="U7" s="2" t="str" cm="1">
        <f t="array" ref="U7">IF(SUMPRODUCT((Upload_Indiv_Player=$A5)*(Upload_Indiv_Date=U$2)*(Upload_Indiv_PointsTot))=0,"",SUMPRODUCT((Upload_Indiv_Player=$A5)*(Upload_Indiv_Date=U$2)*(Upload_Indiv_PointsTot)))</f>
        <v/>
      </c>
      <c r="V7" s="276"/>
      <c r="W7" s="276"/>
      <c r="X7" s="276"/>
      <c r="Y7" s="277"/>
      <c r="Z7" s="277"/>
      <c r="AA7" s="277"/>
    </row>
    <row r="8" spans="1:27" x14ac:dyDescent="0.25">
      <c r="A8" s="306"/>
      <c r="B8" s="2" t="s">
        <v>174</v>
      </c>
      <c r="C8" s="2" t="str" cm="1">
        <f t="array" ref="C8">IF(SUMPRODUCT((Upload_Indiv_Player=$A5)*(Upload_Indiv_Date=C$2)*(Upload_Indiv_Tot_Birds))=0,"",SUMPRODUCT((Upload_Indiv_Player=$A5)*(Upload_Indiv_Date=C$2)*(Upload_Indiv_Tot_Birds)))</f>
        <v/>
      </c>
      <c r="D8" s="2" t="str" cm="1">
        <f t="array" ref="D8">IF(SUMPRODUCT((Upload_Indiv_Player=$A5)*(Upload_Indiv_Date=D$2)*(Upload_Indiv_Tot_Birds))=0,"",SUMPRODUCT((Upload_Indiv_Player=$A5)*(Upload_Indiv_Date=D$2)*(Upload_Indiv_Tot_Birds)))</f>
        <v/>
      </c>
      <c r="E8" s="2" t="str" cm="1">
        <f t="array" ref="E8">IF(SUMPRODUCT((Upload_Indiv_Player=$A5)*(Upload_Indiv_Date=E$2)*(Upload_Indiv_Tot_Birds))=0,"",SUMPRODUCT((Upload_Indiv_Player=$A5)*(Upload_Indiv_Date=E$2)*(Upload_Indiv_Tot_Birds)))</f>
        <v/>
      </c>
      <c r="F8" s="2" t="str" cm="1">
        <f t="array" ref="F8">IF(SUMPRODUCT((Upload_Indiv_Player=$A5)*(Upload_Indiv_Date=F$2)*(Upload_Indiv_Tot_Birds))=0,"",SUMPRODUCT((Upload_Indiv_Player=$A5)*(Upload_Indiv_Date=F$2)*(Upload_Indiv_Tot_Birds)))</f>
        <v/>
      </c>
      <c r="G8" s="2" t="str" cm="1">
        <f t="array" ref="G8">IF(SUMPRODUCT((Upload_Indiv_Player=$A5)*(Upload_Indiv_Date=G$2)*(Upload_Indiv_Tot_Birds))=0,"",SUMPRODUCT((Upload_Indiv_Player=$A5)*(Upload_Indiv_Date=G$2)*(Upload_Indiv_Tot_Birds)))</f>
        <v/>
      </c>
      <c r="H8" s="2" t="str" cm="1">
        <f t="array" ref="H8">IF(SUMPRODUCT((Upload_Indiv_Player=$A5)*(Upload_Indiv_Date=H$2)*(Upload_Indiv_Tot_Birds))=0,"",SUMPRODUCT((Upload_Indiv_Player=$A5)*(Upload_Indiv_Date=H$2)*(Upload_Indiv_Tot_Birds)))</f>
        <v/>
      </c>
      <c r="I8" s="2" t="str" cm="1">
        <f t="array" ref="I8">IF(SUMPRODUCT((Upload_Indiv_Player=$A5)*(Upload_Indiv_Date=I$2)*(Upload_Indiv_Tot_Birds))=0,"",SUMPRODUCT((Upload_Indiv_Player=$A5)*(Upload_Indiv_Date=I$2)*(Upload_Indiv_Tot_Birds)))</f>
        <v/>
      </c>
      <c r="J8" s="2" t="str" cm="1">
        <f t="array" ref="J8">IF(SUMPRODUCT((Upload_Indiv_Player=$A5)*(Upload_Indiv_Date=J$2)*(Upload_Indiv_Tot_Birds))=0,"",SUMPRODUCT((Upload_Indiv_Player=$A5)*(Upload_Indiv_Date=J$2)*(Upload_Indiv_Tot_Birds)))</f>
        <v/>
      </c>
      <c r="K8" s="2" t="str" cm="1">
        <f t="array" ref="K8">IF(SUMPRODUCT((Upload_Indiv_Player=$A5)*(Upload_Indiv_Date=K$2)*(Upload_Indiv_Tot_Birds))=0,"",SUMPRODUCT((Upload_Indiv_Player=$A5)*(Upload_Indiv_Date=K$2)*(Upload_Indiv_Tot_Birds)))</f>
        <v/>
      </c>
      <c r="L8" s="2" t="str" cm="1">
        <f t="array" ref="L8">IF(SUMPRODUCT((Upload_Indiv_Player=$A5)*(Upload_Indiv_Date=L$2)*(Upload_Indiv_Tot_Birds))=0,"",SUMPRODUCT((Upload_Indiv_Player=$A5)*(Upload_Indiv_Date=L$2)*(Upload_Indiv_Tot_Birds)))</f>
        <v/>
      </c>
      <c r="M8" s="2" t="str" cm="1">
        <f t="array" ref="M8">IF(SUMPRODUCT((Upload_Indiv_Player=$A5)*(Upload_Indiv_Date=M$2)*(Upload_Indiv_Tot_Birds))=0,"",SUMPRODUCT((Upload_Indiv_Player=$A5)*(Upload_Indiv_Date=M$2)*(Upload_Indiv_Tot_Birds)))</f>
        <v/>
      </c>
      <c r="N8" s="2" t="str" cm="1">
        <f t="array" ref="N8">IF(SUMPRODUCT((Upload_Indiv_Player=$A5)*(Upload_Indiv_Date=N$2)*(Upload_Indiv_Tot_Birds))=0,"",SUMPRODUCT((Upload_Indiv_Player=$A5)*(Upload_Indiv_Date=N$2)*(Upload_Indiv_Tot_Birds)))</f>
        <v/>
      </c>
      <c r="O8" s="2" t="str" cm="1">
        <f t="array" ref="O8">IF(SUMPRODUCT((Upload_Indiv_Player=$A5)*(Upload_Indiv_Date=O$2)*(Upload_Indiv_Tot_Birds))=0,"",SUMPRODUCT((Upload_Indiv_Player=$A5)*(Upload_Indiv_Date=O$2)*(Upload_Indiv_Tot_Birds)))</f>
        <v/>
      </c>
      <c r="P8" s="2" t="str" cm="1">
        <f t="array" ref="P8">IF(SUMPRODUCT((Upload_Indiv_Player=$A5)*(Upload_Indiv_Date=P$2)*(Upload_Indiv_Tot_Birds))=0,"",SUMPRODUCT((Upload_Indiv_Player=$A5)*(Upload_Indiv_Date=P$2)*(Upload_Indiv_Tot_Birds)))</f>
        <v/>
      </c>
      <c r="Q8" s="2" t="str" cm="1">
        <f t="array" ref="Q8">IF(SUMPRODUCT((Upload_Indiv_Player=$A5)*(Upload_Indiv_Date=Q$2)*(Upload_Indiv_Tot_Birds))=0,"",SUMPRODUCT((Upload_Indiv_Player=$A5)*(Upload_Indiv_Date=Q$2)*(Upload_Indiv_Tot_Birds)))</f>
        <v/>
      </c>
      <c r="R8" s="2" t="str" cm="1">
        <f t="array" ref="R8">IF(SUMPRODUCT((Upload_Indiv_Player=$A5)*(Upload_Indiv_Date=R$2)*(Upload_Indiv_Tot_Birds))=0,"",SUMPRODUCT((Upload_Indiv_Player=$A5)*(Upload_Indiv_Date=R$2)*(Upload_Indiv_Tot_Birds)))</f>
        <v/>
      </c>
      <c r="S8" s="2" t="str" cm="1">
        <f t="array" ref="S8">IF(SUMPRODUCT((Upload_Indiv_Player=$A5)*(Upload_Indiv_Date=S$2)*(Upload_Indiv_Tot_Birds))=0,"",SUMPRODUCT((Upload_Indiv_Player=$A5)*(Upload_Indiv_Date=S$2)*(Upload_Indiv_Tot_Birds)))</f>
        <v/>
      </c>
      <c r="T8" s="2" t="str" cm="1">
        <f t="array" ref="T8">IF(SUMPRODUCT((Upload_Indiv_Player=$A5)*(Upload_Indiv_Date=T$2)*(Upload_Indiv_Tot_Birds))=0,"",SUMPRODUCT((Upload_Indiv_Player=$A5)*(Upload_Indiv_Date=T$2)*(Upload_Indiv_Tot_Birds)))</f>
        <v/>
      </c>
      <c r="U8" s="2" t="str" cm="1">
        <f t="array" ref="U8">IF(SUMPRODUCT((Upload_Indiv_Player=$A5)*(Upload_Indiv_Date=U$2)*(Upload_Indiv_Tot_Birds))=0,"",SUMPRODUCT((Upload_Indiv_Player=$A5)*(Upload_Indiv_Date=U$2)*(Upload_Indiv_Tot_Birds)))</f>
        <v/>
      </c>
      <c r="V8" s="276"/>
      <c r="W8" s="276"/>
      <c r="X8" s="276"/>
      <c r="Y8" s="277"/>
      <c r="Z8" s="277"/>
      <c r="AA8" s="277"/>
    </row>
    <row r="9" spans="1:27" x14ac:dyDescent="0.25">
      <c r="A9" s="306"/>
      <c r="B9" s="8" t="s">
        <v>175</v>
      </c>
      <c r="C9" s="2" t="str" cm="1">
        <f t="array" ref="C9">IF(SUMPRODUCT((Upload_Indiv_Player=$A5)*(Upload_Indiv_Date=C$2)*(Upload_Indiv_Tot_Eagles))=0,"",SUMPRODUCT((Upload_Indiv_Player=$A5)*(Upload_Indiv_Date=C$2)*(Upload_Indiv_Tot_Eagles)))</f>
        <v/>
      </c>
      <c r="D9" s="2" t="str" cm="1">
        <f t="array" ref="D9">IF(SUMPRODUCT((Upload_Indiv_Player=$A5)*(Upload_Indiv_Date=D$2)*(Upload_Indiv_Tot_Eagles))=0,"",SUMPRODUCT((Upload_Indiv_Player=$A5)*(Upload_Indiv_Date=D$2)*(Upload_Indiv_Tot_Eagles)))</f>
        <v/>
      </c>
      <c r="E9" s="2" t="str" cm="1">
        <f t="array" ref="E9">IF(SUMPRODUCT((Upload_Indiv_Player=$A5)*(Upload_Indiv_Date=E$2)*(Upload_Indiv_Tot_Eagles))=0,"",SUMPRODUCT((Upload_Indiv_Player=$A5)*(Upload_Indiv_Date=E$2)*(Upload_Indiv_Tot_Eagles)))</f>
        <v/>
      </c>
      <c r="F9" s="2" t="str" cm="1">
        <f t="array" ref="F9">IF(SUMPRODUCT((Upload_Indiv_Player=$A5)*(Upload_Indiv_Date=F$2)*(Upload_Indiv_Tot_Eagles))=0,"",SUMPRODUCT((Upload_Indiv_Player=$A5)*(Upload_Indiv_Date=F$2)*(Upload_Indiv_Tot_Eagles)))</f>
        <v/>
      </c>
      <c r="G9" s="2" t="str" cm="1">
        <f t="array" ref="G9">IF(SUMPRODUCT((Upload_Indiv_Player=$A5)*(Upload_Indiv_Date=G$2)*(Upload_Indiv_Tot_Eagles))=0,"",SUMPRODUCT((Upload_Indiv_Player=$A5)*(Upload_Indiv_Date=G$2)*(Upload_Indiv_Tot_Eagles)))</f>
        <v/>
      </c>
      <c r="H9" s="2" t="str" cm="1">
        <f t="array" ref="H9">IF(SUMPRODUCT((Upload_Indiv_Player=$A5)*(Upload_Indiv_Date=H$2)*(Upload_Indiv_Tot_Eagles))=0,"",SUMPRODUCT((Upload_Indiv_Player=$A5)*(Upload_Indiv_Date=H$2)*(Upload_Indiv_Tot_Eagles)))</f>
        <v/>
      </c>
      <c r="I9" s="2" t="str" cm="1">
        <f t="array" ref="I9">IF(SUMPRODUCT((Upload_Indiv_Player=$A5)*(Upload_Indiv_Date=I$2)*(Upload_Indiv_Tot_Eagles))=0,"",SUMPRODUCT((Upload_Indiv_Player=$A5)*(Upload_Indiv_Date=I$2)*(Upload_Indiv_Tot_Eagles)))</f>
        <v/>
      </c>
      <c r="J9" s="2" t="str" cm="1">
        <f t="array" ref="J9">IF(SUMPRODUCT((Upload_Indiv_Player=$A5)*(Upload_Indiv_Date=J$2)*(Upload_Indiv_Tot_Eagles))=0,"",SUMPRODUCT((Upload_Indiv_Player=$A5)*(Upload_Indiv_Date=J$2)*(Upload_Indiv_Tot_Eagles)))</f>
        <v/>
      </c>
      <c r="K9" s="2" t="str" cm="1">
        <f t="array" ref="K9">IF(SUMPRODUCT((Upload_Indiv_Player=$A5)*(Upload_Indiv_Date=K$2)*(Upload_Indiv_Tot_Eagles))=0,"",SUMPRODUCT((Upload_Indiv_Player=$A5)*(Upload_Indiv_Date=K$2)*(Upload_Indiv_Tot_Eagles)))</f>
        <v/>
      </c>
      <c r="L9" s="2" t="str" cm="1">
        <f t="array" ref="L9">IF(SUMPRODUCT((Upload_Indiv_Player=$A5)*(Upload_Indiv_Date=L$2)*(Upload_Indiv_Tot_Eagles))=0,"",SUMPRODUCT((Upload_Indiv_Player=$A5)*(Upload_Indiv_Date=L$2)*(Upload_Indiv_Tot_Eagles)))</f>
        <v/>
      </c>
      <c r="M9" s="2" t="str" cm="1">
        <f t="array" ref="M9">IF(SUMPRODUCT((Upload_Indiv_Player=$A5)*(Upload_Indiv_Date=M$2)*(Upload_Indiv_Tot_Eagles))=0,"",SUMPRODUCT((Upload_Indiv_Player=$A5)*(Upload_Indiv_Date=M$2)*(Upload_Indiv_Tot_Eagles)))</f>
        <v/>
      </c>
      <c r="N9" s="2" t="str" cm="1">
        <f t="array" ref="N9">IF(SUMPRODUCT((Upload_Indiv_Player=$A5)*(Upload_Indiv_Date=N$2)*(Upload_Indiv_Tot_Eagles))=0,"",SUMPRODUCT((Upload_Indiv_Player=$A5)*(Upload_Indiv_Date=N$2)*(Upload_Indiv_Tot_Eagles)))</f>
        <v/>
      </c>
      <c r="O9" s="2" t="str" cm="1">
        <f t="array" ref="O9">IF(SUMPRODUCT((Upload_Indiv_Player=$A5)*(Upload_Indiv_Date=O$2)*(Upload_Indiv_Tot_Eagles))=0,"",SUMPRODUCT((Upload_Indiv_Player=$A5)*(Upload_Indiv_Date=O$2)*(Upload_Indiv_Tot_Eagles)))</f>
        <v/>
      </c>
      <c r="P9" s="2" t="str" cm="1">
        <f t="array" ref="P9">IF(SUMPRODUCT((Upload_Indiv_Player=$A5)*(Upload_Indiv_Date=P$2)*(Upload_Indiv_Tot_Eagles))=0,"",SUMPRODUCT((Upload_Indiv_Player=$A5)*(Upload_Indiv_Date=P$2)*(Upload_Indiv_Tot_Eagles)))</f>
        <v/>
      </c>
      <c r="Q9" s="2" t="str" cm="1">
        <f t="array" ref="Q9">IF(SUMPRODUCT((Upload_Indiv_Player=$A5)*(Upload_Indiv_Date=Q$2)*(Upload_Indiv_Tot_Eagles))=0,"",SUMPRODUCT((Upload_Indiv_Player=$A5)*(Upload_Indiv_Date=Q$2)*(Upload_Indiv_Tot_Eagles)))</f>
        <v/>
      </c>
      <c r="R9" s="2" t="str" cm="1">
        <f t="array" ref="R9">IF(SUMPRODUCT((Upload_Indiv_Player=$A5)*(Upload_Indiv_Date=R$2)*(Upload_Indiv_Tot_Eagles))=0,"",SUMPRODUCT((Upload_Indiv_Player=$A5)*(Upload_Indiv_Date=R$2)*(Upload_Indiv_Tot_Eagles)))</f>
        <v/>
      </c>
      <c r="S9" s="2" t="str" cm="1">
        <f t="array" ref="S9">IF(SUMPRODUCT((Upload_Indiv_Player=$A5)*(Upload_Indiv_Date=S$2)*(Upload_Indiv_Tot_Eagles))=0,"",SUMPRODUCT((Upload_Indiv_Player=$A5)*(Upload_Indiv_Date=S$2)*(Upload_Indiv_Tot_Eagles)))</f>
        <v/>
      </c>
      <c r="T9" s="2" t="str" cm="1">
        <f t="array" ref="T9">IF(SUMPRODUCT((Upload_Indiv_Player=$A5)*(Upload_Indiv_Date=T$2)*(Upload_Indiv_Tot_Eagles))=0,"",SUMPRODUCT((Upload_Indiv_Player=$A5)*(Upload_Indiv_Date=T$2)*(Upload_Indiv_Tot_Eagles)))</f>
        <v/>
      </c>
      <c r="U9" s="2" t="str" cm="1">
        <f t="array" ref="U9">IF(SUMPRODUCT((Upload_Indiv_Player=$A5)*(Upload_Indiv_Date=U$2)*(Upload_Indiv_Tot_Eagles))=0,"",SUMPRODUCT((Upload_Indiv_Player=$A5)*(Upload_Indiv_Date=U$2)*(Upload_Indiv_Tot_Eagles)))</f>
        <v/>
      </c>
      <c r="V9" s="276"/>
      <c r="W9" s="276"/>
      <c r="X9" s="276"/>
      <c r="Y9" s="277"/>
      <c r="Z9" s="277"/>
      <c r="AA9" s="277"/>
    </row>
    <row r="10" spans="1:27" x14ac:dyDescent="0.25">
      <c r="A10" s="306"/>
      <c r="B10" s="2" t="s">
        <v>176</v>
      </c>
      <c r="C10" s="2" t="str" cm="1">
        <f t="array" ref="C10">IF(SUMPRODUCT((Upload_Indiv_Player=$A5)*(Upload_Indiv_Date=C$2)*(Upload_Indiv_Excl_Score))=0,"",SUMPRODUCT((Upload_Indiv_Player=$A5)*(Upload_Indiv_Date=C$2)*(Upload_Indiv_Excl_Score)))</f>
        <v/>
      </c>
      <c r="D10" s="2" t="str" cm="1">
        <f t="array" ref="D10">IF(SUMPRODUCT((Upload_Indiv_Player=$A5)*(Upload_Indiv_Date=D$2)*(Upload_Indiv_Excl_Score))=0,"",SUMPRODUCT((Upload_Indiv_Player=$A5)*(Upload_Indiv_Date=D$2)*(Upload_Indiv_Excl_Score)))</f>
        <v/>
      </c>
      <c r="E10" s="2" t="str" cm="1">
        <f t="array" ref="E10">IF(SUMPRODUCT((Upload_Indiv_Player=$A5)*(Upload_Indiv_Date=E$2)*(Upload_Indiv_Excl_Score))=0,"",SUMPRODUCT((Upload_Indiv_Player=$A5)*(Upload_Indiv_Date=E$2)*(Upload_Indiv_Excl_Score)))</f>
        <v/>
      </c>
      <c r="F10" s="2" t="str" cm="1">
        <f t="array" ref="F10">IF(SUMPRODUCT((Upload_Indiv_Player=$A5)*(Upload_Indiv_Date=F$2)*(Upload_Indiv_Excl_Score))=0,"",SUMPRODUCT((Upload_Indiv_Player=$A5)*(Upload_Indiv_Date=F$2)*(Upload_Indiv_Excl_Score)))</f>
        <v/>
      </c>
      <c r="G10" s="2" t="str" cm="1">
        <f t="array" ref="G10">IF(SUMPRODUCT((Upload_Indiv_Player=$A5)*(Upload_Indiv_Date=G$2)*(Upload_Indiv_Excl_Score))=0,"",SUMPRODUCT((Upload_Indiv_Player=$A5)*(Upload_Indiv_Date=G$2)*(Upload_Indiv_Excl_Score)))</f>
        <v/>
      </c>
      <c r="H10" s="2" t="str" cm="1">
        <f t="array" ref="H10">IF(SUMPRODUCT((Upload_Indiv_Player=$A5)*(Upload_Indiv_Date=H$2)*(Upload_Indiv_Excl_Score))=0,"",SUMPRODUCT((Upload_Indiv_Player=$A5)*(Upload_Indiv_Date=H$2)*(Upload_Indiv_Excl_Score)))</f>
        <v/>
      </c>
      <c r="I10" s="2" t="str" cm="1">
        <f t="array" ref="I10">IF(SUMPRODUCT((Upload_Indiv_Player=$A5)*(Upload_Indiv_Date=I$2)*(Upload_Indiv_Excl_Score))=0,"",SUMPRODUCT((Upload_Indiv_Player=$A5)*(Upload_Indiv_Date=I$2)*(Upload_Indiv_Excl_Score)))</f>
        <v/>
      </c>
      <c r="J10" s="2" t="str" cm="1">
        <f t="array" ref="J10">IF(SUMPRODUCT((Upload_Indiv_Player=$A5)*(Upload_Indiv_Date=J$2)*(Upload_Indiv_Excl_Score))=0,"",SUMPRODUCT((Upload_Indiv_Player=$A5)*(Upload_Indiv_Date=J$2)*(Upload_Indiv_Excl_Score)))</f>
        <v/>
      </c>
      <c r="K10" s="2" t="str" cm="1">
        <f t="array" ref="K10">IF(SUMPRODUCT((Upload_Indiv_Player=$A5)*(Upload_Indiv_Date=K$2)*(Upload_Indiv_Excl_Score))=0,"",SUMPRODUCT((Upload_Indiv_Player=$A5)*(Upload_Indiv_Date=K$2)*(Upload_Indiv_Excl_Score)))</f>
        <v/>
      </c>
      <c r="L10" s="2" t="str" cm="1">
        <f t="array" ref="L10">IF(SUMPRODUCT((Upload_Indiv_Player=$A5)*(Upload_Indiv_Date=L$2)*(Upload_Indiv_Excl_Score))=0,"",SUMPRODUCT((Upload_Indiv_Player=$A5)*(Upload_Indiv_Date=L$2)*(Upload_Indiv_Excl_Score)))</f>
        <v/>
      </c>
      <c r="M10" s="2" t="str" cm="1">
        <f t="array" ref="M10">IF(SUMPRODUCT((Upload_Indiv_Player=$A5)*(Upload_Indiv_Date=M$2)*(Upload_Indiv_Excl_Score))=0,"",SUMPRODUCT((Upload_Indiv_Player=$A5)*(Upload_Indiv_Date=M$2)*(Upload_Indiv_Excl_Score)))</f>
        <v/>
      </c>
      <c r="N10" s="2" t="str" cm="1">
        <f t="array" ref="N10">IF(SUMPRODUCT((Upload_Indiv_Player=$A5)*(Upload_Indiv_Date=N$2)*(Upload_Indiv_Excl_Score))=0,"",SUMPRODUCT((Upload_Indiv_Player=$A5)*(Upload_Indiv_Date=N$2)*(Upload_Indiv_Excl_Score)))</f>
        <v/>
      </c>
      <c r="O10" s="2" t="str" cm="1">
        <f t="array" ref="O10">IF(SUMPRODUCT((Upload_Indiv_Player=$A5)*(Upload_Indiv_Date=O$2)*(Upload_Indiv_Excl_Score))=0,"",SUMPRODUCT((Upload_Indiv_Player=$A5)*(Upload_Indiv_Date=O$2)*(Upload_Indiv_Excl_Score)))</f>
        <v/>
      </c>
      <c r="P10" s="2" t="str" cm="1">
        <f t="array" ref="P10">IF(SUMPRODUCT((Upload_Indiv_Player=$A5)*(Upload_Indiv_Date=P$2)*(Upload_Indiv_Excl_Score))=0,"",SUMPRODUCT((Upload_Indiv_Player=$A5)*(Upload_Indiv_Date=P$2)*(Upload_Indiv_Excl_Score)))</f>
        <v/>
      </c>
      <c r="Q10" s="2" cm="1">
        <f t="array" ref="Q10">IF(SUMPRODUCT((Upload_Indiv_Player=$A5)*(Upload_Indiv_Date=Q$2)*(Upload_Indiv_Excl_Score))=0,"",SUMPRODUCT((Upload_Indiv_Player=$A5)*(Upload_Indiv_Date=Q$2)*(Upload_Indiv_Excl_Score)))</f>
        <v>1</v>
      </c>
      <c r="R10" s="2" t="str" cm="1">
        <f t="array" ref="R10">IF(SUMPRODUCT((Upload_Indiv_Player=$A5)*(Upload_Indiv_Date=R$2)*(Upload_Indiv_Excl_Score))=0,"",SUMPRODUCT((Upload_Indiv_Player=$A5)*(Upload_Indiv_Date=R$2)*(Upload_Indiv_Excl_Score)))</f>
        <v/>
      </c>
      <c r="S10" s="2" t="str" cm="1">
        <f t="array" ref="S10">IF(SUMPRODUCT((Upload_Indiv_Player=$A5)*(Upload_Indiv_Date=S$2)*(Upload_Indiv_Excl_Score))=0,"",SUMPRODUCT((Upload_Indiv_Player=$A5)*(Upload_Indiv_Date=S$2)*(Upload_Indiv_Excl_Score)))</f>
        <v/>
      </c>
      <c r="T10" s="2" cm="1">
        <f t="array" ref="T10">IF(SUMPRODUCT((Upload_Indiv_Player=$A5)*(Upload_Indiv_Date=T$2)*(Upload_Indiv_Excl_Score))=0,"",SUMPRODUCT((Upload_Indiv_Player=$A5)*(Upload_Indiv_Date=T$2)*(Upload_Indiv_Excl_Score)))</f>
        <v>6</v>
      </c>
      <c r="U10" s="2" t="str" cm="1">
        <f t="array" ref="U10">IF(SUMPRODUCT((Upload_Indiv_Player=$A5)*(Upload_Indiv_Date=U$2)*(Upload_Indiv_Excl_Score))=0,"",SUMPRODUCT((Upload_Indiv_Player=$A5)*(Upload_Indiv_Date=U$2)*(Upload_Indiv_Excl_Score)))</f>
        <v/>
      </c>
      <c r="V10" s="276"/>
      <c r="W10" s="276"/>
      <c r="X10" s="276"/>
      <c r="Y10" s="277"/>
      <c r="Z10" s="277"/>
      <c r="AA10" s="277"/>
    </row>
    <row r="11" spans="1:27" ht="13.8" thickBot="1" x14ac:dyDescent="0.3">
      <c r="A11" s="9"/>
      <c r="B11" s="8" t="s">
        <v>178</v>
      </c>
      <c r="C11" s="58" t="str">
        <f>IF(C5="", "", IF(C7&gt;=11, "w", IF(C7&lt;=9, "l", "t")))</f>
        <v>w</v>
      </c>
      <c r="D11" s="58" t="str">
        <f t="shared" ref="D11:S11" si="1">IF(D5="", "", IF(D7&gt;=11, "w", IF(D7&lt;=9, "l", "t")))</f>
        <v>w</v>
      </c>
      <c r="E11" s="58" t="str">
        <f t="shared" si="1"/>
        <v>w</v>
      </c>
      <c r="F11" s="58" t="str">
        <f t="shared" si="1"/>
        <v>w</v>
      </c>
      <c r="G11" s="58" t="str">
        <f t="shared" si="1"/>
        <v>w</v>
      </c>
      <c r="H11" s="58" t="str">
        <f t="shared" si="1"/>
        <v>w</v>
      </c>
      <c r="I11" s="58" t="str">
        <f t="shared" si="1"/>
        <v>w</v>
      </c>
      <c r="J11" s="58" t="str">
        <f t="shared" si="1"/>
        <v/>
      </c>
      <c r="K11" s="58" t="str">
        <f t="shared" si="1"/>
        <v>t</v>
      </c>
      <c r="L11" s="58" t="str">
        <f t="shared" si="1"/>
        <v>l</v>
      </c>
      <c r="M11" s="58" t="str">
        <f t="shared" si="1"/>
        <v>l</v>
      </c>
      <c r="N11" s="58" t="str">
        <f t="shared" si="1"/>
        <v/>
      </c>
      <c r="O11" s="58" t="str">
        <f t="shared" si="1"/>
        <v>l</v>
      </c>
      <c r="P11" s="58" t="str">
        <f t="shared" si="1"/>
        <v>w</v>
      </c>
      <c r="Q11" s="58" t="str">
        <f t="shared" si="1"/>
        <v>l</v>
      </c>
      <c r="R11" s="58" t="str">
        <f t="shared" si="1"/>
        <v>l</v>
      </c>
      <c r="S11" s="58" t="str">
        <f t="shared" si="1"/>
        <v>l</v>
      </c>
      <c r="T11" s="58" t="str">
        <f>IF(T5="", "", IF(T7&gt;=11, "w", IF(T7&lt;=9, "l", "t")))</f>
        <v>w</v>
      </c>
      <c r="U11" s="58" t="str">
        <f>IF(U5="", "", IF(U7&gt;=11, "w", IF(U7&lt;=9, "l", "t")))</f>
        <v/>
      </c>
      <c r="V11" s="276"/>
      <c r="W11" s="276"/>
      <c r="X11" s="276"/>
      <c r="Y11" s="277"/>
      <c r="Z11" s="277"/>
      <c r="AA11" s="277"/>
    </row>
    <row r="12" spans="1:27" x14ac:dyDescent="0.25">
      <c r="A12" s="303" t="s">
        <v>324</v>
      </c>
      <c r="B12" s="3" t="s">
        <v>170</v>
      </c>
      <c r="C12" s="2" cm="1">
        <f t="array" ref="C12">IF(SUMPRODUCT((Upload_Indiv_Player=$A12)*(Upload_Indiv_Date=C$2)*(Upload_Indiv_Gross))=0,"",SUMPRODUCT((Upload_Indiv_Player=$A12)*(Upload_Indiv_Date=C$2)*(Upload_Indiv_Gross)))</f>
        <v>38</v>
      </c>
      <c r="D12" s="2" cm="1">
        <f t="array" ref="D12">IF(SUMPRODUCT((Upload_Indiv_Player=$A12)*(Upload_Indiv_Date=D$2)*(Upload_Indiv_Gross))=0,"",SUMPRODUCT((Upload_Indiv_Player=$A12)*(Upload_Indiv_Date=D$2)*(Upload_Indiv_Gross)))</f>
        <v>38</v>
      </c>
      <c r="E12" s="2" cm="1">
        <f t="array" ref="E12">IF(SUMPRODUCT((Upload_Indiv_Player=$A12)*(Upload_Indiv_Date=E$2)*(Upload_Indiv_Gross))=0,"",SUMPRODUCT((Upload_Indiv_Player=$A12)*(Upload_Indiv_Date=E$2)*(Upload_Indiv_Gross)))</f>
        <v>38</v>
      </c>
      <c r="F12" s="2" cm="1">
        <f t="array" ref="F12">IF(SUMPRODUCT((Upload_Indiv_Player=$A12)*(Upload_Indiv_Date=F$2)*(Upload_Indiv_Gross))=0,"",SUMPRODUCT((Upload_Indiv_Player=$A12)*(Upload_Indiv_Date=F$2)*(Upload_Indiv_Gross)))</f>
        <v>38</v>
      </c>
      <c r="G12" s="2" cm="1">
        <f t="array" ref="G12">IF(SUMPRODUCT((Upload_Indiv_Player=$A12)*(Upload_Indiv_Date=G$2)*(Upload_Indiv_Gross))=0,"",SUMPRODUCT((Upload_Indiv_Player=$A12)*(Upload_Indiv_Date=G$2)*(Upload_Indiv_Gross)))</f>
        <v>38</v>
      </c>
      <c r="H12" s="2" cm="1">
        <f t="array" ref="H12">IF(SUMPRODUCT((Upload_Indiv_Player=$A12)*(Upload_Indiv_Date=H$2)*(Upload_Indiv_Gross))=0,"",SUMPRODUCT((Upload_Indiv_Player=$A12)*(Upload_Indiv_Date=H$2)*(Upload_Indiv_Gross)))</f>
        <v>38</v>
      </c>
      <c r="I12" s="2" cm="1">
        <f t="array" ref="I12">IF(SUMPRODUCT((Upload_Indiv_Player=$A12)*(Upload_Indiv_Date=I$2)*(Upload_Indiv_Gross))=0,"",SUMPRODUCT((Upload_Indiv_Player=$A12)*(Upload_Indiv_Date=I$2)*(Upload_Indiv_Gross)))</f>
        <v>38</v>
      </c>
      <c r="J12" s="2" t="str" cm="1">
        <f t="array" ref="J12">IF(SUMPRODUCT((Upload_Indiv_Player=$A12)*(Upload_Indiv_Date=J$2)*(Upload_Indiv_Gross))=0,"",SUMPRODUCT((Upload_Indiv_Player=$A12)*(Upload_Indiv_Date=J$2)*(Upload_Indiv_Gross)))</f>
        <v/>
      </c>
      <c r="K12" s="2" cm="1">
        <f t="array" ref="K12">IF(SUMPRODUCT((Upload_Indiv_Player=$A12)*(Upload_Indiv_Date=K$2)*(Upload_Indiv_Gross))=0,"",SUMPRODUCT((Upload_Indiv_Player=$A12)*(Upload_Indiv_Date=K$2)*(Upload_Indiv_Gross)))</f>
        <v>38</v>
      </c>
      <c r="L12" s="2" cm="1">
        <f t="array" ref="L12">IF(SUMPRODUCT((Upload_Indiv_Player=$A12)*(Upload_Indiv_Date=L$2)*(Upload_Indiv_Gross))=0,"",SUMPRODUCT((Upload_Indiv_Player=$A12)*(Upload_Indiv_Date=L$2)*(Upload_Indiv_Gross)))</f>
        <v>38</v>
      </c>
      <c r="M12" s="2" cm="1">
        <f t="array" ref="M12">IF(SUMPRODUCT((Upload_Indiv_Player=$A12)*(Upload_Indiv_Date=M$2)*(Upload_Indiv_Gross))=0,"",SUMPRODUCT((Upload_Indiv_Player=$A12)*(Upload_Indiv_Date=M$2)*(Upload_Indiv_Gross)))</f>
        <v>38</v>
      </c>
      <c r="N12" s="2" t="str" cm="1">
        <f t="array" ref="N12">IF(SUMPRODUCT((Upload_Indiv_Player=$A12)*(Upload_Indiv_Date=N$2)*(Upload_Indiv_Gross))=0,"",SUMPRODUCT((Upload_Indiv_Player=$A12)*(Upload_Indiv_Date=N$2)*(Upload_Indiv_Gross)))</f>
        <v/>
      </c>
      <c r="O12" s="2" cm="1">
        <f t="array" ref="O12">IF(SUMPRODUCT((Upload_Indiv_Player=$A12)*(Upload_Indiv_Date=O$2)*(Upload_Indiv_Gross))=0,"",SUMPRODUCT((Upload_Indiv_Player=$A12)*(Upload_Indiv_Date=O$2)*(Upload_Indiv_Gross)))</f>
        <v>38</v>
      </c>
      <c r="P12" s="2" cm="1">
        <f t="array" ref="P12">IF(SUMPRODUCT((Upload_Indiv_Player=$A12)*(Upload_Indiv_Date=P$2)*(Upload_Indiv_Gross))=0,"",SUMPRODUCT((Upload_Indiv_Player=$A12)*(Upload_Indiv_Date=P$2)*(Upload_Indiv_Gross)))</f>
        <v>38</v>
      </c>
      <c r="Q12" s="2" cm="1">
        <f t="array" ref="Q12">IF(SUMPRODUCT((Upload_Indiv_Player=$A12)*(Upload_Indiv_Date=Q$2)*(Upload_Indiv_Gross))=0,"",SUMPRODUCT((Upload_Indiv_Player=$A12)*(Upload_Indiv_Date=Q$2)*(Upload_Indiv_Gross)))</f>
        <v>33</v>
      </c>
      <c r="R12" s="2" cm="1">
        <f t="array" ref="R12">IF(SUMPRODUCT((Upload_Indiv_Player=$A12)*(Upload_Indiv_Date=R$2)*(Upload_Indiv_Gross))=0,"",SUMPRODUCT((Upload_Indiv_Player=$A12)*(Upload_Indiv_Date=R$2)*(Upload_Indiv_Gross)))</f>
        <v>38</v>
      </c>
      <c r="S12" s="2" cm="1">
        <f t="array" ref="S12">IF(SUMPRODUCT((Upload_Indiv_Player=$A12)*(Upload_Indiv_Date=S$2)*(Upload_Indiv_Gross))=0,"",SUMPRODUCT((Upload_Indiv_Player=$A12)*(Upload_Indiv_Date=S$2)*(Upload_Indiv_Gross)))</f>
        <v>38</v>
      </c>
      <c r="T12" s="2" cm="1">
        <f t="array" ref="T12">IF(SUMPRODUCT((Upload_Indiv_Player=$A12)*(Upload_Indiv_Date=T$2)*(Upload_Indiv_Gross))=0,"",SUMPRODUCT((Upload_Indiv_Player=$A12)*(Upload_Indiv_Date=T$2)*(Upload_Indiv_Gross)))</f>
        <v>228</v>
      </c>
      <c r="U12" s="2" t="str" cm="1">
        <f t="array" ref="U12">IF(SUMPRODUCT((Upload_Indiv_Player=$A12)*(Upload_Indiv_Date=U$2)*(Upload_Indiv_Gross))=0,"",SUMPRODUCT((Upload_Indiv_Player=$A12)*(Upload_Indiv_Date=U$2)*(Upload_Indiv_Gross)))</f>
        <v/>
      </c>
      <c r="V12" s="273">
        <v>14</v>
      </c>
      <c r="W12" s="273"/>
      <c r="X12" s="273"/>
      <c r="Y12" s="277"/>
      <c r="Z12" s="277"/>
      <c r="AA12" s="277"/>
    </row>
    <row r="13" spans="1:27" x14ac:dyDescent="0.25">
      <c r="A13" s="304"/>
      <c r="B13" s="2" t="s">
        <v>171</v>
      </c>
      <c r="C13" s="2" cm="1">
        <f t="array" ref="C13">IF(SUMPRODUCT((Upload_Indiv_Player=$A12)*(Upload_Indiv_Date=C$2)*(Upload_Indiv_Net))=0,"",SUMPRODUCT((Upload_Indiv_Player=$A12)*(Upload_Indiv_Date=C$2)*(Upload_Indiv_Net)))</f>
        <v>38</v>
      </c>
      <c r="D13" s="2" cm="1">
        <f t="array" ref="D13">IF(SUMPRODUCT((Upload_Indiv_Player=$A12)*(Upload_Indiv_Date=D$2)*(Upload_Indiv_Net))=0,"",SUMPRODUCT((Upload_Indiv_Player=$A12)*(Upload_Indiv_Date=D$2)*(Upload_Indiv_Net)))</f>
        <v>38</v>
      </c>
      <c r="E13" s="2" cm="1">
        <f t="array" ref="E13">IF(SUMPRODUCT((Upload_Indiv_Player=$A12)*(Upload_Indiv_Date=E$2)*(Upload_Indiv_Net))=0,"",SUMPRODUCT((Upload_Indiv_Player=$A12)*(Upload_Indiv_Date=E$2)*(Upload_Indiv_Net)))</f>
        <v>38</v>
      </c>
      <c r="F13" s="2" cm="1">
        <f t="array" ref="F13">IF(SUMPRODUCT((Upload_Indiv_Player=$A12)*(Upload_Indiv_Date=F$2)*(Upload_Indiv_Net))=0,"",SUMPRODUCT((Upload_Indiv_Player=$A12)*(Upload_Indiv_Date=F$2)*(Upload_Indiv_Net)))</f>
        <v>38</v>
      </c>
      <c r="G13" s="2" cm="1">
        <f t="array" ref="G13">IF(SUMPRODUCT((Upload_Indiv_Player=$A12)*(Upload_Indiv_Date=G$2)*(Upload_Indiv_Net))=0,"",SUMPRODUCT((Upload_Indiv_Player=$A12)*(Upload_Indiv_Date=G$2)*(Upload_Indiv_Net)))</f>
        <v>38</v>
      </c>
      <c r="H13" s="2" cm="1">
        <f t="array" ref="H13">IF(SUMPRODUCT((Upload_Indiv_Player=$A12)*(Upload_Indiv_Date=H$2)*(Upload_Indiv_Net))=0,"",SUMPRODUCT((Upload_Indiv_Player=$A12)*(Upload_Indiv_Date=H$2)*(Upload_Indiv_Net)))</f>
        <v>38</v>
      </c>
      <c r="I13" s="2" cm="1">
        <f t="array" ref="I13">IF(SUMPRODUCT((Upload_Indiv_Player=$A12)*(Upload_Indiv_Date=I$2)*(Upload_Indiv_Net))=0,"",SUMPRODUCT((Upload_Indiv_Player=$A12)*(Upload_Indiv_Date=I$2)*(Upload_Indiv_Net)))</f>
        <v>38</v>
      </c>
      <c r="J13" s="2" t="str" cm="1">
        <f t="array" ref="J13">IF(SUMPRODUCT((Upload_Indiv_Player=$A12)*(Upload_Indiv_Date=J$2)*(Upload_Indiv_Net))=0,"",SUMPRODUCT((Upload_Indiv_Player=$A12)*(Upload_Indiv_Date=J$2)*(Upload_Indiv_Net)))</f>
        <v/>
      </c>
      <c r="K13" s="2" cm="1">
        <f t="array" ref="K13">IF(SUMPRODUCT((Upload_Indiv_Player=$A12)*(Upload_Indiv_Date=K$2)*(Upload_Indiv_Net))=0,"",SUMPRODUCT((Upload_Indiv_Player=$A12)*(Upload_Indiv_Date=K$2)*(Upload_Indiv_Net)))</f>
        <v>38</v>
      </c>
      <c r="L13" s="2" cm="1">
        <f t="array" ref="L13">IF(SUMPRODUCT((Upload_Indiv_Player=$A12)*(Upload_Indiv_Date=L$2)*(Upload_Indiv_Net))=0,"",SUMPRODUCT((Upload_Indiv_Player=$A12)*(Upload_Indiv_Date=L$2)*(Upload_Indiv_Net)))</f>
        <v>38</v>
      </c>
      <c r="M13" s="2" cm="1">
        <f t="array" ref="M13">IF(SUMPRODUCT((Upload_Indiv_Player=$A12)*(Upload_Indiv_Date=M$2)*(Upload_Indiv_Net))=0,"",SUMPRODUCT((Upload_Indiv_Player=$A12)*(Upload_Indiv_Date=M$2)*(Upload_Indiv_Net)))</f>
        <v>38</v>
      </c>
      <c r="N13" s="2" t="str" cm="1">
        <f t="array" ref="N13">IF(SUMPRODUCT((Upload_Indiv_Player=$A12)*(Upload_Indiv_Date=N$2)*(Upload_Indiv_Net))=0,"",SUMPRODUCT((Upload_Indiv_Player=$A12)*(Upload_Indiv_Date=N$2)*(Upload_Indiv_Net)))</f>
        <v/>
      </c>
      <c r="O13" s="2" cm="1">
        <f t="array" ref="O13">IF(SUMPRODUCT((Upload_Indiv_Player=$A12)*(Upload_Indiv_Date=O$2)*(Upload_Indiv_Net))=0,"",SUMPRODUCT((Upload_Indiv_Player=$A12)*(Upload_Indiv_Date=O$2)*(Upload_Indiv_Net)))</f>
        <v>38</v>
      </c>
      <c r="P13" s="2" cm="1">
        <f t="array" ref="P13">IF(SUMPRODUCT((Upload_Indiv_Player=$A12)*(Upload_Indiv_Date=P$2)*(Upload_Indiv_Net))=0,"",SUMPRODUCT((Upload_Indiv_Player=$A12)*(Upload_Indiv_Date=P$2)*(Upload_Indiv_Net)))</f>
        <v>38</v>
      </c>
      <c r="Q13" s="2" cm="1">
        <f t="array" ref="Q13">IF(SUMPRODUCT((Upload_Indiv_Player=$A12)*(Upload_Indiv_Date=Q$2)*(Upload_Indiv_Net))=0,"",SUMPRODUCT((Upload_Indiv_Player=$A12)*(Upload_Indiv_Date=Q$2)*(Upload_Indiv_Net)))</f>
        <v>33</v>
      </c>
      <c r="R13" s="2" cm="1">
        <f t="array" ref="R13">IF(SUMPRODUCT((Upload_Indiv_Player=$A12)*(Upload_Indiv_Date=R$2)*(Upload_Indiv_Net))=0,"",SUMPRODUCT((Upload_Indiv_Player=$A12)*(Upload_Indiv_Date=R$2)*(Upload_Indiv_Net)))</f>
        <v>38</v>
      </c>
      <c r="S13" s="2" cm="1">
        <f t="array" ref="S13">IF(SUMPRODUCT((Upload_Indiv_Player=$A12)*(Upload_Indiv_Date=S$2)*(Upload_Indiv_Net))=0,"",SUMPRODUCT((Upload_Indiv_Player=$A12)*(Upload_Indiv_Date=S$2)*(Upload_Indiv_Net)))</f>
        <v>38</v>
      </c>
      <c r="T13" s="2" cm="1">
        <f t="array" ref="T13">IF(SUMPRODUCT((Upload_Indiv_Player=$A12)*(Upload_Indiv_Date=T$2)*(Upload_Indiv_Net))=0,"",SUMPRODUCT((Upload_Indiv_Player=$A12)*(Upload_Indiv_Date=T$2)*(Upload_Indiv_Net)))</f>
        <v>228</v>
      </c>
      <c r="U13" s="2" t="str" cm="1">
        <f t="array" ref="U13">IF(SUMPRODUCT((Upload_Indiv_Player=$A12)*(Upload_Indiv_Date=U$2)*(Upload_Indiv_Net))=0,"",SUMPRODUCT((Upload_Indiv_Player=$A12)*(Upload_Indiv_Date=U$2)*(Upload_Indiv_Net)))</f>
        <v/>
      </c>
      <c r="V13" s="279">
        <v>40</v>
      </c>
      <c r="W13" s="276"/>
      <c r="X13" s="276"/>
      <c r="Y13" s="277"/>
      <c r="Z13" s="277"/>
      <c r="AA13" s="277"/>
    </row>
    <row r="14" spans="1:27" x14ac:dyDescent="0.25">
      <c r="A14" s="305"/>
      <c r="B14" s="2" t="s">
        <v>173</v>
      </c>
      <c r="C14" s="2" cm="1">
        <f t="array" ref="C14">IF(SUMPRODUCT((Upload_Indiv_Player=$A12)*(Upload_Indiv_Date=C$2)*(Upload_Indiv_PointsTot))=0,"",SUMPRODUCT((Upload_Indiv_Player=$A12)*(Upload_Indiv_Date=C$2)*(Upload_Indiv_PointsTot)))</f>
        <v>11</v>
      </c>
      <c r="D14" s="2" cm="1">
        <f t="array" ref="D14">IF(SUMPRODUCT((Upload_Indiv_Player=$A12)*(Upload_Indiv_Date=D$2)*(Upload_Indiv_PointsTot))=0,"",SUMPRODUCT((Upload_Indiv_Player=$A12)*(Upload_Indiv_Date=D$2)*(Upload_Indiv_PointsTot)))</f>
        <v>14</v>
      </c>
      <c r="E14" s="2" cm="1">
        <f t="array" ref="E14">IF(SUMPRODUCT((Upload_Indiv_Player=$A12)*(Upload_Indiv_Date=E$2)*(Upload_Indiv_PointsTot))=0,"",SUMPRODUCT((Upload_Indiv_Player=$A12)*(Upload_Indiv_Date=E$2)*(Upload_Indiv_PointsTot)))</f>
        <v>16</v>
      </c>
      <c r="F14" s="2" cm="1">
        <f t="array" ref="F14">IF(SUMPRODUCT((Upload_Indiv_Player=$A12)*(Upload_Indiv_Date=F$2)*(Upload_Indiv_PointsTot))=0,"",SUMPRODUCT((Upload_Indiv_Player=$A12)*(Upload_Indiv_Date=F$2)*(Upload_Indiv_PointsTot)))</f>
        <v>17</v>
      </c>
      <c r="G14" s="2" cm="1">
        <f t="array" ref="G14">IF(SUMPRODUCT((Upload_Indiv_Player=$A12)*(Upload_Indiv_Date=G$2)*(Upload_Indiv_PointsTot))=0,"",SUMPRODUCT((Upload_Indiv_Player=$A12)*(Upload_Indiv_Date=G$2)*(Upload_Indiv_PointsTot)))</f>
        <v>14</v>
      </c>
      <c r="H14" s="2" cm="1">
        <f t="array" ref="H14">IF(SUMPRODUCT((Upload_Indiv_Player=$A12)*(Upload_Indiv_Date=H$2)*(Upload_Indiv_PointsTot))=0,"",SUMPRODUCT((Upload_Indiv_Player=$A12)*(Upload_Indiv_Date=H$2)*(Upload_Indiv_PointsTot)))</f>
        <v>12</v>
      </c>
      <c r="I14" s="2" cm="1">
        <f t="array" ref="I14">IF(SUMPRODUCT((Upload_Indiv_Player=$A12)*(Upload_Indiv_Date=I$2)*(Upload_Indiv_PointsTot))=0,"",SUMPRODUCT((Upload_Indiv_Player=$A12)*(Upload_Indiv_Date=I$2)*(Upload_Indiv_PointsTot)))</f>
        <v>8</v>
      </c>
      <c r="J14" s="2" t="str" cm="1">
        <f t="array" ref="J14">IF(SUMPRODUCT((Upload_Indiv_Player=$A12)*(Upload_Indiv_Date=J$2)*(Upload_Indiv_PointsTot))=0,"",SUMPRODUCT((Upload_Indiv_Player=$A12)*(Upload_Indiv_Date=J$2)*(Upload_Indiv_PointsTot)))</f>
        <v/>
      </c>
      <c r="K14" s="2" cm="1">
        <f t="array" ref="K14">IF(SUMPRODUCT((Upload_Indiv_Player=$A12)*(Upload_Indiv_Date=K$2)*(Upload_Indiv_PointsTot))=0,"",SUMPRODUCT((Upload_Indiv_Player=$A12)*(Upload_Indiv_Date=K$2)*(Upload_Indiv_PointsTot)))</f>
        <v>16</v>
      </c>
      <c r="L14" s="2" cm="1">
        <f t="array" ref="L14">IF(SUMPRODUCT((Upload_Indiv_Player=$A12)*(Upload_Indiv_Date=L$2)*(Upload_Indiv_PointsTot))=0,"",SUMPRODUCT((Upload_Indiv_Player=$A12)*(Upload_Indiv_Date=L$2)*(Upload_Indiv_PointsTot)))</f>
        <v>9</v>
      </c>
      <c r="M14" s="2" cm="1">
        <f t="array" ref="M14">IF(SUMPRODUCT((Upload_Indiv_Player=$A12)*(Upload_Indiv_Date=M$2)*(Upload_Indiv_PointsTot))=0,"",SUMPRODUCT((Upload_Indiv_Player=$A12)*(Upload_Indiv_Date=M$2)*(Upload_Indiv_PointsTot)))</f>
        <v>7</v>
      </c>
      <c r="N14" s="2" t="str" cm="1">
        <f t="array" ref="N14">IF(SUMPRODUCT((Upload_Indiv_Player=$A12)*(Upload_Indiv_Date=N$2)*(Upload_Indiv_PointsTot))=0,"",SUMPRODUCT((Upload_Indiv_Player=$A12)*(Upload_Indiv_Date=N$2)*(Upload_Indiv_PointsTot)))</f>
        <v/>
      </c>
      <c r="O14" s="2" cm="1">
        <f t="array" ref="O14">IF(SUMPRODUCT((Upload_Indiv_Player=$A12)*(Upload_Indiv_Date=O$2)*(Upload_Indiv_PointsTot))=0,"",SUMPRODUCT((Upload_Indiv_Player=$A12)*(Upload_Indiv_Date=O$2)*(Upload_Indiv_PointsTot)))</f>
        <v>13</v>
      </c>
      <c r="P14" s="2" cm="1">
        <f t="array" ref="P14">IF(SUMPRODUCT((Upload_Indiv_Player=$A12)*(Upload_Indiv_Date=P$2)*(Upload_Indiv_PointsTot))=0,"",SUMPRODUCT((Upload_Indiv_Player=$A12)*(Upload_Indiv_Date=P$2)*(Upload_Indiv_PointsTot)))</f>
        <v>9</v>
      </c>
      <c r="Q14" s="2" cm="1">
        <f t="array" ref="Q14">IF(SUMPRODUCT((Upload_Indiv_Player=$A12)*(Upload_Indiv_Date=Q$2)*(Upload_Indiv_PointsTot))=0,"",SUMPRODUCT((Upload_Indiv_Player=$A12)*(Upload_Indiv_Date=Q$2)*(Upload_Indiv_PointsTot)))</f>
        <v>7</v>
      </c>
      <c r="R14" s="2" cm="1">
        <f t="array" ref="R14">IF(SUMPRODUCT((Upload_Indiv_Player=$A12)*(Upload_Indiv_Date=R$2)*(Upload_Indiv_PointsTot))=0,"",SUMPRODUCT((Upload_Indiv_Player=$A12)*(Upload_Indiv_Date=R$2)*(Upload_Indiv_PointsTot)))</f>
        <v>8</v>
      </c>
      <c r="S14" s="2" cm="1">
        <f t="array" ref="S14">IF(SUMPRODUCT((Upload_Indiv_Player=$A12)*(Upload_Indiv_Date=S$2)*(Upload_Indiv_PointsTot))=0,"",SUMPRODUCT((Upload_Indiv_Player=$A12)*(Upload_Indiv_Date=S$2)*(Upload_Indiv_PointsTot)))</f>
        <v>6</v>
      </c>
      <c r="T14" s="2" cm="1">
        <f t="array" ref="T14">IF(SUMPRODUCT((Upload_Indiv_Player=$A12)*(Upload_Indiv_Date=T$2)*(Upload_Indiv_PointsTot))=0,"",SUMPRODUCT((Upload_Indiv_Player=$A12)*(Upload_Indiv_Date=T$2)*(Upload_Indiv_PointsTot)))</f>
        <v>69</v>
      </c>
      <c r="U14" s="2" t="str" cm="1">
        <f t="array" ref="U14">IF(SUMPRODUCT((Upload_Indiv_Player=$A12)*(Upload_Indiv_Date=U$2)*(Upload_Indiv_PointsTot))=0,"",SUMPRODUCT((Upload_Indiv_Player=$A12)*(Upload_Indiv_Date=U$2)*(Upload_Indiv_PointsTot)))</f>
        <v/>
      </c>
      <c r="V14" s="276"/>
      <c r="W14" s="276"/>
      <c r="X14" s="276"/>
      <c r="Y14" s="277"/>
      <c r="Z14" s="277"/>
      <c r="AA14" s="277"/>
    </row>
    <row r="15" spans="1:27" x14ac:dyDescent="0.25">
      <c r="A15" s="306"/>
      <c r="B15" s="2" t="s">
        <v>174</v>
      </c>
      <c r="C15" s="2" t="str" cm="1">
        <f t="array" ref="C15">IF(SUMPRODUCT((Upload_Indiv_Player=$A12)*(Upload_Indiv_Date=C$2)*(Upload_Indiv_Tot_Birds))=0,"",SUMPRODUCT((Upload_Indiv_Player=$A12)*(Upload_Indiv_Date=C$2)*(Upload_Indiv_Tot_Birds)))</f>
        <v/>
      </c>
      <c r="D15" s="2" t="str" cm="1">
        <f t="array" ref="D15">IF(SUMPRODUCT((Upload_Indiv_Player=$A12)*(Upload_Indiv_Date=D$2)*(Upload_Indiv_Tot_Birds))=0,"",SUMPRODUCT((Upload_Indiv_Player=$A12)*(Upload_Indiv_Date=D$2)*(Upload_Indiv_Tot_Birds)))</f>
        <v/>
      </c>
      <c r="E15" s="2" t="str" cm="1">
        <f t="array" ref="E15">IF(SUMPRODUCT((Upload_Indiv_Player=$A12)*(Upload_Indiv_Date=E$2)*(Upload_Indiv_Tot_Birds))=0,"",SUMPRODUCT((Upload_Indiv_Player=$A12)*(Upload_Indiv_Date=E$2)*(Upload_Indiv_Tot_Birds)))</f>
        <v/>
      </c>
      <c r="F15" s="2" t="str" cm="1">
        <f t="array" ref="F15">IF(SUMPRODUCT((Upload_Indiv_Player=$A12)*(Upload_Indiv_Date=F$2)*(Upload_Indiv_Tot_Birds))=0,"",SUMPRODUCT((Upload_Indiv_Player=$A12)*(Upload_Indiv_Date=F$2)*(Upload_Indiv_Tot_Birds)))</f>
        <v/>
      </c>
      <c r="G15" s="2" t="str" cm="1">
        <f t="array" ref="G15">IF(SUMPRODUCT((Upload_Indiv_Player=$A12)*(Upload_Indiv_Date=G$2)*(Upload_Indiv_Tot_Birds))=0,"",SUMPRODUCT((Upload_Indiv_Player=$A12)*(Upload_Indiv_Date=G$2)*(Upload_Indiv_Tot_Birds)))</f>
        <v/>
      </c>
      <c r="H15" s="2" t="str" cm="1">
        <f t="array" ref="H15">IF(SUMPRODUCT((Upload_Indiv_Player=$A12)*(Upload_Indiv_Date=H$2)*(Upload_Indiv_Tot_Birds))=0,"",SUMPRODUCT((Upload_Indiv_Player=$A12)*(Upload_Indiv_Date=H$2)*(Upload_Indiv_Tot_Birds)))</f>
        <v/>
      </c>
      <c r="I15" s="2" t="str" cm="1">
        <f t="array" ref="I15">IF(SUMPRODUCT((Upload_Indiv_Player=$A12)*(Upload_Indiv_Date=I$2)*(Upload_Indiv_Tot_Birds))=0,"",SUMPRODUCT((Upload_Indiv_Player=$A12)*(Upload_Indiv_Date=I$2)*(Upload_Indiv_Tot_Birds)))</f>
        <v/>
      </c>
      <c r="J15" s="2" t="str" cm="1">
        <f t="array" ref="J15">IF(SUMPRODUCT((Upload_Indiv_Player=$A12)*(Upload_Indiv_Date=J$2)*(Upload_Indiv_Tot_Birds))=0,"",SUMPRODUCT((Upload_Indiv_Player=$A12)*(Upload_Indiv_Date=J$2)*(Upload_Indiv_Tot_Birds)))</f>
        <v/>
      </c>
      <c r="K15" s="2" t="str" cm="1">
        <f t="array" ref="K15">IF(SUMPRODUCT((Upload_Indiv_Player=$A12)*(Upload_Indiv_Date=K$2)*(Upload_Indiv_Tot_Birds))=0,"",SUMPRODUCT((Upload_Indiv_Player=$A12)*(Upload_Indiv_Date=K$2)*(Upload_Indiv_Tot_Birds)))</f>
        <v/>
      </c>
      <c r="L15" s="2" t="str" cm="1">
        <f t="array" ref="L15">IF(SUMPRODUCT((Upload_Indiv_Player=$A12)*(Upload_Indiv_Date=L$2)*(Upload_Indiv_Tot_Birds))=0,"",SUMPRODUCT((Upload_Indiv_Player=$A12)*(Upload_Indiv_Date=L$2)*(Upload_Indiv_Tot_Birds)))</f>
        <v/>
      </c>
      <c r="M15" s="2" t="str" cm="1">
        <f t="array" ref="M15">IF(SUMPRODUCT((Upload_Indiv_Player=$A12)*(Upload_Indiv_Date=M$2)*(Upload_Indiv_Tot_Birds))=0,"",SUMPRODUCT((Upload_Indiv_Player=$A12)*(Upload_Indiv_Date=M$2)*(Upload_Indiv_Tot_Birds)))</f>
        <v/>
      </c>
      <c r="N15" s="2" t="str" cm="1">
        <f t="array" ref="N15">IF(SUMPRODUCT((Upload_Indiv_Player=$A12)*(Upload_Indiv_Date=N$2)*(Upload_Indiv_Tot_Birds))=0,"",SUMPRODUCT((Upload_Indiv_Player=$A12)*(Upload_Indiv_Date=N$2)*(Upload_Indiv_Tot_Birds)))</f>
        <v/>
      </c>
      <c r="O15" s="2" t="str" cm="1">
        <f t="array" ref="O15">IF(SUMPRODUCT((Upload_Indiv_Player=$A12)*(Upload_Indiv_Date=O$2)*(Upload_Indiv_Tot_Birds))=0,"",SUMPRODUCT((Upload_Indiv_Player=$A12)*(Upload_Indiv_Date=O$2)*(Upload_Indiv_Tot_Birds)))</f>
        <v/>
      </c>
      <c r="P15" s="2" t="str" cm="1">
        <f t="array" ref="P15">IF(SUMPRODUCT((Upload_Indiv_Player=$A12)*(Upload_Indiv_Date=P$2)*(Upload_Indiv_Tot_Birds))=0,"",SUMPRODUCT((Upload_Indiv_Player=$A12)*(Upload_Indiv_Date=P$2)*(Upload_Indiv_Tot_Birds)))</f>
        <v/>
      </c>
      <c r="Q15" s="2" t="str" cm="1">
        <f t="array" ref="Q15">IF(SUMPRODUCT((Upload_Indiv_Player=$A12)*(Upload_Indiv_Date=Q$2)*(Upload_Indiv_Tot_Birds))=0,"",SUMPRODUCT((Upload_Indiv_Player=$A12)*(Upload_Indiv_Date=Q$2)*(Upload_Indiv_Tot_Birds)))</f>
        <v/>
      </c>
      <c r="R15" s="2" t="str" cm="1">
        <f t="array" ref="R15">IF(SUMPRODUCT((Upload_Indiv_Player=$A12)*(Upload_Indiv_Date=R$2)*(Upload_Indiv_Tot_Birds))=0,"",SUMPRODUCT((Upload_Indiv_Player=$A12)*(Upload_Indiv_Date=R$2)*(Upload_Indiv_Tot_Birds)))</f>
        <v/>
      </c>
      <c r="S15" s="2" t="str" cm="1">
        <f t="array" ref="S15">IF(SUMPRODUCT((Upload_Indiv_Player=$A12)*(Upload_Indiv_Date=S$2)*(Upload_Indiv_Tot_Birds))=0,"",SUMPRODUCT((Upload_Indiv_Player=$A12)*(Upload_Indiv_Date=S$2)*(Upload_Indiv_Tot_Birds)))</f>
        <v/>
      </c>
      <c r="T15" s="2" t="str" cm="1">
        <f t="array" ref="T15">IF(SUMPRODUCT((Upload_Indiv_Player=$A12)*(Upload_Indiv_Date=T$2)*(Upload_Indiv_Tot_Birds))=0,"",SUMPRODUCT((Upload_Indiv_Player=$A12)*(Upload_Indiv_Date=T$2)*(Upload_Indiv_Tot_Birds)))</f>
        <v/>
      </c>
      <c r="U15" s="2" t="str" cm="1">
        <f t="array" ref="U15">IF(SUMPRODUCT((Upload_Indiv_Player=$A12)*(Upload_Indiv_Date=U$2)*(Upload_Indiv_Tot_Birds))=0,"",SUMPRODUCT((Upload_Indiv_Player=$A12)*(Upload_Indiv_Date=U$2)*(Upload_Indiv_Tot_Birds)))</f>
        <v/>
      </c>
      <c r="V15" s="276"/>
      <c r="W15" s="276"/>
      <c r="X15" s="276"/>
      <c r="Y15" s="277"/>
      <c r="Z15" s="277"/>
      <c r="AA15" s="277"/>
    </row>
    <row r="16" spans="1:27" x14ac:dyDescent="0.25">
      <c r="A16" s="306"/>
      <c r="B16" s="8" t="s">
        <v>175</v>
      </c>
      <c r="C16" s="2" t="str" cm="1">
        <f t="array" ref="C16">IF(SUMPRODUCT((Upload_Indiv_Player=$A12)*(Upload_Indiv_Date=C$2)*(Upload_Indiv_Tot_Eagles))=0,"",SUMPRODUCT((Upload_Indiv_Player=$A12)*(Upload_Indiv_Date=C$2)*(Upload_Indiv_Tot_Eagles)))</f>
        <v/>
      </c>
      <c r="D16" s="2" t="str" cm="1">
        <f t="array" ref="D16">IF(SUMPRODUCT((Upload_Indiv_Player=$A12)*(Upload_Indiv_Date=D$2)*(Upload_Indiv_Tot_Eagles))=0,"",SUMPRODUCT((Upload_Indiv_Player=$A12)*(Upload_Indiv_Date=D$2)*(Upload_Indiv_Tot_Eagles)))</f>
        <v/>
      </c>
      <c r="E16" s="2" t="str" cm="1">
        <f t="array" ref="E16">IF(SUMPRODUCT((Upload_Indiv_Player=$A12)*(Upload_Indiv_Date=E$2)*(Upload_Indiv_Tot_Eagles))=0,"",SUMPRODUCT((Upload_Indiv_Player=$A12)*(Upload_Indiv_Date=E$2)*(Upload_Indiv_Tot_Eagles)))</f>
        <v/>
      </c>
      <c r="F16" s="2" t="str" cm="1">
        <f t="array" ref="F16">IF(SUMPRODUCT((Upload_Indiv_Player=$A12)*(Upload_Indiv_Date=F$2)*(Upload_Indiv_Tot_Eagles))=0,"",SUMPRODUCT((Upload_Indiv_Player=$A12)*(Upload_Indiv_Date=F$2)*(Upload_Indiv_Tot_Eagles)))</f>
        <v/>
      </c>
      <c r="G16" s="2" t="str" cm="1">
        <f t="array" ref="G16">IF(SUMPRODUCT((Upload_Indiv_Player=$A12)*(Upload_Indiv_Date=G$2)*(Upload_Indiv_Tot_Eagles))=0,"",SUMPRODUCT((Upload_Indiv_Player=$A12)*(Upload_Indiv_Date=G$2)*(Upload_Indiv_Tot_Eagles)))</f>
        <v/>
      </c>
      <c r="H16" s="2" t="str" cm="1">
        <f t="array" ref="H16">IF(SUMPRODUCT((Upload_Indiv_Player=$A12)*(Upload_Indiv_Date=H$2)*(Upload_Indiv_Tot_Eagles))=0,"",SUMPRODUCT((Upload_Indiv_Player=$A12)*(Upload_Indiv_Date=H$2)*(Upload_Indiv_Tot_Eagles)))</f>
        <v/>
      </c>
      <c r="I16" s="2" t="str" cm="1">
        <f t="array" ref="I16">IF(SUMPRODUCT((Upload_Indiv_Player=$A12)*(Upload_Indiv_Date=I$2)*(Upload_Indiv_Tot_Eagles))=0,"",SUMPRODUCT((Upload_Indiv_Player=$A12)*(Upload_Indiv_Date=I$2)*(Upload_Indiv_Tot_Eagles)))</f>
        <v/>
      </c>
      <c r="J16" s="2" t="str" cm="1">
        <f t="array" ref="J16">IF(SUMPRODUCT((Upload_Indiv_Player=$A12)*(Upload_Indiv_Date=J$2)*(Upload_Indiv_Tot_Eagles))=0,"",SUMPRODUCT((Upload_Indiv_Player=$A12)*(Upload_Indiv_Date=J$2)*(Upload_Indiv_Tot_Eagles)))</f>
        <v/>
      </c>
      <c r="K16" s="2" t="str" cm="1">
        <f t="array" ref="K16">IF(SUMPRODUCT((Upload_Indiv_Player=$A12)*(Upload_Indiv_Date=K$2)*(Upload_Indiv_Tot_Eagles))=0,"",SUMPRODUCT((Upload_Indiv_Player=$A12)*(Upload_Indiv_Date=K$2)*(Upload_Indiv_Tot_Eagles)))</f>
        <v/>
      </c>
      <c r="L16" s="2" t="str" cm="1">
        <f t="array" ref="L16">IF(SUMPRODUCT((Upload_Indiv_Player=$A12)*(Upload_Indiv_Date=L$2)*(Upload_Indiv_Tot_Eagles))=0,"",SUMPRODUCT((Upload_Indiv_Player=$A12)*(Upload_Indiv_Date=L$2)*(Upload_Indiv_Tot_Eagles)))</f>
        <v/>
      </c>
      <c r="M16" s="2" t="str" cm="1">
        <f t="array" ref="M16">IF(SUMPRODUCT((Upload_Indiv_Player=$A12)*(Upload_Indiv_Date=M$2)*(Upload_Indiv_Tot_Eagles))=0,"",SUMPRODUCT((Upload_Indiv_Player=$A12)*(Upload_Indiv_Date=M$2)*(Upload_Indiv_Tot_Eagles)))</f>
        <v/>
      </c>
      <c r="N16" s="2" t="str" cm="1">
        <f t="array" ref="N16">IF(SUMPRODUCT((Upload_Indiv_Player=$A12)*(Upload_Indiv_Date=N$2)*(Upload_Indiv_Tot_Eagles))=0,"",SUMPRODUCT((Upload_Indiv_Player=$A12)*(Upload_Indiv_Date=N$2)*(Upload_Indiv_Tot_Eagles)))</f>
        <v/>
      </c>
      <c r="O16" s="2" t="str" cm="1">
        <f t="array" ref="O16">IF(SUMPRODUCT((Upload_Indiv_Player=$A12)*(Upload_Indiv_Date=O$2)*(Upload_Indiv_Tot_Eagles))=0,"",SUMPRODUCT((Upload_Indiv_Player=$A12)*(Upload_Indiv_Date=O$2)*(Upload_Indiv_Tot_Eagles)))</f>
        <v/>
      </c>
      <c r="P16" s="2" t="str" cm="1">
        <f t="array" ref="P16">IF(SUMPRODUCT((Upload_Indiv_Player=$A12)*(Upload_Indiv_Date=P$2)*(Upload_Indiv_Tot_Eagles))=0,"",SUMPRODUCT((Upload_Indiv_Player=$A12)*(Upload_Indiv_Date=P$2)*(Upload_Indiv_Tot_Eagles)))</f>
        <v/>
      </c>
      <c r="Q16" s="2" t="str" cm="1">
        <f t="array" ref="Q16">IF(SUMPRODUCT((Upload_Indiv_Player=$A12)*(Upload_Indiv_Date=Q$2)*(Upload_Indiv_Tot_Eagles))=0,"",SUMPRODUCT((Upload_Indiv_Player=$A12)*(Upload_Indiv_Date=Q$2)*(Upload_Indiv_Tot_Eagles)))</f>
        <v/>
      </c>
      <c r="R16" s="2" t="str" cm="1">
        <f t="array" ref="R16">IF(SUMPRODUCT((Upload_Indiv_Player=$A12)*(Upload_Indiv_Date=R$2)*(Upload_Indiv_Tot_Eagles))=0,"",SUMPRODUCT((Upload_Indiv_Player=$A12)*(Upload_Indiv_Date=R$2)*(Upload_Indiv_Tot_Eagles)))</f>
        <v/>
      </c>
      <c r="S16" s="2" t="str" cm="1">
        <f t="array" ref="S16">IF(SUMPRODUCT((Upload_Indiv_Player=$A12)*(Upload_Indiv_Date=S$2)*(Upload_Indiv_Tot_Eagles))=0,"",SUMPRODUCT((Upload_Indiv_Player=$A12)*(Upload_Indiv_Date=S$2)*(Upload_Indiv_Tot_Eagles)))</f>
        <v/>
      </c>
      <c r="T16" s="2" t="str" cm="1">
        <f t="array" ref="T16">IF(SUMPRODUCT((Upload_Indiv_Player=$A12)*(Upload_Indiv_Date=T$2)*(Upload_Indiv_Tot_Eagles))=0,"",SUMPRODUCT((Upload_Indiv_Player=$A12)*(Upload_Indiv_Date=T$2)*(Upload_Indiv_Tot_Eagles)))</f>
        <v/>
      </c>
      <c r="U16" s="2" t="str" cm="1">
        <f t="array" ref="U16">IF(SUMPRODUCT((Upload_Indiv_Player=$A12)*(Upload_Indiv_Date=U$2)*(Upload_Indiv_Tot_Eagles))=0,"",SUMPRODUCT((Upload_Indiv_Player=$A12)*(Upload_Indiv_Date=U$2)*(Upload_Indiv_Tot_Eagles)))</f>
        <v/>
      </c>
      <c r="V16" s="276"/>
      <c r="W16" s="276"/>
      <c r="X16" s="276"/>
      <c r="Y16" s="277"/>
      <c r="Z16" s="277"/>
      <c r="AA16" s="277"/>
    </row>
    <row r="17" spans="1:27" x14ac:dyDescent="0.25">
      <c r="A17" s="306"/>
      <c r="B17" s="2" t="s">
        <v>176</v>
      </c>
      <c r="C17" s="2" t="str" cm="1">
        <f t="array" ref="C17">IF(SUMPRODUCT((Upload_Indiv_Player=$A12)*(Upload_Indiv_Date=C$2)*(Upload_Indiv_Excl_Score))=0,"",SUMPRODUCT((Upload_Indiv_Player=$A12)*(Upload_Indiv_Date=C$2)*(Upload_Indiv_Excl_Score)))</f>
        <v/>
      </c>
      <c r="D17" s="2" t="str" cm="1">
        <f t="array" ref="D17">IF(SUMPRODUCT((Upload_Indiv_Player=$A12)*(Upload_Indiv_Date=D$2)*(Upload_Indiv_Excl_Score))=0,"",SUMPRODUCT((Upload_Indiv_Player=$A12)*(Upload_Indiv_Date=D$2)*(Upload_Indiv_Excl_Score)))</f>
        <v/>
      </c>
      <c r="E17" s="2" t="str" cm="1">
        <f t="array" ref="E17">IF(SUMPRODUCT((Upload_Indiv_Player=$A12)*(Upload_Indiv_Date=E$2)*(Upload_Indiv_Excl_Score))=0,"",SUMPRODUCT((Upload_Indiv_Player=$A12)*(Upload_Indiv_Date=E$2)*(Upload_Indiv_Excl_Score)))</f>
        <v/>
      </c>
      <c r="F17" s="2" t="str" cm="1">
        <f t="array" ref="F17">IF(SUMPRODUCT((Upload_Indiv_Player=$A12)*(Upload_Indiv_Date=F$2)*(Upload_Indiv_Excl_Score))=0,"",SUMPRODUCT((Upload_Indiv_Player=$A12)*(Upload_Indiv_Date=F$2)*(Upload_Indiv_Excl_Score)))</f>
        <v/>
      </c>
      <c r="G17" s="2" t="str" cm="1">
        <f t="array" ref="G17">IF(SUMPRODUCT((Upload_Indiv_Player=$A12)*(Upload_Indiv_Date=G$2)*(Upload_Indiv_Excl_Score))=0,"",SUMPRODUCT((Upload_Indiv_Player=$A12)*(Upload_Indiv_Date=G$2)*(Upload_Indiv_Excl_Score)))</f>
        <v/>
      </c>
      <c r="H17" s="2" t="str" cm="1">
        <f t="array" ref="H17">IF(SUMPRODUCT((Upload_Indiv_Player=$A12)*(Upload_Indiv_Date=H$2)*(Upload_Indiv_Excl_Score))=0,"",SUMPRODUCT((Upload_Indiv_Player=$A12)*(Upload_Indiv_Date=H$2)*(Upload_Indiv_Excl_Score)))</f>
        <v/>
      </c>
      <c r="I17" s="2" t="str" cm="1">
        <f t="array" ref="I17">IF(SUMPRODUCT((Upload_Indiv_Player=$A12)*(Upload_Indiv_Date=I$2)*(Upload_Indiv_Excl_Score))=0,"",SUMPRODUCT((Upload_Indiv_Player=$A12)*(Upload_Indiv_Date=I$2)*(Upload_Indiv_Excl_Score)))</f>
        <v/>
      </c>
      <c r="J17" s="2" t="str" cm="1">
        <f t="array" ref="J17">IF(SUMPRODUCT((Upload_Indiv_Player=$A12)*(Upload_Indiv_Date=J$2)*(Upload_Indiv_Excl_Score))=0,"",SUMPRODUCT((Upload_Indiv_Player=$A12)*(Upload_Indiv_Date=J$2)*(Upload_Indiv_Excl_Score)))</f>
        <v/>
      </c>
      <c r="K17" s="2" t="str" cm="1">
        <f t="array" ref="K17">IF(SUMPRODUCT((Upload_Indiv_Player=$A12)*(Upload_Indiv_Date=K$2)*(Upload_Indiv_Excl_Score))=0,"",SUMPRODUCT((Upload_Indiv_Player=$A12)*(Upload_Indiv_Date=K$2)*(Upload_Indiv_Excl_Score)))</f>
        <v/>
      </c>
      <c r="L17" s="2" t="str" cm="1">
        <f t="array" ref="L17">IF(SUMPRODUCT((Upload_Indiv_Player=$A12)*(Upload_Indiv_Date=L$2)*(Upload_Indiv_Excl_Score))=0,"",SUMPRODUCT((Upload_Indiv_Player=$A12)*(Upload_Indiv_Date=L$2)*(Upload_Indiv_Excl_Score)))</f>
        <v/>
      </c>
      <c r="M17" s="2" t="str" cm="1">
        <f t="array" ref="M17">IF(SUMPRODUCT((Upload_Indiv_Player=$A12)*(Upload_Indiv_Date=M$2)*(Upload_Indiv_Excl_Score))=0,"",SUMPRODUCT((Upload_Indiv_Player=$A12)*(Upload_Indiv_Date=M$2)*(Upload_Indiv_Excl_Score)))</f>
        <v/>
      </c>
      <c r="N17" s="2" t="str" cm="1">
        <f t="array" ref="N17">IF(SUMPRODUCT((Upload_Indiv_Player=$A12)*(Upload_Indiv_Date=N$2)*(Upload_Indiv_Excl_Score))=0,"",SUMPRODUCT((Upload_Indiv_Player=$A12)*(Upload_Indiv_Date=N$2)*(Upload_Indiv_Excl_Score)))</f>
        <v/>
      </c>
      <c r="O17" s="2" t="str" cm="1">
        <f t="array" ref="O17">IF(SUMPRODUCT((Upload_Indiv_Player=$A12)*(Upload_Indiv_Date=O$2)*(Upload_Indiv_Excl_Score))=0,"",SUMPRODUCT((Upload_Indiv_Player=$A12)*(Upload_Indiv_Date=O$2)*(Upload_Indiv_Excl_Score)))</f>
        <v/>
      </c>
      <c r="P17" s="2" t="str" cm="1">
        <f t="array" ref="P17">IF(SUMPRODUCT((Upload_Indiv_Player=$A12)*(Upload_Indiv_Date=P$2)*(Upload_Indiv_Excl_Score))=0,"",SUMPRODUCT((Upload_Indiv_Player=$A12)*(Upload_Indiv_Date=P$2)*(Upload_Indiv_Excl_Score)))</f>
        <v/>
      </c>
      <c r="Q17" s="2" cm="1">
        <f t="array" ref="Q17">IF(SUMPRODUCT((Upload_Indiv_Player=$A12)*(Upload_Indiv_Date=Q$2)*(Upload_Indiv_Excl_Score))=0,"",SUMPRODUCT((Upload_Indiv_Player=$A12)*(Upload_Indiv_Date=Q$2)*(Upload_Indiv_Excl_Score)))</f>
        <v>1</v>
      </c>
      <c r="R17" s="2" t="str" cm="1">
        <f t="array" ref="R17">IF(SUMPRODUCT((Upload_Indiv_Player=$A12)*(Upload_Indiv_Date=R$2)*(Upload_Indiv_Excl_Score))=0,"",SUMPRODUCT((Upload_Indiv_Player=$A12)*(Upload_Indiv_Date=R$2)*(Upload_Indiv_Excl_Score)))</f>
        <v/>
      </c>
      <c r="S17" s="2" t="str" cm="1">
        <f t="array" ref="S17">IF(SUMPRODUCT((Upload_Indiv_Player=$A12)*(Upload_Indiv_Date=S$2)*(Upload_Indiv_Excl_Score))=0,"",SUMPRODUCT((Upload_Indiv_Player=$A12)*(Upload_Indiv_Date=S$2)*(Upload_Indiv_Excl_Score)))</f>
        <v/>
      </c>
      <c r="T17" s="2" cm="1">
        <f t="array" ref="T17">IF(SUMPRODUCT((Upload_Indiv_Player=$A12)*(Upload_Indiv_Date=T$2)*(Upload_Indiv_Excl_Score))=0,"",SUMPRODUCT((Upload_Indiv_Player=$A12)*(Upload_Indiv_Date=T$2)*(Upload_Indiv_Excl_Score)))</f>
        <v>6</v>
      </c>
      <c r="U17" s="2" t="str" cm="1">
        <f t="array" ref="U17">IF(SUMPRODUCT((Upload_Indiv_Player=$A12)*(Upload_Indiv_Date=U$2)*(Upload_Indiv_Excl_Score))=0,"",SUMPRODUCT((Upload_Indiv_Player=$A12)*(Upload_Indiv_Date=U$2)*(Upload_Indiv_Excl_Score)))</f>
        <v/>
      </c>
      <c r="V17" s="276"/>
      <c r="W17" s="276"/>
      <c r="X17" s="276"/>
      <c r="Y17" s="277"/>
      <c r="Z17" s="277"/>
      <c r="AA17" s="277"/>
    </row>
    <row r="18" spans="1:27" ht="13.8" thickBot="1" x14ac:dyDescent="0.3">
      <c r="A18" s="9"/>
      <c r="B18" s="8" t="s">
        <v>178</v>
      </c>
      <c r="C18" s="58" t="str">
        <f>IF(C12="", "", IF(C14&gt;=11, "w", IF(C14&lt;=9, "l", "t")))</f>
        <v>w</v>
      </c>
      <c r="D18" s="58" t="str">
        <f t="shared" ref="D18:S18" si="2">IF(D12="", "", IF(D14&gt;=11, "w", IF(D14&lt;=9, "l", "t")))</f>
        <v>w</v>
      </c>
      <c r="E18" s="58" t="str">
        <f t="shared" si="2"/>
        <v>w</v>
      </c>
      <c r="F18" s="58" t="str">
        <f t="shared" si="2"/>
        <v>w</v>
      </c>
      <c r="G18" s="58" t="str">
        <f t="shared" si="2"/>
        <v>w</v>
      </c>
      <c r="H18" s="58" t="str">
        <f t="shared" si="2"/>
        <v>w</v>
      </c>
      <c r="I18" s="58" t="str">
        <f t="shared" si="2"/>
        <v>l</v>
      </c>
      <c r="J18" s="58" t="str">
        <f t="shared" si="2"/>
        <v/>
      </c>
      <c r="K18" s="58" t="str">
        <f t="shared" si="2"/>
        <v>w</v>
      </c>
      <c r="L18" s="58" t="str">
        <f t="shared" si="2"/>
        <v>l</v>
      </c>
      <c r="M18" s="58" t="str">
        <f t="shared" si="2"/>
        <v>l</v>
      </c>
      <c r="N18" s="58" t="str">
        <f t="shared" si="2"/>
        <v/>
      </c>
      <c r="O18" s="58" t="str">
        <f t="shared" si="2"/>
        <v>w</v>
      </c>
      <c r="P18" s="58" t="str">
        <f t="shared" si="2"/>
        <v>l</v>
      </c>
      <c r="Q18" s="58" t="str">
        <f t="shared" si="2"/>
        <v>l</v>
      </c>
      <c r="R18" s="58" t="str">
        <f t="shared" si="2"/>
        <v>l</v>
      </c>
      <c r="S18" s="58" t="str">
        <f t="shared" si="2"/>
        <v>l</v>
      </c>
      <c r="T18" s="58" t="str">
        <f>IF(T12="", "", IF(T14&gt;=11, "w", IF(T14&lt;=9, "l", "t")))</f>
        <v>w</v>
      </c>
      <c r="U18" s="58" t="str">
        <f>IF(U12="", "", IF(U14&gt;=11, "w", IF(U14&lt;=9, "l", "t")))</f>
        <v/>
      </c>
      <c r="V18" s="276"/>
      <c r="W18" s="276"/>
      <c r="X18" s="276"/>
      <c r="Y18" s="277"/>
      <c r="Z18" s="277"/>
      <c r="AA18" s="277"/>
    </row>
    <row r="19" spans="1:27" x14ac:dyDescent="0.25">
      <c r="A19" s="303" t="s">
        <v>325</v>
      </c>
      <c r="B19" s="3" t="s">
        <v>170</v>
      </c>
      <c r="C19" s="3" cm="1">
        <f t="array" ref="C19">IF(SUMPRODUCT((Upload_Indiv_Player=$A19)*(Upload_Indiv_Date=C$2)*(Upload_Indiv_Gross))=0,"",SUMPRODUCT((Upload_Indiv_Player=$A19)*(Upload_Indiv_Date=C$2)*(Upload_Indiv_Gross)))</f>
        <v>38</v>
      </c>
      <c r="D19" s="3" cm="1">
        <f t="array" ref="D19">IF(SUMPRODUCT((Upload_Indiv_Player=$A19)*(Upload_Indiv_Date=D$2)*(Upload_Indiv_Gross))=0,"",SUMPRODUCT((Upload_Indiv_Player=$A19)*(Upload_Indiv_Date=D$2)*(Upload_Indiv_Gross)))</f>
        <v>38</v>
      </c>
      <c r="E19" s="3" cm="1">
        <f t="array" ref="E19">IF(SUMPRODUCT((Upload_Indiv_Player=$A19)*(Upload_Indiv_Date=E$2)*(Upload_Indiv_Gross))=0,"",SUMPRODUCT((Upload_Indiv_Player=$A19)*(Upload_Indiv_Date=E$2)*(Upload_Indiv_Gross)))</f>
        <v>38</v>
      </c>
      <c r="F19" s="3" cm="1">
        <f t="array" ref="F19">IF(SUMPRODUCT((Upload_Indiv_Player=$A19)*(Upload_Indiv_Date=F$2)*(Upload_Indiv_Gross))=0,"",SUMPRODUCT((Upload_Indiv_Player=$A19)*(Upload_Indiv_Date=F$2)*(Upload_Indiv_Gross)))</f>
        <v>38</v>
      </c>
      <c r="G19" s="3" cm="1">
        <f t="array" ref="G19">IF(SUMPRODUCT((Upload_Indiv_Player=$A19)*(Upload_Indiv_Date=G$2)*(Upload_Indiv_Gross))=0,"",SUMPRODUCT((Upload_Indiv_Player=$A19)*(Upload_Indiv_Date=G$2)*(Upload_Indiv_Gross)))</f>
        <v>38</v>
      </c>
      <c r="H19" s="3" cm="1">
        <f t="array" ref="H19">IF(SUMPRODUCT((Upload_Indiv_Player=$A19)*(Upload_Indiv_Date=H$2)*(Upload_Indiv_Gross))=0,"",SUMPRODUCT((Upload_Indiv_Player=$A19)*(Upload_Indiv_Date=H$2)*(Upload_Indiv_Gross)))</f>
        <v>38</v>
      </c>
      <c r="I19" s="3" cm="1">
        <f t="array" ref="I19">IF(SUMPRODUCT((Upload_Indiv_Player=$A19)*(Upload_Indiv_Date=I$2)*(Upload_Indiv_Gross))=0,"",SUMPRODUCT((Upload_Indiv_Player=$A19)*(Upload_Indiv_Date=I$2)*(Upload_Indiv_Gross)))</f>
        <v>38</v>
      </c>
      <c r="J19" s="3" t="str" cm="1">
        <f t="array" ref="J19">IF(SUMPRODUCT((Upload_Indiv_Player=$A19)*(Upload_Indiv_Date=J$2)*(Upload_Indiv_Gross))=0,"",SUMPRODUCT((Upload_Indiv_Player=$A19)*(Upload_Indiv_Date=J$2)*(Upload_Indiv_Gross)))</f>
        <v/>
      </c>
      <c r="K19" s="3" cm="1">
        <f t="array" ref="K19">IF(SUMPRODUCT((Upload_Indiv_Player=$A19)*(Upload_Indiv_Date=K$2)*(Upload_Indiv_Gross))=0,"",SUMPRODUCT((Upload_Indiv_Player=$A19)*(Upload_Indiv_Date=K$2)*(Upload_Indiv_Gross)))</f>
        <v>38</v>
      </c>
      <c r="L19" s="3" cm="1">
        <f t="array" ref="L19">IF(SUMPRODUCT((Upload_Indiv_Player=$A19)*(Upload_Indiv_Date=L$2)*(Upload_Indiv_Gross))=0,"",SUMPRODUCT((Upload_Indiv_Player=$A19)*(Upload_Indiv_Date=L$2)*(Upload_Indiv_Gross)))</f>
        <v>38</v>
      </c>
      <c r="M19" s="3" cm="1">
        <f t="array" ref="M19">IF(SUMPRODUCT((Upload_Indiv_Player=$A19)*(Upload_Indiv_Date=M$2)*(Upload_Indiv_Gross))=0,"",SUMPRODUCT((Upload_Indiv_Player=$A19)*(Upload_Indiv_Date=M$2)*(Upload_Indiv_Gross)))</f>
        <v>38</v>
      </c>
      <c r="N19" s="3" t="str" cm="1">
        <f t="array" ref="N19">IF(SUMPRODUCT((Upload_Indiv_Player=$A19)*(Upload_Indiv_Date=N$2)*(Upload_Indiv_Gross))=0,"",SUMPRODUCT((Upload_Indiv_Player=$A19)*(Upload_Indiv_Date=N$2)*(Upload_Indiv_Gross)))</f>
        <v/>
      </c>
      <c r="O19" s="3" cm="1">
        <f t="array" ref="O19">IF(SUMPRODUCT((Upload_Indiv_Player=$A19)*(Upload_Indiv_Date=O$2)*(Upload_Indiv_Gross))=0,"",SUMPRODUCT((Upload_Indiv_Player=$A19)*(Upload_Indiv_Date=O$2)*(Upload_Indiv_Gross)))</f>
        <v>38</v>
      </c>
      <c r="P19" s="3" cm="1">
        <f t="array" ref="P19">IF(SUMPRODUCT((Upload_Indiv_Player=$A19)*(Upload_Indiv_Date=P$2)*(Upload_Indiv_Gross))=0,"",SUMPRODUCT((Upload_Indiv_Player=$A19)*(Upload_Indiv_Date=P$2)*(Upload_Indiv_Gross)))</f>
        <v>38</v>
      </c>
      <c r="Q19" s="2" cm="1">
        <f t="array" ref="Q19">IF(SUMPRODUCT((Upload_Indiv_Player=$A19)*(Upload_Indiv_Date=Q$2)*(Upload_Indiv_Gross))=0,"",SUMPRODUCT((Upload_Indiv_Player=$A19)*(Upload_Indiv_Date=Q$2)*(Upload_Indiv_Gross)))</f>
        <v>33</v>
      </c>
      <c r="R19" s="2" cm="1">
        <f t="array" ref="R19">IF(SUMPRODUCT((Upload_Indiv_Player=$A19)*(Upload_Indiv_Date=R$2)*(Upload_Indiv_Gross))=0,"",SUMPRODUCT((Upload_Indiv_Player=$A19)*(Upload_Indiv_Date=R$2)*(Upload_Indiv_Gross)))</f>
        <v>38</v>
      </c>
      <c r="S19" s="2" cm="1">
        <f t="array" ref="S19">IF(SUMPRODUCT((Upload_Indiv_Player=$A19)*(Upload_Indiv_Date=S$2)*(Upload_Indiv_Gross))=0,"",SUMPRODUCT((Upload_Indiv_Player=$A19)*(Upload_Indiv_Date=S$2)*(Upload_Indiv_Gross)))</f>
        <v>38</v>
      </c>
      <c r="T19" s="2" cm="1">
        <f t="array" ref="T19">IF(SUMPRODUCT((Upload_Indiv_Player=$A19)*(Upload_Indiv_Date=T$2)*(Upload_Indiv_Gross))=0,"",SUMPRODUCT((Upload_Indiv_Player=$A19)*(Upload_Indiv_Date=T$2)*(Upload_Indiv_Gross)))</f>
        <v>228</v>
      </c>
      <c r="U19" s="2" t="str" cm="1">
        <f t="array" ref="U19">IF(SUMPRODUCT((Upload_Indiv_Player=$A19)*(Upload_Indiv_Date=U$2)*(Upload_Indiv_Gross))=0,"",SUMPRODUCT((Upload_Indiv_Player=$A19)*(Upload_Indiv_Date=U$2)*(Upload_Indiv_Gross)))</f>
        <v/>
      </c>
      <c r="V19" s="273">
        <v>14</v>
      </c>
      <c r="W19" s="273"/>
      <c r="X19" s="273"/>
      <c r="Y19" s="277"/>
      <c r="Z19" s="277"/>
      <c r="AA19" s="277"/>
    </row>
    <row r="20" spans="1:27" x14ac:dyDescent="0.25">
      <c r="A20" s="304"/>
      <c r="B20" s="2" t="s">
        <v>171</v>
      </c>
      <c r="C20" s="2" cm="1">
        <f t="array" ref="C20">IF(SUMPRODUCT((Upload_Indiv_Player=$A19)*(Upload_Indiv_Date=C$2)*(Upload_Indiv_Net))=0,"",SUMPRODUCT((Upload_Indiv_Player=$A19)*(Upload_Indiv_Date=C$2)*(Upload_Indiv_Net)))</f>
        <v>38</v>
      </c>
      <c r="D20" s="2" cm="1">
        <f t="array" ref="D20">IF(SUMPRODUCT((Upload_Indiv_Player=$A19)*(Upload_Indiv_Date=D$2)*(Upload_Indiv_Net))=0,"",SUMPRODUCT((Upload_Indiv_Player=$A19)*(Upload_Indiv_Date=D$2)*(Upload_Indiv_Net)))</f>
        <v>38</v>
      </c>
      <c r="E20" s="2" cm="1">
        <f t="array" ref="E20">IF(SUMPRODUCT((Upload_Indiv_Player=$A19)*(Upload_Indiv_Date=E$2)*(Upload_Indiv_Net))=0,"",SUMPRODUCT((Upload_Indiv_Player=$A19)*(Upload_Indiv_Date=E$2)*(Upload_Indiv_Net)))</f>
        <v>38</v>
      </c>
      <c r="F20" s="2" cm="1">
        <f t="array" ref="F20">IF(SUMPRODUCT((Upload_Indiv_Player=$A19)*(Upload_Indiv_Date=F$2)*(Upload_Indiv_Net))=0,"",SUMPRODUCT((Upload_Indiv_Player=$A19)*(Upload_Indiv_Date=F$2)*(Upload_Indiv_Net)))</f>
        <v>38</v>
      </c>
      <c r="G20" s="2" cm="1">
        <f t="array" ref="G20">IF(SUMPRODUCT((Upload_Indiv_Player=$A19)*(Upload_Indiv_Date=G$2)*(Upload_Indiv_Net))=0,"",SUMPRODUCT((Upload_Indiv_Player=$A19)*(Upload_Indiv_Date=G$2)*(Upload_Indiv_Net)))</f>
        <v>38</v>
      </c>
      <c r="H20" s="2" cm="1">
        <f t="array" ref="H20">IF(SUMPRODUCT((Upload_Indiv_Player=$A19)*(Upload_Indiv_Date=H$2)*(Upload_Indiv_Net))=0,"",SUMPRODUCT((Upload_Indiv_Player=$A19)*(Upload_Indiv_Date=H$2)*(Upload_Indiv_Net)))</f>
        <v>38</v>
      </c>
      <c r="I20" s="2" cm="1">
        <f t="array" ref="I20">IF(SUMPRODUCT((Upload_Indiv_Player=$A19)*(Upload_Indiv_Date=I$2)*(Upload_Indiv_Net))=0,"",SUMPRODUCT((Upload_Indiv_Player=$A19)*(Upload_Indiv_Date=I$2)*(Upload_Indiv_Net)))</f>
        <v>38</v>
      </c>
      <c r="J20" s="2" t="str" cm="1">
        <f t="array" ref="J20">IF(SUMPRODUCT((Upload_Indiv_Player=$A19)*(Upload_Indiv_Date=J$2)*(Upload_Indiv_Net))=0,"",SUMPRODUCT((Upload_Indiv_Player=$A19)*(Upload_Indiv_Date=J$2)*(Upload_Indiv_Net)))</f>
        <v/>
      </c>
      <c r="K20" s="2" cm="1">
        <f t="array" ref="K20">IF(SUMPRODUCT((Upload_Indiv_Player=$A19)*(Upload_Indiv_Date=K$2)*(Upload_Indiv_Net))=0,"",SUMPRODUCT((Upload_Indiv_Player=$A19)*(Upload_Indiv_Date=K$2)*(Upload_Indiv_Net)))</f>
        <v>38</v>
      </c>
      <c r="L20" s="2" cm="1">
        <f t="array" ref="L20">IF(SUMPRODUCT((Upload_Indiv_Player=$A19)*(Upload_Indiv_Date=L$2)*(Upload_Indiv_Net))=0,"",SUMPRODUCT((Upload_Indiv_Player=$A19)*(Upload_Indiv_Date=L$2)*(Upload_Indiv_Net)))</f>
        <v>38</v>
      </c>
      <c r="M20" s="2" cm="1">
        <f t="array" ref="M20">IF(SUMPRODUCT((Upload_Indiv_Player=$A19)*(Upload_Indiv_Date=M$2)*(Upload_Indiv_Net))=0,"",SUMPRODUCT((Upload_Indiv_Player=$A19)*(Upload_Indiv_Date=M$2)*(Upload_Indiv_Net)))</f>
        <v>38</v>
      </c>
      <c r="N20" s="2" t="str" cm="1">
        <f t="array" ref="N20">IF(SUMPRODUCT((Upload_Indiv_Player=$A19)*(Upload_Indiv_Date=N$2)*(Upload_Indiv_Net))=0,"",SUMPRODUCT((Upload_Indiv_Player=$A19)*(Upload_Indiv_Date=N$2)*(Upload_Indiv_Net)))</f>
        <v/>
      </c>
      <c r="O20" s="2" cm="1">
        <f t="array" ref="O20">IF(SUMPRODUCT((Upload_Indiv_Player=$A19)*(Upload_Indiv_Date=O$2)*(Upload_Indiv_Net))=0,"",SUMPRODUCT((Upload_Indiv_Player=$A19)*(Upload_Indiv_Date=O$2)*(Upload_Indiv_Net)))</f>
        <v>38</v>
      </c>
      <c r="P20" s="2" cm="1">
        <f t="array" ref="P20">IF(SUMPRODUCT((Upload_Indiv_Player=$A19)*(Upload_Indiv_Date=P$2)*(Upload_Indiv_Net))=0,"",SUMPRODUCT((Upload_Indiv_Player=$A19)*(Upload_Indiv_Date=P$2)*(Upload_Indiv_Net)))</f>
        <v>38</v>
      </c>
      <c r="Q20" s="2" cm="1">
        <f t="array" ref="Q20">IF(SUMPRODUCT((Upload_Indiv_Player=$A19)*(Upload_Indiv_Date=Q$2)*(Upload_Indiv_Net))=0,"",SUMPRODUCT((Upload_Indiv_Player=$A19)*(Upload_Indiv_Date=Q$2)*(Upload_Indiv_Net)))</f>
        <v>33</v>
      </c>
      <c r="R20" s="2" cm="1">
        <f t="array" ref="R20">IF(SUMPRODUCT((Upload_Indiv_Player=$A19)*(Upload_Indiv_Date=R$2)*(Upload_Indiv_Net))=0,"",SUMPRODUCT((Upload_Indiv_Player=$A19)*(Upload_Indiv_Date=R$2)*(Upload_Indiv_Net)))</f>
        <v>38</v>
      </c>
      <c r="S20" s="2" cm="1">
        <f t="array" ref="S20">IF(SUMPRODUCT((Upload_Indiv_Player=$A19)*(Upload_Indiv_Date=S$2)*(Upload_Indiv_Net))=0,"",SUMPRODUCT((Upload_Indiv_Player=$A19)*(Upload_Indiv_Date=S$2)*(Upload_Indiv_Net)))</f>
        <v>38</v>
      </c>
      <c r="T20" s="2" cm="1">
        <f t="array" ref="T20">IF(SUMPRODUCT((Upload_Indiv_Player=$A19)*(Upload_Indiv_Date=T$2)*(Upload_Indiv_Net))=0,"",SUMPRODUCT((Upload_Indiv_Player=$A19)*(Upload_Indiv_Date=T$2)*(Upload_Indiv_Net)))</f>
        <v>228</v>
      </c>
      <c r="U20" s="2" t="str" cm="1">
        <f t="array" ref="U20">IF(SUMPRODUCT((Upload_Indiv_Player=$A19)*(Upload_Indiv_Date=U$2)*(Upload_Indiv_Net))=0,"",SUMPRODUCT((Upload_Indiv_Player=$A19)*(Upload_Indiv_Date=U$2)*(Upload_Indiv_Net)))</f>
        <v/>
      </c>
      <c r="V20" s="279">
        <v>40</v>
      </c>
      <c r="W20" s="276"/>
      <c r="X20" s="276"/>
      <c r="Y20" s="277"/>
      <c r="Z20" s="277"/>
      <c r="AA20" s="277"/>
    </row>
    <row r="21" spans="1:27" x14ac:dyDescent="0.25">
      <c r="A21" s="305"/>
      <c r="B21" s="2" t="s">
        <v>173</v>
      </c>
      <c r="C21" s="2" cm="1">
        <f t="array" ref="C21">IF(SUMPRODUCT((Upload_Indiv_Player=$A19)*(Upload_Indiv_Date=C$2)*(Upload_Indiv_PointsTot))=0,"",SUMPRODUCT((Upload_Indiv_Player=$A19)*(Upload_Indiv_Date=C$2)*(Upload_Indiv_PointsTot)))</f>
        <v>14</v>
      </c>
      <c r="D21" s="2" cm="1">
        <f t="array" ref="D21">IF(SUMPRODUCT((Upload_Indiv_Player=$A19)*(Upload_Indiv_Date=D$2)*(Upload_Indiv_PointsTot))=0,"",SUMPRODUCT((Upload_Indiv_Player=$A19)*(Upload_Indiv_Date=D$2)*(Upload_Indiv_PointsTot)))</f>
        <v>11</v>
      </c>
      <c r="E21" s="2" cm="1">
        <f t="array" ref="E21">IF(SUMPRODUCT((Upload_Indiv_Player=$A19)*(Upload_Indiv_Date=E$2)*(Upload_Indiv_PointsTot))=0,"",SUMPRODUCT((Upload_Indiv_Player=$A19)*(Upload_Indiv_Date=E$2)*(Upload_Indiv_PointsTot)))</f>
        <v>16</v>
      </c>
      <c r="F21" s="2" cm="1">
        <f t="array" ref="F21">IF(SUMPRODUCT((Upload_Indiv_Player=$A19)*(Upload_Indiv_Date=F$2)*(Upload_Indiv_PointsTot))=0,"",SUMPRODUCT((Upload_Indiv_Player=$A19)*(Upload_Indiv_Date=F$2)*(Upload_Indiv_PointsTot)))</f>
        <v>10</v>
      </c>
      <c r="G21" s="2" cm="1">
        <f t="array" ref="G21">IF(SUMPRODUCT((Upload_Indiv_Player=$A19)*(Upload_Indiv_Date=G$2)*(Upload_Indiv_PointsTot))=0,"",SUMPRODUCT((Upload_Indiv_Player=$A19)*(Upload_Indiv_Date=G$2)*(Upload_Indiv_PointsTot)))</f>
        <v>11</v>
      </c>
      <c r="H21" s="2" cm="1">
        <f t="array" ref="H21">IF(SUMPRODUCT((Upload_Indiv_Player=$A19)*(Upload_Indiv_Date=H$2)*(Upload_Indiv_PointsTot))=0,"",SUMPRODUCT((Upload_Indiv_Player=$A19)*(Upload_Indiv_Date=H$2)*(Upload_Indiv_PointsTot)))</f>
        <v>9</v>
      </c>
      <c r="I21" s="2" cm="1">
        <f t="array" ref="I21">IF(SUMPRODUCT((Upload_Indiv_Player=$A19)*(Upload_Indiv_Date=I$2)*(Upload_Indiv_PointsTot))=0,"",SUMPRODUCT((Upload_Indiv_Player=$A19)*(Upload_Indiv_Date=I$2)*(Upload_Indiv_PointsTot)))</f>
        <v>13</v>
      </c>
      <c r="J21" s="2" t="str" cm="1">
        <f t="array" ref="J21">IF(SUMPRODUCT((Upload_Indiv_Player=$A19)*(Upload_Indiv_Date=J$2)*(Upload_Indiv_PointsTot))=0,"",SUMPRODUCT((Upload_Indiv_Player=$A19)*(Upload_Indiv_Date=J$2)*(Upload_Indiv_PointsTot)))</f>
        <v/>
      </c>
      <c r="K21" s="2" cm="1">
        <f t="array" ref="K21">IF(SUMPRODUCT((Upload_Indiv_Player=$A19)*(Upload_Indiv_Date=K$2)*(Upload_Indiv_PointsTot))=0,"",SUMPRODUCT((Upload_Indiv_Player=$A19)*(Upload_Indiv_Date=K$2)*(Upload_Indiv_PointsTot)))</f>
        <v>4</v>
      </c>
      <c r="L21" s="2" cm="1">
        <f t="array" ref="L21">IF(SUMPRODUCT((Upload_Indiv_Player=$A19)*(Upload_Indiv_Date=L$2)*(Upload_Indiv_PointsTot))=0,"",SUMPRODUCT((Upload_Indiv_Player=$A19)*(Upload_Indiv_Date=L$2)*(Upload_Indiv_PointsTot)))</f>
        <v>9</v>
      </c>
      <c r="M21" s="2" cm="1">
        <f t="array" ref="M21">IF(SUMPRODUCT((Upload_Indiv_Player=$A19)*(Upload_Indiv_Date=M$2)*(Upload_Indiv_PointsTot))=0,"",SUMPRODUCT((Upload_Indiv_Player=$A19)*(Upload_Indiv_Date=M$2)*(Upload_Indiv_PointsTot)))</f>
        <v>15</v>
      </c>
      <c r="N21" s="2" t="str" cm="1">
        <f t="array" ref="N21">IF(SUMPRODUCT((Upload_Indiv_Player=$A19)*(Upload_Indiv_Date=N$2)*(Upload_Indiv_PointsTot))=0,"",SUMPRODUCT((Upload_Indiv_Player=$A19)*(Upload_Indiv_Date=N$2)*(Upload_Indiv_PointsTot)))</f>
        <v/>
      </c>
      <c r="O21" s="2" cm="1">
        <f t="array" ref="O21">IF(SUMPRODUCT((Upload_Indiv_Player=$A19)*(Upload_Indiv_Date=O$2)*(Upload_Indiv_PointsTot))=0,"",SUMPRODUCT((Upload_Indiv_Player=$A19)*(Upload_Indiv_Date=O$2)*(Upload_Indiv_PointsTot)))</f>
        <v>7</v>
      </c>
      <c r="P21" s="2" cm="1">
        <f t="array" ref="P21">IF(SUMPRODUCT((Upload_Indiv_Player=$A19)*(Upload_Indiv_Date=P$2)*(Upload_Indiv_PointsTot))=0,"",SUMPRODUCT((Upload_Indiv_Player=$A19)*(Upload_Indiv_Date=P$2)*(Upload_Indiv_PointsTot)))</f>
        <v>12</v>
      </c>
      <c r="Q21" s="2" cm="1">
        <f t="array" ref="Q21">IF(SUMPRODUCT((Upload_Indiv_Player=$A19)*(Upload_Indiv_Date=Q$2)*(Upload_Indiv_PointsTot))=0,"",SUMPRODUCT((Upload_Indiv_Player=$A19)*(Upload_Indiv_Date=Q$2)*(Upload_Indiv_PointsTot)))</f>
        <v>6</v>
      </c>
      <c r="R21" s="2" cm="1">
        <f t="array" ref="R21">IF(SUMPRODUCT((Upload_Indiv_Player=$A19)*(Upload_Indiv_Date=R$2)*(Upload_Indiv_PointsTot))=0,"",SUMPRODUCT((Upload_Indiv_Player=$A19)*(Upload_Indiv_Date=R$2)*(Upload_Indiv_PointsTot)))</f>
        <v>9</v>
      </c>
      <c r="S21" s="2" cm="1">
        <f t="array" ref="S21">IF(SUMPRODUCT((Upload_Indiv_Player=$A19)*(Upload_Indiv_Date=S$2)*(Upload_Indiv_PointsTot))=0,"",SUMPRODUCT((Upload_Indiv_Player=$A19)*(Upload_Indiv_Date=S$2)*(Upload_Indiv_PointsTot)))</f>
        <v>6</v>
      </c>
      <c r="T21" s="2" cm="1">
        <f t="array" ref="T21">IF(SUMPRODUCT((Upload_Indiv_Player=$A19)*(Upload_Indiv_Date=T$2)*(Upload_Indiv_PointsTot))=0,"",SUMPRODUCT((Upload_Indiv_Player=$A19)*(Upload_Indiv_Date=T$2)*(Upload_Indiv_PointsTot)))</f>
        <v>56</v>
      </c>
      <c r="U21" s="2" t="str" cm="1">
        <f t="array" ref="U21">IF(SUMPRODUCT((Upload_Indiv_Player=$A19)*(Upload_Indiv_Date=U$2)*(Upload_Indiv_PointsTot))=0,"",SUMPRODUCT((Upload_Indiv_Player=$A19)*(Upload_Indiv_Date=U$2)*(Upload_Indiv_PointsTot)))</f>
        <v/>
      </c>
      <c r="V21" s="276"/>
      <c r="W21" s="276"/>
      <c r="X21" s="276"/>
      <c r="Y21" s="277"/>
      <c r="Z21" s="277"/>
      <c r="AA21" s="277"/>
    </row>
    <row r="22" spans="1:27" x14ac:dyDescent="0.25">
      <c r="A22" s="306"/>
      <c r="B22" s="8" t="s">
        <v>174</v>
      </c>
      <c r="C22" s="2" t="str" cm="1">
        <f t="array" ref="C22">IF(SUMPRODUCT((Upload_Indiv_Player=$A19)*(Upload_Indiv_Date=C$2)*(Upload_Indiv_Tot_Birds))=0,"",SUMPRODUCT((Upload_Indiv_Player=$A19)*(Upload_Indiv_Date=C$2)*(Upload_Indiv_Tot_Birds)))</f>
        <v/>
      </c>
      <c r="D22" s="2" t="str" cm="1">
        <f t="array" ref="D22">IF(SUMPRODUCT((Upload_Indiv_Player=$A19)*(Upload_Indiv_Date=D$2)*(Upload_Indiv_Tot_Birds))=0,"",SUMPRODUCT((Upload_Indiv_Player=$A19)*(Upload_Indiv_Date=D$2)*(Upload_Indiv_Tot_Birds)))</f>
        <v/>
      </c>
      <c r="E22" s="2" t="str" cm="1">
        <f t="array" ref="E22">IF(SUMPRODUCT((Upload_Indiv_Player=$A19)*(Upload_Indiv_Date=E$2)*(Upload_Indiv_Tot_Birds))=0,"",SUMPRODUCT((Upload_Indiv_Player=$A19)*(Upload_Indiv_Date=E$2)*(Upload_Indiv_Tot_Birds)))</f>
        <v/>
      </c>
      <c r="F22" s="2" t="str" cm="1">
        <f t="array" ref="F22">IF(SUMPRODUCT((Upload_Indiv_Player=$A19)*(Upload_Indiv_Date=F$2)*(Upload_Indiv_Tot_Birds))=0,"",SUMPRODUCT((Upload_Indiv_Player=$A19)*(Upload_Indiv_Date=F$2)*(Upload_Indiv_Tot_Birds)))</f>
        <v/>
      </c>
      <c r="G22" s="2" t="str" cm="1">
        <f t="array" ref="G22">IF(SUMPRODUCT((Upload_Indiv_Player=$A19)*(Upload_Indiv_Date=G$2)*(Upload_Indiv_Tot_Birds))=0,"",SUMPRODUCT((Upload_Indiv_Player=$A19)*(Upload_Indiv_Date=G$2)*(Upload_Indiv_Tot_Birds)))</f>
        <v/>
      </c>
      <c r="H22" s="2" t="str" cm="1">
        <f t="array" ref="H22">IF(SUMPRODUCT((Upload_Indiv_Player=$A19)*(Upload_Indiv_Date=H$2)*(Upload_Indiv_Tot_Birds))=0,"",SUMPRODUCT((Upload_Indiv_Player=$A19)*(Upload_Indiv_Date=H$2)*(Upload_Indiv_Tot_Birds)))</f>
        <v/>
      </c>
      <c r="I22" s="2" t="str" cm="1">
        <f t="array" ref="I22">IF(SUMPRODUCT((Upload_Indiv_Player=$A19)*(Upload_Indiv_Date=I$2)*(Upload_Indiv_Tot_Birds))=0,"",SUMPRODUCT((Upload_Indiv_Player=$A19)*(Upload_Indiv_Date=I$2)*(Upload_Indiv_Tot_Birds)))</f>
        <v/>
      </c>
      <c r="J22" s="2" t="str" cm="1">
        <f t="array" ref="J22">IF(SUMPRODUCT((Upload_Indiv_Player=$A19)*(Upload_Indiv_Date=J$2)*(Upload_Indiv_Tot_Birds))=0,"",SUMPRODUCT((Upload_Indiv_Player=$A19)*(Upload_Indiv_Date=J$2)*(Upload_Indiv_Tot_Birds)))</f>
        <v/>
      </c>
      <c r="K22" s="2" t="str" cm="1">
        <f t="array" ref="K22">IF(SUMPRODUCT((Upload_Indiv_Player=$A19)*(Upload_Indiv_Date=K$2)*(Upload_Indiv_Tot_Birds))=0,"",SUMPRODUCT((Upload_Indiv_Player=$A19)*(Upload_Indiv_Date=K$2)*(Upload_Indiv_Tot_Birds)))</f>
        <v/>
      </c>
      <c r="L22" s="2" t="str" cm="1">
        <f t="array" ref="L22">IF(SUMPRODUCT((Upload_Indiv_Player=$A19)*(Upload_Indiv_Date=L$2)*(Upload_Indiv_Tot_Birds))=0,"",SUMPRODUCT((Upload_Indiv_Player=$A19)*(Upload_Indiv_Date=L$2)*(Upload_Indiv_Tot_Birds)))</f>
        <v/>
      </c>
      <c r="M22" s="2" t="str" cm="1">
        <f t="array" ref="M22">IF(SUMPRODUCT((Upload_Indiv_Player=$A19)*(Upload_Indiv_Date=M$2)*(Upload_Indiv_Tot_Birds))=0,"",SUMPRODUCT((Upload_Indiv_Player=$A19)*(Upload_Indiv_Date=M$2)*(Upload_Indiv_Tot_Birds)))</f>
        <v/>
      </c>
      <c r="N22" s="2" t="str" cm="1">
        <f t="array" ref="N22">IF(SUMPRODUCT((Upload_Indiv_Player=$A19)*(Upload_Indiv_Date=N$2)*(Upload_Indiv_Tot_Birds))=0,"",SUMPRODUCT((Upload_Indiv_Player=$A19)*(Upload_Indiv_Date=N$2)*(Upload_Indiv_Tot_Birds)))</f>
        <v/>
      </c>
      <c r="O22" s="2" t="str" cm="1">
        <f t="array" ref="O22">IF(SUMPRODUCT((Upload_Indiv_Player=$A19)*(Upload_Indiv_Date=O$2)*(Upload_Indiv_Tot_Birds))=0,"",SUMPRODUCT((Upload_Indiv_Player=$A19)*(Upload_Indiv_Date=O$2)*(Upload_Indiv_Tot_Birds)))</f>
        <v/>
      </c>
      <c r="P22" s="2" t="str" cm="1">
        <f t="array" ref="P22">IF(SUMPRODUCT((Upload_Indiv_Player=$A19)*(Upload_Indiv_Date=P$2)*(Upload_Indiv_Tot_Birds))=0,"",SUMPRODUCT((Upload_Indiv_Player=$A19)*(Upload_Indiv_Date=P$2)*(Upload_Indiv_Tot_Birds)))</f>
        <v/>
      </c>
      <c r="Q22" s="2" t="str" cm="1">
        <f t="array" ref="Q22">IF(SUMPRODUCT((Upload_Indiv_Player=$A19)*(Upload_Indiv_Date=Q$2)*(Upload_Indiv_Tot_Birds))=0,"",SUMPRODUCT((Upload_Indiv_Player=$A19)*(Upload_Indiv_Date=Q$2)*(Upload_Indiv_Tot_Birds)))</f>
        <v/>
      </c>
      <c r="R22" s="2" t="str" cm="1">
        <f t="array" ref="R22">IF(SUMPRODUCT((Upload_Indiv_Player=$A19)*(Upload_Indiv_Date=R$2)*(Upload_Indiv_Tot_Birds))=0,"",SUMPRODUCT((Upload_Indiv_Player=$A19)*(Upload_Indiv_Date=R$2)*(Upload_Indiv_Tot_Birds)))</f>
        <v/>
      </c>
      <c r="S22" s="2" t="str" cm="1">
        <f t="array" ref="S22">IF(SUMPRODUCT((Upload_Indiv_Player=$A19)*(Upload_Indiv_Date=S$2)*(Upload_Indiv_Tot_Birds))=0,"",SUMPRODUCT((Upload_Indiv_Player=$A19)*(Upload_Indiv_Date=S$2)*(Upload_Indiv_Tot_Birds)))</f>
        <v/>
      </c>
      <c r="T22" s="2" t="str" cm="1">
        <f t="array" ref="T22">IF(SUMPRODUCT((Upload_Indiv_Player=$A19)*(Upload_Indiv_Date=T$2)*(Upload_Indiv_Tot_Birds))=0,"",SUMPRODUCT((Upload_Indiv_Player=$A19)*(Upload_Indiv_Date=T$2)*(Upload_Indiv_Tot_Birds)))</f>
        <v/>
      </c>
      <c r="U22" s="2" t="str" cm="1">
        <f t="array" ref="U22">IF(SUMPRODUCT((Upload_Indiv_Player=$A19)*(Upload_Indiv_Date=U$2)*(Upload_Indiv_Tot_Birds))=0,"",SUMPRODUCT((Upload_Indiv_Player=$A19)*(Upload_Indiv_Date=U$2)*(Upload_Indiv_Tot_Birds)))</f>
        <v/>
      </c>
      <c r="V22" s="276"/>
      <c r="W22" s="276"/>
      <c r="X22" s="276"/>
      <c r="Y22" s="277"/>
      <c r="Z22" s="277"/>
      <c r="AA22" s="277"/>
    </row>
    <row r="23" spans="1:27" x14ac:dyDescent="0.25">
      <c r="A23" s="306"/>
      <c r="B23" s="8" t="s">
        <v>175</v>
      </c>
      <c r="C23" s="2" t="str" cm="1">
        <f t="array" ref="C23">IF(SUMPRODUCT((Upload_Indiv_Player=$A19)*(Upload_Indiv_Date=C$2)*(Upload_Indiv_Tot_Eagles))=0,"",SUMPRODUCT((Upload_Indiv_Player=$A19)*(Upload_Indiv_Date=C$2)*(Upload_Indiv_Tot_Eagles)))</f>
        <v/>
      </c>
      <c r="D23" s="2" t="str" cm="1">
        <f t="array" ref="D23">IF(SUMPRODUCT((Upload_Indiv_Player=$A19)*(Upload_Indiv_Date=D$2)*(Upload_Indiv_Tot_Eagles))=0,"",SUMPRODUCT((Upload_Indiv_Player=$A19)*(Upload_Indiv_Date=D$2)*(Upload_Indiv_Tot_Eagles)))</f>
        <v/>
      </c>
      <c r="E23" s="2" t="str" cm="1">
        <f t="array" ref="E23">IF(SUMPRODUCT((Upload_Indiv_Player=$A19)*(Upload_Indiv_Date=E$2)*(Upload_Indiv_Tot_Eagles))=0,"",SUMPRODUCT((Upload_Indiv_Player=$A19)*(Upload_Indiv_Date=E$2)*(Upload_Indiv_Tot_Eagles)))</f>
        <v/>
      </c>
      <c r="F23" s="2" t="str" cm="1">
        <f t="array" ref="F23">IF(SUMPRODUCT((Upload_Indiv_Player=$A19)*(Upload_Indiv_Date=F$2)*(Upload_Indiv_Tot_Eagles))=0,"",SUMPRODUCT((Upload_Indiv_Player=$A19)*(Upload_Indiv_Date=F$2)*(Upload_Indiv_Tot_Eagles)))</f>
        <v/>
      </c>
      <c r="G23" s="2" t="str" cm="1">
        <f t="array" ref="G23">IF(SUMPRODUCT((Upload_Indiv_Player=$A19)*(Upload_Indiv_Date=G$2)*(Upload_Indiv_Tot_Eagles))=0,"",SUMPRODUCT((Upload_Indiv_Player=$A19)*(Upload_Indiv_Date=G$2)*(Upload_Indiv_Tot_Eagles)))</f>
        <v/>
      </c>
      <c r="H23" s="2" t="str" cm="1">
        <f t="array" ref="H23">IF(SUMPRODUCT((Upload_Indiv_Player=$A19)*(Upload_Indiv_Date=H$2)*(Upload_Indiv_Tot_Eagles))=0,"",SUMPRODUCT((Upload_Indiv_Player=$A19)*(Upload_Indiv_Date=H$2)*(Upload_Indiv_Tot_Eagles)))</f>
        <v/>
      </c>
      <c r="I23" s="2" t="str" cm="1">
        <f t="array" ref="I23">IF(SUMPRODUCT((Upload_Indiv_Player=$A19)*(Upload_Indiv_Date=I$2)*(Upload_Indiv_Tot_Eagles))=0,"",SUMPRODUCT((Upload_Indiv_Player=$A19)*(Upload_Indiv_Date=I$2)*(Upload_Indiv_Tot_Eagles)))</f>
        <v/>
      </c>
      <c r="J23" s="2" t="str" cm="1">
        <f t="array" ref="J23">IF(SUMPRODUCT((Upload_Indiv_Player=$A19)*(Upload_Indiv_Date=J$2)*(Upload_Indiv_Tot_Eagles))=0,"",SUMPRODUCT((Upload_Indiv_Player=$A19)*(Upload_Indiv_Date=J$2)*(Upload_Indiv_Tot_Eagles)))</f>
        <v/>
      </c>
      <c r="K23" s="2" t="str" cm="1">
        <f t="array" ref="K23">IF(SUMPRODUCT((Upload_Indiv_Player=$A19)*(Upload_Indiv_Date=K$2)*(Upload_Indiv_Tot_Eagles))=0,"",SUMPRODUCT((Upload_Indiv_Player=$A19)*(Upload_Indiv_Date=K$2)*(Upload_Indiv_Tot_Eagles)))</f>
        <v/>
      </c>
      <c r="L23" s="2" t="str" cm="1">
        <f t="array" ref="L23">IF(SUMPRODUCT((Upload_Indiv_Player=$A19)*(Upload_Indiv_Date=L$2)*(Upload_Indiv_Tot_Eagles))=0,"",SUMPRODUCT((Upload_Indiv_Player=$A19)*(Upload_Indiv_Date=L$2)*(Upload_Indiv_Tot_Eagles)))</f>
        <v/>
      </c>
      <c r="M23" s="2" t="str" cm="1">
        <f t="array" ref="M23">IF(SUMPRODUCT((Upload_Indiv_Player=$A19)*(Upload_Indiv_Date=M$2)*(Upload_Indiv_Tot_Eagles))=0,"",SUMPRODUCT((Upload_Indiv_Player=$A19)*(Upload_Indiv_Date=M$2)*(Upload_Indiv_Tot_Eagles)))</f>
        <v/>
      </c>
      <c r="N23" s="2" t="str" cm="1">
        <f t="array" ref="N23">IF(SUMPRODUCT((Upload_Indiv_Player=$A19)*(Upload_Indiv_Date=N$2)*(Upload_Indiv_Tot_Eagles))=0,"",SUMPRODUCT((Upload_Indiv_Player=$A19)*(Upload_Indiv_Date=N$2)*(Upload_Indiv_Tot_Eagles)))</f>
        <v/>
      </c>
      <c r="O23" s="2" t="str" cm="1">
        <f t="array" ref="O23">IF(SUMPRODUCT((Upload_Indiv_Player=$A19)*(Upload_Indiv_Date=O$2)*(Upload_Indiv_Tot_Eagles))=0,"",SUMPRODUCT((Upload_Indiv_Player=$A19)*(Upload_Indiv_Date=O$2)*(Upload_Indiv_Tot_Eagles)))</f>
        <v/>
      </c>
      <c r="P23" s="2" t="str" cm="1">
        <f t="array" ref="P23">IF(SUMPRODUCT((Upload_Indiv_Player=$A19)*(Upload_Indiv_Date=P$2)*(Upload_Indiv_Tot_Eagles))=0,"",SUMPRODUCT((Upload_Indiv_Player=$A19)*(Upload_Indiv_Date=P$2)*(Upload_Indiv_Tot_Eagles)))</f>
        <v/>
      </c>
      <c r="Q23" s="2" t="str" cm="1">
        <f t="array" ref="Q23">IF(SUMPRODUCT((Upload_Indiv_Player=$A19)*(Upload_Indiv_Date=Q$2)*(Upload_Indiv_Tot_Eagles))=0,"",SUMPRODUCT((Upload_Indiv_Player=$A19)*(Upload_Indiv_Date=Q$2)*(Upload_Indiv_Tot_Eagles)))</f>
        <v/>
      </c>
      <c r="R23" s="2" t="str" cm="1">
        <f t="array" ref="R23">IF(SUMPRODUCT((Upload_Indiv_Player=$A19)*(Upload_Indiv_Date=R$2)*(Upload_Indiv_Tot_Eagles))=0,"",SUMPRODUCT((Upload_Indiv_Player=$A19)*(Upload_Indiv_Date=R$2)*(Upload_Indiv_Tot_Eagles)))</f>
        <v/>
      </c>
      <c r="S23" s="2" t="str" cm="1">
        <f t="array" ref="S23">IF(SUMPRODUCT((Upload_Indiv_Player=$A19)*(Upload_Indiv_Date=S$2)*(Upload_Indiv_Tot_Eagles))=0,"",SUMPRODUCT((Upload_Indiv_Player=$A19)*(Upload_Indiv_Date=S$2)*(Upload_Indiv_Tot_Eagles)))</f>
        <v/>
      </c>
      <c r="T23" s="2" t="str" cm="1">
        <f t="array" ref="T23">IF(SUMPRODUCT((Upload_Indiv_Player=$A19)*(Upload_Indiv_Date=T$2)*(Upload_Indiv_Tot_Eagles))=0,"",SUMPRODUCT((Upload_Indiv_Player=$A19)*(Upload_Indiv_Date=T$2)*(Upload_Indiv_Tot_Eagles)))</f>
        <v/>
      </c>
      <c r="U23" s="2" t="str" cm="1">
        <f t="array" ref="U23">IF(SUMPRODUCT((Upload_Indiv_Player=$A19)*(Upload_Indiv_Date=U$2)*(Upload_Indiv_Tot_Eagles))=0,"",SUMPRODUCT((Upload_Indiv_Player=$A19)*(Upload_Indiv_Date=U$2)*(Upload_Indiv_Tot_Eagles)))</f>
        <v/>
      </c>
      <c r="V23" s="276"/>
      <c r="W23" s="276"/>
      <c r="X23" s="276"/>
      <c r="Y23" s="277"/>
      <c r="Z23" s="277"/>
      <c r="AA23" s="277"/>
    </row>
    <row r="24" spans="1:27" x14ac:dyDescent="0.25">
      <c r="A24" s="306"/>
      <c r="B24" s="2" t="s">
        <v>176</v>
      </c>
      <c r="C24" s="2" t="str" cm="1">
        <f t="array" ref="C24">IF(SUMPRODUCT((Upload_Indiv_Player=$A19)*(Upload_Indiv_Date=C$2)*(Upload_Indiv_Excl_Score))=0,"",SUMPRODUCT((Upload_Indiv_Player=$A19)*(Upload_Indiv_Date=C$2)*(Upload_Indiv_Excl_Score)))</f>
        <v/>
      </c>
      <c r="D24" s="2" t="str" cm="1">
        <f t="array" ref="D24">IF(SUMPRODUCT((Upload_Indiv_Player=$A19)*(Upload_Indiv_Date=D$2)*(Upload_Indiv_Excl_Score))=0,"",SUMPRODUCT((Upload_Indiv_Player=$A19)*(Upload_Indiv_Date=D$2)*(Upload_Indiv_Excl_Score)))</f>
        <v/>
      </c>
      <c r="E24" s="2" t="str" cm="1">
        <f t="array" ref="E24">IF(SUMPRODUCT((Upload_Indiv_Player=$A19)*(Upload_Indiv_Date=E$2)*(Upload_Indiv_Excl_Score))=0,"",SUMPRODUCT((Upload_Indiv_Player=$A19)*(Upload_Indiv_Date=E$2)*(Upload_Indiv_Excl_Score)))</f>
        <v/>
      </c>
      <c r="F24" s="2" t="str" cm="1">
        <f t="array" ref="F24">IF(SUMPRODUCT((Upload_Indiv_Player=$A19)*(Upload_Indiv_Date=F$2)*(Upload_Indiv_Excl_Score))=0,"",SUMPRODUCT((Upload_Indiv_Player=$A19)*(Upload_Indiv_Date=F$2)*(Upload_Indiv_Excl_Score)))</f>
        <v/>
      </c>
      <c r="G24" s="2" t="str" cm="1">
        <f t="array" ref="G24">IF(SUMPRODUCT((Upload_Indiv_Player=$A19)*(Upload_Indiv_Date=G$2)*(Upload_Indiv_Excl_Score))=0,"",SUMPRODUCT((Upload_Indiv_Player=$A19)*(Upload_Indiv_Date=G$2)*(Upload_Indiv_Excl_Score)))</f>
        <v/>
      </c>
      <c r="H24" s="2" t="str" cm="1">
        <f t="array" ref="H24">IF(SUMPRODUCT((Upload_Indiv_Player=$A19)*(Upload_Indiv_Date=H$2)*(Upload_Indiv_Excl_Score))=0,"",SUMPRODUCT((Upload_Indiv_Player=$A19)*(Upload_Indiv_Date=H$2)*(Upload_Indiv_Excl_Score)))</f>
        <v/>
      </c>
      <c r="I24" s="2" t="str" cm="1">
        <f t="array" ref="I24">IF(SUMPRODUCT((Upload_Indiv_Player=$A19)*(Upload_Indiv_Date=I$2)*(Upload_Indiv_Excl_Score))=0,"",SUMPRODUCT((Upload_Indiv_Player=$A19)*(Upload_Indiv_Date=I$2)*(Upload_Indiv_Excl_Score)))</f>
        <v/>
      </c>
      <c r="J24" s="2" t="str" cm="1">
        <f t="array" ref="J24">IF(SUMPRODUCT((Upload_Indiv_Player=$A19)*(Upload_Indiv_Date=J$2)*(Upload_Indiv_Excl_Score))=0,"",SUMPRODUCT((Upload_Indiv_Player=$A19)*(Upload_Indiv_Date=J$2)*(Upload_Indiv_Excl_Score)))</f>
        <v/>
      </c>
      <c r="K24" s="2" t="str" cm="1">
        <f t="array" ref="K24">IF(SUMPRODUCT((Upload_Indiv_Player=$A19)*(Upload_Indiv_Date=K$2)*(Upload_Indiv_Excl_Score))=0,"",SUMPRODUCT((Upload_Indiv_Player=$A19)*(Upload_Indiv_Date=K$2)*(Upload_Indiv_Excl_Score)))</f>
        <v/>
      </c>
      <c r="L24" s="2" t="str" cm="1">
        <f t="array" ref="L24">IF(SUMPRODUCT((Upload_Indiv_Player=$A19)*(Upload_Indiv_Date=L$2)*(Upload_Indiv_Excl_Score))=0,"",SUMPRODUCT((Upload_Indiv_Player=$A19)*(Upload_Indiv_Date=L$2)*(Upload_Indiv_Excl_Score)))</f>
        <v/>
      </c>
      <c r="M24" s="2" t="str" cm="1">
        <f t="array" ref="M24">IF(SUMPRODUCT((Upload_Indiv_Player=$A19)*(Upload_Indiv_Date=M$2)*(Upload_Indiv_Excl_Score))=0,"",SUMPRODUCT((Upload_Indiv_Player=$A19)*(Upload_Indiv_Date=M$2)*(Upload_Indiv_Excl_Score)))</f>
        <v/>
      </c>
      <c r="N24" s="2" t="str" cm="1">
        <f t="array" ref="N24">IF(SUMPRODUCT((Upload_Indiv_Player=$A19)*(Upload_Indiv_Date=N$2)*(Upload_Indiv_Excl_Score))=0,"",SUMPRODUCT((Upload_Indiv_Player=$A19)*(Upload_Indiv_Date=N$2)*(Upload_Indiv_Excl_Score)))</f>
        <v/>
      </c>
      <c r="O24" s="2" t="str" cm="1">
        <f t="array" ref="O24">IF(SUMPRODUCT((Upload_Indiv_Player=$A19)*(Upload_Indiv_Date=O$2)*(Upload_Indiv_Excl_Score))=0,"",SUMPRODUCT((Upload_Indiv_Player=$A19)*(Upload_Indiv_Date=O$2)*(Upload_Indiv_Excl_Score)))</f>
        <v/>
      </c>
      <c r="P24" s="2" t="str" cm="1">
        <f t="array" ref="P24">IF(SUMPRODUCT((Upload_Indiv_Player=$A19)*(Upload_Indiv_Date=P$2)*(Upload_Indiv_Excl_Score))=0,"",SUMPRODUCT((Upload_Indiv_Player=$A19)*(Upload_Indiv_Date=P$2)*(Upload_Indiv_Excl_Score)))</f>
        <v/>
      </c>
      <c r="Q24" s="2" cm="1">
        <f t="array" ref="Q24">IF(SUMPRODUCT((Upload_Indiv_Player=$A19)*(Upload_Indiv_Date=Q$2)*(Upload_Indiv_Excl_Score))=0,"",SUMPRODUCT((Upload_Indiv_Player=$A19)*(Upload_Indiv_Date=Q$2)*(Upload_Indiv_Excl_Score)))</f>
        <v>1</v>
      </c>
      <c r="R24" s="2" t="str" cm="1">
        <f t="array" ref="R24">IF(SUMPRODUCT((Upload_Indiv_Player=$A19)*(Upload_Indiv_Date=R$2)*(Upload_Indiv_Excl_Score))=0,"",SUMPRODUCT((Upload_Indiv_Player=$A19)*(Upload_Indiv_Date=R$2)*(Upload_Indiv_Excl_Score)))</f>
        <v/>
      </c>
      <c r="S24" s="2" t="str" cm="1">
        <f t="array" ref="S24">IF(SUMPRODUCT((Upload_Indiv_Player=$A19)*(Upload_Indiv_Date=S$2)*(Upload_Indiv_Excl_Score))=0,"",SUMPRODUCT((Upload_Indiv_Player=$A19)*(Upload_Indiv_Date=S$2)*(Upload_Indiv_Excl_Score)))</f>
        <v/>
      </c>
      <c r="T24" s="2" cm="1">
        <f t="array" ref="T24">IF(SUMPRODUCT((Upload_Indiv_Player=$A19)*(Upload_Indiv_Date=T$2)*(Upload_Indiv_Excl_Score))=0,"",SUMPRODUCT((Upload_Indiv_Player=$A19)*(Upload_Indiv_Date=T$2)*(Upload_Indiv_Excl_Score)))</f>
        <v>6</v>
      </c>
      <c r="U24" s="2" t="str" cm="1">
        <f t="array" ref="U24">IF(SUMPRODUCT((Upload_Indiv_Player=$A19)*(Upload_Indiv_Date=U$2)*(Upload_Indiv_Excl_Score))=0,"",SUMPRODUCT((Upload_Indiv_Player=$A19)*(Upload_Indiv_Date=U$2)*(Upload_Indiv_Excl_Score)))</f>
        <v/>
      </c>
      <c r="V24" s="276"/>
      <c r="W24" s="276"/>
      <c r="X24" s="276"/>
      <c r="Y24" s="277"/>
      <c r="Z24" s="277"/>
      <c r="AA24" s="277"/>
    </row>
    <row r="25" spans="1:27" ht="13.8" thickBot="1" x14ac:dyDescent="0.3">
      <c r="A25" s="330"/>
      <c r="B25" s="16" t="s">
        <v>178</v>
      </c>
      <c r="C25" s="58" t="str">
        <f>IF(C19="", "", IF(C21&gt;=11, "w", IF(C21&lt;=9, "l", "t")))</f>
        <v>w</v>
      </c>
      <c r="D25" s="58" t="str">
        <f t="shared" ref="D25:S25" si="3">IF(D19="", "", IF(D21&gt;=11, "w", IF(D21&lt;=9, "l", "t")))</f>
        <v>w</v>
      </c>
      <c r="E25" s="58" t="str">
        <f t="shared" si="3"/>
        <v>w</v>
      </c>
      <c r="F25" s="58" t="str">
        <f t="shared" si="3"/>
        <v>t</v>
      </c>
      <c r="G25" s="58" t="str">
        <f t="shared" si="3"/>
        <v>w</v>
      </c>
      <c r="H25" s="58" t="str">
        <f t="shared" si="3"/>
        <v>l</v>
      </c>
      <c r="I25" s="58" t="str">
        <f t="shared" si="3"/>
        <v>w</v>
      </c>
      <c r="J25" s="58" t="str">
        <f t="shared" si="3"/>
        <v/>
      </c>
      <c r="K25" s="58" t="str">
        <f t="shared" si="3"/>
        <v>l</v>
      </c>
      <c r="L25" s="58" t="str">
        <f t="shared" si="3"/>
        <v>l</v>
      </c>
      <c r="M25" s="58" t="str">
        <f t="shared" si="3"/>
        <v>w</v>
      </c>
      <c r="N25" s="58" t="str">
        <f t="shared" si="3"/>
        <v/>
      </c>
      <c r="O25" s="58" t="str">
        <f t="shared" si="3"/>
        <v>l</v>
      </c>
      <c r="P25" s="58" t="str">
        <f t="shared" si="3"/>
        <v>w</v>
      </c>
      <c r="Q25" s="58" t="str">
        <f t="shared" si="3"/>
        <v>l</v>
      </c>
      <c r="R25" s="58" t="str">
        <f t="shared" si="3"/>
        <v>l</v>
      </c>
      <c r="S25" s="58" t="str">
        <f t="shared" si="3"/>
        <v>l</v>
      </c>
      <c r="T25" s="58" t="str">
        <f>IF(T19="", "", IF(T21&gt;=11, "w", IF(T21&lt;=9, "l", "t")))</f>
        <v>w</v>
      </c>
      <c r="U25" s="58" t="str">
        <f>IF(U19="", "", IF(U21&gt;=11, "w", IF(U21&lt;=9, "l", "t")))</f>
        <v/>
      </c>
      <c r="V25" s="276"/>
      <c r="W25" s="276"/>
      <c r="X25" s="276"/>
      <c r="Y25" s="277"/>
      <c r="Z25" s="277"/>
      <c r="AA25" s="277"/>
    </row>
    <row r="26" spans="1:27" x14ac:dyDescent="0.25">
      <c r="A26" s="303" t="s">
        <v>326</v>
      </c>
      <c r="B26" s="17" t="s">
        <v>170</v>
      </c>
      <c r="C26" s="3" cm="1">
        <f t="array" ref="C26">IF(SUMPRODUCT((Upload_Indiv_Player=$A26)*(Upload_Indiv_Date=C$2)*(Upload_Indiv_Gross))=0,"",SUMPRODUCT((Upload_Indiv_Player=$A26)*(Upload_Indiv_Date=C$2)*(Upload_Indiv_Gross)))</f>
        <v>38</v>
      </c>
      <c r="D26" s="3" cm="1">
        <f t="array" ref="D26">IF(SUMPRODUCT((Upload_Indiv_Player=$A26)*(Upload_Indiv_Date=D$2)*(Upload_Indiv_Gross))=0,"",SUMPRODUCT((Upload_Indiv_Player=$A26)*(Upload_Indiv_Date=D$2)*(Upload_Indiv_Gross)))</f>
        <v>38</v>
      </c>
      <c r="E26" s="3" cm="1">
        <f t="array" ref="E26">IF(SUMPRODUCT((Upload_Indiv_Player=$A26)*(Upload_Indiv_Date=E$2)*(Upload_Indiv_Gross))=0,"",SUMPRODUCT((Upload_Indiv_Player=$A26)*(Upload_Indiv_Date=E$2)*(Upload_Indiv_Gross)))</f>
        <v>38</v>
      </c>
      <c r="F26" s="3" cm="1">
        <f t="array" ref="F26">IF(SUMPRODUCT((Upload_Indiv_Player=$A26)*(Upload_Indiv_Date=F$2)*(Upload_Indiv_Gross))=0,"",SUMPRODUCT((Upload_Indiv_Player=$A26)*(Upload_Indiv_Date=F$2)*(Upload_Indiv_Gross)))</f>
        <v>38</v>
      </c>
      <c r="G26" s="3" cm="1">
        <f t="array" ref="G26">IF(SUMPRODUCT((Upload_Indiv_Player=$A26)*(Upload_Indiv_Date=G$2)*(Upload_Indiv_Gross))=0,"",SUMPRODUCT((Upload_Indiv_Player=$A26)*(Upload_Indiv_Date=G$2)*(Upload_Indiv_Gross)))</f>
        <v>38</v>
      </c>
      <c r="H26" s="3" cm="1">
        <f t="array" ref="H26">IF(SUMPRODUCT((Upload_Indiv_Player=$A26)*(Upload_Indiv_Date=H$2)*(Upload_Indiv_Gross))=0,"",SUMPRODUCT((Upload_Indiv_Player=$A26)*(Upload_Indiv_Date=H$2)*(Upload_Indiv_Gross)))</f>
        <v>38</v>
      </c>
      <c r="I26" s="3" cm="1">
        <f t="array" ref="I26">IF(SUMPRODUCT((Upload_Indiv_Player=$A26)*(Upload_Indiv_Date=I$2)*(Upload_Indiv_Gross))=0,"",SUMPRODUCT((Upload_Indiv_Player=$A26)*(Upload_Indiv_Date=I$2)*(Upload_Indiv_Gross)))</f>
        <v>38</v>
      </c>
      <c r="J26" s="3" t="str" cm="1">
        <f t="array" ref="J26">IF(SUMPRODUCT((Upload_Indiv_Player=$A26)*(Upload_Indiv_Date=J$2)*(Upload_Indiv_Gross))=0,"",SUMPRODUCT((Upload_Indiv_Player=$A26)*(Upload_Indiv_Date=J$2)*(Upload_Indiv_Gross)))</f>
        <v/>
      </c>
      <c r="K26" s="3" cm="1">
        <f t="array" ref="K26">IF(SUMPRODUCT((Upload_Indiv_Player=$A26)*(Upload_Indiv_Date=K$2)*(Upload_Indiv_Gross))=0,"",SUMPRODUCT((Upload_Indiv_Player=$A26)*(Upload_Indiv_Date=K$2)*(Upload_Indiv_Gross)))</f>
        <v>38</v>
      </c>
      <c r="L26" s="3" cm="1">
        <f t="array" ref="L26">IF(SUMPRODUCT((Upload_Indiv_Player=$A26)*(Upload_Indiv_Date=L$2)*(Upload_Indiv_Gross))=0,"",SUMPRODUCT((Upload_Indiv_Player=$A26)*(Upload_Indiv_Date=L$2)*(Upload_Indiv_Gross)))</f>
        <v>38</v>
      </c>
      <c r="M26" s="3" cm="1">
        <f t="array" ref="M26">IF(SUMPRODUCT((Upload_Indiv_Player=$A26)*(Upload_Indiv_Date=M$2)*(Upload_Indiv_Gross))=0,"",SUMPRODUCT((Upload_Indiv_Player=$A26)*(Upload_Indiv_Date=M$2)*(Upload_Indiv_Gross)))</f>
        <v>38</v>
      </c>
      <c r="N26" s="3" t="str" cm="1">
        <f t="array" ref="N26">IF(SUMPRODUCT((Upload_Indiv_Player=$A26)*(Upload_Indiv_Date=N$2)*(Upload_Indiv_Gross))=0,"",SUMPRODUCT((Upload_Indiv_Player=$A26)*(Upload_Indiv_Date=N$2)*(Upload_Indiv_Gross)))</f>
        <v/>
      </c>
      <c r="O26" s="3" cm="1">
        <f t="array" ref="O26">IF(SUMPRODUCT((Upload_Indiv_Player=$A26)*(Upload_Indiv_Date=O$2)*(Upload_Indiv_Gross))=0,"",SUMPRODUCT((Upload_Indiv_Player=$A26)*(Upload_Indiv_Date=O$2)*(Upload_Indiv_Gross)))</f>
        <v>38</v>
      </c>
      <c r="P26" s="2" cm="1">
        <f t="array" ref="P26">IF(SUMPRODUCT((Upload_Indiv_Player=$A26)*(Upload_Indiv_Date=P$2)*(Upload_Indiv_Gross))=0,"",SUMPRODUCT((Upload_Indiv_Player=$A26)*(Upload_Indiv_Date=P$2)*(Upload_Indiv_Gross)))</f>
        <v>38</v>
      </c>
      <c r="Q26" s="2" cm="1">
        <f t="array" ref="Q26">IF(SUMPRODUCT((Upload_Indiv_Player=$A26)*(Upload_Indiv_Date=Q$2)*(Upload_Indiv_Gross))=0,"",SUMPRODUCT((Upload_Indiv_Player=$A26)*(Upload_Indiv_Date=Q$2)*(Upload_Indiv_Gross)))</f>
        <v>33</v>
      </c>
      <c r="R26" s="2" cm="1">
        <f t="array" ref="R26">IF(SUMPRODUCT((Upload_Indiv_Player=$A26)*(Upload_Indiv_Date=R$2)*(Upload_Indiv_Gross))=0,"",SUMPRODUCT((Upload_Indiv_Player=$A26)*(Upload_Indiv_Date=R$2)*(Upload_Indiv_Gross)))</f>
        <v>38</v>
      </c>
      <c r="S26" s="2" cm="1">
        <f t="array" ref="S26">IF(SUMPRODUCT((Upload_Indiv_Player=$A26)*(Upload_Indiv_Date=S$2)*(Upload_Indiv_Gross))=0,"",SUMPRODUCT((Upload_Indiv_Player=$A26)*(Upload_Indiv_Date=S$2)*(Upload_Indiv_Gross)))</f>
        <v>38</v>
      </c>
      <c r="T26" s="2" cm="1">
        <f t="array" ref="T26">IF(SUMPRODUCT((Upload_Indiv_Player=$A26)*(Upload_Indiv_Date=T$2)*(Upload_Indiv_Gross))=0,"",SUMPRODUCT((Upload_Indiv_Player=$A26)*(Upload_Indiv_Date=T$2)*(Upload_Indiv_Gross)))</f>
        <v>228</v>
      </c>
      <c r="U26" s="2" t="str" cm="1">
        <f t="array" ref="U26">IF(SUMPRODUCT((Upload_Indiv_Player=$A26)*(Upload_Indiv_Date=U$2)*(Upload_Indiv_Gross))=0,"",SUMPRODUCT((Upload_Indiv_Player=$A26)*(Upload_Indiv_Date=U$2)*(Upload_Indiv_Gross)))</f>
        <v/>
      </c>
      <c r="V26" s="273">
        <v>14</v>
      </c>
      <c r="W26" s="273"/>
      <c r="X26" s="273"/>
      <c r="Y26" s="277"/>
      <c r="Z26" s="277"/>
      <c r="AA26" s="277"/>
    </row>
    <row r="27" spans="1:27" x14ac:dyDescent="0.25">
      <c r="A27" s="304"/>
      <c r="B27" s="8" t="s">
        <v>171</v>
      </c>
      <c r="C27" s="2" cm="1">
        <f t="array" ref="C27">IF(SUMPRODUCT((Upload_Indiv_Player=$A26)*(Upload_Indiv_Date=C$2)*(Upload_Indiv_Net))=0,"",SUMPRODUCT((Upload_Indiv_Player=$A26)*(Upload_Indiv_Date=C$2)*(Upload_Indiv_Net)))</f>
        <v>38</v>
      </c>
      <c r="D27" s="2" cm="1">
        <f t="array" ref="D27">IF(SUMPRODUCT((Upload_Indiv_Player=$A26)*(Upload_Indiv_Date=D$2)*(Upload_Indiv_Net))=0,"",SUMPRODUCT((Upload_Indiv_Player=$A26)*(Upload_Indiv_Date=D$2)*(Upload_Indiv_Net)))</f>
        <v>38</v>
      </c>
      <c r="E27" s="2" cm="1">
        <f t="array" ref="E27">IF(SUMPRODUCT((Upload_Indiv_Player=$A26)*(Upload_Indiv_Date=E$2)*(Upload_Indiv_Net))=0,"",SUMPRODUCT((Upload_Indiv_Player=$A26)*(Upload_Indiv_Date=E$2)*(Upload_Indiv_Net)))</f>
        <v>38</v>
      </c>
      <c r="F27" s="2" cm="1">
        <f t="array" ref="F27">IF(SUMPRODUCT((Upload_Indiv_Player=$A26)*(Upload_Indiv_Date=F$2)*(Upload_Indiv_Net))=0,"",SUMPRODUCT((Upload_Indiv_Player=$A26)*(Upload_Indiv_Date=F$2)*(Upload_Indiv_Net)))</f>
        <v>38</v>
      </c>
      <c r="G27" s="2" cm="1">
        <f t="array" ref="G27">IF(SUMPRODUCT((Upload_Indiv_Player=$A26)*(Upload_Indiv_Date=G$2)*(Upload_Indiv_Net))=0,"",SUMPRODUCT((Upload_Indiv_Player=$A26)*(Upload_Indiv_Date=G$2)*(Upload_Indiv_Net)))</f>
        <v>38</v>
      </c>
      <c r="H27" s="2" cm="1">
        <f t="array" ref="H27">IF(SUMPRODUCT((Upload_Indiv_Player=$A26)*(Upload_Indiv_Date=H$2)*(Upload_Indiv_Net))=0,"",SUMPRODUCT((Upload_Indiv_Player=$A26)*(Upload_Indiv_Date=H$2)*(Upload_Indiv_Net)))</f>
        <v>38</v>
      </c>
      <c r="I27" s="2" cm="1">
        <f t="array" ref="I27">IF(SUMPRODUCT((Upload_Indiv_Player=$A26)*(Upload_Indiv_Date=I$2)*(Upload_Indiv_Net))=0,"",SUMPRODUCT((Upload_Indiv_Player=$A26)*(Upload_Indiv_Date=I$2)*(Upload_Indiv_Net)))</f>
        <v>38</v>
      </c>
      <c r="J27" s="2" t="str" cm="1">
        <f t="array" ref="J27">IF(SUMPRODUCT((Upload_Indiv_Player=$A26)*(Upload_Indiv_Date=J$2)*(Upload_Indiv_Net))=0,"",SUMPRODUCT((Upload_Indiv_Player=$A26)*(Upload_Indiv_Date=J$2)*(Upload_Indiv_Net)))</f>
        <v/>
      </c>
      <c r="K27" s="2" cm="1">
        <f t="array" ref="K27">IF(SUMPRODUCT((Upload_Indiv_Player=$A26)*(Upload_Indiv_Date=K$2)*(Upload_Indiv_Net))=0,"",SUMPRODUCT((Upload_Indiv_Player=$A26)*(Upload_Indiv_Date=K$2)*(Upload_Indiv_Net)))</f>
        <v>38</v>
      </c>
      <c r="L27" s="2" cm="1">
        <f t="array" ref="L27">IF(SUMPRODUCT((Upload_Indiv_Player=$A26)*(Upload_Indiv_Date=L$2)*(Upload_Indiv_Net))=0,"",SUMPRODUCT((Upload_Indiv_Player=$A26)*(Upload_Indiv_Date=L$2)*(Upload_Indiv_Net)))</f>
        <v>38</v>
      </c>
      <c r="M27" s="2" cm="1">
        <f t="array" ref="M27">IF(SUMPRODUCT((Upload_Indiv_Player=$A26)*(Upload_Indiv_Date=M$2)*(Upload_Indiv_Net))=0,"",SUMPRODUCT((Upload_Indiv_Player=$A26)*(Upload_Indiv_Date=M$2)*(Upload_Indiv_Net)))</f>
        <v>38</v>
      </c>
      <c r="N27" s="2" t="str" cm="1">
        <f t="array" ref="N27">IF(SUMPRODUCT((Upload_Indiv_Player=$A26)*(Upload_Indiv_Date=N$2)*(Upload_Indiv_Net))=0,"",SUMPRODUCT((Upload_Indiv_Player=$A26)*(Upload_Indiv_Date=N$2)*(Upload_Indiv_Net)))</f>
        <v/>
      </c>
      <c r="O27" s="2" cm="1">
        <f t="array" ref="O27">IF(SUMPRODUCT((Upload_Indiv_Player=$A26)*(Upload_Indiv_Date=O$2)*(Upload_Indiv_Net))=0,"",SUMPRODUCT((Upload_Indiv_Player=$A26)*(Upload_Indiv_Date=O$2)*(Upload_Indiv_Net)))</f>
        <v>38</v>
      </c>
      <c r="P27" s="2" cm="1">
        <f t="array" ref="P27">IF(SUMPRODUCT((Upload_Indiv_Player=$A26)*(Upload_Indiv_Date=P$2)*(Upload_Indiv_Net))=0,"",SUMPRODUCT((Upload_Indiv_Player=$A26)*(Upload_Indiv_Date=P$2)*(Upload_Indiv_Net)))</f>
        <v>38</v>
      </c>
      <c r="Q27" s="2" cm="1">
        <f t="array" ref="Q27">IF(SUMPRODUCT((Upload_Indiv_Player=$A26)*(Upload_Indiv_Date=Q$2)*(Upload_Indiv_Net))=0,"",SUMPRODUCT((Upload_Indiv_Player=$A26)*(Upload_Indiv_Date=Q$2)*(Upload_Indiv_Net)))</f>
        <v>33</v>
      </c>
      <c r="R27" s="2" cm="1">
        <f t="array" ref="R27">IF(SUMPRODUCT((Upload_Indiv_Player=$A26)*(Upload_Indiv_Date=R$2)*(Upload_Indiv_Net))=0,"",SUMPRODUCT((Upload_Indiv_Player=$A26)*(Upload_Indiv_Date=R$2)*(Upload_Indiv_Net)))</f>
        <v>38</v>
      </c>
      <c r="S27" s="2" cm="1">
        <f t="array" ref="S27">IF(SUMPRODUCT((Upload_Indiv_Player=$A26)*(Upload_Indiv_Date=S$2)*(Upload_Indiv_Net))=0,"",SUMPRODUCT((Upload_Indiv_Player=$A26)*(Upload_Indiv_Date=S$2)*(Upload_Indiv_Net)))</f>
        <v>38</v>
      </c>
      <c r="T27" s="2" cm="1">
        <f t="array" ref="T27">IF(SUMPRODUCT((Upload_Indiv_Player=$A26)*(Upload_Indiv_Date=T$2)*(Upload_Indiv_Net))=0,"",SUMPRODUCT((Upload_Indiv_Player=$A26)*(Upload_Indiv_Date=T$2)*(Upload_Indiv_Net)))</f>
        <v>228</v>
      </c>
      <c r="U27" s="2" t="str" cm="1">
        <f t="array" ref="U27">IF(SUMPRODUCT((Upload_Indiv_Player=$A26)*(Upload_Indiv_Date=U$2)*(Upload_Indiv_Net))=0,"",SUMPRODUCT((Upload_Indiv_Player=$A26)*(Upload_Indiv_Date=U$2)*(Upload_Indiv_Net)))</f>
        <v/>
      </c>
      <c r="V27" s="279">
        <v>40</v>
      </c>
      <c r="W27" s="276"/>
      <c r="X27" s="276"/>
      <c r="Y27" s="277"/>
      <c r="Z27" s="277"/>
      <c r="AA27" s="277"/>
    </row>
    <row r="28" spans="1:27" x14ac:dyDescent="0.25">
      <c r="A28" s="305"/>
      <c r="B28" s="8" t="s">
        <v>173</v>
      </c>
      <c r="C28" s="2" cm="1">
        <f t="array" ref="C28">IF(SUMPRODUCT((Upload_Indiv_Player=$A26)*(Upload_Indiv_Date=C$2)*(Upload_Indiv_PointsTot))=0,"",SUMPRODUCT((Upload_Indiv_Player=$A26)*(Upload_Indiv_Date=C$2)*(Upload_Indiv_PointsTot)))</f>
        <v>13</v>
      </c>
      <c r="D28" s="2" cm="1">
        <f t="array" ref="D28">IF(SUMPRODUCT((Upload_Indiv_Player=$A26)*(Upload_Indiv_Date=D$2)*(Upload_Indiv_PointsTot))=0,"",SUMPRODUCT((Upload_Indiv_Player=$A26)*(Upload_Indiv_Date=D$2)*(Upload_Indiv_PointsTot)))</f>
        <v>17</v>
      </c>
      <c r="E28" s="2" cm="1">
        <f t="array" ref="E28">IF(SUMPRODUCT((Upload_Indiv_Player=$A26)*(Upload_Indiv_Date=E$2)*(Upload_Indiv_PointsTot))=0,"",SUMPRODUCT((Upload_Indiv_Player=$A26)*(Upload_Indiv_Date=E$2)*(Upload_Indiv_PointsTot)))</f>
        <v>12</v>
      </c>
      <c r="F28" s="2" cm="1">
        <f t="array" ref="F28">IF(SUMPRODUCT((Upload_Indiv_Player=$A26)*(Upload_Indiv_Date=F$2)*(Upload_Indiv_PointsTot))=0,"",SUMPRODUCT((Upload_Indiv_Player=$A26)*(Upload_Indiv_Date=F$2)*(Upload_Indiv_PointsTot)))</f>
        <v>14</v>
      </c>
      <c r="G28" s="2" cm="1">
        <f t="array" ref="G28">IF(SUMPRODUCT((Upload_Indiv_Player=$A26)*(Upload_Indiv_Date=G$2)*(Upload_Indiv_PointsTot))=0,"",SUMPRODUCT((Upload_Indiv_Player=$A26)*(Upload_Indiv_Date=G$2)*(Upload_Indiv_PointsTot)))</f>
        <v>12</v>
      </c>
      <c r="H28" s="2" cm="1">
        <f t="array" ref="H28">IF(SUMPRODUCT((Upload_Indiv_Player=$A26)*(Upload_Indiv_Date=H$2)*(Upload_Indiv_PointsTot))=0,"",SUMPRODUCT((Upload_Indiv_Player=$A26)*(Upload_Indiv_Date=H$2)*(Upload_Indiv_PointsTot)))</f>
        <v>10</v>
      </c>
      <c r="I28" s="2" cm="1">
        <f t="array" ref="I28">IF(SUMPRODUCT((Upload_Indiv_Player=$A26)*(Upload_Indiv_Date=I$2)*(Upload_Indiv_PointsTot))=0,"",SUMPRODUCT((Upload_Indiv_Player=$A26)*(Upload_Indiv_Date=I$2)*(Upload_Indiv_PointsTot)))</f>
        <v>8</v>
      </c>
      <c r="J28" s="2" t="str" cm="1">
        <f t="array" ref="J28">IF(SUMPRODUCT((Upload_Indiv_Player=$A26)*(Upload_Indiv_Date=J$2)*(Upload_Indiv_PointsTot))=0,"",SUMPRODUCT((Upload_Indiv_Player=$A26)*(Upload_Indiv_Date=J$2)*(Upload_Indiv_PointsTot)))</f>
        <v/>
      </c>
      <c r="K28" s="2" cm="1">
        <f t="array" ref="K28">IF(SUMPRODUCT((Upload_Indiv_Player=$A26)*(Upload_Indiv_Date=K$2)*(Upload_Indiv_PointsTot))=0,"",SUMPRODUCT((Upload_Indiv_Player=$A26)*(Upload_Indiv_Date=K$2)*(Upload_Indiv_PointsTot)))</f>
        <v>17</v>
      </c>
      <c r="L28" s="2" cm="1">
        <f t="array" ref="L28">IF(SUMPRODUCT((Upload_Indiv_Player=$A26)*(Upload_Indiv_Date=L$2)*(Upload_Indiv_PointsTot))=0,"",SUMPRODUCT((Upload_Indiv_Player=$A26)*(Upload_Indiv_Date=L$2)*(Upload_Indiv_PointsTot)))</f>
        <v>14</v>
      </c>
      <c r="M28" s="2" cm="1">
        <f t="array" ref="M28">IF(SUMPRODUCT((Upload_Indiv_Player=$A26)*(Upload_Indiv_Date=M$2)*(Upload_Indiv_PointsTot))=0,"",SUMPRODUCT((Upload_Indiv_Player=$A26)*(Upload_Indiv_Date=M$2)*(Upload_Indiv_PointsTot)))</f>
        <v>8</v>
      </c>
      <c r="N28" s="2" t="str" cm="1">
        <f t="array" ref="N28">IF(SUMPRODUCT((Upload_Indiv_Player=$A26)*(Upload_Indiv_Date=N$2)*(Upload_Indiv_PointsTot))=0,"",SUMPRODUCT((Upload_Indiv_Player=$A26)*(Upload_Indiv_Date=N$2)*(Upload_Indiv_PointsTot)))</f>
        <v/>
      </c>
      <c r="O28" s="2" cm="1">
        <f t="array" ref="O28">IF(SUMPRODUCT((Upload_Indiv_Player=$A26)*(Upload_Indiv_Date=O$2)*(Upload_Indiv_PointsTot))=0,"",SUMPRODUCT((Upload_Indiv_Player=$A26)*(Upload_Indiv_Date=O$2)*(Upload_Indiv_PointsTot)))</f>
        <v>14</v>
      </c>
      <c r="P28" s="2" cm="1">
        <f t="array" ref="P28">IF(SUMPRODUCT((Upload_Indiv_Player=$A26)*(Upload_Indiv_Date=P$2)*(Upload_Indiv_PointsTot))=0,"",SUMPRODUCT((Upload_Indiv_Player=$A26)*(Upload_Indiv_Date=P$2)*(Upload_Indiv_PointsTot)))</f>
        <v>9</v>
      </c>
      <c r="Q28" s="2" cm="1">
        <f t="array" ref="Q28">IF(SUMPRODUCT((Upload_Indiv_Player=$A26)*(Upload_Indiv_Date=Q$2)*(Upload_Indiv_PointsTot))=0,"",SUMPRODUCT((Upload_Indiv_Player=$A26)*(Upload_Indiv_Date=Q$2)*(Upload_Indiv_PointsTot)))</f>
        <v>5</v>
      </c>
      <c r="R28" s="2" cm="1">
        <f t="array" ref="R28">IF(SUMPRODUCT((Upload_Indiv_Player=$A26)*(Upload_Indiv_Date=R$2)*(Upload_Indiv_PointsTot))=0,"",SUMPRODUCT((Upload_Indiv_Player=$A26)*(Upload_Indiv_Date=R$2)*(Upload_Indiv_PointsTot)))</f>
        <v>5</v>
      </c>
      <c r="S28" s="2" cm="1">
        <f t="array" ref="S28">IF(SUMPRODUCT((Upload_Indiv_Player=$A26)*(Upload_Indiv_Date=S$2)*(Upload_Indiv_PointsTot))=0,"",SUMPRODUCT((Upload_Indiv_Player=$A26)*(Upload_Indiv_Date=S$2)*(Upload_Indiv_PointsTot)))</f>
        <v>8</v>
      </c>
      <c r="T28" s="2" cm="1">
        <f t="array" ref="T28">IF(SUMPRODUCT((Upload_Indiv_Player=$A26)*(Upload_Indiv_Date=T$2)*(Upload_Indiv_PointsTot))=0,"",SUMPRODUCT((Upload_Indiv_Player=$A26)*(Upload_Indiv_Date=T$2)*(Upload_Indiv_PointsTot)))</f>
        <v>62</v>
      </c>
      <c r="U28" s="2" t="str" cm="1">
        <f t="array" ref="U28">IF(SUMPRODUCT((Upload_Indiv_Player=$A26)*(Upload_Indiv_Date=U$2)*(Upload_Indiv_PointsTot))=0,"",SUMPRODUCT((Upload_Indiv_Player=$A26)*(Upload_Indiv_Date=U$2)*(Upload_Indiv_PointsTot)))</f>
        <v/>
      </c>
      <c r="V28" s="276"/>
      <c r="W28" s="276"/>
      <c r="X28" s="276"/>
      <c r="Y28" s="277"/>
      <c r="Z28" s="277"/>
      <c r="AA28" s="277"/>
    </row>
    <row r="29" spans="1:27" x14ac:dyDescent="0.25">
      <c r="A29" s="306"/>
      <c r="B29" s="8" t="s">
        <v>174</v>
      </c>
      <c r="C29" s="2" t="str" cm="1">
        <f t="array" ref="C29">IF(SUMPRODUCT((Upload_Indiv_Player=$A26)*(Upload_Indiv_Date=C$2)*(Upload_Indiv_Tot_Birds))=0,"",SUMPRODUCT((Upload_Indiv_Player=$A26)*(Upload_Indiv_Date=C$2)*(Upload_Indiv_Tot_Birds)))</f>
        <v/>
      </c>
      <c r="D29" s="2" t="str" cm="1">
        <f t="array" ref="D29">IF(SUMPRODUCT((Upload_Indiv_Player=$A26)*(Upload_Indiv_Date=D$2)*(Upload_Indiv_Tot_Birds))=0,"",SUMPRODUCT((Upload_Indiv_Player=$A26)*(Upload_Indiv_Date=D$2)*(Upload_Indiv_Tot_Birds)))</f>
        <v/>
      </c>
      <c r="E29" s="2" t="str" cm="1">
        <f t="array" ref="E29">IF(SUMPRODUCT((Upload_Indiv_Player=$A26)*(Upload_Indiv_Date=E$2)*(Upload_Indiv_Tot_Birds))=0,"",SUMPRODUCT((Upload_Indiv_Player=$A26)*(Upload_Indiv_Date=E$2)*(Upload_Indiv_Tot_Birds)))</f>
        <v/>
      </c>
      <c r="F29" s="2" t="str" cm="1">
        <f t="array" ref="F29">IF(SUMPRODUCT((Upload_Indiv_Player=$A26)*(Upload_Indiv_Date=F$2)*(Upload_Indiv_Tot_Birds))=0,"",SUMPRODUCT((Upload_Indiv_Player=$A26)*(Upload_Indiv_Date=F$2)*(Upload_Indiv_Tot_Birds)))</f>
        <v/>
      </c>
      <c r="G29" s="2" t="str" cm="1">
        <f t="array" ref="G29">IF(SUMPRODUCT((Upload_Indiv_Player=$A26)*(Upload_Indiv_Date=G$2)*(Upload_Indiv_Tot_Birds))=0,"",SUMPRODUCT((Upload_Indiv_Player=$A26)*(Upload_Indiv_Date=G$2)*(Upload_Indiv_Tot_Birds)))</f>
        <v/>
      </c>
      <c r="H29" s="2" t="str" cm="1">
        <f t="array" ref="H29">IF(SUMPRODUCT((Upload_Indiv_Player=$A26)*(Upload_Indiv_Date=H$2)*(Upload_Indiv_Tot_Birds))=0,"",SUMPRODUCT((Upload_Indiv_Player=$A26)*(Upload_Indiv_Date=H$2)*(Upload_Indiv_Tot_Birds)))</f>
        <v/>
      </c>
      <c r="I29" s="2" t="str" cm="1">
        <f t="array" ref="I29">IF(SUMPRODUCT((Upload_Indiv_Player=$A26)*(Upload_Indiv_Date=I$2)*(Upload_Indiv_Tot_Birds))=0,"",SUMPRODUCT((Upload_Indiv_Player=$A26)*(Upload_Indiv_Date=I$2)*(Upload_Indiv_Tot_Birds)))</f>
        <v/>
      </c>
      <c r="J29" s="2" t="str" cm="1">
        <f t="array" ref="J29">IF(SUMPRODUCT((Upload_Indiv_Player=$A26)*(Upload_Indiv_Date=J$2)*(Upload_Indiv_Tot_Birds))=0,"",SUMPRODUCT((Upload_Indiv_Player=$A26)*(Upload_Indiv_Date=J$2)*(Upload_Indiv_Tot_Birds)))</f>
        <v/>
      </c>
      <c r="K29" s="2" t="str" cm="1">
        <f t="array" ref="K29">IF(SUMPRODUCT((Upload_Indiv_Player=$A26)*(Upload_Indiv_Date=K$2)*(Upload_Indiv_Tot_Birds))=0,"",SUMPRODUCT((Upload_Indiv_Player=$A26)*(Upload_Indiv_Date=K$2)*(Upload_Indiv_Tot_Birds)))</f>
        <v/>
      </c>
      <c r="L29" s="2" t="str" cm="1">
        <f t="array" ref="L29">IF(SUMPRODUCT((Upload_Indiv_Player=$A26)*(Upload_Indiv_Date=L$2)*(Upload_Indiv_Tot_Birds))=0,"",SUMPRODUCT((Upload_Indiv_Player=$A26)*(Upload_Indiv_Date=L$2)*(Upload_Indiv_Tot_Birds)))</f>
        <v/>
      </c>
      <c r="M29" s="2" t="str" cm="1">
        <f t="array" ref="M29">IF(SUMPRODUCT((Upload_Indiv_Player=$A26)*(Upload_Indiv_Date=M$2)*(Upload_Indiv_Tot_Birds))=0,"",SUMPRODUCT((Upload_Indiv_Player=$A26)*(Upload_Indiv_Date=M$2)*(Upload_Indiv_Tot_Birds)))</f>
        <v/>
      </c>
      <c r="N29" s="2" t="str" cm="1">
        <f t="array" ref="N29">IF(SUMPRODUCT((Upload_Indiv_Player=$A26)*(Upload_Indiv_Date=N$2)*(Upload_Indiv_Tot_Birds))=0,"",SUMPRODUCT((Upload_Indiv_Player=$A26)*(Upload_Indiv_Date=N$2)*(Upload_Indiv_Tot_Birds)))</f>
        <v/>
      </c>
      <c r="O29" s="2" t="str" cm="1">
        <f t="array" ref="O29">IF(SUMPRODUCT((Upload_Indiv_Player=$A26)*(Upload_Indiv_Date=O$2)*(Upload_Indiv_Tot_Birds))=0,"",SUMPRODUCT((Upload_Indiv_Player=$A26)*(Upload_Indiv_Date=O$2)*(Upload_Indiv_Tot_Birds)))</f>
        <v/>
      </c>
      <c r="P29" s="2" t="str" cm="1">
        <f t="array" ref="P29">IF(SUMPRODUCT((Upload_Indiv_Player=$A26)*(Upload_Indiv_Date=P$2)*(Upload_Indiv_Tot_Birds))=0,"",SUMPRODUCT((Upload_Indiv_Player=$A26)*(Upload_Indiv_Date=P$2)*(Upload_Indiv_Tot_Birds)))</f>
        <v/>
      </c>
      <c r="Q29" s="2" t="str" cm="1">
        <f t="array" ref="Q29">IF(SUMPRODUCT((Upload_Indiv_Player=$A26)*(Upload_Indiv_Date=Q$2)*(Upload_Indiv_Tot_Birds))=0,"",SUMPRODUCT((Upload_Indiv_Player=$A26)*(Upload_Indiv_Date=Q$2)*(Upload_Indiv_Tot_Birds)))</f>
        <v/>
      </c>
      <c r="R29" s="2" t="str" cm="1">
        <f t="array" ref="R29">IF(SUMPRODUCT((Upload_Indiv_Player=$A26)*(Upload_Indiv_Date=R$2)*(Upload_Indiv_Tot_Birds))=0,"",SUMPRODUCT((Upload_Indiv_Player=$A26)*(Upload_Indiv_Date=R$2)*(Upload_Indiv_Tot_Birds)))</f>
        <v/>
      </c>
      <c r="S29" s="2" t="str" cm="1">
        <f t="array" ref="S29">IF(SUMPRODUCT((Upload_Indiv_Player=$A26)*(Upload_Indiv_Date=S$2)*(Upload_Indiv_Tot_Birds))=0,"",SUMPRODUCT((Upload_Indiv_Player=$A26)*(Upload_Indiv_Date=S$2)*(Upload_Indiv_Tot_Birds)))</f>
        <v/>
      </c>
      <c r="T29" s="2" t="str" cm="1">
        <f t="array" ref="T29">IF(SUMPRODUCT((Upload_Indiv_Player=$A26)*(Upload_Indiv_Date=T$2)*(Upload_Indiv_Tot_Birds))=0,"",SUMPRODUCT((Upload_Indiv_Player=$A26)*(Upload_Indiv_Date=T$2)*(Upload_Indiv_Tot_Birds)))</f>
        <v/>
      </c>
      <c r="U29" s="2" t="str" cm="1">
        <f t="array" ref="U29">IF(SUMPRODUCT((Upload_Indiv_Player=$A26)*(Upload_Indiv_Date=U$2)*(Upload_Indiv_Tot_Birds))=0,"",SUMPRODUCT((Upload_Indiv_Player=$A26)*(Upload_Indiv_Date=U$2)*(Upload_Indiv_Tot_Birds)))</f>
        <v/>
      </c>
      <c r="V29" s="276"/>
      <c r="W29" s="276"/>
      <c r="X29" s="276"/>
      <c r="Y29" s="277"/>
      <c r="Z29" s="277"/>
      <c r="AA29" s="277"/>
    </row>
    <row r="30" spans="1:27" x14ac:dyDescent="0.25">
      <c r="A30" s="306"/>
      <c r="B30" s="8" t="s">
        <v>175</v>
      </c>
      <c r="C30" s="2" t="str" cm="1">
        <f t="array" ref="C30">IF(SUMPRODUCT((Upload_Indiv_Player=$A26)*(Upload_Indiv_Date=C$2)*(Upload_Indiv_Tot_Eagles))=0,"",SUMPRODUCT((Upload_Indiv_Player=$A26)*(Upload_Indiv_Date=C$2)*(Upload_Indiv_Tot_Eagles)))</f>
        <v/>
      </c>
      <c r="D30" s="2" t="str" cm="1">
        <f t="array" ref="D30">IF(SUMPRODUCT((Upload_Indiv_Player=$A26)*(Upload_Indiv_Date=D$2)*(Upload_Indiv_Tot_Eagles))=0,"",SUMPRODUCT((Upload_Indiv_Player=$A26)*(Upload_Indiv_Date=D$2)*(Upload_Indiv_Tot_Eagles)))</f>
        <v/>
      </c>
      <c r="E30" s="2" t="str" cm="1">
        <f t="array" ref="E30">IF(SUMPRODUCT((Upload_Indiv_Player=$A26)*(Upload_Indiv_Date=E$2)*(Upload_Indiv_Tot_Eagles))=0,"",SUMPRODUCT((Upload_Indiv_Player=$A26)*(Upload_Indiv_Date=E$2)*(Upload_Indiv_Tot_Eagles)))</f>
        <v/>
      </c>
      <c r="F30" s="2" t="str" cm="1">
        <f t="array" ref="F30">IF(SUMPRODUCT((Upload_Indiv_Player=$A26)*(Upload_Indiv_Date=F$2)*(Upload_Indiv_Tot_Eagles))=0,"",SUMPRODUCT((Upload_Indiv_Player=$A26)*(Upload_Indiv_Date=F$2)*(Upload_Indiv_Tot_Eagles)))</f>
        <v/>
      </c>
      <c r="G30" s="2" t="str" cm="1">
        <f t="array" ref="G30">IF(SUMPRODUCT((Upload_Indiv_Player=$A26)*(Upload_Indiv_Date=G$2)*(Upload_Indiv_Tot_Eagles))=0,"",SUMPRODUCT((Upload_Indiv_Player=$A26)*(Upload_Indiv_Date=G$2)*(Upload_Indiv_Tot_Eagles)))</f>
        <v/>
      </c>
      <c r="H30" s="2" t="str" cm="1">
        <f t="array" ref="H30">IF(SUMPRODUCT((Upload_Indiv_Player=$A26)*(Upload_Indiv_Date=H$2)*(Upload_Indiv_Tot_Eagles))=0,"",SUMPRODUCT((Upload_Indiv_Player=$A26)*(Upload_Indiv_Date=H$2)*(Upload_Indiv_Tot_Eagles)))</f>
        <v/>
      </c>
      <c r="I30" s="2" t="str" cm="1">
        <f t="array" ref="I30">IF(SUMPRODUCT((Upload_Indiv_Player=$A26)*(Upload_Indiv_Date=I$2)*(Upload_Indiv_Tot_Eagles))=0,"",SUMPRODUCT((Upload_Indiv_Player=$A26)*(Upload_Indiv_Date=I$2)*(Upload_Indiv_Tot_Eagles)))</f>
        <v/>
      </c>
      <c r="J30" s="2" t="str" cm="1">
        <f t="array" ref="J30">IF(SUMPRODUCT((Upload_Indiv_Player=$A26)*(Upload_Indiv_Date=J$2)*(Upload_Indiv_Tot_Eagles))=0,"",SUMPRODUCT((Upload_Indiv_Player=$A26)*(Upload_Indiv_Date=J$2)*(Upload_Indiv_Tot_Eagles)))</f>
        <v/>
      </c>
      <c r="K30" s="2" t="str" cm="1">
        <f t="array" ref="K30">IF(SUMPRODUCT((Upload_Indiv_Player=$A26)*(Upload_Indiv_Date=K$2)*(Upload_Indiv_Tot_Eagles))=0,"",SUMPRODUCT((Upload_Indiv_Player=$A26)*(Upload_Indiv_Date=K$2)*(Upload_Indiv_Tot_Eagles)))</f>
        <v/>
      </c>
      <c r="L30" s="2" t="str" cm="1">
        <f t="array" ref="L30">IF(SUMPRODUCT((Upload_Indiv_Player=$A26)*(Upload_Indiv_Date=L$2)*(Upload_Indiv_Tot_Eagles))=0,"",SUMPRODUCT((Upload_Indiv_Player=$A26)*(Upload_Indiv_Date=L$2)*(Upload_Indiv_Tot_Eagles)))</f>
        <v/>
      </c>
      <c r="M30" s="2" t="str" cm="1">
        <f t="array" ref="M30">IF(SUMPRODUCT((Upload_Indiv_Player=$A26)*(Upload_Indiv_Date=M$2)*(Upload_Indiv_Tot_Eagles))=0,"",SUMPRODUCT((Upload_Indiv_Player=$A26)*(Upload_Indiv_Date=M$2)*(Upload_Indiv_Tot_Eagles)))</f>
        <v/>
      </c>
      <c r="N30" s="2" t="str" cm="1">
        <f t="array" ref="N30">IF(SUMPRODUCT((Upload_Indiv_Player=$A26)*(Upload_Indiv_Date=N$2)*(Upload_Indiv_Tot_Eagles))=0,"",SUMPRODUCT((Upload_Indiv_Player=$A26)*(Upload_Indiv_Date=N$2)*(Upload_Indiv_Tot_Eagles)))</f>
        <v/>
      </c>
      <c r="O30" s="2" t="str" cm="1">
        <f t="array" ref="O30">IF(SUMPRODUCT((Upload_Indiv_Player=$A26)*(Upload_Indiv_Date=O$2)*(Upload_Indiv_Tot_Eagles))=0,"",SUMPRODUCT((Upload_Indiv_Player=$A26)*(Upload_Indiv_Date=O$2)*(Upload_Indiv_Tot_Eagles)))</f>
        <v/>
      </c>
      <c r="P30" s="2" t="str" cm="1">
        <f t="array" ref="P30">IF(SUMPRODUCT((Upload_Indiv_Player=$A26)*(Upload_Indiv_Date=P$2)*(Upload_Indiv_Tot_Eagles))=0,"",SUMPRODUCT((Upload_Indiv_Player=$A26)*(Upload_Indiv_Date=P$2)*(Upload_Indiv_Tot_Eagles)))</f>
        <v/>
      </c>
      <c r="Q30" s="2" t="str" cm="1">
        <f t="array" ref="Q30">IF(SUMPRODUCT((Upload_Indiv_Player=$A26)*(Upload_Indiv_Date=Q$2)*(Upload_Indiv_Tot_Eagles))=0,"",SUMPRODUCT((Upload_Indiv_Player=$A26)*(Upload_Indiv_Date=Q$2)*(Upload_Indiv_Tot_Eagles)))</f>
        <v/>
      </c>
      <c r="R30" s="2" t="str" cm="1">
        <f t="array" ref="R30">IF(SUMPRODUCT((Upload_Indiv_Player=$A26)*(Upload_Indiv_Date=R$2)*(Upload_Indiv_Tot_Eagles))=0,"",SUMPRODUCT((Upload_Indiv_Player=$A26)*(Upload_Indiv_Date=R$2)*(Upload_Indiv_Tot_Eagles)))</f>
        <v/>
      </c>
      <c r="S30" s="2" t="str" cm="1">
        <f t="array" ref="S30">IF(SUMPRODUCT((Upload_Indiv_Player=$A26)*(Upload_Indiv_Date=S$2)*(Upload_Indiv_Tot_Eagles))=0,"",SUMPRODUCT((Upload_Indiv_Player=$A26)*(Upload_Indiv_Date=S$2)*(Upload_Indiv_Tot_Eagles)))</f>
        <v/>
      </c>
      <c r="T30" s="2" t="str" cm="1">
        <f t="array" ref="T30">IF(SUMPRODUCT((Upload_Indiv_Player=$A26)*(Upload_Indiv_Date=T$2)*(Upload_Indiv_Tot_Eagles))=0,"",SUMPRODUCT((Upload_Indiv_Player=$A26)*(Upload_Indiv_Date=T$2)*(Upload_Indiv_Tot_Eagles)))</f>
        <v/>
      </c>
      <c r="U30" s="2" t="str" cm="1">
        <f t="array" ref="U30">IF(SUMPRODUCT((Upload_Indiv_Player=$A26)*(Upload_Indiv_Date=U$2)*(Upload_Indiv_Tot_Eagles))=0,"",SUMPRODUCT((Upload_Indiv_Player=$A26)*(Upload_Indiv_Date=U$2)*(Upload_Indiv_Tot_Eagles)))</f>
        <v/>
      </c>
      <c r="V30" s="276"/>
      <c r="W30" s="276"/>
      <c r="X30" s="276"/>
      <c r="Y30" s="277"/>
      <c r="Z30" s="277"/>
      <c r="AA30" s="277"/>
    </row>
    <row r="31" spans="1:27" x14ac:dyDescent="0.25">
      <c r="A31" s="306"/>
      <c r="B31" s="2" t="s">
        <v>176</v>
      </c>
      <c r="C31" s="2" t="str" cm="1">
        <f t="array" ref="C31">IF(SUMPRODUCT((Upload_Indiv_Player=$A26)*(Upload_Indiv_Date=C$2)*(Upload_Indiv_Excl_Score))=0,"",SUMPRODUCT((Upload_Indiv_Player=$A26)*(Upload_Indiv_Date=C$2)*(Upload_Indiv_Excl_Score)))</f>
        <v/>
      </c>
      <c r="D31" s="2" t="str" cm="1">
        <f t="array" ref="D31">IF(SUMPRODUCT((Upload_Indiv_Player=$A26)*(Upload_Indiv_Date=D$2)*(Upload_Indiv_Excl_Score))=0,"",SUMPRODUCT((Upload_Indiv_Player=$A26)*(Upload_Indiv_Date=D$2)*(Upload_Indiv_Excl_Score)))</f>
        <v/>
      </c>
      <c r="E31" s="2" t="str" cm="1">
        <f t="array" ref="E31">IF(SUMPRODUCT((Upload_Indiv_Player=$A26)*(Upload_Indiv_Date=E$2)*(Upload_Indiv_Excl_Score))=0,"",SUMPRODUCT((Upload_Indiv_Player=$A26)*(Upload_Indiv_Date=E$2)*(Upload_Indiv_Excl_Score)))</f>
        <v/>
      </c>
      <c r="F31" s="2" t="str" cm="1">
        <f t="array" ref="F31">IF(SUMPRODUCT((Upload_Indiv_Player=$A26)*(Upload_Indiv_Date=F$2)*(Upload_Indiv_Excl_Score))=0,"",SUMPRODUCT((Upload_Indiv_Player=$A26)*(Upload_Indiv_Date=F$2)*(Upload_Indiv_Excl_Score)))</f>
        <v/>
      </c>
      <c r="G31" s="2" t="str" cm="1">
        <f t="array" ref="G31">IF(SUMPRODUCT((Upload_Indiv_Player=$A26)*(Upload_Indiv_Date=G$2)*(Upload_Indiv_Excl_Score))=0,"",SUMPRODUCT((Upload_Indiv_Player=$A26)*(Upload_Indiv_Date=G$2)*(Upload_Indiv_Excl_Score)))</f>
        <v/>
      </c>
      <c r="H31" s="2" t="str" cm="1">
        <f t="array" ref="H31">IF(SUMPRODUCT((Upload_Indiv_Player=$A26)*(Upload_Indiv_Date=H$2)*(Upload_Indiv_Excl_Score))=0,"",SUMPRODUCT((Upload_Indiv_Player=$A26)*(Upload_Indiv_Date=H$2)*(Upload_Indiv_Excl_Score)))</f>
        <v/>
      </c>
      <c r="I31" s="2" t="str" cm="1">
        <f t="array" ref="I31">IF(SUMPRODUCT((Upload_Indiv_Player=$A26)*(Upload_Indiv_Date=I$2)*(Upload_Indiv_Excl_Score))=0,"",SUMPRODUCT((Upload_Indiv_Player=$A26)*(Upload_Indiv_Date=I$2)*(Upload_Indiv_Excl_Score)))</f>
        <v/>
      </c>
      <c r="J31" s="2" t="str" cm="1">
        <f t="array" ref="J31">IF(SUMPRODUCT((Upload_Indiv_Player=$A26)*(Upload_Indiv_Date=J$2)*(Upload_Indiv_Excl_Score))=0,"",SUMPRODUCT((Upload_Indiv_Player=$A26)*(Upload_Indiv_Date=J$2)*(Upload_Indiv_Excl_Score)))</f>
        <v/>
      </c>
      <c r="K31" s="2" t="str" cm="1">
        <f t="array" ref="K31">IF(SUMPRODUCT((Upload_Indiv_Player=$A26)*(Upload_Indiv_Date=K$2)*(Upload_Indiv_Excl_Score))=0,"",SUMPRODUCT((Upload_Indiv_Player=$A26)*(Upload_Indiv_Date=K$2)*(Upload_Indiv_Excl_Score)))</f>
        <v/>
      </c>
      <c r="L31" s="2" t="str" cm="1">
        <f t="array" ref="L31">IF(SUMPRODUCT((Upload_Indiv_Player=$A26)*(Upload_Indiv_Date=L$2)*(Upload_Indiv_Excl_Score))=0,"",SUMPRODUCT((Upload_Indiv_Player=$A26)*(Upload_Indiv_Date=L$2)*(Upload_Indiv_Excl_Score)))</f>
        <v/>
      </c>
      <c r="M31" s="2" t="str" cm="1">
        <f t="array" ref="M31">IF(SUMPRODUCT((Upload_Indiv_Player=$A26)*(Upload_Indiv_Date=M$2)*(Upload_Indiv_Excl_Score))=0,"",SUMPRODUCT((Upload_Indiv_Player=$A26)*(Upload_Indiv_Date=M$2)*(Upload_Indiv_Excl_Score)))</f>
        <v/>
      </c>
      <c r="N31" s="2" t="str" cm="1">
        <f t="array" ref="N31">IF(SUMPRODUCT((Upload_Indiv_Player=$A26)*(Upload_Indiv_Date=N$2)*(Upload_Indiv_Excl_Score))=0,"",SUMPRODUCT((Upload_Indiv_Player=$A26)*(Upload_Indiv_Date=N$2)*(Upload_Indiv_Excl_Score)))</f>
        <v/>
      </c>
      <c r="O31" s="2" t="str" cm="1">
        <f t="array" ref="O31">IF(SUMPRODUCT((Upload_Indiv_Player=$A26)*(Upload_Indiv_Date=O$2)*(Upload_Indiv_Excl_Score))=0,"",SUMPRODUCT((Upload_Indiv_Player=$A26)*(Upload_Indiv_Date=O$2)*(Upload_Indiv_Excl_Score)))</f>
        <v/>
      </c>
      <c r="P31" s="2" t="str" cm="1">
        <f t="array" ref="P31">IF(SUMPRODUCT((Upload_Indiv_Player=$A26)*(Upload_Indiv_Date=P$2)*(Upload_Indiv_Excl_Score))=0,"",SUMPRODUCT((Upload_Indiv_Player=$A26)*(Upload_Indiv_Date=P$2)*(Upload_Indiv_Excl_Score)))</f>
        <v/>
      </c>
      <c r="Q31" s="2" cm="1">
        <f t="array" ref="Q31">IF(SUMPRODUCT((Upload_Indiv_Player=$A26)*(Upload_Indiv_Date=Q$2)*(Upload_Indiv_Excl_Score))=0,"",SUMPRODUCT((Upload_Indiv_Player=$A26)*(Upload_Indiv_Date=Q$2)*(Upload_Indiv_Excl_Score)))</f>
        <v>1</v>
      </c>
      <c r="R31" s="2" t="str" cm="1">
        <f t="array" ref="R31">IF(SUMPRODUCT((Upload_Indiv_Player=$A26)*(Upload_Indiv_Date=R$2)*(Upload_Indiv_Excl_Score))=0,"",SUMPRODUCT((Upload_Indiv_Player=$A26)*(Upload_Indiv_Date=R$2)*(Upload_Indiv_Excl_Score)))</f>
        <v/>
      </c>
      <c r="S31" s="2" t="str" cm="1">
        <f t="array" ref="S31">IF(SUMPRODUCT((Upload_Indiv_Player=$A26)*(Upload_Indiv_Date=S$2)*(Upload_Indiv_Excl_Score))=0,"",SUMPRODUCT((Upload_Indiv_Player=$A26)*(Upload_Indiv_Date=S$2)*(Upload_Indiv_Excl_Score)))</f>
        <v/>
      </c>
      <c r="T31" s="2" cm="1">
        <f t="array" ref="T31">IF(SUMPRODUCT((Upload_Indiv_Player=$A26)*(Upload_Indiv_Date=T$2)*(Upload_Indiv_Excl_Score))=0,"",SUMPRODUCT((Upload_Indiv_Player=$A26)*(Upload_Indiv_Date=T$2)*(Upload_Indiv_Excl_Score)))</f>
        <v>6</v>
      </c>
      <c r="U31" s="2" t="str" cm="1">
        <f t="array" ref="U31">IF(SUMPRODUCT((Upload_Indiv_Player=$A26)*(Upload_Indiv_Date=U$2)*(Upload_Indiv_Excl_Score))=0,"",SUMPRODUCT((Upload_Indiv_Player=$A26)*(Upload_Indiv_Date=U$2)*(Upload_Indiv_Excl_Score)))</f>
        <v/>
      </c>
      <c r="V31" s="276"/>
      <c r="W31" s="276"/>
      <c r="X31" s="276"/>
      <c r="Y31" s="277"/>
      <c r="Z31" s="277"/>
      <c r="AA31" s="277"/>
    </row>
    <row r="32" spans="1:27" ht="13.8" thickBot="1" x14ac:dyDescent="0.3">
      <c r="A32" s="9" t="s">
        <v>160</v>
      </c>
      <c r="B32" s="8" t="s">
        <v>178</v>
      </c>
      <c r="C32" s="58" t="str">
        <f>IF(C26="", "", IF(C28&gt;=11, "w", IF(C28&lt;=9, "l", "t")))</f>
        <v>w</v>
      </c>
      <c r="D32" s="58" t="str">
        <f t="shared" ref="D32:S32" si="4">IF(D26="", "", IF(D28&gt;=11, "w", IF(D28&lt;=9, "l", "t")))</f>
        <v>w</v>
      </c>
      <c r="E32" s="58" t="str">
        <f t="shared" si="4"/>
        <v>w</v>
      </c>
      <c r="F32" s="58" t="str">
        <f t="shared" si="4"/>
        <v>w</v>
      </c>
      <c r="G32" s="58" t="str">
        <f t="shared" si="4"/>
        <v>w</v>
      </c>
      <c r="H32" s="58" t="str">
        <f t="shared" si="4"/>
        <v>t</v>
      </c>
      <c r="I32" s="58" t="str">
        <f t="shared" si="4"/>
        <v>l</v>
      </c>
      <c r="J32" s="58" t="str">
        <f t="shared" si="4"/>
        <v/>
      </c>
      <c r="K32" s="58" t="str">
        <f t="shared" si="4"/>
        <v>w</v>
      </c>
      <c r="L32" s="58" t="str">
        <f t="shared" si="4"/>
        <v>w</v>
      </c>
      <c r="M32" s="58" t="str">
        <f t="shared" si="4"/>
        <v>l</v>
      </c>
      <c r="N32" s="58" t="str">
        <f t="shared" si="4"/>
        <v/>
      </c>
      <c r="O32" s="58" t="str">
        <f t="shared" si="4"/>
        <v>w</v>
      </c>
      <c r="P32" s="58" t="str">
        <f t="shared" si="4"/>
        <v>l</v>
      </c>
      <c r="Q32" s="58" t="str">
        <f t="shared" si="4"/>
        <v>l</v>
      </c>
      <c r="R32" s="58" t="str">
        <f t="shared" si="4"/>
        <v>l</v>
      </c>
      <c r="S32" s="58" t="str">
        <f t="shared" si="4"/>
        <v>l</v>
      </c>
      <c r="T32" s="58" t="str">
        <f>IF(T26="", "", IF(T28&gt;=11, "w", IF(T28&lt;=9, "l", "t")))</f>
        <v>w</v>
      </c>
      <c r="U32" s="58" t="str">
        <f>IF(U26="", "", IF(U28&gt;=11, "w", IF(U28&lt;=9, "l", "t")))</f>
        <v/>
      </c>
      <c r="V32" s="276"/>
      <c r="W32" s="276"/>
      <c r="X32" s="276"/>
      <c r="Y32" s="277"/>
      <c r="Z32" s="277"/>
      <c r="AA32" s="277"/>
    </row>
    <row r="33" spans="1:27" x14ac:dyDescent="0.25">
      <c r="A33" s="303"/>
      <c r="B33" s="3" t="s">
        <v>170</v>
      </c>
      <c r="C33" s="3" t="str" cm="1">
        <f t="array" ref="C33">IF(SUMPRODUCT((Upload_Indiv_Player=$A33)*(Upload_Indiv_Date=C$2)*(Upload_Indiv_Gross))=0,"",SUMPRODUCT((Upload_Indiv_Player=$A33)*(Upload_Indiv_Date=C$2)*(Upload_Indiv_Gross)))</f>
        <v/>
      </c>
      <c r="D33" s="3" t="str" cm="1">
        <f t="array" ref="D33">IF(SUMPRODUCT((Upload_Indiv_Player=$A33)*(Upload_Indiv_Date=D$2)*(Upload_Indiv_Gross))=0,"",SUMPRODUCT((Upload_Indiv_Player=$A33)*(Upload_Indiv_Date=D$2)*(Upload_Indiv_Gross)))</f>
        <v/>
      </c>
      <c r="E33" s="3" t="str" cm="1">
        <f t="array" ref="E33">IF(SUMPRODUCT((Upload_Indiv_Player=$A33)*(Upload_Indiv_Date=E$2)*(Upload_Indiv_Gross))=0,"",SUMPRODUCT((Upload_Indiv_Player=$A33)*(Upload_Indiv_Date=E$2)*(Upload_Indiv_Gross)))</f>
        <v/>
      </c>
      <c r="F33" s="3" t="str" cm="1">
        <f t="array" ref="F33">IF(SUMPRODUCT((Upload_Indiv_Player=$A33)*(Upload_Indiv_Date=F$2)*(Upload_Indiv_Gross))=0,"",SUMPRODUCT((Upload_Indiv_Player=$A33)*(Upload_Indiv_Date=F$2)*(Upload_Indiv_Gross)))</f>
        <v/>
      </c>
      <c r="G33" s="3" t="str" cm="1">
        <f t="array" ref="G33">IF(SUMPRODUCT((Upload_Indiv_Player=$A33)*(Upload_Indiv_Date=G$2)*(Upload_Indiv_Gross))=0,"",SUMPRODUCT((Upload_Indiv_Player=$A33)*(Upload_Indiv_Date=G$2)*(Upload_Indiv_Gross)))</f>
        <v/>
      </c>
      <c r="H33" s="3" t="str" cm="1">
        <f t="array" ref="H33">IF(SUMPRODUCT((Upload_Indiv_Player=$A33)*(Upload_Indiv_Date=H$2)*(Upload_Indiv_Gross))=0,"",SUMPRODUCT((Upload_Indiv_Player=$A33)*(Upload_Indiv_Date=H$2)*(Upload_Indiv_Gross)))</f>
        <v/>
      </c>
      <c r="I33" s="3" t="str" cm="1">
        <f t="array" ref="I33">IF(SUMPRODUCT((Upload_Indiv_Player=$A33)*(Upload_Indiv_Date=I$2)*(Upload_Indiv_Gross))=0,"",SUMPRODUCT((Upload_Indiv_Player=$A33)*(Upload_Indiv_Date=I$2)*(Upload_Indiv_Gross)))</f>
        <v/>
      </c>
      <c r="J33" s="3" t="str" cm="1">
        <f t="array" ref="J33">IF(SUMPRODUCT((Upload_Indiv_Player=$A33)*(Upload_Indiv_Date=J$2)*(Upload_Indiv_Gross))=0,"",SUMPRODUCT((Upload_Indiv_Player=$A33)*(Upload_Indiv_Date=J$2)*(Upload_Indiv_Gross)))</f>
        <v/>
      </c>
      <c r="K33" s="3" t="str" cm="1">
        <f t="array" ref="K33">IF(SUMPRODUCT((Upload_Indiv_Player=$A33)*(Upload_Indiv_Date=K$2)*(Upload_Indiv_Gross))=0,"",SUMPRODUCT((Upload_Indiv_Player=$A33)*(Upload_Indiv_Date=K$2)*(Upload_Indiv_Gross)))</f>
        <v/>
      </c>
      <c r="L33" s="3" t="str" cm="1">
        <f t="array" ref="L33">IF(SUMPRODUCT((Upload_Indiv_Player=$A33)*(Upload_Indiv_Date=L$2)*(Upload_Indiv_Gross))=0,"",SUMPRODUCT((Upload_Indiv_Player=$A33)*(Upload_Indiv_Date=L$2)*(Upload_Indiv_Gross)))</f>
        <v/>
      </c>
      <c r="M33" s="3" t="str" cm="1">
        <f t="array" ref="M33">IF(SUMPRODUCT((Upload_Indiv_Player=$A33)*(Upload_Indiv_Date=M$2)*(Upload_Indiv_Gross))=0,"",SUMPRODUCT((Upload_Indiv_Player=$A33)*(Upload_Indiv_Date=M$2)*(Upload_Indiv_Gross)))</f>
        <v/>
      </c>
      <c r="N33" s="3" t="str" cm="1">
        <f t="array" ref="N33">IF(SUMPRODUCT((Upload_Indiv_Player=$A33)*(Upload_Indiv_Date=N$2)*(Upload_Indiv_Gross))=0,"",SUMPRODUCT((Upload_Indiv_Player=$A33)*(Upload_Indiv_Date=N$2)*(Upload_Indiv_Gross)))</f>
        <v/>
      </c>
      <c r="O33" s="3" t="str" cm="1">
        <f t="array" ref="O33">IF(SUMPRODUCT((Upload_Indiv_Player=$A33)*(Upload_Indiv_Date=O$2)*(Upload_Indiv_Gross))=0,"",SUMPRODUCT((Upload_Indiv_Player=$A33)*(Upload_Indiv_Date=O$2)*(Upload_Indiv_Gross)))</f>
        <v/>
      </c>
      <c r="P33" s="3" t="str" cm="1">
        <f t="array" ref="P33">IF(SUMPRODUCT((Upload_Indiv_Player=$A33)*(Upload_Indiv_Date=P$2)*(Upload_Indiv_Gross))=0,"",SUMPRODUCT((Upload_Indiv_Player=$A33)*(Upload_Indiv_Date=P$2)*(Upload_Indiv_Gross)))</f>
        <v/>
      </c>
      <c r="Q33" s="2" t="str" cm="1">
        <f t="array" ref="Q33">IF(SUMPRODUCT((Upload_Indiv_Player=$A33)*(Upload_Indiv_Date=Q$2)*(Upload_Indiv_Gross))=0,"",SUMPRODUCT((Upload_Indiv_Player=$A33)*(Upload_Indiv_Date=Q$2)*(Upload_Indiv_Gross)))</f>
        <v/>
      </c>
      <c r="R33" s="2" t="str" cm="1">
        <f t="array" ref="R33">IF(SUMPRODUCT((Upload_Indiv_Player=$A33)*(Upload_Indiv_Date=R$2)*(Upload_Indiv_Gross))=0,"",SUMPRODUCT((Upload_Indiv_Player=$A33)*(Upload_Indiv_Date=R$2)*(Upload_Indiv_Gross)))</f>
        <v/>
      </c>
      <c r="S33" s="2" t="str" cm="1">
        <f t="array" ref="S33">IF(SUMPRODUCT((Upload_Indiv_Player=$A33)*(Upload_Indiv_Date=S$2)*(Upload_Indiv_Gross))=0,"",SUMPRODUCT((Upload_Indiv_Player=$A33)*(Upload_Indiv_Date=S$2)*(Upload_Indiv_Gross)))</f>
        <v/>
      </c>
      <c r="T33" s="2" t="str" cm="1">
        <f t="array" ref="T33">IF(SUMPRODUCT((Upload_Indiv_Player=$A33)*(Upload_Indiv_Date=T$2)*(Upload_Indiv_Gross))=0,"",SUMPRODUCT((Upload_Indiv_Player=$A33)*(Upload_Indiv_Date=T$2)*(Upload_Indiv_Gross)))</f>
        <v/>
      </c>
      <c r="U33" s="2" t="str" cm="1">
        <f t="array" ref="U33">IF(SUMPRODUCT((Upload_Indiv_Player=$A33)*(Upload_Indiv_Date=U$2)*(Upload_Indiv_Gross))=0,"",SUMPRODUCT((Upload_Indiv_Player=$A33)*(Upload_Indiv_Date=U$2)*(Upload_Indiv_Gross)))</f>
        <v/>
      </c>
      <c r="V33" s="273"/>
      <c r="W33" s="273"/>
      <c r="X33" s="273"/>
      <c r="Y33" s="277"/>
      <c r="Z33" s="277"/>
      <c r="AA33" s="277"/>
    </row>
    <row r="34" spans="1:27" x14ac:dyDescent="0.25">
      <c r="A34" s="304"/>
      <c r="B34" s="2" t="s">
        <v>171</v>
      </c>
      <c r="C34" s="2" t="str" cm="1">
        <f t="array" ref="C34">IF(SUMPRODUCT((Upload_Indiv_Player=$A33)*(Upload_Indiv_Date=C$2)*(Upload_Indiv_Net))=0,"",SUMPRODUCT((Upload_Indiv_Player=$A33)*(Upload_Indiv_Date=C$2)*(Upload_Indiv_Net)))</f>
        <v/>
      </c>
      <c r="D34" s="2" t="str" cm="1">
        <f t="array" ref="D34">IF(SUMPRODUCT((Upload_Indiv_Player=$A33)*(Upload_Indiv_Date=D$2)*(Upload_Indiv_Net))=0,"",SUMPRODUCT((Upload_Indiv_Player=$A33)*(Upload_Indiv_Date=D$2)*(Upload_Indiv_Net)))</f>
        <v/>
      </c>
      <c r="E34" s="2" t="str" cm="1">
        <f t="array" ref="E34">IF(SUMPRODUCT((Upload_Indiv_Player=$A33)*(Upload_Indiv_Date=E$2)*(Upload_Indiv_Net))=0,"",SUMPRODUCT((Upload_Indiv_Player=$A33)*(Upload_Indiv_Date=E$2)*(Upload_Indiv_Net)))</f>
        <v/>
      </c>
      <c r="F34" s="2" t="str" cm="1">
        <f t="array" ref="F34">IF(SUMPRODUCT((Upload_Indiv_Player=$A33)*(Upload_Indiv_Date=F$2)*(Upload_Indiv_Net))=0,"",SUMPRODUCT((Upload_Indiv_Player=$A33)*(Upload_Indiv_Date=F$2)*(Upload_Indiv_Net)))</f>
        <v/>
      </c>
      <c r="G34" s="2" t="str" cm="1">
        <f t="array" ref="G34">IF(SUMPRODUCT((Upload_Indiv_Player=$A33)*(Upload_Indiv_Date=G$2)*(Upload_Indiv_Net))=0,"",SUMPRODUCT((Upload_Indiv_Player=$A33)*(Upload_Indiv_Date=G$2)*(Upload_Indiv_Net)))</f>
        <v/>
      </c>
      <c r="H34" s="2" t="str" cm="1">
        <f t="array" ref="H34">IF(SUMPRODUCT((Upload_Indiv_Player=$A33)*(Upload_Indiv_Date=H$2)*(Upload_Indiv_Net))=0,"",SUMPRODUCT((Upload_Indiv_Player=$A33)*(Upload_Indiv_Date=H$2)*(Upload_Indiv_Net)))</f>
        <v/>
      </c>
      <c r="I34" s="2" t="str" cm="1">
        <f t="array" ref="I34">IF(SUMPRODUCT((Upload_Indiv_Player=$A33)*(Upload_Indiv_Date=I$2)*(Upload_Indiv_Net))=0,"",SUMPRODUCT((Upload_Indiv_Player=$A33)*(Upload_Indiv_Date=I$2)*(Upload_Indiv_Net)))</f>
        <v/>
      </c>
      <c r="J34" s="2" t="str" cm="1">
        <f t="array" ref="J34">IF(SUMPRODUCT((Upload_Indiv_Player=$A33)*(Upload_Indiv_Date=J$2)*(Upload_Indiv_Net))=0,"",SUMPRODUCT((Upload_Indiv_Player=$A33)*(Upload_Indiv_Date=J$2)*(Upload_Indiv_Net)))</f>
        <v/>
      </c>
      <c r="K34" s="2" t="str" cm="1">
        <f t="array" ref="K34">IF(SUMPRODUCT((Upload_Indiv_Player=$A33)*(Upload_Indiv_Date=K$2)*(Upload_Indiv_Net))=0,"",SUMPRODUCT((Upload_Indiv_Player=$A33)*(Upload_Indiv_Date=K$2)*(Upload_Indiv_Net)))</f>
        <v/>
      </c>
      <c r="L34" s="2" t="str" cm="1">
        <f t="array" ref="L34">IF(SUMPRODUCT((Upload_Indiv_Player=$A33)*(Upload_Indiv_Date=L$2)*(Upload_Indiv_Net))=0,"",SUMPRODUCT((Upload_Indiv_Player=$A33)*(Upload_Indiv_Date=L$2)*(Upload_Indiv_Net)))</f>
        <v/>
      </c>
      <c r="M34" s="2" t="str" cm="1">
        <f t="array" ref="M34">IF(SUMPRODUCT((Upload_Indiv_Player=$A33)*(Upload_Indiv_Date=M$2)*(Upload_Indiv_Net))=0,"",SUMPRODUCT((Upload_Indiv_Player=$A33)*(Upload_Indiv_Date=M$2)*(Upload_Indiv_Net)))</f>
        <v/>
      </c>
      <c r="N34" s="2" t="str" cm="1">
        <f t="array" ref="N34">IF(SUMPRODUCT((Upload_Indiv_Player=$A33)*(Upload_Indiv_Date=N$2)*(Upload_Indiv_Net))=0,"",SUMPRODUCT((Upload_Indiv_Player=$A33)*(Upload_Indiv_Date=N$2)*(Upload_Indiv_Net)))</f>
        <v/>
      </c>
      <c r="O34" s="2" t="str" cm="1">
        <f t="array" ref="O34">IF(SUMPRODUCT((Upload_Indiv_Player=$A33)*(Upload_Indiv_Date=O$2)*(Upload_Indiv_Net))=0,"",SUMPRODUCT((Upload_Indiv_Player=$A33)*(Upload_Indiv_Date=O$2)*(Upload_Indiv_Net)))</f>
        <v/>
      </c>
      <c r="P34" s="2" t="str" cm="1">
        <f t="array" ref="P34">IF(SUMPRODUCT((Upload_Indiv_Player=$A33)*(Upload_Indiv_Date=P$2)*(Upload_Indiv_Net))=0,"",SUMPRODUCT((Upload_Indiv_Player=$A33)*(Upload_Indiv_Date=P$2)*(Upload_Indiv_Net)))</f>
        <v/>
      </c>
      <c r="Q34" s="2" t="str" cm="1">
        <f t="array" ref="Q34">IF(SUMPRODUCT((Upload_Indiv_Player=$A33)*(Upload_Indiv_Date=Q$2)*(Upload_Indiv_Net))=0,"",SUMPRODUCT((Upload_Indiv_Player=$A33)*(Upload_Indiv_Date=Q$2)*(Upload_Indiv_Net)))</f>
        <v/>
      </c>
      <c r="R34" s="2" t="str" cm="1">
        <f t="array" ref="R34">IF(SUMPRODUCT((Upload_Indiv_Player=$A33)*(Upload_Indiv_Date=R$2)*(Upload_Indiv_Net))=0,"",SUMPRODUCT((Upload_Indiv_Player=$A33)*(Upload_Indiv_Date=R$2)*(Upload_Indiv_Net)))</f>
        <v/>
      </c>
      <c r="S34" s="2" t="str" cm="1">
        <f t="array" ref="S34">IF(SUMPRODUCT((Upload_Indiv_Player=$A33)*(Upload_Indiv_Date=S$2)*(Upload_Indiv_Net))=0,"",SUMPRODUCT((Upload_Indiv_Player=$A33)*(Upload_Indiv_Date=S$2)*(Upload_Indiv_Net)))</f>
        <v/>
      </c>
      <c r="T34" s="2" t="str" cm="1">
        <f t="array" ref="T34">IF(SUMPRODUCT((Upload_Indiv_Player=$A33)*(Upload_Indiv_Date=T$2)*(Upload_Indiv_Net))=0,"",SUMPRODUCT((Upload_Indiv_Player=$A33)*(Upload_Indiv_Date=T$2)*(Upload_Indiv_Net)))</f>
        <v/>
      </c>
      <c r="U34" s="2" t="str" cm="1">
        <f t="array" ref="U34">IF(SUMPRODUCT((Upload_Indiv_Player=$A33)*(Upload_Indiv_Date=U$2)*(Upload_Indiv_Net))=0,"",SUMPRODUCT((Upload_Indiv_Player=$A33)*(Upload_Indiv_Date=U$2)*(Upload_Indiv_Net)))</f>
        <v/>
      </c>
      <c r="V34" s="276"/>
      <c r="W34" s="276"/>
      <c r="X34" s="276"/>
      <c r="Y34" s="277"/>
      <c r="Z34" s="277"/>
      <c r="AA34" s="277"/>
    </row>
    <row r="35" spans="1:27" x14ac:dyDescent="0.25">
      <c r="A35" s="305"/>
      <c r="B35" s="2" t="s">
        <v>173</v>
      </c>
      <c r="C35" s="2" t="str" cm="1">
        <f t="array" ref="C35">IF(SUMPRODUCT((Upload_Indiv_Player=$A33)*(Upload_Indiv_Date=C$2)*(Upload_Indiv_PointsTot))=0,"",SUMPRODUCT((Upload_Indiv_Player=$A33)*(Upload_Indiv_Date=C$2)*(Upload_Indiv_PointsTot)))</f>
        <v/>
      </c>
      <c r="D35" s="2" t="str" cm="1">
        <f t="array" ref="D35">IF(SUMPRODUCT((Upload_Indiv_Player=$A33)*(Upload_Indiv_Date=D$2)*(Upload_Indiv_PointsTot))=0,"",SUMPRODUCT((Upload_Indiv_Player=$A33)*(Upload_Indiv_Date=D$2)*(Upload_Indiv_PointsTot)))</f>
        <v/>
      </c>
      <c r="E35" s="2" t="str" cm="1">
        <f t="array" ref="E35">IF(SUMPRODUCT((Upload_Indiv_Player=$A33)*(Upload_Indiv_Date=E$2)*(Upload_Indiv_PointsTot))=0,"",SUMPRODUCT((Upload_Indiv_Player=$A33)*(Upload_Indiv_Date=E$2)*(Upload_Indiv_PointsTot)))</f>
        <v/>
      </c>
      <c r="F35" s="2" t="str" cm="1">
        <f t="array" ref="F35">IF(SUMPRODUCT((Upload_Indiv_Player=$A33)*(Upload_Indiv_Date=F$2)*(Upload_Indiv_PointsTot))=0,"",SUMPRODUCT((Upload_Indiv_Player=$A33)*(Upload_Indiv_Date=F$2)*(Upload_Indiv_PointsTot)))</f>
        <v/>
      </c>
      <c r="G35" s="2" t="str" cm="1">
        <f t="array" ref="G35">IF(SUMPRODUCT((Upload_Indiv_Player=$A33)*(Upload_Indiv_Date=G$2)*(Upload_Indiv_PointsTot))=0,"",SUMPRODUCT((Upload_Indiv_Player=$A33)*(Upload_Indiv_Date=G$2)*(Upload_Indiv_PointsTot)))</f>
        <v/>
      </c>
      <c r="H35" s="2" t="str" cm="1">
        <f t="array" ref="H35">IF(SUMPRODUCT((Upload_Indiv_Player=$A33)*(Upload_Indiv_Date=H$2)*(Upload_Indiv_PointsTot))=0,"",SUMPRODUCT((Upload_Indiv_Player=$A33)*(Upload_Indiv_Date=H$2)*(Upload_Indiv_PointsTot)))</f>
        <v/>
      </c>
      <c r="I35" s="2" t="str" cm="1">
        <f t="array" ref="I35">IF(SUMPRODUCT((Upload_Indiv_Player=$A33)*(Upload_Indiv_Date=I$2)*(Upload_Indiv_PointsTot))=0,"",SUMPRODUCT((Upload_Indiv_Player=$A33)*(Upload_Indiv_Date=I$2)*(Upload_Indiv_PointsTot)))</f>
        <v/>
      </c>
      <c r="J35" s="2" t="str" cm="1">
        <f t="array" ref="J35">IF(SUMPRODUCT((Upload_Indiv_Player=$A33)*(Upload_Indiv_Date=J$2)*(Upload_Indiv_PointsTot))=0,"",SUMPRODUCT((Upload_Indiv_Player=$A33)*(Upload_Indiv_Date=J$2)*(Upload_Indiv_PointsTot)))</f>
        <v/>
      </c>
      <c r="K35" s="2" t="str" cm="1">
        <f t="array" ref="K35">IF(SUMPRODUCT((Upload_Indiv_Player=$A33)*(Upload_Indiv_Date=K$2)*(Upload_Indiv_PointsTot))=0,"",SUMPRODUCT((Upload_Indiv_Player=$A33)*(Upload_Indiv_Date=K$2)*(Upload_Indiv_PointsTot)))</f>
        <v/>
      </c>
      <c r="L35" s="2" t="str" cm="1">
        <f t="array" ref="L35">IF(SUMPRODUCT((Upload_Indiv_Player=$A33)*(Upload_Indiv_Date=L$2)*(Upload_Indiv_PointsTot))=0,"",SUMPRODUCT((Upload_Indiv_Player=$A33)*(Upload_Indiv_Date=L$2)*(Upload_Indiv_PointsTot)))</f>
        <v/>
      </c>
      <c r="M35" s="2" t="str" cm="1">
        <f t="array" ref="M35">IF(SUMPRODUCT((Upload_Indiv_Player=$A33)*(Upload_Indiv_Date=M$2)*(Upload_Indiv_PointsTot))=0,"",SUMPRODUCT((Upload_Indiv_Player=$A33)*(Upload_Indiv_Date=M$2)*(Upload_Indiv_PointsTot)))</f>
        <v/>
      </c>
      <c r="N35" s="2" t="str" cm="1">
        <f t="array" ref="N35">IF(SUMPRODUCT((Upload_Indiv_Player=$A33)*(Upload_Indiv_Date=N$2)*(Upload_Indiv_PointsTot))=0,"",SUMPRODUCT((Upload_Indiv_Player=$A33)*(Upload_Indiv_Date=N$2)*(Upload_Indiv_PointsTot)))</f>
        <v/>
      </c>
      <c r="O35" s="2" t="str" cm="1">
        <f t="array" ref="O35">IF(SUMPRODUCT((Upload_Indiv_Player=$A33)*(Upload_Indiv_Date=O$2)*(Upload_Indiv_PointsTot))=0,"",SUMPRODUCT((Upload_Indiv_Player=$A33)*(Upload_Indiv_Date=O$2)*(Upload_Indiv_PointsTot)))</f>
        <v/>
      </c>
      <c r="P35" s="2" t="str" cm="1">
        <f t="array" ref="P35">IF(SUMPRODUCT((Upload_Indiv_Player=$A33)*(Upload_Indiv_Date=P$2)*(Upload_Indiv_PointsTot))=0,"",SUMPRODUCT((Upload_Indiv_Player=$A33)*(Upload_Indiv_Date=P$2)*(Upload_Indiv_PointsTot)))</f>
        <v/>
      </c>
      <c r="Q35" s="2" t="str" cm="1">
        <f t="array" ref="Q35">IF(SUMPRODUCT((Upload_Indiv_Player=$A33)*(Upload_Indiv_Date=Q$2)*(Upload_Indiv_PointsTot))=0,"",SUMPRODUCT((Upload_Indiv_Player=$A33)*(Upload_Indiv_Date=Q$2)*(Upload_Indiv_PointsTot)))</f>
        <v/>
      </c>
      <c r="R35" s="2" t="str" cm="1">
        <f t="array" ref="R35">IF(SUMPRODUCT((Upload_Indiv_Player=$A33)*(Upload_Indiv_Date=R$2)*(Upload_Indiv_PointsTot))=0,"",SUMPRODUCT((Upload_Indiv_Player=$A33)*(Upload_Indiv_Date=R$2)*(Upload_Indiv_PointsTot)))</f>
        <v/>
      </c>
      <c r="S35" s="2" t="str" cm="1">
        <f t="array" ref="S35">IF(SUMPRODUCT((Upload_Indiv_Player=$A33)*(Upload_Indiv_Date=S$2)*(Upload_Indiv_PointsTot))=0,"",SUMPRODUCT((Upload_Indiv_Player=$A33)*(Upload_Indiv_Date=S$2)*(Upload_Indiv_PointsTot)))</f>
        <v/>
      </c>
      <c r="T35" s="2" t="str" cm="1">
        <f t="array" ref="T35">IF(SUMPRODUCT((Upload_Indiv_Player=$A33)*(Upload_Indiv_Date=T$2)*(Upload_Indiv_PointsTot))=0,"",SUMPRODUCT((Upload_Indiv_Player=$A33)*(Upload_Indiv_Date=T$2)*(Upload_Indiv_PointsTot)))</f>
        <v/>
      </c>
      <c r="U35" s="2" t="str" cm="1">
        <f t="array" ref="U35">IF(SUMPRODUCT((Upload_Indiv_Player=$A33)*(Upload_Indiv_Date=U$2)*(Upload_Indiv_PointsTot))=0,"",SUMPRODUCT((Upload_Indiv_Player=$A33)*(Upload_Indiv_Date=U$2)*(Upload_Indiv_PointsTot)))</f>
        <v/>
      </c>
      <c r="V35" s="276"/>
      <c r="W35" s="276"/>
      <c r="X35" s="276"/>
      <c r="Y35" s="277"/>
      <c r="Z35" s="277"/>
      <c r="AA35" s="277"/>
    </row>
    <row r="36" spans="1:27" x14ac:dyDescent="0.25">
      <c r="A36" s="306"/>
      <c r="B36" s="2" t="s">
        <v>174</v>
      </c>
      <c r="C36" s="2" t="str" cm="1">
        <f t="array" ref="C36">IF(SUMPRODUCT((Upload_Indiv_Player=$A33)*(Upload_Indiv_Date=C$2)*(Upload_Indiv_Tot_Birds))=0,"",SUMPRODUCT((Upload_Indiv_Player=$A33)*(Upload_Indiv_Date=C$2)*(Upload_Indiv_Tot_Birds)))</f>
        <v/>
      </c>
      <c r="D36" s="2" t="str" cm="1">
        <f t="array" ref="D36">IF(SUMPRODUCT((Upload_Indiv_Player=$A33)*(Upload_Indiv_Date=D$2)*(Upload_Indiv_Tot_Birds))=0,"",SUMPRODUCT((Upload_Indiv_Player=$A33)*(Upload_Indiv_Date=D$2)*(Upload_Indiv_Tot_Birds)))</f>
        <v/>
      </c>
      <c r="E36" s="2" t="str" cm="1">
        <f t="array" ref="E36">IF(SUMPRODUCT((Upload_Indiv_Player=$A33)*(Upload_Indiv_Date=E$2)*(Upload_Indiv_Tot_Birds))=0,"",SUMPRODUCT((Upload_Indiv_Player=$A33)*(Upload_Indiv_Date=E$2)*(Upload_Indiv_Tot_Birds)))</f>
        <v/>
      </c>
      <c r="F36" s="2" t="str" cm="1">
        <f t="array" ref="F36">IF(SUMPRODUCT((Upload_Indiv_Player=$A33)*(Upload_Indiv_Date=F$2)*(Upload_Indiv_Tot_Birds))=0,"",SUMPRODUCT((Upload_Indiv_Player=$A33)*(Upload_Indiv_Date=F$2)*(Upload_Indiv_Tot_Birds)))</f>
        <v/>
      </c>
      <c r="G36" s="2" t="str" cm="1">
        <f t="array" ref="G36">IF(SUMPRODUCT((Upload_Indiv_Player=$A33)*(Upload_Indiv_Date=G$2)*(Upload_Indiv_Tot_Birds))=0,"",SUMPRODUCT((Upload_Indiv_Player=$A33)*(Upload_Indiv_Date=G$2)*(Upload_Indiv_Tot_Birds)))</f>
        <v/>
      </c>
      <c r="H36" s="2" t="str" cm="1">
        <f t="array" ref="H36">IF(SUMPRODUCT((Upload_Indiv_Player=$A33)*(Upload_Indiv_Date=H$2)*(Upload_Indiv_Tot_Birds))=0,"",SUMPRODUCT((Upload_Indiv_Player=$A33)*(Upload_Indiv_Date=H$2)*(Upload_Indiv_Tot_Birds)))</f>
        <v/>
      </c>
      <c r="I36" s="2" t="str" cm="1">
        <f t="array" ref="I36">IF(SUMPRODUCT((Upload_Indiv_Player=$A33)*(Upload_Indiv_Date=I$2)*(Upload_Indiv_Tot_Birds))=0,"",SUMPRODUCT((Upload_Indiv_Player=$A33)*(Upload_Indiv_Date=I$2)*(Upload_Indiv_Tot_Birds)))</f>
        <v/>
      </c>
      <c r="J36" s="2" t="str" cm="1">
        <f t="array" ref="J36">IF(SUMPRODUCT((Upload_Indiv_Player=$A33)*(Upload_Indiv_Date=J$2)*(Upload_Indiv_Tot_Birds))=0,"",SUMPRODUCT((Upload_Indiv_Player=$A33)*(Upload_Indiv_Date=J$2)*(Upload_Indiv_Tot_Birds)))</f>
        <v/>
      </c>
      <c r="K36" s="2" t="str" cm="1">
        <f t="array" ref="K36">IF(SUMPRODUCT((Upload_Indiv_Player=$A33)*(Upload_Indiv_Date=K$2)*(Upload_Indiv_Tot_Birds))=0,"",SUMPRODUCT((Upload_Indiv_Player=$A33)*(Upload_Indiv_Date=K$2)*(Upload_Indiv_Tot_Birds)))</f>
        <v/>
      </c>
      <c r="L36" s="2" t="str" cm="1">
        <f t="array" ref="L36">IF(SUMPRODUCT((Upload_Indiv_Player=$A33)*(Upload_Indiv_Date=L$2)*(Upload_Indiv_Tot_Birds))=0,"",SUMPRODUCT((Upload_Indiv_Player=$A33)*(Upload_Indiv_Date=L$2)*(Upload_Indiv_Tot_Birds)))</f>
        <v/>
      </c>
      <c r="M36" s="2" t="str" cm="1">
        <f t="array" ref="M36">IF(SUMPRODUCT((Upload_Indiv_Player=$A33)*(Upload_Indiv_Date=M$2)*(Upload_Indiv_Tot_Birds))=0,"",SUMPRODUCT((Upload_Indiv_Player=$A33)*(Upload_Indiv_Date=M$2)*(Upload_Indiv_Tot_Birds)))</f>
        <v/>
      </c>
      <c r="N36" s="2" t="str" cm="1">
        <f t="array" ref="N36">IF(SUMPRODUCT((Upload_Indiv_Player=$A33)*(Upload_Indiv_Date=N$2)*(Upload_Indiv_Tot_Birds))=0,"",SUMPRODUCT((Upload_Indiv_Player=$A33)*(Upload_Indiv_Date=N$2)*(Upload_Indiv_Tot_Birds)))</f>
        <v/>
      </c>
      <c r="O36" s="2" t="str" cm="1">
        <f t="array" ref="O36">IF(SUMPRODUCT((Upload_Indiv_Player=$A33)*(Upload_Indiv_Date=O$2)*(Upload_Indiv_Tot_Birds))=0,"",SUMPRODUCT((Upload_Indiv_Player=$A33)*(Upload_Indiv_Date=O$2)*(Upload_Indiv_Tot_Birds)))</f>
        <v/>
      </c>
      <c r="P36" s="2" t="str" cm="1">
        <f t="array" ref="P36">IF(SUMPRODUCT((Upload_Indiv_Player=$A33)*(Upload_Indiv_Date=P$2)*(Upload_Indiv_Tot_Birds))=0,"",SUMPRODUCT((Upload_Indiv_Player=$A33)*(Upload_Indiv_Date=P$2)*(Upload_Indiv_Tot_Birds)))</f>
        <v/>
      </c>
      <c r="Q36" s="2" t="str" cm="1">
        <f t="array" ref="Q36">IF(SUMPRODUCT((Upload_Indiv_Player=$A33)*(Upload_Indiv_Date=Q$2)*(Upload_Indiv_Tot_Birds))=0,"",SUMPRODUCT((Upload_Indiv_Player=$A33)*(Upload_Indiv_Date=Q$2)*(Upload_Indiv_Tot_Birds)))</f>
        <v/>
      </c>
      <c r="R36" s="2" t="str" cm="1">
        <f t="array" ref="R36">IF(SUMPRODUCT((Upload_Indiv_Player=$A33)*(Upload_Indiv_Date=R$2)*(Upload_Indiv_Tot_Birds))=0,"",SUMPRODUCT((Upload_Indiv_Player=$A33)*(Upload_Indiv_Date=R$2)*(Upload_Indiv_Tot_Birds)))</f>
        <v/>
      </c>
      <c r="S36" s="2" t="str" cm="1">
        <f t="array" ref="S36">IF(SUMPRODUCT((Upload_Indiv_Player=$A33)*(Upload_Indiv_Date=S$2)*(Upload_Indiv_Tot_Birds))=0,"",SUMPRODUCT((Upload_Indiv_Player=$A33)*(Upload_Indiv_Date=S$2)*(Upload_Indiv_Tot_Birds)))</f>
        <v/>
      </c>
      <c r="T36" s="2" t="str" cm="1">
        <f t="array" ref="T36">IF(SUMPRODUCT((Upload_Indiv_Player=$A33)*(Upload_Indiv_Date=T$2)*(Upload_Indiv_Tot_Birds))=0,"",SUMPRODUCT((Upload_Indiv_Player=$A33)*(Upload_Indiv_Date=T$2)*(Upload_Indiv_Tot_Birds)))</f>
        <v/>
      </c>
      <c r="U36" s="2" t="str" cm="1">
        <f t="array" ref="U36">IF(SUMPRODUCT((Upload_Indiv_Player=$A33)*(Upload_Indiv_Date=U$2)*(Upload_Indiv_Tot_Birds))=0,"",SUMPRODUCT((Upload_Indiv_Player=$A33)*(Upload_Indiv_Date=U$2)*(Upload_Indiv_Tot_Birds)))</f>
        <v/>
      </c>
      <c r="V36" s="276"/>
      <c r="W36" s="276"/>
      <c r="X36" s="276"/>
      <c r="Y36" s="277"/>
      <c r="Z36" s="277"/>
      <c r="AA36" s="277"/>
    </row>
    <row r="37" spans="1:27" x14ac:dyDescent="0.25">
      <c r="A37" s="306"/>
      <c r="B37" s="8" t="s">
        <v>175</v>
      </c>
      <c r="C37" s="2" t="str" cm="1">
        <f t="array" ref="C37">IF(SUMPRODUCT((Upload_Indiv_Player=$A33)*(Upload_Indiv_Date=C$2)*(Upload_Indiv_Tot_Eagles))=0,"",SUMPRODUCT((Upload_Indiv_Player=$A33)*(Upload_Indiv_Date=C$2)*(Upload_Indiv_Tot_Eagles)))</f>
        <v/>
      </c>
      <c r="D37" s="2" t="str" cm="1">
        <f t="array" ref="D37">IF(SUMPRODUCT((Upload_Indiv_Player=$A33)*(Upload_Indiv_Date=D$2)*(Upload_Indiv_Tot_Eagles))=0,"",SUMPRODUCT((Upload_Indiv_Player=$A33)*(Upload_Indiv_Date=D$2)*(Upload_Indiv_Tot_Eagles)))</f>
        <v/>
      </c>
      <c r="E37" s="2" t="str" cm="1">
        <f t="array" ref="E37">IF(SUMPRODUCT((Upload_Indiv_Player=$A33)*(Upload_Indiv_Date=E$2)*(Upload_Indiv_Tot_Eagles))=0,"",SUMPRODUCT((Upload_Indiv_Player=$A33)*(Upload_Indiv_Date=E$2)*(Upload_Indiv_Tot_Eagles)))</f>
        <v/>
      </c>
      <c r="F37" s="2" t="str" cm="1">
        <f t="array" ref="F37">IF(SUMPRODUCT((Upload_Indiv_Player=$A33)*(Upload_Indiv_Date=F$2)*(Upload_Indiv_Tot_Eagles))=0,"",SUMPRODUCT((Upload_Indiv_Player=$A33)*(Upload_Indiv_Date=F$2)*(Upload_Indiv_Tot_Eagles)))</f>
        <v/>
      </c>
      <c r="G37" s="2" t="str" cm="1">
        <f t="array" ref="G37">IF(SUMPRODUCT((Upload_Indiv_Player=$A33)*(Upload_Indiv_Date=G$2)*(Upload_Indiv_Tot_Eagles))=0,"",SUMPRODUCT((Upload_Indiv_Player=$A33)*(Upload_Indiv_Date=G$2)*(Upload_Indiv_Tot_Eagles)))</f>
        <v/>
      </c>
      <c r="H37" s="2" t="str" cm="1">
        <f t="array" ref="H37">IF(SUMPRODUCT((Upload_Indiv_Player=$A33)*(Upload_Indiv_Date=H$2)*(Upload_Indiv_Tot_Eagles))=0,"",SUMPRODUCT((Upload_Indiv_Player=$A33)*(Upload_Indiv_Date=H$2)*(Upload_Indiv_Tot_Eagles)))</f>
        <v/>
      </c>
      <c r="I37" s="2" t="str" cm="1">
        <f t="array" ref="I37">IF(SUMPRODUCT((Upload_Indiv_Player=$A33)*(Upload_Indiv_Date=I$2)*(Upload_Indiv_Tot_Eagles))=0,"",SUMPRODUCT((Upload_Indiv_Player=$A33)*(Upload_Indiv_Date=I$2)*(Upload_Indiv_Tot_Eagles)))</f>
        <v/>
      </c>
      <c r="J37" s="2" t="str" cm="1">
        <f t="array" ref="J37">IF(SUMPRODUCT((Upload_Indiv_Player=$A33)*(Upload_Indiv_Date=J$2)*(Upload_Indiv_Tot_Eagles))=0,"",SUMPRODUCT((Upload_Indiv_Player=$A33)*(Upload_Indiv_Date=J$2)*(Upload_Indiv_Tot_Eagles)))</f>
        <v/>
      </c>
      <c r="K37" s="2" t="str" cm="1">
        <f t="array" ref="K37">IF(SUMPRODUCT((Upload_Indiv_Player=$A33)*(Upload_Indiv_Date=K$2)*(Upload_Indiv_Tot_Eagles))=0,"",SUMPRODUCT((Upload_Indiv_Player=$A33)*(Upload_Indiv_Date=K$2)*(Upload_Indiv_Tot_Eagles)))</f>
        <v/>
      </c>
      <c r="L37" s="2" t="str" cm="1">
        <f t="array" ref="L37">IF(SUMPRODUCT((Upload_Indiv_Player=$A33)*(Upload_Indiv_Date=L$2)*(Upload_Indiv_Tot_Eagles))=0,"",SUMPRODUCT((Upload_Indiv_Player=$A33)*(Upload_Indiv_Date=L$2)*(Upload_Indiv_Tot_Eagles)))</f>
        <v/>
      </c>
      <c r="M37" s="2" t="str" cm="1">
        <f t="array" ref="M37">IF(SUMPRODUCT((Upload_Indiv_Player=$A33)*(Upload_Indiv_Date=M$2)*(Upload_Indiv_Tot_Eagles))=0,"",SUMPRODUCT((Upload_Indiv_Player=$A33)*(Upload_Indiv_Date=M$2)*(Upload_Indiv_Tot_Eagles)))</f>
        <v/>
      </c>
      <c r="N37" s="2" t="str" cm="1">
        <f t="array" ref="N37">IF(SUMPRODUCT((Upload_Indiv_Player=$A33)*(Upload_Indiv_Date=N$2)*(Upload_Indiv_Tot_Eagles))=0,"",SUMPRODUCT((Upload_Indiv_Player=$A33)*(Upload_Indiv_Date=N$2)*(Upload_Indiv_Tot_Eagles)))</f>
        <v/>
      </c>
      <c r="O37" s="2" t="str" cm="1">
        <f t="array" ref="O37">IF(SUMPRODUCT((Upload_Indiv_Player=$A33)*(Upload_Indiv_Date=O$2)*(Upload_Indiv_Tot_Eagles))=0,"",SUMPRODUCT((Upload_Indiv_Player=$A33)*(Upload_Indiv_Date=O$2)*(Upload_Indiv_Tot_Eagles)))</f>
        <v/>
      </c>
      <c r="P37" s="2" t="str" cm="1">
        <f t="array" ref="P37">IF(SUMPRODUCT((Upload_Indiv_Player=$A33)*(Upload_Indiv_Date=P$2)*(Upload_Indiv_Tot_Eagles))=0,"",SUMPRODUCT((Upload_Indiv_Player=$A33)*(Upload_Indiv_Date=P$2)*(Upload_Indiv_Tot_Eagles)))</f>
        <v/>
      </c>
      <c r="Q37" s="2" t="str" cm="1">
        <f t="array" ref="Q37">IF(SUMPRODUCT((Upload_Indiv_Player=$A33)*(Upload_Indiv_Date=Q$2)*(Upload_Indiv_Tot_Eagles))=0,"",SUMPRODUCT((Upload_Indiv_Player=$A33)*(Upload_Indiv_Date=Q$2)*(Upload_Indiv_Tot_Eagles)))</f>
        <v/>
      </c>
      <c r="R37" s="2" t="str" cm="1">
        <f t="array" ref="R37">IF(SUMPRODUCT((Upload_Indiv_Player=$A33)*(Upload_Indiv_Date=R$2)*(Upload_Indiv_Tot_Eagles))=0,"",SUMPRODUCT((Upload_Indiv_Player=$A33)*(Upload_Indiv_Date=R$2)*(Upload_Indiv_Tot_Eagles)))</f>
        <v/>
      </c>
      <c r="S37" s="2" t="str" cm="1">
        <f t="array" ref="S37">IF(SUMPRODUCT((Upload_Indiv_Player=$A33)*(Upload_Indiv_Date=S$2)*(Upload_Indiv_Tot_Eagles))=0,"",SUMPRODUCT((Upload_Indiv_Player=$A33)*(Upload_Indiv_Date=S$2)*(Upload_Indiv_Tot_Eagles)))</f>
        <v/>
      </c>
      <c r="T37" s="2" t="str" cm="1">
        <f t="array" ref="T37">IF(SUMPRODUCT((Upload_Indiv_Player=$A33)*(Upload_Indiv_Date=T$2)*(Upload_Indiv_Tot_Eagles))=0,"",SUMPRODUCT((Upload_Indiv_Player=$A33)*(Upload_Indiv_Date=T$2)*(Upload_Indiv_Tot_Eagles)))</f>
        <v/>
      </c>
      <c r="U37" s="2" t="str" cm="1">
        <f t="array" ref="U37">IF(SUMPRODUCT((Upload_Indiv_Player=$A33)*(Upload_Indiv_Date=U$2)*(Upload_Indiv_Tot_Eagles))=0,"",SUMPRODUCT((Upload_Indiv_Player=$A33)*(Upload_Indiv_Date=U$2)*(Upload_Indiv_Tot_Eagles)))</f>
        <v/>
      </c>
      <c r="V37" s="276"/>
      <c r="W37" s="276"/>
      <c r="X37" s="276"/>
      <c r="Y37" s="277"/>
      <c r="Z37" s="277"/>
      <c r="AA37" s="277"/>
    </row>
    <row r="38" spans="1:27" x14ac:dyDescent="0.25">
      <c r="A38" s="306"/>
      <c r="B38" s="2" t="s">
        <v>176</v>
      </c>
      <c r="C38" s="2" t="str" cm="1">
        <f t="array" ref="C38">IF(SUMPRODUCT((Upload_Indiv_Player=$A33)*(Upload_Indiv_Date=C$2)*(Upload_Indiv_Excl_Score))=0,"",SUMPRODUCT((Upload_Indiv_Player=$A33)*(Upload_Indiv_Date=C$2)*(Upload_Indiv_Excl_Score)))</f>
        <v/>
      </c>
      <c r="D38" s="2" t="str" cm="1">
        <f t="array" ref="D38">IF(SUMPRODUCT((Upload_Indiv_Player=$A33)*(Upload_Indiv_Date=D$2)*(Upload_Indiv_Excl_Score))=0,"",SUMPRODUCT((Upload_Indiv_Player=$A33)*(Upload_Indiv_Date=D$2)*(Upload_Indiv_Excl_Score)))</f>
        <v/>
      </c>
      <c r="E38" s="2" t="str" cm="1">
        <f t="array" ref="E38">IF(SUMPRODUCT((Upload_Indiv_Player=$A33)*(Upload_Indiv_Date=E$2)*(Upload_Indiv_Excl_Score))=0,"",SUMPRODUCT((Upload_Indiv_Player=$A33)*(Upload_Indiv_Date=E$2)*(Upload_Indiv_Excl_Score)))</f>
        <v/>
      </c>
      <c r="F38" s="2" t="str" cm="1">
        <f t="array" ref="F38">IF(SUMPRODUCT((Upload_Indiv_Player=$A33)*(Upload_Indiv_Date=F$2)*(Upload_Indiv_Excl_Score))=0,"",SUMPRODUCT((Upload_Indiv_Player=$A33)*(Upload_Indiv_Date=F$2)*(Upload_Indiv_Excl_Score)))</f>
        <v/>
      </c>
      <c r="G38" s="2" t="str" cm="1">
        <f t="array" ref="G38">IF(SUMPRODUCT((Upload_Indiv_Player=$A33)*(Upload_Indiv_Date=G$2)*(Upload_Indiv_Excl_Score))=0,"",SUMPRODUCT((Upload_Indiv_Player=$A33)*(Upload_Indiv_Date=G$2)*(Upload_Indiv_Excl_Score)))</f>
        <v/>
      </c>
      <c r="H38" s="2" t="str" cm="1">
        <f t="array" ref="H38">IF(SUMPRODUCT((Upload_Indiv_Player=$A33)*(Upload_Indiv_Date=H$2)*(Upload_Indiv_Excl_Score))=0,"",SUMPRODUCT((Upload_Indiv_Player=$A33)*(Upload_Indiv_Date=H$2)*(Upload_Indiv_Excl_Score)))</f>
        <v/>
      </c>
      <c r="I38" s="2" t="str" cm="1">
        <f t="array" ref="I38">IF(SUMPRODUCT((Upload_Indiv_Player=$A33)*(Upload_Indiv_Date=I$2)*(Upload_Indiv_Excl_Score))=0,"",SUMPRODUCT((Upload_Indiv_Player=$A33)*(Upload_Indiv_Date=I$2)*(Upload_Indiv_Excl_Score)))</f>
        <v/>
      </c>
      <c r="J38" s="2" t="str" cm="1">
        <f t="array" ref="J38">IF(SUMPRODUCT((Upload_Indiv_Player=$A33)*(Upload_Indiv_Date=J$2)*(Upload_Indiv_Excl_Score))=0,"",SUMPRODUCT((Upload_Indiv_Player=$A33)*(Upload_Indiv_Date=J$2)*(Upload_Indiv_Excl_Score)))</f>
        <v/>
      </c>
      <c r="K38" s="2" t="str" cm="1">
        <f t="array" ref="K38">IF(SUMPRODUCT((Upload_Indiv_Player=$A33)*(Upload_Indiv_Date=K$2)*(Upload_Indiv_Excl_Score))=0,"",SUMPRODUCT((Upload_Indiv_Player=$A33)*(Upload_Indiv_Date=K$2)*(Upload_Indiv_Excl_Score)))</f>
        <v/>
      </c>
      <c r="L38" s="2" t="str" cm="1">
        <f t="array" ref="L38">IF(SUMPRODUCT((Upload_Indiv_Player=$A33)*(Upload_Indiv_Date=L$2)*(Upload_Indiv_Excl_Score))=0,"",SUMPRODUCT((Upload_Indiv_Player=$A33)*(Upload_Indiv_Date=L$2)*(Upload_Indiv_Excl_Score)))</f>
        <v/>
      </c>
      <c r="M38" s="2" t="str" cm="1">
        <f t="array" ref="M38">IF(SUMPRODUCT((Upload_Indiv_Player=$A33)*(Upload_Indiv_Date=M$2)*(Upload_Indiv_Excl_Score))=0,"",SUMPRODUCT((Upload_Indiv_Player=$A33)*(Upload_Indiv_Date=M$2)*(Upload_Indiv_Excl_Score)))</f>
        <v/>
      </c>
      <c r="N38" s="2" t="str" cm="1">
        <f t="array" ref="N38">IF(SUMPRODUCT((Upload_Indiv_Player=$A33)*(Upload_Indiv_Date=N$2)*(Upload_Indiv_Excl_Score))=0,"",SUMPRODUCT((Upload_Indiv_Player=$A33)*(Upload_Indiv_Date=N$2)*(Upload_Indiv_Excl_Score)))</f>
        <v/>
      </c>
      <c r="O38" s="2" t="str" cm="1">
        <f t="array" ref="O38">IF(SUMPRODUCT((Upload_Indiv_Player=$A33)*(Upload_Indiv_Date=O$2)*(Upload_Indiv_Excl_Score))=0,"",SUMPRODUCT((Upload_Indiv_Player=$A33)*(Upload_Indiv_Date=O$2)*(Upload_Indiv_Excl_Score)))</f>
        <v/>
      </c>
      <c r="P38" s="2" t="str" cm="1">
        <f t="array" ref="P38">IF(SUMPRODUCT((Upload_Indiv_Player=$A33)*(Upload_Indiv_Date=P$2)*(Upload_Indiv_Excl_Score))=0,"",SUMPRODUCT((Upload_Indiv_Player=$A33)*(Upload_Indiv_Date=P$2)*(Upload_Indiv_Excl_Score)))</f>
        <v/>
      </c>
      <c r="Q38" s="2" t="str" cm="1">
        <f t="array" ref="Q38">IF(SUMPRODUCT((Upload_Indiv_Player=$A33)*(Upload_Indiv_Date=Q$2)*(Upload_Indiv_Excl_Score))=0,"",SUMPRODUCT((Upload_Indiv_Player=$A33)*(Upload_Indiv_Date=Q$2)*(Upload_Indiv_Excl_Score)))</f>
        <v/>
      </c>
      <c r="R38" s="2" t="str" cm="1">
        <f t="array" ref="R38">IF(SUMPRODUCT((Upload_Indiv_Player=$A33)*(Upload_Indiv_Date=R$2)*(Upload_Indiv_Excl_Score))=0,"",SUMPRODUCT((Upload_Indiv_Player=$A33)*(Upload_Indiv_Date=R$2)*(Upload_Indiv_Excl_Score)))</f>
        <v/>
      </c>
      <c r="S38" s="2" t="str" cm="1">
        <f t="array" ref="S38">IF(SUMPRODUCT((Upload_Indiv_Player=$A33)*(Upload_Indiv_Date=S$2)*(Upload_Indiv_Excl_Score))=0,"",SUMPRODUCT((Upload_Indiv_Player=$A33)*(Upload_Indiv_Date=S$2)*(Upload_Indiv_Excl_Score)))</f>
        <v/>
      </c>
      <c r="T38" s="2" t="str" cm="1">
        <f t="array" ref="T38">IF(SUMPRODUCT((Upload_Indiv_Player=$A33)*(Upload_Indiv_Date=T$2)*(Upload_Indiv_Excl_Score))=0,"",SUMPRODUCT((Upload_Indiv_Player=$A33)*(Upload_Indiv_Date=T$2)*(Upload_Indiv_Excl_Score)))</f>
        <v/>
      </c>
      <c r="U38" s="2" t="str" cm="1">
        <f t="array" ref="U38">IF(SUMPRODUCT((Upload_Indiv_Player=$A33)*(Upload_Indiv_Date=U$2)*(Upload_Indiv_Excl_Score))=0,"",SUMPRODUCT((Upload_Indiv_Player=$A33)*(Upload_Indiv_Date=U$2)*(Upload_Indiv_Excl_Score)))</f>
        <v/>
      </c>
      <c r="V38" s="279"/>
      <c r="W38" s="279"/>
      <c r="X38" s="279"/>
      <c r="Y38" s="277"/>
      <c r="Z38" s="277"/>
      <c r="AA38" s="277"/>
    </row>
    <row r="39" spans="1:27" ht="13.8" thickBot="1" x14ac:dyDescent="0.3">
      <c r="A39" s="9"/>
      <c r="B39" s="8" t="s">
        <v>178</v>
      </c>
      <c r="C39" s="58" t="str">
        <f>IF(C33="", "", IF(C35&gt;=11, "w", IF(C35&lt;=9, "l", "t")))</f>
        <v/>
      </c>
      <c r="D39" s="58" t="str">
        <f t="shared" ref="D39:S39" si="5">IF(D33="", "", IF(D35&gt;=11, "w", IF(D35&lt;=9, "l", "t")))</f>
        <v/>
      </c>
      <c r="E39" s="58" t="str">
        <f t="shared" si="5"/>
        <v/>
      </c>
      <c r="F39" s="58" t="str">
        <f t="shared" si="5"/>
        <v/>
      </c>
      <c r="G39" s="58" t="str">
        <f t="shared" si="5"/>
        <v/>
      </c>
      <c r="H39" s="58" t="str">
        <f t="shared" si="5"/>
        <v/>
      </c>
      <c r="I39" s="58" t="str">
        <f t="shared" si="5"/>
        <v/>
      </c>
      <c r="J39" s="58" t="str">
        <f t="shared" si="5"/>
        <v/>
      </c>
      <c r="K39" s="58" t="str">
        <f t="shared" si="5"/>
        <v/>
      </c>
      <c r="L39" s="58" t="str">
        <f t="shared" si="5"/>
        <v/>
      </c>
      <c r="M39" s="58" t="str">
        <f t="shared" si="5"/>
        <v/>
      </c>
      <c r="N39" s="58" t="str">
        <f t="shared" si="5"/>
        <v/>
      </c>
      <c r="O39" s="58" t="str">
        <f t="shared" si="5"/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>IF(T33="", "", IF(T35&gt;=11, "w", IF(T35&lt;=9, "l", "t")))</f>
        <v/>
      </c>
      <c r="U39" s="58" t="str">
        <f>IF(U33="", "", IF(U35&gt;=11, "w", IF(U35&lt;=9, "l", "t")))</f>
        <v/>
      </c>
      <c r="V39" s="279"/>
      <c r="W39" s="279"/>
      <c r="X39" s="279"/>
      <c r="Y39" s="277"/>
      <c r="Z39" s="277"/>
      <c r="AA39" s="277"/>
    </row>
    <row r="40" spans="1:27" x14ac:dyDescent="0.25">
      <c r="A40" s="294"/>
      <c r="B40" s="299" t="s">
        <v>170</v>
      </c>
      <c r="C40" s="299" t="str" cm="1">
        <f t="array" ref="C40">IF(SUMPRODUCT((Upload_Indiv_Player=$A40)*(Upload_Indiv_Date=C$2)*(Upload_Indiv_Gross))=0,"",SUMPRODUCT((Upload_Indiv_Player=$A40)*(Upload_Indiv_Date=C$2)*(Upload_Indiv_Gross)))</f>
        <v/>
      </c>
      <c r="D40" s="299" t="str" cm="1">
        <f t="array" ref="D40">IF(SUMPRODUCT((Upload_Indiv_Player=$A40)*(Upload_Indiv_Date=D$2)*(Upload_Indiv_Gross))=0,"",SUMPRODUCT((Upload_Indiv_Player=$A40)*(Upload_Indiv_Date=D$2)*(Upload_Indiv_Gross)))</f>
        <v/>
      </c>
      <c r="E40" s="299" t="str" cm="1">
        <f t="array" ref="E40">IF(SUMPRODUCT((Upload_Indiv_Player=$A40)*(Upload_Indiv_Date=E$2)*(Upload_Indiv_Gross))=0,"",SUMPRODUCT((Upload_Indiv_Player=$A40)*(Upload_Indiv_Date=E$2)*(Upload_Indiv_Gross)))</f>
        <v/>
      </c>
      <c r="F40" s="299" t="str" cm="1">
        <f t="array" ref="F40">IF(SUMPRODUCT((Upload_Indiv_Player=$A40)*(Upload_Indiv_Date=F$2)*(Upload_Indiv_Gross))=0,"",SUMPRODUCT((Upload_Indiv_Player=$A40)*(Upload_Indiv_Date=F$2)*(Upload_Indiv_Gross)))</f>
        <v/>
      </c>
      <c r="G40" s="299" t="str" cm="1">
        <f t="array" ref="G40">IF(SUMPRODUCT((Upload_Indiv_Player=$A40)*(Upload_Indiv_Date=G$2)*(Upload_Indiv_Gross))=0,"",SUMPRODUCT((Upload_Indiv_Player=$A40)*(Upload_Indiv_Date=G$2)*(Upload_Indiv_Gross)))</f>
        <v/>
      </c>
      <c r="H40" s="299" t="str" cm="1">
        <f t="array" ref="H40">IF(SUMPRODUCT((Upload_Indiv_Player=$A40)*(Upload_Indiv_Date=H$2)*(Upload_Indiv_Gross))=0,"",SUMPRODUCT((Upload_Indiv_Player=$A40)*(Upload_Indiv_Date=H$2)*(Upload_Indiv_Gross)))</f>
        <v/>
      </c>
      <c r="I40" s="299" t="str" cm="1">
        <f t="array" ref="I40">IF(SUMPRODUCT((Upload_Indiv_Player=$A40)*(Upload_Indiv_Date=I$2)*(Upload_Indiv_Gross))=0,"",SUMPRODUCT((Upload_Indiv_Player=$A40)*(Upload_Indiv_Date=I$2)*(Upload_Indiv_Gross)))</f>
        <v/>
      </c>
      <c r="J40" s="299" t="str" cm="1">
        <f t="array" ref="J40">IF(SUMPRODUCT((Upload_Indiv_Player=$A40)*(Upload_Indiv_Date=J$2)*(Upload_Indiv_Gross))=0,"",SUMPRODUCT((Upload_Indiv_Player=$A40)*(Upload_Indiv_Date=J$2)*(Upload_Indiv_Gross)))</f>
        <v/>
      </c>
      <c r="K40" s="299" t="str" cm="1">
        <f t="array" ref="K40">IF(SUMPRODUCT((Upload_Indiv_Player=$A40)*(Upload_Indiv_Date=K$2)*(Upload_Indiv_Gross))=0,"",SUMPRODUCT((Upload_Indiv_Player=$A40)*(Upload_Indiv_Date=K$2)*(Upload_Indiv_Gross)))</f>
        <v/>
      </c>
      <c r="L40" s="299" t="str" cm="1">
        <f t="array" ref="L40">IF(SUMPRODUCT((Upload_Indiv_Player=$A40)*(Upload_Indiv_Date=L$2)*(Upload_Indiv_Gross))=0,"",SUMPRODUCT((Upload_Indiv_Player=$A40)*(Upload_Indiv_Date=L$2)*(Upload_Indiv_Gross)))</f>
        <v/>
      </c>
      <c r="M40" s="299" t="str" cm="1">
        <f t="array" ref="M40">IF(SUMPRODUCT((Upload_Indiv_Player=$A40)*(Upload_Indiv_Date=M$2)*(Upload_Indiv_Gross))=0,"",SUMPRODUCT((Upload_Indiv_Player=$A40)*(Upload_Indiv_Date=M$2)*(Upload_Indiv_Gross)))</f>
        <v/>
      </c>
      <c r="N40" s="299" t="str" cm="1">
        <f t="array" ref="N40">IF(SUMPRODUCT((Upload_Indiv_Player=$A40)*(Upload_Indiv_Date=N$2)*(Upload_Indiv_Gross))=0,"",SUMPRODUCT((Upload_Indiv_Player=$A40)*(Upload_Indiv_Date=N$2)*(Upload_Indiv_Gross)))</f>
        <v/>
      </c>
      <c r="O40" s="299" t="str" cm="1">
        <f t="array" ref="O40">IF(SUMPRODUCT((Upload_Indiv_Player=$A40)*(Upload_Indiv_Date=O$2)*(Upload_Indiv_Gross))=0,"",SUMPRODUCT((Upload_Indiv_Player=$A40)*(Upload_Indiv_Date=O$2)*(Upload_Indiv_Gross)))</f>
        <v/>
      </c>
      <c r="P40" s="299" t="str" cm="1">
        <f t="array" ref="P40">IF(SUMPRODUCT((Upload_Indiv_Player=$A40)*(Upload_Indiv_Date=P$2)*(Upload_Indiv_Gross))=0,"",SUMPRODUCT((Upload_Indiv_Player=$A40)*(Upload_Indiv_Date=P$2)*(Upload_Indiv_Gross)))</f>
        <v/>
      </c>
      <c r="Q40" s="300" t="str" cm="1">
        <f t="array" ref="Q40">IF(SUMPRODUCT((Upload_Indiv_Player=$A40)*(Upload_Indiv_Date=Q$2)*(Upload_Indiv_Gross))=0,"",SUMPRODUCT((Upload_Indiv_Player=$A40)*(Upload_Indiv_Date=Q$2)*(Upload_Indiv_Gross)))</f>
        <v/>
      </c>
      <c r="R40" s="300" t="str" cm="1">
        <f t="array" ref="R40">IF(SUMPRODUCT((Upload_Indiv_Player=$A40)*(Upload_Indiv_Date=R$2)*(Upload_Indiv_Gross))=0,"",SUMPRODUCT((Upload_Indiv_Player=$A40)*(Upload_Indiv_Date=R$2)*(Upload_Indiv_Gross)))</f>
        <v/>
      </c>
      <c r="S40" s="300" t="str" cm="1">
        <f t="array" ref="S40">IF(SUMPRODUCT((Upload_Indiv_Player=$A40)*(Upload_Indiv_Date=S$2)*(Upload_Indiv_Gross))=0,"",SUMPRODUCT((Upload_Indiv_Player=$A40)*(Upload_Indiv_Date=S$2)*(Upload_Indiv_Gross)))</f>
        <v/>
      </c>
      <c r="T40" s="300" t="str" cm="1">
        <f t="array" ref="T40">IF(SUMPRODUCT((Upload_Indiv_Player=$A40)*(Upload_Indiv_Date=T$2)*(Upload_Indiv_Gross))=0,"",SUMPRODUCT((Upload_Indiv_Player=$A40)*(Upload_Indiv_Date=T$2)*(Upload_Indiv_Gross)))</f>
        <v/>
      </c>
      <c r="U40" s="300" t="str" cm="1">
        <f t="array" ref="U40">IF(SUMPRODUCT((Upload_Indiv_Player=$A40)*(Upload_Indiv_Date=U$2)*(Upload_Indiv_Gross))=0,"",SUMPRODUCT((Upload_Indiv_Player=$A40)*(Upload_Indiv_Date=U$2)*(Upload_Indiv_Gross)))</f>
        <v/>
      </c>
      <c r="V40" s="273"/>
      <c r="W40" s="273"/>
      <c r="X40" s="273"/>
      <c r="Y40" s="277"/>
      <c r="Z40" s="277"/>
      <c r="AA40" s="277"/>
    </row>
    <row r="41" spans="1:27" x14ac:dyDescent="0.25">
      <c r="A41" s="295"/>
      <c r="B41" s="300" t="s">
        <v>171</v>
      </c>
      <c r="C41" s="300" t="str" cm="1">
        <f t="array" ref="C41">IF(SUMPRODUCT((Upload_Indiv_Player=$A40)*(Upload_Indiv_Date=C$2)*(Upload_Indiv_Net))=0,"",SUMPRODUCT((Upload_Indiv_Player=$A40)*(Upload_Indiv_Date=C$2)*(Upload_Indiv_Net)))</f>
        <v/>
      </c>
      <c r="D41" s="300" t="str" cm="1">
        <f t="array" ref="D41">IF(SUMPRODUCT((Upload_Indiv_Player=$A40)*(Upload_Indiv_Date=D$2)*(Upload_Indiv_Net))=0,"",SUMPRODUCT((Upload_Indiv_Player=$A40)*(Upload_Indiv_Date=D$2)*(Upload_Indiv_Net)))</f>
        <v/>
      </c>
      <c r="E41" s="300" t="str" cm="1">
        <f t="array" ref="E41">IF(SUMPRODUCT((Upload_Indiv_Player=$A40)*(Upload_Indiv_Date=E$2)*(Upload_Indiv_Net))=0,"",SUMPRODUCT((Upload_Indiv_Player=$A40)*(Upload_Indiv_Date=E$2)*(Upload_Indiv_Net)))</f>
        <v/>
      </c>
      <c r="F41" s="300" t="str" cm="1">
        <f t="array" ref="F41">IF(SUMPRODUCT((Upload_Indiv_Player=$A40)*(Upload_Indiv_Date=F$2)*(Upload_Indiv_Net))=0,"",SUMPRODUCT((Upload_Indiv_Player=$A40)*(Upload_Indiv_Date=F$2)*(Upload_Indiv_Net)))</f>
        <v/>
      </c>
      <c r="G41" s="300" t="str" cm="1">
        <f t="array" ref="G41">IF(SUMPRODUCT((Upload_Indiv_Player=$A40)*(Upload_Indiv_Date=G$2)*(Upload_Indiv_Net))=0,"",SUMPRODUCT((Upload_Indiv_Player=$A40)*(Upload_Indiv_Date=G$2)*(Upload_Indiv_Net)))</f>
        <v/>
      </c>
      <c r="H41" s="300" t="str" cm="1">
        <f t="array" ref="H41">IF(SUMPRODUCT((Upload_Indiv_Player=$A40)*(Upload_Indiv_Date=H$2)*(Upload_Indiv_Net))=0,"",SUMPRODUCT((Upload_Indiv_Player=$A40)*(Upload_Indiv_Date=H$2)*(Upload_Indiv_Net)))</f>
        <v/>
      </c>
      <c r="I41" s="300" t="str" cm="1">
        <f t="array" ref="I41">IF(SUMPRODUCT((Upload_Indiv_Player=$A40)*(Upload_Indiv_Date=I$2)*(Upload_Indiv_Net))=0,"",SUMPRODUCT((Upload_Indiv_Player=$A40)*(Upload_Indiv_Date=I$2)*(Upload_Indiv_Net)))</f>
        <v/>
      </c>
      <c r="J41" s="300" t="str" cm="1">
        <f t="array" ref="J41">IF(SUMPRODUCT((Upload_Indiv_Player=$A40)*(Upload_Indiv_Date=J$2)*(Upload_Indiv_Net))=0,"",SUMPRODUCT((Upload_Indiv_Player=$A40)*(Upload_Indiv_Date=J$2)*(Upload_Indiv_Net)))</f>
        <v/>
      </c>
      <c r="K41" s="300" t="str" cm="1">
        <f t="array" ref="K41">IF(SUMPRODUCT((Upload_Indiv_Player=$A40)*(Upload_Indiv_Date=K$2)*(Upload_Indiv_Net))=0,"",SUMPRODUCT((Upload_Indiv_Player=$A40)*(Upload_Indiv_Date=K$2)*(Upload_Indiv_Net)))</f>
        <v/>
      </c>
      <c r="L41" s="300" t="str" cm="1">
        <f t="array" ref="L41">IF(SUMPRODUCT((Upload_Indiv_Player=$A40)*(Upload_Indiv_Date=L$2)*(Upload_Indiv_Net))=0,"",SUMPRODUCT((Upload_Indiv_Player=$A40)*(Upload_Indiv_Date=L$2)*(Upload_Indiv_Net)))</f>
        <v/>
      </c>
      <c r="M41" s="300" t="str" cm="1">
        <f t="array" ref="M41">IF(SUMPRODUCT((Upload_Indiv_Player=$A40)*(Upload_Indiv_Date=M$2)*(Upload_Indiv_Net))=0,"",SUMPRODUCT((Upload_Indiv_Player=$A40)*(Upload_Indiv_Date=M$2)*(Upload_Indiv_Net)))</f>
        <v/>
      </c>
      <c r="N41" s="300" t="str" cm="1">
        <f t="array" ref="N41">IF(SUMPRODUCT((Upload_Indiv_Player=$A40)*(Upload_Indiv_Date=N$2)*(Upload_Indiv_Net))=0,"",SUMPRODUCT((Upload_Indiv_Player=$A40)*(Upload_Indiv_Date=N$2)*(Upload_Indiv_Net)))</f>
        <v/>
      </c>
      <c r="O41" s="300" t="str" cm="1">
        <f t="array" ref="O41">IF(SUMPRODUCT((Upload_Indiv_Player=$A40)*(Upload_Indiv_Date=O$2)*(Upload_Indiv_Net))=0,"",SUMPRODUCT((Upload_Indiv_Player=$A40)*(Upload_Indiv_Date=O$2)*(Upload_Indiv_Net)))</f>
        <v/>
      </c>
      <c r="P41" s="300" t="str" cm="1">
        <f t="array" ref="P41">IF(SUMPRODUCT((Upload_Indiv_Player=$A40)*(Upload_Indiv_Date=P$2)*(Upload_Indiv_Net))=0,"",SUMPRODUCT((Upload_Indiv_Player=$A40)*(Upload_Indiv_Date=P$2)*(Upload_Indiv_Net)))</f>
        <v/>
      </c>
      <c r="Q41" s="300" t="str" cm="1">
        <f t="array" ref="Q41">IF(SUMPRODUCT((Upload_Indiv_Player=$A40)*(Upload_Indiv_Date=Q$2)*(Upload_Indiv_Net))=0,"",SUMPRODUCT((Upload_Indiv_Player=$A40)*(Upload_Indiv_Date=Q$2)*(Upload_Indiv_Net)))</f>
        <v/>
      </c>
      <c r="R41" s="300" t="str" cm="1">
        <f t="array" ref="R41">IF(SUMPRODUCT((Upload_Indiv_Player=$A40)*(Upload_Indiv_Date=R$2)*(Upload_Indiv_Net))=0,"",SUMPRODUCT((Upload_Indiv_Player=$A40)*(Upload_Indiv_Date=R$2)*(Upload_Indiv_Net)))</f>
        <v/>
      </c>
      <c r="S41" s="300" t="str" cm="1">
        <f t="array" ref="S41">IF(SUMPRODUCT((Upload_Indiv_Player=$A40)*(Upload_Indiv_Date=S$2)*(Upload_Indiv_Net))=0,"",SUMPRODUCT((Upload_Indiv_Player=$A40)*(Upload_Indiv_Date=S$2)*(Upload_Indiv_Net)))</f>
        <v/>
      </c>
      <c r="T41" s="300" t="str" cm="1">
        <f t="array" ref="T41">IF(SUMPRODUCT((Upload_Indiv_Player=$A40)*(Upload_Indiv_Date=T$2)*(Upload_Indiv_Net))=0,"",SUMPRODUCT((Upload_Indiv_Player=$A40)*(Upload_Indiv_Date=T$2)*(Upload_Indiv_Net)))</f>
        <v/>
      </c>
      <c r="U41" s="300" t="str" cm="1">
        <f t="array" ref="U41">IF(SUMPRODUCT((Upload_Indiv_Player=$A40)*(Upload_Indiv_Date=U$2)*(Upload_Indiv_Net))=0,"",SUMPRODUCT((Upload_Indiv_Player=$A40)*(Upload_Indiv_Date=U$2)*(Upload_Indiv_Net)))</f>
        <v/>
      </c>
      <c r="V41" s="276"/>
      <c r="W41" s="276"/>
      <c r="X41" s="276"/>
      <c r="Y41" s="277"/>
      <c r="Z41" s="277"/>
      <c r="AA41" s="277"/>
    </row>
    <row r="42" spans="1:27" x14ac:dyDescent="0.25">
      <c r="A42" s="296"/>
      <c r="B42" s="300" t="s">
        <v>173</v>
      </c>
      <c r="C42" s="300" t="str" cm="1">
        <f t="array" ref="C42">IF(SUMPRODUCT((Upload_Indiv_Player=$A40)*(Upload_Indiv_Date=C$2)*(Upload_Indiv_PointsTot))=0,"",SUMPRODUCT((Upload_Indiv_Player=$A40)*(Upload_Indiv_Date=C$2)*(Upload_Indiv_PointsTot)))</f>
        <v/>
      </c>
      <c r="D42" s="300" t="str" cm="1">
        <f t="array" ref="D42">IF(SUMPRODUCT((Upload_Indiv_Player=$A40)*(Upload_Indiv_Date=D$2)*(Upload_Indiv_PointsTot))=0,"",SUMPRODUCT((Upload_Indiv_Player=$A40)*(Upload_Indiv_Date=D$2)*(Upload_Indiv_PointsTot)))</f>
        <v/>
      </c>
      <c r="E42" s="300" t="str" cm="1">
        <f t="array" ref="E42">IF(SUMPRODUCT((Upload_Indiv_Player=$A40)*(Upload_Indiv_Date=E$2)*(Upload_Indiv_PointsTot))=0,"",SUMPRODUCT((Upload_Indiv_Player=$A40)*(Upload_Indiv_Date=E$2)*(Upload_Indiv_PointsTot)))</f>
        <v/>
      </c>
      <c r="F42" s="300" t="str" cm="1">
        <f t="array" ref="F42">IF(SUMPRODUCT((Upload_Indiv_Player=$A40)*(Upload_Indiv_Date=F$2)*(Upload_Indiv_PointsTot))=0,"",SUMPRODUCT((Upload_Indiv_Player=$A40)*(Upload_Indiv_Date=F$2)*(Upload_Indiv_PointsTot)))</f>
        <v/>
      </c>
      <c r="G42" s="300" t="str" cm="1">
        <f t="array" ref="G42">IF(SUMPRODUCT((Upload_Indiv_Player=$A40)*(Upload_Indiv_Date=G$2)*(Upload_Indiv_PointsTot))=0,"",SUMPRODUCT((Upload_Indiv_Player=$A40)*(Upload_Indiv_Date=G$2)*(Upload_Indiv_PointsTot)))</f>
        <v/>
      </c>
      <c r="H42" s="300" t="str" cm="1">
        <f t="array" ref="H42">IF(SUMPRODUCT((Upload_Indiv_Player=$A40)*(Upload_Indiv_Date=H$2)*(Upload_Indiv_PointsTot))=0,"",SUMPRODUCT((Upload_Indiv_Player=$A40)*(Upload_Indiv_Date=H$2)*(Upload_Indiv_PointsTot)))</f>
        <v/>
      </c>
      <c r="I42" s="300" t="str" cm="1">
        <f t="array" ref="I42">IF(SUMPRODUCT((Upload_Indiv_Player=$A40)*(Upload_Indiv_Date=I$2)*(Upload_Indiv_PointsTot))=0,"",SUMPRODUCT((Upload_Indiv_Player=$A40)*(Upload_Indiv_Date=I$2)*(Upload_Indiv_PointsTot)))</f>
        <v/>
      </c>
      <c r="J42" s="300" t="str" cm="1">
        <f t="array" ref="J42">IF(SUMPRODUCT((Upload_Indiv_Player=$A40)*(Upload_Indiv_Date=J$2)*(Upload_Indiv_PointsTot))=0,"",SUMPRODUCT((Upload_Indiv_Player=$A40)*(Upload_Indiv_Date=J$2)*(Upload_Indiv_PointsTot)))</f>
        <v/>
      </c>
      <c r="K42" s="300" t="str" cm="1">
        <f t="array" ref="K42">IF(SUMPRODUCT((Upload_Indiv_Player=$A40)*(Upload_Indiv_Date=K$2)*(Upload_Indiv_PointsTot))=0,"",SUMPRODUCT((Upload_Indiv_Player=$A40)*(Upload_Indiv_Date=K$2)*(Upload_Indiv_PointsTot)))</f>
        <v/>
      </c>
      <c r="L42" s="300" t="str" cm="1">
        <f t="array" ref="L42">IF(SUMPRODUCT((Upload_Indiv_Player=$A40)*(Upload_Indiv_Date=L$2)*(Upload_Indiv_PointsTot))=0,"",SUMPRODUCT((Upload_Indiv_Player=$A40)*(Upload_Indiv_Date=L$2)*(Upload_Indiv_PointsTot)))</f>
        <v/>
      </c>
      <c r="M42" s="300" t="str" cm="1">
        <f t="array" ref="M42">IF(SUMPRODUCT((Upload_Indiv_Player=$A40)*(Upload_Indiv_Date=M$2)*(Upload_Indiv_PointsTot))=0,"",SUMPRODUCT((Upload_Indiv_Player=$A40)*(Upload_Indiv_Date=M$2)*(Upload_Indiv_PointsTot)))</f>
        <v/>
      </c>
      <c r="N42" s="300" t="str" cm="1">
        <f t="array" ref="N42">IF(SUMPRODUCT((Upload_Indiv_Player=$A40)*(Upload_Indiv_Date=N$2)*(Upload_Indiv_PointsTot))=0,"",SUMPRODUCT((Upload_Indiv_Player=$A40)*(Upload_Indiv_Date=N$2)*(Upload_Indiv_PointsTot)))</f>
        <v/>
      </c>
      <c r="O42" s="300" t="str" cm="1">
        <f t="array" ref="O42">IF(SUMPRODUCT((Upload_Indiv_Player=$A40)*(Upload_Indiv_Date=O$2)*(Upload_Indiv_PointsTot))=0,"",SUMPRODUCT((Upload_Indiv_Player=$A40)*(Upload_Indiv_Date=O$2)*(Upload_Indiv_PointsTot)))</f>
        <v/>
      </c>
      <c r="P42" s="300" t="str" cm="1">
        <f t="array" ref="P42">IF(SUMPRODUCT((Upload_Indiv_Player=$A40)*(Upload_Indiv_Date=P$2)*(Upload_Indiv_PointsTot))=0,"",SUMPRODUCT((Upload_Indiv_Player=$A40)*(Upload_Indiv_Date=P$2)*(Upload_Indiv_PointsTot)))</f>
        <v/>
      </c>
      <c r="Q42" s="300" t="str" cm="1">
        <f t="array" ref="Q42">IF(SUMPRODUCT((Upload_Indiv_Player=$A40)*(Upload_Indiv_Date=Q$2)*(Upload_Indiv_PointsTot))=0,"",SUMPRODUCT((Upload_Indiv_Player=$A40)*(Upload_Indiv_Date=Q$2)*(Upload_Indiv_PointsTot)))</f>
        <v/>
      </c>
      <c r="R42" s="300" t="str" cm="1">
        <f t="array" ref="R42">IF(SUMPRODUCT((Upload_Indiv_Player=$A40)*(Upload_Indiv_Date=R$2)*(Upload_Indiv_PointsTot))=0,"",SUMPRODUCT((Upload_Indiv_Player=$A40)*(Upload_Indiv_Date=R$2)*(Upload_Indiv_PointsTot)))</f>
        <v/>
      </c>
      <c r="S42" s="300" t="str" cm="1">
        <f t="array" ref="S42">IF(SUMPRODUCT((Upload_Indiv_Player=$A40)*(Upload_Indiv_Date=S$2)*(Upload_Indiv_PointsTot))=0,"",SUMPRODUCT((Upload_Indiv_Player=$A40)*(Upload_Indiv_Date=S$2)*(Upload_Indiv_PointsTot)))</f>
        <v/>
      </c>
      <c r="T42" s="300" t="str" cm="1">
        <f t="array" ref="T42">IF(SUMPRODUCT((Upload_Indiv_Player=$A40)*(Upload_Indiv_Date=T$2)*(Upload_Indiv_PointsTot))=0,"",SUMPRODUCT((Upload_Indiv_Player=$A40)*(Upload_Indiv_Date=T$2)*(Upload_Indiv_PointsTot)))</f>
        <v/>
      </c>
      <c r="U42" s="300" t="str" cm="1">
        <f t="array" ref="U42">IF(SUMPRODUCT((Upload_Indiv_Player=$A40)*(Upload_Indiv_Date=U$2)*(Upload_Indiv_PointsTot))=0,"",SUMPRODUCT((Upload_Indiv_Player=$A40)*(Upload_Indiv_Date=U$2)*(Upload_Indiv_PointsTot)))</f>
        <v/>
      </c>
      <c r="V42" s="276"/>
      <c r="W42" s="276"/>
      <c r="X42" s="276"/>
      <c r="Y42" s="277"/>
      <c r="Z42" s="277"/>
      <c r="AA42" s="277"/>
    </row>
    <row r="43" spans="1:27" x14ac:dyDescent="0.25">
      <c r="A43" s="297"/>
      <c r="B43" s="301" t="s">
        <v>174</v>
      </c>
      <c r="C43" s="300" t="str" cm="1">
        <f t="array" ref="C43">IF(SUMPRODUCT((Upload_Indiv_Player=$A40)*(Upload_Indiv_Date=C$2)*(Upload_Indiv_Tot_Birds))=0,"",SUMPRODUCT((Upload_Indiv_Player=$A40)*(Upload_Indiv_Date=C$2)*(Upload_Indiv_Tot_Birds)))</f>
        <v/>
      </c>
      <c r="D43" s="300" t="str" cm="1">
        <f t="array" ref="D43">IF(SUMPRODUCT((Upload_Indiv_Player=$A40)*(Upload_Indiv_Date=D$2)*(Upload_Indiv_Tot_Birds))=0,"",SUMPRODUCT((Upload_Indiv_Player=$A40)*(Upload_Indiv_Date=D$2)*(Upload_Indiv_Tot_Birds)))</f>
        <v/>
      </c>
      <c r="E43" s="300" t="str" cm="1">
        <f t="array" ref="E43">IF(SUMPRODUCT((Upload_Indiv_Player=$A40)*(Upload_Indiv_Date=E$2)*(Upload_Indiv_Tot_Birds))=0,"",SUMPRODUCT((Upload_Indiv_Player=$A40)*(Upload_Indiv_Date=E$2)*(Upload_Indiv_Tot_Birds)))</f>
        <v/>
      </c>
      <c r="F43" s="300" t="str" cm="1">
        <f t="array" ref="F43">IF(SUMPRODUCT((Upload_Indiv_Player=$A40)*(Upload_Indiv_Date=F$2)*(Upload_Indiv_Tot_Birds))=0,"",SUMPRODUCT((Upload_Indiv_Player=$A40)*(Upload_Indiv_Date=F$2)*(Upload_Indiv_Tot_Birds)))</f>
        <v/>
      </c>
      <c r="G43" s="300" t="str" cm="1">
        <f t="array" ref="G43">IF(SUMPRODUCT((Upload_Indiv_Player=$A40)*(Upload_Indiv_Date=G$2)*(Upload_Indiv_Tot_Birds))=0,"",SUMPRODUCT((Upload_Indiv_Player=$A40)*(Upload_Indiv_Date=G$2)*(Upload_Indiv_Tot_Birds)))</f>
        <v/>
      </c>
      <c r="H43" s="300" t="str" cm="1">
        <f t="array" ref="H43">IF(SUMPRODUCT((Upload_Indiv_Player=$A40)*(Upload_Indiv_Date=H$2)*(Upload_Indiv_Tot_Birds))=0,"",SUMPRODUCT((Upload_Indiv_Player=$A40)*(Upload_Indiv_Date=H$2)*(Upload_Indiv_Tot_Birds)))</f>
        <v/>
      </c>
      <c r="I43" s="300" t="str" cm="1">
        <f t="array" ref="I43">IF(SUMPRODUCT((Upload_Indiv_Player=$A40)*(Upload_Indiv_Date=I$2)*(Upload_Indiv_Tot_Birds))=0,"",SUMPRODUCT((Upload_Indiv_Player=$A40)*(Upload_Indiv_Date=I$2)*(Upload_Indiv_Tot_Birds)))</f>
        <v/>
      </c>
      <c r="J43" s="300" t="str" cm="1">
        <f t="array" ref="J43">IF(SUMPRODUCT((Upload_Indiv_Player=$A40)*(Upload_Indiv_Date=J$2)*(Upload_Indiv_Tot_Birds))=0,"",SUMPRODUCT((Upload_Indiv_Player=$A40)*(Upload_Indiv_Date=J$2)*(Upload_Indiv_Tot_Birds)))</f>
        <v/>
      </c>
      <c r="K43" s="300" t="str" cm="1">
        <f t="array" ref="K43">IF(SUMPRODUCT((Upload_Indiv_Player=$A40)*(Upload_Indiv_Date=K$2)*(Upload_Indiv_Tot_Birds))=0,"",SUMPRODUCT((Upload_Indiv_Player=$A40)*(Upload_Indiv_Date=K$2)*(Upload_Indiv_Tot_Birds)))</f>
        <v/>
      </c>
      <c r="L43" s="300" t="str" cm="1">
        <f t="array" ref="L43">IF(SUMPRODUCT((Upload_Indiv_Player=$A40)*(Upload_Indiv_Date=L$2)*(Upload_Indiv_Tot_Birds))=0,"",SUMPRODUCT((Upload_Indiv_Player=$A40)*(Upload_Indiv_Date=L$2)*(Upload_Indiv_Tot_Birds)))</f>
        <v/>
      </c>
      <c r="M43" s="300" t="str" cm="1">
        <f t="array" ref="M43">IF(SUMPRODUCT((Upload_Indiv_Player=$A40)*(Upload_Indiv_Date=M$2)*(Upload_Indiv_Tot_Birds))=0,"",SUMPRODUCT((Upload_Indiv_Player=$A40)*(Upload_Indiv_Date=M$2)*(Upload_Indiv_Tot_Birds)))</f>
        <v/>
      </c>
      <c r="N43" s="300" t="str" cm="1">
        <f t="array" ref="N43">IF(SUMPRODUCT((Upload_Indiv_Player=$A40)*(Upload_Indiv_Date=N$2)*(Upload_Indiv_Tot_Birds))=0,"",SUMPRODUCT((Upload_Indiv_Player=$A40)*(Upload_Indiv_Date=N$2)*(Upload_Indiv_Tot_Birds)))</f>
        <v/>
      </c>
      <c r="O43" s="300" t="str" cm="1">
        <f t="array" ref="O43">IF(SUMPRODUCT((Upload_Indiv_Player=$A40)*(Upload_Indiv_Date=O$2)*(Upload_Indiv_Tot_Birds))=0,"",SUMPRODUCT((Upload_Indiv_Player=$A40)*(Upload_Indiv_Date=O$2)*(Upload_Indiv_Tot_Birds)))</f>
        <v/>
      </c>
      <c r="P43" s="300" t="str" cm="1">
        <f t="array" ref="P43">IF(SUMPRODUCT((Upload_Indiv_Player=$A40)*(Upload_Indiv_Date=P$2)*(Upload_Indiv_Tot_Birds))=0,"",SUMPRODUCT((Upload_Indiv_Player=$A40)*(Upload_Indiv_Date=P$2)*(Upload_Indiv_Tot_Birds)))</f>
        <v/>
      </c>
      <c r="Q43" s="300" t="str" cm="1">
        <f t="array" ref="Q43">IF(SUMPRODUCT((Upload_Indiv_Player=$A40)*(Upload_Indiv_Date=Q$2)*(Upload_Indiv_Tot_Birds))=0,"",SUMPRODUCT((Upload_Indiv_Player=$A40)*(Upload_Indiv_Date=Q$2)*(Upload_Indiv_Tot_Birds)))</f>
        <v/>
      </c>
      <c r="R43" s="300" t="str" cm="1">
        <f t="array" ref="R43">IF(SUMPRODUCT((Upload_Indiv_Player=$A40)*(Upload_Indiv_Date=R$2)*(Upload_Indiv_Tot_Birds))=0,"",SUMPRODUCT((Upload_Indiv_Player=$A40)*(Upload_Indiv_Date=R$2)*(Upload_Indiv_Tot_Birds)))</f>
        <v/>
      </c>
      <c r="S43" s="300" t="str" cm="1">
        <f t="array" ref="S43">IF(SUMPRODUCT((Upload_Indiv_Player=$A40)*(Upload_Indiv_Date=S$2)*(Upload_Indiv_Tot_Birds))=0,"",SUMPRODUCT((Upload_Indiv_Player=$A40)*(Upload_Indiv_Date=S$2)*(Upload_Indiv_Tot_Birds)))</f>
        <v/>
      </c>
      <c r="T43" s="300" t="str" cm="1">
        <f t="array" ref="T43">IF(SUMPRODUCT((Upload_Indiv_Player=$A40)*(Upload_Indiv_Date=T$2)*(Upload_Indiv_Tot_Birds))=0,"",SUMPRODUCT((Upload_Indiv_Player=$A40)*(Upload_Indiv_Date=T$2)*(Upload_Indiv_Tot_Birds)))</f>
        <v/>
      </c>
      <c r="U43" s="300" t="str" cm="1">
        <f t="array" ref="U43">IF(SUMPRODUCT((Upload_Indiv_Player=$A40)*(Upload_Indiv_Date=U$2)*(Upload_Indiv_Tot_Birds))=0,"",SUMPRODUCT((Upload_Indiv_Player=$A40)*(Upload_Indiv_Date=U$2)*(Upload_Indiv_Tot_Birds)))</f>
        <v/>
      </c>
      <c r="V43" s="276"/>
      <c r="W43" s="276"/>
      <c r="X43" s="276"/>
      <c r="Y43" s="277"/>
      <c r="Z43" s="277"/>
      <c r="AA43" s="277"/>
    </row>
    <row r="44" spans="1:27" x14ac:dyDescent="0.25">
      <c r="A44" s="297"/>
      <c r="B44" s="301" t="s">
        <v>175</v>
      </c>
      <c r="C44" s="300" t="str" cm="1">
        <f t="array" ref="C44">IF(SUMPRODUCT((Upload_Indiv_Player=$A40)*(Upload_Indiv_Date=C$2)*(Upload_Indiv_Tot_Eagles))=0,"",SUMPRODUCT((Upload_Indiv_Player=$A40)*(Upload_Indiv_Date=C$2)*(Upload_Indiv_Tot_Eagles)))</f>
        <v/>
      </c>
      <c r="D44" s="300" t="str" cm="1">
        <f t="array" ref="D44">IF(SUMPRODUCT((Upload_Indiv_Player=$A40)*(Upload_Indiv_Date=D$2)*(Upload_Indiv_Tot_Eagles))=0,"",SUMPRODUCT((Upload_Indiv_Player=$A40)*(Upload_Indiv_Date=D$2)*(Upload_Indiv_Tot_Eagles)))</f>
        <v/>
      </c>
      <c r="E44" s="300" t="str" cm="1">
        <f t="array" ref="E44">IF(SUMPRODUCT((Upload_Indiv_Player=$A40)*(Upload_Indiv_Date=E$2)*(Upload_Indiv_Tot_Eagles))=0,"",SUMPRODUCT((Upload_Indiv_Player=$A40)*(Upload_Indiv_Date=E$2)*(Upload_Indiv_Tot_Eagles)))</f>
        <v/>
      </c>
      <c r="F44" s="300" t="str" cm="1">
        <f t="array" ref="F44">IF(SUMPRODUCT((Upload_Indiv_Player=$A40)*(Upload_Indiv_Date=F$2)*(Upload_Indiv_Tot_Eagles))=0,"",SUMPRODUCT((Upload_Indiv_Player=$A40)*(Upload_Indiv_Date=F$2)*(Upload_Indiv_Tot_Eagles)))</f>
        <v/>
      </c>
      <c r="G44" s="300" t="str" cm="1">
        <f t="array" ref="G44">IF(SUMPRODUCT((Upload_Indiv_Player=$A40)*(Upload_Indiv_Date=G$2)*(Upload_Indiv_Tot_Eagles))=0,"",SUMPRODUCT((Upload_Indiv_Player=$A40)*(Upload_Indiv_Date=G$2)*(Upload_Indiv_Tot_Eagles)))</f>
        <v/>
      </c>
      <c r="H44" s="300" t="str" cm="1">
        <f t="array" ref="H44">IF(SUMPRODUCT((Upload_Indiv_Player=$A40)*(Upload_Indiv_Date=H$2)*(Upload_Indiv_Tot_Eagles))=0,"",SUMPRODUCT((Upload_Indiv_Player=$A40)*(Upload_Indiv_Date=H$2)*(Upload_Indiv_Tot_Eagles)))</f>
        <v/>
      </c>
      <c r="I44" s="300" t="str" cm="1">
        <f t="array" ref="I44">IF(SUMPRODUCT((Upload_Indiv_Player=$A40)*(Upload_Indiv_Date=I$2)*(Upload_Indiv_Tot_Eagles))=0,"",SUMPRODUCT((Upload_Indiv_Player=$A40)*(Upload_Indiv_Date=I$2)*(Upload_Indiv_Tot_Eagles)))</f>
        <v/>
      </c>
      <c r="J44" s="300" t="str" cm="1">
        <f t="array" ref="J44">IF(SUMPRODUCT((Upload_Indiv_Player=$A40)*(Upload_Indiv_Date=J$2)*(Upload_Indiv_Tot_Eagles))=0,"",SUMPRODUCT((Upload_Indiv_Player=$A40)*(Upload_Indiv_Date=J$2)*(Upload_Indiv_Tot_Eagles)))</f>
        <v/>
      </c>
      <c r="K44" s="300" t="str" cm="1">
        <f t="array" ref="K44">IF(SUMPRODUCT((Upload_Indiv_Player=$A40)*(Upload_Indiv_Date=K$2)*(Upload_Indiv_Tot_Eagles))=0,"",SUMPRODUCT((Upload_Indiv_Player=$A40)*(Upload_Indiv_Date=K$2)*(Upload_Indiv_Tot_Eagles)))</f>
        <v/>
      </c>
      <c r="L44" s="300" t="str" cm="1">
        <f t="array" ref="L44">IF(SUMPRODUCT((Upload_Indiv_Player=$A40)*(Upload_Indiv_Date=L$2)*(Upload_Indiv_Tot_Eagles))=0,"",SUMPRODUCT((Upload_Indiv_Player=$A40)*(Upload_Indiv_Date=L$2)*(Upload_Indiv_Tot_Eagles)))</f>
        <v/>
      </c>
      <c r="M44" s="300" t="str" cm="1">
        <f t="array" ref="M44">IF(SUMPRODUCT((Upload_Indiv_Player=$A40)*(Upload_Indiv_Date=M$2)*(Upload_Indiv_Tot_Eagles))=0,"",SUMPRODUCT((Upload_Indiv_Player=$A40)*(Upload_Indiv_Date=M$2)*(Upload_Indiv_Tot_Eagles)))</f>
        <v/>
      </c>
      <c r="N44" s="300" t="str" cm="1">
        <f t="array" ref="N44">IF(SUMPRODUCT((Upload_Indiv_Player=$A40)*(Upload_Indiv_Date=N$2)*(Upload_Indiv_Tot_Eagles))=0,"",SUMPRODUCT((Upload_Indiv_Player=$A40)*(Upload_Indiv_Date=N$2)*(Upload_Indiv_Tot_Eagles)))</f>
        <v/>
      </c>
      <c r="O44" s="300" t="str" cm="1">
        <f t="array" ref="O44">IF(SUMPRODUCT((Upload_Indiv_Player=$A40)*(Upload_Indiv_Date=O$2)*(Upload_Indiv_Tot_Eagles))=0,"",SUMPRODUCT((Upload_Indiv_Player=$A40)*(Upload_Indiv_Date=O$2)*(Upload_Indiv_Tot_Eagles)))</f>
        <v/>
      </c>
      <c r="P44" s="300" t="str" cm="1">
        <f t="array" ref="P44">IF(SUMPRODUCT((Upload_Indiv_Player=$A40)*(Upload_Indiv_Date=P$2)*(Upload_Indiv_Tot_Eagles))=0,"",SUMPRODUCT((Upload_Indiv_Player=$A40)*(Upload_Indiv_Date=P$2)*(Upload_Indiv_Tot_Eagles)))</f>
        <v/>
      </c>
      <c r="Q44" s="300" t="str" cm="1">
        <f t="array" ref="Q44">IF(SUMPRODUCT((Upload_Indiv_Player=$A40)*(Upload_Indiv_Date=Q$2)*(Upload_Indiv_Tot_Eagles))=0,"",SUMPRODUCT((Upload_Indiv_Player=$A40)*(Upload_Indiv_Date=Q$2)*(Upload_Indiv_Tot_Eagles)))</f>
        <v/>
      </c>
      <c r="R44" s="300" t="str" cm="1">
        <f t="array" ref="R44">IF(SUMPRODUCT((Upload_Indiv_Player=$A40)*(Upload_Indiv_Date=R$2)*(Upload_Indiv_Tot_Eagles))=0,"",SUMPRODUCT((Upload_Indiv_Player=$A40)*(Upload_Indiv_Date=R$2)*(Upload_Indiv_Tot_Eagles)))</f>
        <v/>
      </c>
      <c r="S44" s="300" t="str" cm="1">
        <f t="array" ref="S44">IF(SUMPRODUCT((Upload_Indiv_Player=$A40)*(Upload_Indiv_Date=S$2)*(Upload_Indiv_Tot_Eagles))=0,"",SUMPRODUCT((Upload_Indiv_Player=$A40)*(Upload_Indiv_Date=S$2)*(Upload_Indiv_Tot_Eagles)))</f>
        <v/>
      </c>
      <c r="T44" s="300" t="str" cm="1">
        <f t="array" ref="T44">IF(SUMPRODUCT((Upload_Indiv_Player=$A40)*(Upload_Indiv_Date=T$2)*(Upload_Indiv_Tot_Eagles))=0,"",SUMPRODUCT((Upload_Indiv_Player=$A40)*(Upload_Indiv_Date=T$2)*(Upload_Indiv_Tot_Eagles)))</f>
        <v/>
      </c>
      <c r="U44" s="300" t="str" cm="1">
        <f t="array" ref="U44">IF(SUMPRODUCT((Upload_Indiv_Player=$A40)*(Upload_Indiv_Date=U$2)*(Upload_Indiv_Tot_Eagles))=0,"",SUMPRODUCT((Upload_Indiv_Player=$A40)*(Upload_Indiv_Date=U$2)*(Upload_Indiv_Tot_Eagles)))</f>
        <v/>
      </c>
      <c r="V44" s="276"/>
      <c r="W44" s="276"/>
      <c r="X44" s="276"/>
      <c r="Y44" s="277"/>
      <c r="Z44" s="277"/>
      <c r="AA44" s="277"/>
    </row>
    <row r="45" spans="1:27" x14ac:dyDescent="0.25">
      <c r="A45" s="297"/>
      <c r="B45" s="300" t="s">
        <v>176</v>
      </c>
      <c r="C45" s="300" t="str" cm="1">
        <f t="array" ref="C45">IF(SUMPRODUCT((Upload_Indiv_Player=$A40)*(Upload_Indiv_Date=C$2)*(Upload_Indiv_Excl_Score))=0,"",SUMPRODUCT((Upload_Indiv_Player=$A40)*(Upload_Indiv_Date=C$2)*(Upload_Indiv_Excl_Score)))</f>
        <v/>
      </c>
      <c r="D45" s="300" t="str" cm="1">
        <f t="array" ref="D45">IF(SUMPRODUCT((Upload_Indiv_Player=$A40)*(Upload_Indiv_Date=D$2)*(Upload_Indiv_Excl_Score))=0,"",SUMPRODUCT((Upload_Indiv_Player=$A40)*(Upload_Indiv_Date=D$2)*(Upload_Indiv_Excl_Score)))</f>
        <v/>
      </c>
      <c r="E45" s="300" t="str" cm="1">
        <f t="array" ref="E45">IF(SUMPRODUCT((Upload_Indiv_Player=$A40)*(Upload_Indiv_Date=E$2)*(Upload_Indiv_Excl_Score))=0,"",SUMPRODUCT((Upload_Indiv_Player=$A40)*(Upload_Indiv_Date=E$2)*(Upload_Indiv_Excl_Score)))</f>
        <v/>
      </c>
      <c r="F45" s="300" t="str" cm="1">
        <f t="array" ref="F45">IF(SUMPRODUCT((Upload_Indiv_Player=$A40)*(Upload_Indiv_Date=F$2)*(Upload_Indiv_Excl_Score))=0,"",SUMPRODUCT((Upload_Indiv_Player=$A40)*(Upload_Indiv_Date=F$2)*(Upload_Indiv_Excl_Score)))</f>
        <v/>
      </c>
      <c r="G45" s="300" t="str" cm="1">
        <f t="array" ref="G45">IF(SUMPRODUCT((Upload_Indiv_Player=$A40)*(Upload_Indiv_Date=G$2)*(Upload_Indiv_Excl_Score))=0,"",SUMPRODUCT((Upload_Indiv_Player=$A40)*(Upload_Indiv_Date=G$2)*(Upload_Indiv_Excl_Score)))</f>
        <v/>
      </c>
      <c r="H45" s="300" t="str" cm="1">
        <f t="array" ref="H45">IF(SUMPRODUCT((Upload_Indiv_Player=$A40)*(Upload_Indiv_Date=H$2)*(Upload_Indiv_Excl_Score))=0,"",SUMPRODUCT((Upload_Indiv_Player=$A40)*(Upload_Indiv_Date=H$2)*(Upload_Indiv_Excl_Score)))</f>
        <v/>
      </c>
      <c r="I45" s="300" t="str" cm="1">
        <f t="array" ref="I45">IF(SUMPRODUCT((Upload_Indiv_Player=$A40)*(Upload_Indiv_Date=I$2)*(Upload_Indiv_Excl_Score))=0,"",SUMPRODUCT((Upload_Indiv_Player=$A40)*(Upload_Indiv_Date=I$2)*(Upload_Indiv_Excl_Score)))</f>
        <v/>
      </c>
      <c r="J45" s="300" t="str" cm="1">
        <f t="array" ref="J45">IF(SUMPRODUCT((Upload_Indiv_Player=$A40)*(Upload_Indiv_Date=J$2)*(Upload_Indiv_Excl_Score))=0,"",SUMPRODUCT((Upload_Indiv_Player=$A40)*(Upload_Indiv_Date=J$2)*(Upload_Indiv_Excl_Score)))</f>
        <v/>
      </c>
      <c r="K45" s="300" t="str" cm="1">
        <f t="array" ref="K45">IF(SUMPRODUCT((Upload_Indiv_Player=$A40)*(Upload_Indiv_Date=K$2)*(Upload_Indiv_Excl_Score))=0,"",SUMPRODUCT((Upload_Indiv_Player=$A40)*(Upload_Indiv_Date=K$2)*(Upload_Indiv_Excl_Score)))</f>
        <v/>
      </c>
      <c r="L45" s="300" t="str" cm="1">
        <f t="array" ref="L45">IF(SUMPRODUCT((Upload_Indiv_Player=$A40)*(Upload_Indiv_Date=L$2)*(Upload_Indiv_Excl_Score))=0,"",SUMPRODUCT((Upload_Indiv_Player=$A40)*(Upload_Indiv_Date=L$2)*(Upload_Indiv_Excl_Score)))</f>
        <v/>
      </c>
      <c r="M45" s="300" t="str" cm="1">
        <f t="array" ref="M45">IF(SUMPRODUCT((Upload_Indiv_Player=$A40)*(Upload_Indiv_Date=M$2)*(Upload_Indiv_Excl_Score))=0,"",SUMPRODUCT((Upload_Indiv_Player=$A40)*(Upload_Indiv_Date=M$2)*(Upload_Indiv_Excl_Score)))</f>
        <v/>
      </c>
      <c r="N45" s="300" t="str" cm="1">
        <f t="array" ref="N45">IF(SUMPRODUCT((Upload_Indiv_Player=$A40)*(Upload_Indiv_Date=N$2)*(Upload_Indiv_Excl_Score))=0,"",SUMPRODUCT((Upload_Indiv_Player=$A40)*(Upload_Indiv_Date=N$2)*(Upload_Indiv_Excl_Score)))</f>
        <v/>
      </c>
      <c r="O45" s="300" t="str" cm="1">
        <f t="array" ref="O45">IF(SUMPRODUCT((Upload_Indiv_Player=$A40)*(Upload_Indiv_Date=O$2)*(Upload_Indiv_Excl_Score))=0,"",SUMPRODUCT((Upload_Indiv_Player=$A40)*(Upload_Indiv_Date=O$2)*(Upload_Indiv_Excl_Score)))</f>
        <v/>
      </c>
      <c r="P45" s="300" t="str" cm="1">
        <f t="array" ref="P45">IF(SUMPRODUCT((Upload_Indiv_Player=$A40)*(Upload_Indiv_Date=P$2)*(Upload_Indiv_Excl_Score))=0,"",SUMPRODUCT((Upload_Indiv_Player=$A40)*(Upload_Indiv_Date=P$2)*(Upload_Indiv_Excl_Score)))</f>
        <v/>
      </c>
      <c r="Q45" s="300" t="str" cm="1">
        <f t="array" ref="Q45">IF(SUMPRODUCT((Upload_Indiv_Player=$A40)*(Upload_Indiv_Date=Q$2)*(Upload_Indiv_Excl_Score))=0,"",SUMPRODUCT((Upload_Indiv_Player=$A40)*(Upload_Indiv_Date=Q$2)*(Upload_Indiv_Excl_Score)))</f>
        <v/>
      </c>
      <c r="R45" s="300" t="str" cm="1">
        <f t="array" ref="R45">IF(SUMPRODUCT((Upload_Indiv_Player=$A40)*(Upload_Indiv_Date=R$2)*(Upload_Indiv_Excl_Score))=0,"",SUMPRODUCT((Upload_Indiv_Player=$A40)*(Upload_Indiv_Date=R$2)*(Upload_Indiv_Excl_Score)))</f>
        <v/>
      </c>
      <c r="S45" s="300" t="str" cm="1">
        <f t="array" ref="S45">IF(SUMPRODUCT((Upload_Indiv_Player=$A40)*(Upload_Indiv_Date=S$2)*(Upload_Indiv_Excl_Score))=0,"",SUMPRODUCT((Upload_Indiv_Player=$A40)*(Upload_Indiv_Date=S$2)*(Upload_Indiv_Excl_Score)))</f>
        <v/>
      </c>
      <c r="T45" s="300" t="str" cm="1">
        <f t="array" ref="T45">IF(SUMPRODUCT((Upload_Indiv_Player=$A40)*(Upload_Indiv_Date=T$2)*(Upload_Indiv_Excl_Score))=0,"",SUMPRODUCT((Upload_Indiv_Player=$A40)*(Upload_Indiv_Date=T$2)*(Upload_Indiv_Excl_Score)))</f>
        <v/>
      </c>
      <c r="U45" s="300" t="str" cm="1">
        <f t="array" ref="U45">IF(SUMPRODUCT((Upload_Indiv_Player=$A40)*(Upload_Indiv_Date=U$2)*(Upload_Indiv_Excl_Score))=0,"",SUMPRODUCT((Upload_Indiv_Player=$A40)*(Upload_Indiv_Date=U$2)*(Upload_Indiv_Excl_Score)))</f>
        <v/>
      </c>
      <c r="V45" s="276"/>
      <c r="W45" s="276"/>
      <c r="X45" s="276"/>
      <c r="Y45" s="277"/>
      <c r="Z45" s="277"/>
      <c r="AA45" s="277"/>
    </row>
    <row r="46" spans="1:27" ht="13.8" thickBot="1" x14ac:dyDescent="0.3">
      <c r="A46" s="298"/>
      <c r="B46" s="302" t="s">
        <v>178</v>
      </c>
      <c r="C46" s="58" t="str">
        <f>IF(C40="", "", IF(C42&gt;=11, "w", IF(C42&lt;=9, "l", "t")))</f>
        <v/>
      </c>
      <c r="D46" s="58" t="str">
        <f t="shared" ref="D46:S46" si="6">IF(D40="", "", IF(D42&gt;=11, "w", IF(D42&lt;=9, "l", "t")))</f>
        <v/>
      </c>
      <c r="E46" s="58" t="str">
        <f t="shared" si="6"/>
        <v/>
      </c>
      <c r="F46" s="58" t="str">
        <f t="shared" si="6"/>
        <v/>
      </c>
      <c r="G46" s="58" t="str">
        <f t="shared" si="6"/>
        <v/>
      </c>
      <c r="H46" s="58" t="str">
        <f t="shared" si="6"/>
        <v/>
      </c>
      <c r="I46" s="58" t="str">
        <f t="shared" si="6"/>
        <v/>
      </c>
      <c r="J46" s="58" t="str">
        <f t="shared" si="6"/>
        <v/>
      </c>
      <c r="K46" s="58" t="str">
        <f t="shared" si="6"/>
        <v/>
      </c>
      <c r="L46" s="58" t="str">
        <f t="shared" si="6"/>
        <v/>
      </c>
      <c r="M46" s="58" t="str">
        <f t="shared" si="6"/>
        <v/>
      </c>
      <c r="N46" s="58" t="str">
        <f t="shared" si="6"/>
        <v/>
      </c>
      <c r="O46" s="58" t="str">
        <f t="shared" si="6"/>
        <v/>
      </c>
      <c r="P46" s="58" t="str">
        <f t="shared" si="6"/>
        <v/>
      </c>
      <c r="Q46" s="58" t="str">
        <f t="shared" si="6"/>
        <v/>
      </c>
      <c r="R46" s="58" t="str">
        <f t="shared" si="6"/>
        <v/>
      </c>
      <c r="S46" s="58" t="str">
        <f t="shared" si="6"/>
        <v/>
      </c>
      <c r="T46" s="58" t="str">
        <f>IF(T40="", "", IF(T42&gt;=11, "w", IF(T42&lt;=9, "l", "t")))</f>
        <v/>
      </c>
      <c r="U46" s="58" t="str">
        <f>IF(U40="", "", IF(U42&gt;=11, "w", IF(U42&lt;=9, "l", "t")))</f>
        <v/>
      </c>
      <c r="V46" s="276"/>
      <c r="W46" s="276"/>
      <c r="X46" s="276"/>
      <c r="Y46" s="277"/>
      <c r="Z46" s="277"/>
      <c r="AA46" s="277"/>
    </row>
  </sheetData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2:O349"/>
  <sheetViews>
    <sheetView workbookViewId="0"/>
  </sheetViews>
  <sheetFormatPr defaultColWidth="9.109375" defaultRowHeight="10.199999999999999" x14ac:dyDescent="0.2"/>
  <cols>
    <col min="1" max="1" width="21.88671875" style="18" bestFit="1" customWidth="1"/>
    <col min="2" max="2" width="9.109375" style="19"/>
    <col min="3" max="7" width="9.109375" style="18"/>
    <col min="8" max="8" width="14.44140625" style="18" customWidth="1"/>
    <col min="9" max="19" width="9.109375" style="18"/>
    <col min="20" max="20" width="3.77734375" style="18" bestFit="1" customWidth="1"/>
    <col min="21" max="21" width="19.5546875" style="18" bestFit="1" customWidth="1"/>
    <col min="22" max="22" width="8.77734375" style="18" bestFit="1" customWidth="1"/>
    <col min="23" max="23" width="23.21875" style="18" bestFit="1" customWidth="1"/>
    <col min="24" max="16384" width="9.109375" style="18"/>
  </cols>
  <sheetData>
    <row r="2" spans="1:10" x14ac:dyDescent="0.2">
      <c r="A2" s="23" t="s">
        <v>327</v>
      </c>
      <c r="B2" s="24" t="s">
        <v>57</v>
      </c>
      <c r="C2" s="25" t="s">
        <v>328</v>
      </c>
      <c r="D2" s="26" t="s">
        <v>329</v>
      </c>
      <c r="E2" s="18" t="s">
        <v>330</v>
      </c>
      <c r="G2" s="18" t="s">
        <v>8</v>
      </c>
      <c r="H2" s="18" t="s">
        <v>18</v>
      </c>
    </row>
    <row r="3" spans="1:10" x14ac:dyDescent="0.2">
      <c r="A3" s="27" t="s">
        <v>528</v>
      </c>
      <c r="B3" s="22">
        <f>ROWS(B3:B$3)/10000</f>
        <v>1E-4</v>
      </c>
      <c r="C3" s="18" t="s">
        <v>335</v>
      </c>
      <c r="D3" s="28"/>
    </row>
    <row r="4" spans="1:10" x14ac:dyDescent="0.2">
      <c r="A4" s="27" t="s">
        <v>555</v>
      </c>
      <c r="B4" s="22">
        <f>ROWS(B$3:B4)/10000</f>
        <v>2.0000000000000001E-4</v>
      </c>
      <c r="C4" s="18" t="s">
        <v>335</v>
      </c>
      <c r="D4" s="28"/>
    </row>
    <row r="5" spans="1:10" x14ac:dyDescent="0.2">
      <c r="A5" s="27" t="s">
        <v>309</v>
      </c>
      <c r="B5" s="22">
        <f>ROWS(B$3:B5)/10000</f>
        <v>2.9999999999999997E-4</v>
      </c>
      <c r="C5" s="18" t="s">
        <v>147</v>
      </c>
      <c r="D5" s="28" t="b">
        <f>A5=H5</f>
        <v>1</v>
      </c>
      <c r="E5" s="18" t="b">
        <f>C5=G5</f>
        <v>1</v>
      </c>
      <c r="G5" s="18" t="s">
        <v>147</v>
      </c>
      <c r="H5" s="18" t="s">
        <v>309</v>
      </c>
      <c r="I5" s="18">
        <v>3308261720</v>
      </c>
      <c r="J5" s="18" t="s">
        <v>310</v>
      </c>
    </row>
    <row r="6" spans="1:10" x14ac:dyDescent="0.2">
      <c r="A6" s="27" t="s">
        <v>331</v>
      </c>
      <c r="B6" s="22">
        <f>ROWS(B$3:B6)/10000</f>
        <v>4.0000000000000002E-4</v>
      </c>
      <c r="C6" s="18" t="s">
        <v>162</v>
      </c>
      <c r="D6" s="28" t="b">
        <f t="shared" ref="D6:D94" si="0">A6=H6</f>
        <v>1</v>
      </c>
      <c r="E6" s="18" t="b">
        <f t="shared" ref="E6:E94" si="1">C6=G6</f>
        <v>1</v>
      </c>
      <c r="G6" s="18" t="s">
        <v>162</v>
      </c>
      <c r="H6" s="18" t="s">
        <v>331</v>
      </c>
      <c r="I6" s="18">
        <v>3302807221</v>
      </c>
      <c r="J6" s="18" t="s">
        <v>332</v>
      </c>
    </row>
    <row r="7" spans="1:10" x14ac:dyDescent="0.2">
      <c r="A7" s="27" t="s">
        <v>333</v>
      </c>
      <c r="B7" s="22">
        <f>ROWS(B$3:B7)/10000</f>
        <v>5.0000000000000001E-4</v>
      </c>
      <c r="C7" s="18" t="s">
        <v>162</v>
      </c>
      <c r="D7" s="28" t="b">
        <f t="shared" si="0"/>
        <v>1</v>
      </c>
      <c r="E7" s="18" t="b">
        <f t="shared" si="1"/>
        <v>1</v>
      </c>
      <c r="G7" s="18" t="s">
        <v>162</v>
      </c>
      <c r="H7" s="18" t="s">
        <v>333</v>
      </c>
      <c r="I7" s="18">
        <v>3309333015</v>
      </c>
      <c r="J7" s="18" t="s">
        <v>334</v>
      </c>
    </row>
    <row r="8" spans="1:10" x14ac:dyDescent="0.2">
      <c r="A8" s="27" t="s">
        <v>311</v>
      </c>
      <c r="B8" s="22">
        <f>ROWS(B$3:B8)/10000</f>
        <v>5.9999999999999995E-4</v>
      </c>
      <c r="C8" s="18" t="s">
        <v>147</v>
      </c>
      <c r="D8" s="28" t="b">
        <f t="shared" si="0"/>
        <v>1</v>
      </c>
      <c r="E8" s="18" t="b">
        <f t="shared" si="1"/>
        <v>0</v>
      </c>
      <c r="G8" s="18" t="s">
        <v>335</v>
      </c>
      <c r="H8" s="18" t="s">
        <v>311</v>
      </c>
      <c r="I8" s="18">
        <v>3303126140</v>
      </c>
      <c r="J8" s="18" t="s">
        <v>312</v>
      </c>
    </row>
    <row r="9" spans="1:10" x14ac:dyDescent="0.2">
      <c r="A9" s="27" t="s">
        <v>302</v>
      </c>
      <c r="B9" s="22">
        <f>ROWS(B$3:B9)/10000</f>
        <v>6.9999999999999999E-4</v>
      </c>
      <c r="C9" s="18" t="s">
        <v>151</v>
      </c>
      <c r="D9" s="28" t="b">
        <f t="shared" si="0"/>
        <v>1</v>
      </c>
      <c r="E9" s="18" t="b">
        <f t="shared" si="1"/>
        <v>1</v>
      </c>
      <c r="G9" s="18" t="s">
        <v>151</v>
      </c>
      <c r="H9" s="18" t="s">
        <v>302</v>
      </c>
      <c r="I9" s="18">
        <v>3304186784</v>
      </c>
      <c r="J9" s="18" t="s">
        <v>303</v>
      </c>
    </row>
    <row r="10" spans="1:10" x14ac:dyDescent="0.2">
      <c r="A10" s="27" t="s">
        <v>323</v>
      </c>
      <c r="B10" s="22">
        <f>ROWS(B$3:B10)/10000</f>
        <v>8.0000000000000004E-4</v>
      </c>
      <c r="C10" s="18" t="s">
        <v>336</v>
      </c>
      <c r="D10" s="28"/>
    </row>
    <row r="11" spans="1:10" x14ac:dyDescent="0.2">
      <c r="A11" s="27" t="s">
        <v>324</v>
      </c>
      <c r="B11" s="22">
        <f>ROWS(B$3:B11)/10000</f>
        <v>8.9999999999999998E-4</v>
      </c>
      <c r="C11" s="18" t="s">
        <v>336</v>
      </c>
      <c r="D11" s="28"/>
    </row>
    <row r="12" spans="1:10" x14ac:dyDescent="0.2">
      <c r="A12" s="27" t="s">
        <v>325</v>
      </c>
      <c r="B12" s="22">
        <f>ROWS(B$3:B12)/10000</f>
        <v>1E-3</v>
      </c>
      <c r="C12" s="18" t="s">
        <v>336</v>
      </c>
      <c r="D12" s="28"/>
    </row>
    <row r="13" spans="1:10" x14ac:dyDescent="0.2">
      <c r="A13" s="27" t="s">
        <v>326</v>
      </c>
      <c r="B13" s="22">
        <f>ROWS(B$3:B13)/10000</f>
        <v>1.1000000000000001E-3</v>
      </c>
      <c r="C13" s="18" t="s">
        <v>336</v>
      </c>
      <c r="D13" s="28"/>
    </row>
    <row r="14" spans="1:10" x14ac:dyDescent="0.2">
      <c r="A14" s="27" t="s">
        <v>314</v>
      </c>
      <c r="B14" s="22">
        <f>ROWS(B$3:B14)/10000</f>
        <v>1.1999999999999999E-3</v>
      </c>
      <c r="C14" s="18" t="s">
        <v>147</v>
      </c>
      <c r="D14" s="28"/>
    </row>
    <row r="15" spans="1:10" x14ac:dyDescent="0.2">
      <c r="A15" s="27" t="s">
        <v>322</v>
      </c>
      <c r="B15" s="22">
        <f>ROWS(B$3:B15)/10000</f>
        <v>1.2999999999999999E-3</v>
      </c>
      <c r="C15" s="18" t="s">
        <v>337</v>
      </c>
      <c r="D15" s="28"/>
    </row>
    <row r="16" spans="1:10" x14ac:dyDescent="0.2">
      <c r="A16" s="27" t="s">
        <v>289</v>
      </c>
      <c r="B16" s="22">
        <f>ROWS(B$3:B16)/10000</f>
        <v>1.4E-3</v>
      </c>
      <c r="C16" s="18" t="s">
        <v>154</v>
      </c>
      <c r="D16" s="28"/>
    </row>
    <row r="17" spans="1:10" x14ac:dyDescent="0.2">
      <c r="A17" s="27" t="s">
        <v>271</v>
      </c>
      <c r="B17" s="22">
        <f>ROWS(B$3:B17)/10000</f>
        <v>1.5E-3</v>
      </c>
      <c r="C17" s="18" t="s">
        <v>157</v>
      </c>
      <c r="D17" s="28"/>
    </row>
    <row r="18" spans="1:10" x14ac:dyDescent="0.2">
      <c r="A18" s="27" t="s">
        <v>281</v>
      </c>
      <c r="B18" s="22">
        <f>ROWS(B$3:B18)/10000</f>
        <v>1.6000000000000001E-3</v>
      </c>
      <c r="C18" s="18" t="s">
        <v>338</v>
      </c>
      <c r="D18" s="28"/>
    </row>
    <row r="19" spans="1:10" x14ac:dyDescent="0.2">
      <c r="A19" s="27" t="s">
        <v>296</v>
      </c>
      <c r="B19" s="22">
        <f>ROWS(B$3:B19)/10000</f>
        <v>1.6999999999999999E-3</v>
      </c>
      <c r="C19" s="18" t="s">
        <v>149</v>
      </c>
      <c r="D19" s="28"/>
    </row>
    <row r="20" spans="1:10" x14ac:dyDescent="0.2">
      <c r="A20" s="27" t="s">
        <v>306</v>
      </c>
      <c r="B20" s="22">
        <f>ROWS(B$3:B20)/10000</f>
        <v>1.8E-3</v>
      </c>
      <c r="C20" s="18" t="s">
        <v>151</v>
      </c>
      <c r="D20" s="28"/>
    </row>
    <row r="21" spans="1:10" x14ac:dyDescent="0.2">
      <c r="A21" s="27" t="s">
        <v>298</v>
      </c>
      <c r="B21" s="22">
        <f>ROWS(B$3:B21)/10000</f>
        <v>1.9E-3</v>
      </c>
      <c r="C21" s="18" t="s">
        <v>151</v>
      </c>
      <c r="D21" s="28"/>
    </row>
    <row r="22" spans="1:10" x14ac:dyDescent="0.2">
      <c r="A22" s="27" t="s">
        <v>163</v>
      </c>
      <c r="B22" s="22">
        <f>ROWS(B$3:B22)/10000</f>
        <v>2E-3</v>
      </c>
      <c r="C22" s="18" t="s">
        <v>154</v>
      </c>
      <c r="D22" s="28" t="b">
        <f t="shared" si="0"/>
        <v>1</v>
      </c>
      <c r="E22" s="18" t="b">
        <f t="shared" si="1"/>
        <v>1</v>
      </c>
      <c r="G22" s="18" t="s">
        <v>154</v>
      </c>
      <c r="H22" s="18" t="s">
        <v>163</v>
      </c>
      <c r="I22" s="18">
        <v>2342626764</v>
      </c>
      <c r="J22" s="18" t="s">
        <v>285</v>
      </c>
    </row>
    <row r="23" spans="1:10" x14ac:dyDescent="0.2">
      <c r="A23" s="27" t="s">
        <v>169</v>
      </c>
      <c r="B23" s="22">
        <f>ROWS(B$3:B23)/10000</f>
        <v>2.0999999999999999E-3</v>
      </c>
      <c r="C23" s="18" t="s">
        <v>335</v>
      </c>
      <c r="D23" s="28" t="b">
        <f t="shared" si="0"/>
        <v>1</v>
      </c>
      <c r="E23" s="18" t="b">
        <f t="shared" si="1"/>
        <v>1</v>
      </c>
      <c r="G23" s="18" t="s">
        <v>335</v>
      </c>
      <c r="H23" s="18" t="s">
        <v>169</v>
      </c>
      <c r="I23" s="18">
        <v>3309333258</v>
      </c>
      <c r="J23" s="18" t="s">
        <v>172</v>
      </c>
    </row>
    <row r="24" spans="1:10" x14ac:dyDescent="0.2">
      <c r="A24" s="27" t="s">
        <v>320</v>
      </c>
      <c r="B24" s="22">
        <f>ROWS(B$3:B24)/10000</f>
        <v>2.2000000000000001E-3</v>
      </c>
      <c r="C24" s="18" t="s">
        <v>337</v>
      </c>
      <c r="D24" s="28" t="b">
        <f t="shared" si="0"/>
        <v>0</v>
      </c>
      <c r="E24" s="18" t="b">
        <f t="shared" si="1"/>
        <v>0</v>
      </c>
      <c r="G24" s="18" t="s">
        <v>162</v>
      </c>
      <c r="H24" s="18" t="s">
        <v>164</v>
      </c>
      <c r="I24" s="18">
        <v>3304547007</v>
      </c>
      <c r="J24" s="18" t="s">
        <v>321</v>
      </c>
    </row>
    <row r="25" spans="1:10" x14ac:dyDescent="0.2">
      <c r="A25" s="27" t="s">
        <v>179</v>
      </c>
      <c r="B25" s="22">
        <f>ROWS(B$3:B25)/10000</f>
        <v>2.3E-3</v>
      </c>
      <c r="C25" s="18" t="s">
        <v>335</v>
      </c>
      <c r="D25" s="28" t="b">
        <f t="shared" si="0"/>
        <v>1</v>
      </c>
      <c r="E25" s="18" t="b">
        <f t="shared" si="1"/>
        <v>1</v>
      </c>
      <c r="G25" s="18" t="s">
        <v>335</v>
      </c>
      <c r="H25" s="18" t="s">
        <v>179</v>
      </c>
      <c r="I25" s="18">
        <v>3304713160</v>
      </c>
      <c r="J25" s="18" t="s">
        <v>180</v>
      </c>
    </row>
    <row r="26" spans="1:10" x14ac:dyDescent="0.2">
      <c r="A26" s="27" t="s">
        <v>181</v>
      </c>
      <c r="B26" s="22">
        <f>ROWS(B$3:B26)/10000</f>
        <v>2.3999999999999998E-3</v>
      </c>
      <c r="C26" s="18" t="s">
        <v>335</v>
      </c>
      <c r="D26" s="28" t="b">
        <f t="shared" si="0"/>
        <v>1</v>
      </c>
      <c r="E26" s="18" t="b">
        <f t="shared" si="1"/>
        <v>1</v>
      </c>
      <c r="G26" s="18" t="s">
        <v>335</v>
      </c>
      <c r="H26" s="18" t="s">
        <v>181</v>
      </c>
      <c r="I26" s="18">
        <v>2342626330</v>
      </c>
      <c r="J26" s="18" t="s">
        <v>182</v>
      </c>
    </row>
    <row r="27" spans="1:10" x14ac:dyDescent="0.2">
      <c r="A27" s="27" t="s">
        <v>183</v>
      </c>
      <c r="B27" s="22">
        <f>ROWS(B$3:B27)/10000</f>
        <v>2.5000000000000001E-3</v>
      </c>
      <c r="C27" s="18" t="s">
        <v>335</v>
      </c>
      <c r="D27" s="28" t="b">
        <f t="shared" si="0"/>
        <v>1</v>
      </c>
      <c r="E27" s="18" t="b">
        <f t="shared" si="1"/>
        <v>1</v>
      </c>
      <c r="G27" s="18" t="s">
        <v>335</v>
      </c>
      <c r="H27" s="18" t="s">
        <v>183</v>
      </c>
      <c r="I27" s="18">
        <v>3303120810</v>
      </c>
      <c r="J27" s="18" t="s">
        <v>184</v>
      </c>
    </row>
    <row r="28" spans="1:10" x14ac:dyDescent="0.2">
      <c r="A28" s="27" t="s">
        <v>485</v>
      </c>
      <c r="B28" s="22">
        <f>ROWS(B$3:B28)/10000</f>
        <v>2.5999999999999999E-3</v>
      </c>
      <c r="C28" s="18" t="s">
        <v>157</v>
      </c>
      <c r="D28" s="28"/>
    </row>
    <row r="29" spans="1:10" x14ac:dyDescent="0.2">
      <c r="A29" s="27" t="s">
        <v>185</v>
      </c>
      <c r="B29" s="22">
        <f>ROWS(B$3:B29)/10000</f>
        <v>2.7000000000000001E-3</v>
      </c>
      <c r="C29" s="18" t="s">
        <v>335</v>
      </c>
      <c r="D29" s="28" t="b">
        <f t="shared" si="0"/>
        <v>1</v>
      </c>
      <c r="E29" s="18" t="b">
        <f t="shared" si="1"/>
        <v>1</v>
      </c>
      <c r="G29" s="18" t="s">
        <v>335</v>
      </c>
      <c r="H29" s="18" t="s">
        <v>185</v>
      </c>
      <c r="I29" s="18">
        <v>0</v>
      </c>
      <c r="J29" s="18" t="s">
        <v>186</v>
      </c>
    </row>
    <row r="30" spans="1:10" x14ac:dyDescent="0.2">
      <c r="A30" s="27" t="s">
        <v>433</v>
      </c>
      <c r="B30" s="22">
        <f>ROWS(B$3:B30)/10000</f>
        <v>2.8E-3</v>
      </c>
      <c r="C30" s="18" t="s">
        <v>335</v>
      </c>
      <c r="D30" s="28"/>
    </row>
    <row r="31" spans="1:10" x14ac:dyDescent="0.2">
      <c r="A31" s="27" t="s">
        <v>187</v>
      </c>
      <c r="B31" s="22">
        <f>ROWS(B$3:B31)/10000</f>
        <v>2.8999999999999998E-3</v>
      </c>
      <c r="C31" s="18" t="s">
        <v>335</v>
      </c>
      <c r="D31" s="28" t="b">
        <f t="shared" si="0"/>
        <v>1</v>
      </c>
      <c r="E31" s="18" t="b">
        <f t="shared" si="1"/>
        <v>1</v>
      </c>
      <c r="G31" s="18" t="s">
        <v>335</v>
      </c>
      <c r="H31" s="18" t="s">
        <v>187</v>
      </c>
      <c r="I31" s="18">
        <v>3308320256</v>
      </c>
      <c r="J31" s="18" t="s">
        <v>188</v>
      </c>
    </row>
    <row r="32" spans="1:10" x14ac:dyDescent="0.2">
      <c r="A32" s="27" t="s">
        <v>189</v>
      </c>
      <c r="B32" s="22">
        <f>ROWS(B$3:B32)/10000</f>
        <v>3.0000000000000001E-3</v>
      </c>
      <c r="C32" s="18" t="s">
        <v>335</v>
      </c>
      <c r="D32" s="28" t="b">
        <f t="shared" si="0"/>
        <v>1</v>
      </c>
      <c r="E32" s="18" t="b">
        <f t="shared" si="1"/>
        <v>1</v>
      </c>
      <c r="G32" s="18" t="s">
        <v>335</v>
      </c>
      <c r="H32" s="18" t="s">
        <v>189</v>
      </c>
      <c r="I32" s="18">
        <v>3308444706</v>
      </c>
      <c r="J32" s="18" t="s">
        <v>190</v>
      </c>
    </row>
    <row r="33" spans="1:10" x14ac:dyDescent="0.2">
      <c r="A33" s="27" t="s">
        <v>191</v>
      </c>
      <c r="B33" s="22">
        <f>ROWS(B$3:B33)/10000</f>
        <v>3.0999999999999999E-3</v>
      </c>
      <c r="C33" s="18" t="s">
        <v>335</v>
      </c>
      <c r="D33" s="28" t="b">
        <f t="shared" si="0"/>
        <v>1</v>
      </c>
      <c r="E33" s="18" t="b">
        <f t="shared" si="1"/>
        <v>1</v>
      </c>
      <c r="G33" s="18" t="s">
        <v>335</v>
      </c>
      <c r="H33" s="18" t="s">
        <v>191</v>
      </c>
      <c r="I33" s="18">
        <v>3309047907</v>
      </c>
      <c r="J33" s="18" t="s">
        <v>192</v>
      </c>
    </row>
    <row r="34" spans="1:10" x14ac:dyDescent="0.2">
      <c r="A34" s="27" t="s">
        <v>317</v>
      </c>
      <c r="B34" s="22">
        <f>ROWS(B$3:B34)/10000</f>
        <v>3.2000000000000002E-3</v>
      </c>
      <c r="C34" s="18" t="s">
        <v>337</v>
      </c>
      <c r="D34" s="28" t="b">
        <f t="shared" si="0"/>
        <v>1</v>
      </c>
      <c r="E34" s="18" t="b">
        <f t="shared" si="1"/>
        <v>1</v>
      </c>
      <c r="G34" s="18" t="s">
        <v>337</v>
      </c>
      <c r="H34" s="18" t="s">
        <v>317</v>
      </c>
      <c r="I34" s="18">
        <v>3302658898</v>
      </c>
      <c r="J34" s="18" t="s">
        <v>318</v>
      </c>
    </row>
    <row r="35" spans="1:10" x14ac:dyDescent="0.2">
      <c r="A35" s="27" t="s">
        <v>153</v>
      </c>
      <c r="B35" s="22">
        <f>ROWS(B$3:B35)/10000</f>
        <v>3.3E-3</v>
      </c>
      <c r="C35" s="18" t="s">
        <v>154</v>
      </c>
      <c r="D35" s="28" t="b">
        <f t="shared" si="0"/>
        <v>1</v>
      </c>
      <c r="E35" s="18" t="b">
        <f t="shared" si="1"/>
        <v>1</v>
      </c>
      <c r="G35" s="18" t="s">
        <v>154</v>
      </c>
      <c r="H35" s="18" t="s">
        <v>153</v>
      </c>
      <c r="I35" s="18">
        <v>2342627349</v>
      </c>
      <c r="J35" s="18" t="s">
        <v>282</v>
      </c>
    </row>
    <row r="36" spans="1:10" x14ac:dyDescent="0.2">
      <c r="A36" s="27" t="s">
        <v>304</v>
      </c>
      <c r="B36" s="22">
        <f>ROWS(B$3:B36)/10000</f>
        <v>3.3999999999999998E-3</v>
      </c>
      <c r="C36" s="18" t="s">
        <v>151</v>
      </c>
      <c r="D36" s="28" t="b">
        <f t="shared" si="0"/>
        <v>0</v>
      </c>
      <c r="E36" s="18" t="b">
        <f t="shared" si="1"/>
        <v>1</v>
      </c>
      <c r="G36" s="18" t="s">
        <v>151</v>
      </c>
      <c r="H36" s="18" t="s">
        <v>152</v>
      </c>
      <c r="I36" s="18">
        <v>3302847865</v>
      </c>
      <c r="J36" s="18" t="s">
        <v>305</v>
      </c>
    </row>
    <row r="37" spans="1:10" x14ac:dyDescent="0.2">
      <c r="A37" s="27" t="s">
        <v>193</v>
      </c>
      <c r="B37" s="22">
        <f>ROWS(B$3:B37)/10000</f>
        <v>3.5000000000000001E-3</v>
      </c>
      <c r="C37" s="18" t="s">
        <v>335</v>
      </c>
      <c r="D37" s="28" t="b">
        <f t="shared" si="0"/>
        <v>1</v>
      </c>
      <c r="E37" s="18" t="b">
        <f t="shared" si="1"/>
        <v>1</v>
      </c>
      <c r="G37" s="18" t="s">
        <v>335</v>
      </c>
      <c r="H37" s="18" t="s">
        <v>193</v>
      </c>
      <c r="I37" s="18">
        <v>3304284356</v>
      </c>
      <c r="J37" s="18" t="s">
        <v>194</v>
      </c>
    </row>
    <row r="38" spans="1:10" x14ac:dyDescent="0.2">
      <c r="A38" s="27" t="s">
        <v>425</v>
      </c>
      <c r="B38" s="22">
        <f>ROWS(B$3:B38)/10000</f>
        <v>3.5999999999999999E-3</v>
      </c>
      <c r="C38" s="18" t="s">
        <v>335</v>
      </c>
      <c r="D38" s="28"/>
    </row>
    <row r="39" spans="1:10" x14ac:dyDescent="0.2">
      <c r="A39" s="27" t="s">
        <v>195</v>
      </c>
      <c r="B39" s="22">
        <f>ROWS(B$3:B39)/10000</f>
        <v>3.7000000000000002E-3</v>
      </c>
      <c r="C39" s="18" t="s">
        <v>335</v>
      </c>
      <c r="D39" s="28" t="b">
        <f t="shared" si="0"/>
        <v>1</v>
      </c>
      <c r="E39" s="18" t="b">
        <f t="shared" si="1"/>
        <v>1</v>
      </c>
      <c r="G39" s="18" t="s">
        <v>335</v>
      </c>
      <c r="H39" s="18" t="s">
        <v>195</v>
      </c>
      <c r="I39" s="18">
        <v>3304185574</v>
      </c>
      <c r="J39" s="18" t="s">
        <v>196</v>
      </c>
    </row>
    <row r="40" spans="1:10" x14ac:dyDescent="0.2">
      <c r="A40" s="27" t="s">
        <v>197</v>
      </c>
      <c r="B40" s="22">
        <f>ROWS(B$3:B40)/10000</f>
        <v>3.8E-3</v>
      </c>
      <c r="C40" s="18" t="s">
        <v>335</v>
      </c>
      <c r="D40" s="28" t="b">
        <f t="shared" si="0"/>
        <v>1</v>
      </c>
      <c r="E40" s="18" t="b">
        <f t="shared" si="1"/>
        <v>1</v>
      </c>
      <c r="G40" s="18" t="s">
        <v>335</v>
      </c>
      <c r="H40" s="18" t="s">
        <v>197</v>
      </c>
      <c r="I40" s="18">
        <v>3307043126</v>
      </c>
      <c r="J40" s="18">
        <v>0</v>
      </c>
    </row>
    <row r="41" spans="1:10" x14ac:dyDescent="0.2">
      <c r="A41" s="27" t="s">
        <v>198</v>
      </c>
      <c r="B41" s="22">
        <f>ROWS(B$3:B41)/10000</f>
        <v>3.8999999999999998E-3</v>
      </c>
      <c r="C41" s="18" t="s">
        <v>335</v>
      </c>
      <c r="D41" s="28" t="b">
        <f t="shared" si="0"/>
        <v>1</v>
      </c>
      <c r="E41" s="18" t="b">
        <f t="shared" si="1"/>
        <v>1</v>
      </c>
      <c r="G41" s="18" t="s">
        <v>335</v>
      </c>
      <c r="H41" s="18" t="s">
        <v>198</v>
      </c>
      <c r="I41" s="18">
        <v>3302683397</v>
      </c>
      <c r="J41" s="18" t="s">
        <v>199</v>
      </c>
    </row>
    <row r="42" spans="1:10" x14ac:dyDescent="0.2">
      <c r="A42" s="27" t="s">
        <v>274</v>
      </c>
      <c r="B42" s="22">
        <f>ROWS(B$3:B42)/10000</f>
        <v>4.0000000000000001E-3</v>
      </c>
      <c r="C42" s="18" t="s">
        <v>338</v>
      </c>
      <c r="D42" s="28" t="b">
        <f t="shared" si="0"/>
        <v>1</v>
      </c>
      <c r="E42" s="18" t="b">
        <f t="shared" si="1"/>
        <v>1</v>
      </c>
      <c r="G42" s="18" t="s">
        <v>338</v>
      </c>
      <c r="H42" s="18" t="s">
        <v>274</v>
      </c>
      <c r="I42" s="18">
        <v>3307548403</v>
      </c>
      <c r="J42" s="18" t="s">
        <v>275</v>
      </c>
    </row>
    <row r="43" spans="1:10" x14ac:dyDescent="0.2">
      <c r="A43" s="27" t="s">
        <v>428</v>
      </c>
      <c r="B43" s="22">
        <f>ROWS(B$3:B43)/10000</f>
        <v>4.1000000000000003E-3</v>
      </c>
      <c r="C43" s="18" t="s">
        <v>335</v>
      </c>
      <c r="D43" s="28"/>
    </row>
    <row r="44" spans="1:10" x14ac:dyDescent="0.2">
      <c r="A44" s="27" t="s">
        <v>165</v>
      </c>
      <c r="B44" s="22">
        <f>ROWS(B$3:B44)/10000</f>
        <v>4.1999999999999997E-3</v>
      </c>
      <c r="C44" s="18" t="s">
        <v>147</v>
      </c>
      <c r="D44" s="28" t="b">
        <f t="shared" si="0"/>
        <v>1</v>
      </c>
      <c r="E44" s="18" t="b">
        <f t="shared" si="1"/>
        <v>1</v>
      </c>
      <c r="G44" s="18" t="s">
        <v>147</v>
      </c>
      <c r="H44" s="18" t="s">
        <v>165</v>
      </c>
      <c r="I44" s="18">
        <v>3302803266</v>
      </c>
      <c r="J44" s="18" t="s">
        <v>313</v>
      </c>
    </row>
    <row r="45" spans="1:10" x14ac:dyDescent="0.2">
      <c r="A45" s="27" t="s">
        <v>201</v>
      </c>
      <c r="B45" s="22">
        <f>ROWS(B$3:B45)/10000</f>
        <v>4.3E-3</v>
      </c>
      <c r="C45" s="18" t="s">
        <v>335</v>
      </c>
      <c r="D45" s="28" t="b">
        <f t="shared" si="0"/>
        <v>1</v>
      </c>
      <c r="E45" s="18" t="b">
        <f t="shared" si="1"/>
        <v>0</v>
      </c>
      <c r="G45" s="18" t="s">
        <v>147</v>
      </c>
      <c r="H45" s="18" t="s">
        <v>201</v>
      </c>
      <c r="I45" s="18">
        <v>3302050167</v>
      </c>
      <c r="J45" s="18" t="s">
        <v>202</v>
      </c>
    </row>
    <row r="46" spans="1:10" x14ac:dyDescent="0.2">
      <c r="A46" s="27" t="s">
        <v>203</v>
      </c>
      <c r="B46" s="22">
        <f>ROWS(B$3:B46)/10000</f>
        <v>4.4000000000000003E-3</v>
      </c>
      <c r="C46" s="18" t="s">
        <v>335</v>
      </c>
      <c r="D46" s="28" t="b">
        <f t="shared" si="0"/>
        <v>1</v>
      </c>
      <c r="E46" s="18" t="b">
        <f t="shared" si="1"/>
        <v>1</v>
      </c>
      <c r="G46" s="18" t="s">
        <v>335</v>
      </c>
      <c r="H46" s="18" t="s">
        <v>203</v>
      </c>
      <c r="I46" s="18">
        <v>3304713571</v>
      </c>
      <c r="J46" s="18" t="s">
        <v>204</v>
      </c>
    </row>
    <row r="47" spans="1:10" x14ac:dyDescent="0.2">
      <c r="A47" s="27" t="s">
        <v>102</v>
      </c>
      <c r="B47" s="22">
        <f>ROWS(B$3:B47)/10000</f>
        <v>4.4999999999999997E-3</v>
      </c>
      <c r="C47" s="18" t="s">
        <v>335</v>
      </c>
      <c r="D47" s="28" t="b">
        <f t="shared" si="0"/>
        <v>1</v>
      </c>
      <c r="E47" s="18" t="b">
        <f t="shared" si="1"/>
        <v>0</v>
      </c>
      <c r="G47" s="18" t="s">
        <v>157</v>
      </c>
      <c r="H47" s="18" t="s">
        <v>102</v>
      </c>
      <c r="I47" s="18">
        <v>3308069638</v>
      </c>
      <c r="J47" s="18" t="s">
        <v>339</v>
      </c>
    </row>
    <row r="48" spans="1:10" x14ac:dyDescent="0.2">
      <c r="A48" s="27" t="s">
        <v>205</v>
      </c>
      <c r="B48" s="22">
        <f>ROWS(B$3:B48)/10000</f>
        <v>4.5999999999999999E-3</v>
      </c>
      <c r="C48" s="18" t="s">
        <v>335</v>
      </c>
      <c r="D48" s="28" t="b">
        <f t="shared" si="0"/>
        <v>1</v>
      </c>
      <c r="E48" s="18" t="b">
        <f t="shared" si="1"/>
        <v>1</v>
      </c>
      <c r="G48" s="18" t="s">
        <v>335</v>
      </c>
      <c r="H48" s="18" t="s">
        <v>205</v>
      </c>
      <c r="I48" s="18" t="s">
        <v>206</v>
      </c>
      <c r="J48" s="18">
        <v>0</v>
      </c>
    </row>
    <row r="49" spans="1:10" x14ac:dyDescent="0.2">
      <c r="A49" s="27" t="s">
        <v>207</v>
      </c>
      <c r="B49" s="22">
        <f>ROWS(B$3:B49)/10000</f>
        <v>4.7000000000000002E-3</v>
      </c>
      <c r="C49" s="18" t="s">
        <v>335</v>
      </c>
      <c r="D49" s="28" t="b">
        <f t="shared" si="0"/>
        <v>1</v>
      </c>
      <c r="E49" s="18" t="b">
        <f t="shared" si="1"/>
        <v>1</v>
      </c>
      <c r="G49" s="18" t="s">
        <v>335</v>
      </c>
      <c r="H49" s="18" t="s">
        <v>207</v>
      </c>
      <c r="I49" s="18">
        <v>3309362692</v>
      </c>
      <c r="J49" s="18" t="s">
        <v>208</v>
      </c>
    </row>
    <row r="50" spans="1:10" x14ac:dyDescent="0.2">
      <c r="A50" s="27" t="s">
        <v>265</v>
      </c>
      <c r="B50" s="22">
        <f>ROWS(B$3:B50)/10000</f>
        <v>4.7999999999999996E-3</v>
      </c>
      <c r="C50" s="18" t="s">
        <v>157</v>
      </c>
      <c r="D50" s="28" t="b">
        <f t="shared" si="0"/>
        <v>0</v>
      </c>
      <c r="E50" s="18" t="b">
        <f t="shared" si="1"/>
        <v>1</v>
      </c>
      <c r="G50" s="18" t="s">
        <v>157</v>
      </c>
      <c r="H50" s="18" t="s">
        <v>340</v>
      </c>
      <c r="I50" s="18">
        <v>3302844180</v>
      </c>
      <c r="J50" s="18" t="s">
        <v>266</v>
      </c>
    </row>
    <row r="51" spans="1:10" x14ac:dyDescent="0.2">
      <c r="A51" s="27" t="s">
        <v>272</v>
      </c>
      <c r="B51" s="22">
        <f>ROWS(B$3:B51)/10000</f>
        <v>4.8999999999999998E-3</v>
      </c>
      <c r="C51" s="18" t="s">
        <v>338</v>
      </c>
      <c r="D51" s="28" t="b">
        <f t="shared" si="0"/>
        <v>0</v>
      </c>
      <c r="E51" s="18" t="b">
        <f t="shared" si="1"/>
        <v>1</v>
      </c>
      <c r="G51" s="18" t="s">
        <v>338</v>
      </c>
      <c r="H51" s="18" t="s">
        <v>341</v>
      </c>
      <c r="I51" s="18">
        <v>3308331442</v>
      </c>
      <c r="J51" s="18" t="s">
        <v>273</v>
      </c>
    </row>
    <row r="52" spans="1:10" x14ac:dyDescent="0.2">
      <c r="A52" s="27" t="s">
        <v>209</v>
      </c>
      <c r="B52" s="22">
        <f>ROWS(B$3:B52)/10000</f>
        <v>5.0000000000000001E-3</v>
      </c>
      <c r="C52" s="18" t="s">
        <v>335</v>
      </c>
      <c r="D52" s="28"/>
    </row>
    <row r="53" spans="1:10" x14ac:dyDescent="0.2">
      <c r="A53" s="27" t="s">
        <v>210</v>
      </c>
      <c r="B53" s="22">
        <f>ROWS(B$3:B53)/10000</f>
        <v>5.1000000000000004E-3</v>
      </c>
      <c r="C53" s="18" t="s">
        <v>335</v>
      </c>
      <c r="D53" s="28" t="b">
        <f t="shared" si="0"/>
        <v>1</v>
      </c>
      <c r="E53" s="18" t="b">
        <f t="shared" si="1"/>
        <v>1</v>
      </c>
      <c r="G53" s="18" t="s">
        <v>335</v>
      </c>
      <c r="H53" s="18" t="s">
        <v>210</v>
      </c>
      <c r="I53" s="18">
        <v>3304183613</v>
      </c>
      <c r="J53" s="18" t="s">
        <v>211</v>
      </c>
    </row>
    <row r="54" spans="1:10" x14ac:dyDescent="0.2">
      <c r="A54" s="27" t="s">
        <v>158</v>
      </c>
      <c r="B54" s="22">
        <f>ROWS(B$3:B54)/10000</f>
        <v>5.1999999999999998E-3</v>
      </c>
      <c r="C54" s="18" t="s">
        <v>149</v>
      </c>
      <c r="D54" s="28" t="b">
        <f t="shared" si="0"/>
        <v>1</v>
      </c>
      <c r="E54" s="18" t="b">
        <f t="shared" si="1"/>
        <v>1</v>
      </c>
      <c r="G54" s="18" t="s">
        <v>149</v>
      </c>
      <c r="H54" s="18" t="s">
        <v>158</v>
      </c>
      <c r="I54" s="18">
        <v>3304714416</v>
      </c>
      <c r="J54" s="18" t="s">
        <v>292</v>
      </c>
    </row>
    <row r="55" spans="1:10" x14ac:dyDescent="0.2">
      <c r="A55" s="27" t="s">
        <v>479</v>
      </c>
      <c r="B55" s="22">
        <f>ROWS(B$3:B55)/10000</f>
        <v>5.3E-3</v>
      </c>
      <c r="C55" s="18" t="s">
        <v>151</v>
      </c>
      <c r="D55" s="28"/>
    </row>
    <row r="56" spans="1:10" x14ac:dyDescent="0.2">
      <c r="A56" s="27" t="s">
        <v>212</v>
      </c>
      <c r="B56" s="22">
        <f>ROWS(B$3:B56)/10000</f>
        <v>5.4000000000000003E-3</v>
      </c>
      <c r="C56" s="18" t="s">
        <v>335</v>
      </c>
      <c r="D56" s="28" t="b">
        <f t="shared" si="0"/>
        <v>1</v>
      </c>
      <c r="E56" s="18" t="b">
        <f t="shared" si="1"/>
        <v>1</v>
      </c>
      <c r="G56" s="18" t="s">
        <v>335</v>
      </c>
      <c r="H56" s="18" t="s">
        <v>212</v>
      </c>
      <c r="I56" s="18">
        <v>3304716729</v>
      </c>
      <c r="J56" s="18" t="s">
        <v>213</v>
      </c>
    </row>
    <row r="57" spans="1:10" x14ac:dyDescent="0.2">
      <c r="A57" s="27" t="s">
        <v>283</v>
      </c>
      <c r="B57" s="22">
        <f>ROWS(B$3:B57)/10000</f>
        <v>5.4999999999999997E-3</v>
      </c>
      <c r="C57" s="18" t="s">
        <v>154</v>
      </c>
      <c r="D57" s="28" t="b">
        <f t="shared" si="0"/>
        <v>1</v>
      </c>
      <c r="E57" s="18" t="b">
        <f t="shared" si="1"/>
        <v>1</v>
      </c>
      <c r="G57" s="18" t="s">
        <v>154</v>
      </c>
      <c r="H57" s="18" t="s">
        <v>283</v>
      </c>
      <c r="I57" s="18">
        <v>2342622677</v>
      </c>
      <c r="J57" s="18" t="s">
        <v>284</v>
      </c>
    </row>
    <row r="58" spans="1:10" x14ac:dyDescent="0.2">
      <c r="A58" s="27" t="s">
        <v>214</v>
      </c>
      <c r="B58" s="22">
        <f>ROWS(B$3:B58)/10000</f>
        <v>5.5999999999999999E-3</v>
      </c>
      <c r="C58" s="18" t="s">
        <v>335</v>
      </c>
      <c r="D58" s="28" t="b">
        <f t="shared" si="0"/>
        <v>1</v>
      </c>
      <c r="E58" s="18" t="b">
        <f t="shared" si="1"/>
        <v>1</v>
      </c>
      <c r="G58" s="18" t="s">
        <v>335</v>
      </c>
      <c r="H58" s="18" t="s">
        <v>214</v>
      </c>
      <c r="I58" s="18">
        <v>3309497600</v>
      </c>
      <c r="J58" s="18" t="s">
        <v>215</v>
      </c>
    </row>
    <row r="59" spans="1:10" x14ac:dyDescent="0.2">
      <c r="A59" s="27" t="s">
        <v>216</v>
      </c>
      <c r="B59" s="22">
        <f>ROWS(B$3:B59)/10000</f>
        <v>5.7000000000000002E-3</v>
      </c>
      <c r="C59" s="18" t="s">
        <v>335</v>
      </c>
      <c r="D59" s="28" t="b">
        <f t="shared" si="0"/>
        <v>0</v>
      </c>
      <c r="E59" s="18" t="b">
        <f t="shared" si="1"/>
        <v>0</v>
      </c>
      <c r="G59" s="18" t="s">
        <v>151</v>
      </c>
      <c r="H59" s="18" t="s">
        <v>106</v>
      </c>
      <c r="I59" s="18">
        <v>0</v>
      </c>
      <c r="J59" s="18">
        <v>0</v>
      </c>
    </row>
    <row r="60" spans="1:10" x14ac:dyDescent="0.2">
      <c r="A60" s="27" t="s">
        <v>218</v>
      </c>
      <c r="B60" s="22">
        <f>ROWS(B$3:B60)/10000</f>
        <v>5.7999999999999996E-3</v>
      </c>
      <c r="C60" s="18" t="s">
        <v>335</v>
      </c>
      <c r="D60" s="28" t="b">
        <f t="shared" si="0"/>
        <v>0</v>
      </c>
      <c r="E60" s="18" t="b">
        <f t="shared" si="1"/>
        <v>1</v>
      </c>
      <c r="G60" s="18" t="s">
        <v>335</v>
      </c>
      <c r="H60" s="18" t="s">
        <v>216</v>
      </c>
      <c r="I60" s="18">
        <v>3307545960</v>
      </c>
      <c r="J60" s="18" t="s">
        <v>217</v>
      </c>
    </row>
    <row r="61" spans="1:10" x14ac:dyDescent="0.2">
      <c r="A61" s="27" t="s">
        <v>276</v>
      </c>
      <c r="B61" s="22">
        <f>ROWS(B$3:B61)/10000</f>
        <v>5.8999999999999999E-3</v>
      </c>
      <c r="C61" s="18" t="s">
        <v>338</v>
      </c>
      <c r="D61" s="28" t="b">
        <f t="shared" si="0"/>
        <v>0</v>
      </c>
      <c r="E61" s="18" t="b">
        <f t="shared" si="1"/>
        <v>0</v>
      </c>
      <c r="G61" s="18" t="s">
        <v>335</v>
      </c>
      <c r="H61" s="18" t="s">
        <v>218</v>
      </c>
      <c r="I61" s="18">
        <v>3303233311</v>
      </c>
      <c r="J61" s="18" t="s">
        <v>342</v>
      </c>
    </row>
    <row r="62" spans="1:10" x14ac:dyDescent="0.2">
      <c r="A62" s="27" t="s">
        <v>146</v>
      </c>
      <c r="B62" s="22">
        <f>ROWS(B$3:B62)/10000</f>
        <v>6.0000000000000001E-3</v>
      </c>
      <c r="C62" s="18" t="s">
        <v>147</v>
      </c>
      <c r="D62" s="28" t="b">
        <f t="shared" si="0"/>
        <v>0</v>
      </c>
      <c r="E62" s="18" t="b">
        <f t="shared" si="1"/>
        <v>0</v>
      </c>
      <c r="G62" s="18" t="s">
        <v>338</v>
      </c>
      <c r="H62" s="18" t="s">
        <v>276</v>
      </c>
      <c r="I62" s="18">
        <v>2342623948</v>
      </c>
      <c r="J62" s="18" t="s">
        <v>277</v>
      </c>
    </row>
    <row r="63" spans="1:10" x14ac:dyDescent="0.2">
      <c r="A63" s="27" t="s">
        <v>220</v>
      </c>
      <c r="B63" s="22">
        <f>ROWS(B$3:B63)/10000</f>
        <v>6.1000000000000004E-3</v>
      </c>
      <c r="C63" s="18" t="s">
        <v>335</v>
      </c>
      <c r="D63" s="28" t="b">
        <f t="shared" si="0"/>
        <v>0</v>
      </c>
      <c r="E63" s="18" t="b">
        <f t="shared" si="1"/>
        <v>0</v>
      </c>
      <c r="G63" s="18" t="s">
        <v>147</v>
      </c>
      <c r="H63" s="18" t="s">
        <v>146</v>
      </c>
      <c r="I63" s="18">
        <v>3302842638</v>
      </c>
      <c r="J63" s="18" t="s">
        <v>307</v>
      </c>
    </row>
    <row r="64" spans="1:10" x14ac:dyDescent="0.2">
      <c r="A64" s="27" t="s">
        <v>106</v>
      </c>
      <c r="B64" s="22">
        <f>ROWS(B$3:B64)/10000</f>
        <v>6.1999999999999998E-3</v>
      </c>
      <c r="C64" s="18" t="s">
        <v>151</v>
      </c>
      <c r="D64" s="28" t="b">
        <f t="shared" si="0"/>
        <v>0</v>
      </c>
      <c r="E64" s="18" t="b">
        <f t="shared" si="1"/>
        <v>0</v>
      </c>
      <c r="G64" s="18" t="s">
        <v>335</v>
      </c>
      <c r="H64" s="18" t="s">
        <v>220</v>
      </c>
      <c r="I64" s="18">
        <v>2165541092</v>
      </c>
      <c r="J64" s="18" t="s">
        <v>221</v>
      </c>
    </row>
    <row r="65" spans="1:10" x14ac:dyDescent="0.2">
      <c r="A65" s="27" t="s">
        <v>222</v>
      </c>
      <c r="B65" s="22">
        <f>ROWS(B$3:B65)/10000</f>
        <v>6.3E-3</v>
      </c>
      <c r="C65" s="18" t="s">
        <v>335</v>
      </c>
      <c r="D65" s="28" t="b">
        <f t="shared" si="0"/>
        <v>1</v>
      </c>
      <c r="E65" s="18" t="b">
        <f t="shared" si="1"/>
        <v>1</v>
      </c>
      <c r="G65" s="18" t="s">
        <v>335</v>
      </c>
      <c r="H65" s="18" t="s">
        <v>222</v>
      </c>
      <c r="I65" s="18">
        <v>3302686701</v>
      </c>
      <c r="J65" s="18" t="s">
        <v>223</v>
      </c>
    </row>
    <row r="66" spans="1:10" x14ac:dyDescent="0.2">
      <c r="A66" s="27" t="s">
        <v>278</v>
      </c>
      <c r="B66" s="22">
        <f>ROWS(B$3:B66)/10000</f>
        <v>6.4000000000000003E-3</v>
      </c>
      <c r="C66" s="18" t="s">
        <v>338</v>
      </c>
      <c r="D66" s="28" t="b">
        <f t="shared" si="0"/>
        <v>1</v>
      </c>
      <c r="E66" s="18" t="b">
        <f t="shared" si="1"/>
        <v>1</v>
      </c>
      <c r="G66" s="18" t="s">
        <v>338</v>
      </c>
      <c r="H66" s="18" t="s">
        <v>278</v>
      </c>
      <c r="I66" s="18">
        <v>3303097690</v>
      </c>
      <c r="J66" s="18" t="s">
        <v>279</v>
      </c>
    </row>
    <row r="67" spans="1:10" x14ac:dyDescent="0.2">
      <c r="A67" s="27" t="s">
        <v>224</v>
      </c>
      <c r="B67" s="22">
        <f>ROWS(B$3:B67)/10000</f>
        <v>6.4999999999999997E-3</v>
      </c>
      <c r="C67" s="18" t="s">
        <v>335</v>
      </c>
      <c r="D67" s="28"/>
    </row>
    <row r="68" spans="1:10" x14ac:dyDescent="0.2">
      <c r="A68" s="27" t="s">
        <v>225</v>
      </c>
      <c r="B68" s="22">
        <f>ROWS(B$3:B68)/10000</f>
        <v>6.6E-3</v>
      </c>
      <c r="C68" s="18" t="s">
        <v>335</v>
      </c>
      <c r="D68" s="28" t="b">
        <f t="shared" si="0"/>
        <v>1</v>
      </c>
      <c r="E68" s="18" t="b">
        <f t="shared" si="1"/>
        <v>1</v>
      </c>
      <c r="G68" s="18" t="s">
        <v>335</v>
      </c>
      <c r="H68" s="18" t="s">
        <v>225</v>
      </c>
      <c r="I68" s="18">
        <v>3304714676</v>
      </c>
      <c r="J68" s="18" t="s">
        <v>226</v>
      </c>
    </row>
    <row r="69" spans="1:10" x14ac:dyDescent="0.2">
      <c r="A69" s="27" t="s">
        <v>227</v>
      </c>
      <c r="B69" s="22">
        <f>ROWS(B$3:B69)/10000</f>
        <v>6.7000000000000002E-3</v>
      </c>
      <c r="C69" s="18" t="s">
        <v>335</v>
      </c>
      <c r="D69" s="28" t="b">
        <f t="shared" si="0"/>
        <v>1</v>
      </c>
      <c r="E69" s="18" t="b">
        <f t="shared" si="1"/>
        <v>1</v>
      </c>
      <c r="G69" s="18" t="s">
        <v>335</v>
      </c>
      <c r="H69" s="18" t="s">
        <v>227</v>
      </c>
      <c r="I69" s="18">
        <v>3306173838</v>
      </c>
      <c r="J69" s="18" t="s">
        <v>228</v>
      </c>
    </row>
    <row r="70" spans="1:10" x14ac:dyDescent="0.2">
      <c r="A70" s="27" t="s">
        <v>426</v>
      </c>
      <c r="B70" s="22">
        <f>ROWS(B$3:B70)/10000</f>
        <v>6.7999999999999996E-3</v>
      </c>
      <c r="C70" s="18" t="s">
        <v>335</v>
      </c>
      <c r="D70" s="28"/>
    </row>
    <row r="71" spans="1:10" x14ac:dyDescent="0.2">
      <c r="A71" s="27" t="s">
        <v>229</v>
      </c>
      <c r="B71" s="22">
        <f>ROWS(B$3:B71)/10000</f>
        <v>6.8999999999999999E-3</v>
      </c>
      <c r="C71" s="18" t="s">
        <v>335</v>
      </c>
      <c r="D71" s="28" t="b">
        <f t="shared" si="0"/>
        <v>1</v>
      </c>
      <c r="E71" s="18" t="b">
        <f t="shared" si="1"/>
        <v>1</v>
      </c>
      <c r="G71" s="18" t="s">
        <v>335</v>
      </c>
      <c r="H71" s="18" t="s">
        <v>229</v>
      </c>
      <c r="I71" s="18">
        <v>3304955217</v>
      </c>
      <c r="J71" s="18" t="s">
        <v>230</v>
      </c>
    </row>
    <row r="72" spans="1:10" x14ac:dyDescent="0.2">
      <c r="A72" s="27" t="s">
        <v>231</v>
      </c>
      <c r="B72" s="22">
        <f>ROWS(B$3:B72)/10000</f>
        <v>7.0000000000000001E-3</v>
      </c>
      <c r="C72" s="18" t="s">
        <v>335</v>
      </c>
      <c r="D72" s="28" t="b">
        <f t="shared" si="0"/>
        <v>1</v>
      </c>
      <c r="E72" s="18" t="b">
        <f t="shared" si="1"/>
        <v>1</v>
      </c>
      <c r="G72" s="18" t="s">
        <v>335</v>
      </c>
      <c r="H72" s="18" t="s">
        <v>231</v>
      </c>
      <c r="I72" s="18">
        <v>3308443723</v>
      </c>
      <c r="J72" s="18" t="s">
        <v>232</v>
      </c>
    </row>
    <row r="73" spans="1:10" x14ac:dyDescent="0.2">
      <c r="A73" s="27" t="s">
        <v>513</v>
      </c>
      <c r="B73" s="22">
        <f>ROWS(B$3:B73)/10000</f>
        <v>7.1000000000000004E-3</v>
      </c>
      <c r="C73" s="18" t="s">
        <v>154</v>
      </c>
      <c r="D73" s="28" t="b">
        <f t="shared" si="0"/>
        <v>0</v>
      </c>
      <c r="E73" s="18" t="b">
        <f t="shared" si="1"/>
        <v>1</v>
      </c>
      <c r="G73" s="18" t="s">
        <v>154</v>
      </c>
      <c r="H73" s="18" t="s">
        <v>105</v>
      </c>
      <c r="I73" s="18">
        <v>3304713217</v>
      </c>
      <c r="J73" s="18" t="s">
        <v>288</v>
      </c>
    </row>
    <row r="74" spans="1:10" x14ac:dyDescent="0.2">
      <c r="A74" s="27" t="s">
        <v>101</v>
      </c>
      <c r="B74" s="22">
        <f>ROWS(B$3:B74)/10000</f>
        <v>7.1999999999999998E-3</v>
      </c>
      <c r="C74" s="18" t="s">
        <v>337</v>
      </c>
      <c r="D74" s="28" t="b">
        <f t="shared" si="0"/>
        <v>1</v>
      </c>
      <c r="E74" s="18" t="b">
        <f t="shared" si="1"/>
        <v>1</v>
      </c>
      <c r="G74" s="18" t="s">
        <v>337</v>
      </c>
      <c r="H74" s="18" t="s">
        <v>101</v>
      </c>
      <c r="I74" s="18">
        <v>3308018978</v>
      </c>
      <c r="J74" s="18" t="s">
        <v>319</v>
      </c>
    </row>
    <row r="75" spans="1:10" x14ac:dyDescent="0.2">
      <c r="A75" s="27" t="s">
        <v>166</v>
      </c>
      <c r="B75" s="22">
        <f>ROWS(B$3:B75)/10000</f>
        <v>7.3000000000000001E-3</v>
      </c>
      <c r="C75" s="18" t="s">
        <v>335</v>
      </c>
      <c r="D75" s="28" t="b">
        <f t="shared" si="0"/>
        <v>1</v>
      </c>
      <c r="E75" s="18" t="b">
        <f t="shared" si="1"/>
        <v>0</v>
      </c>
      <c r="G75" s="18" t="s">
        <v>162</v>
      </c>
      <c r="H75" s="18" t="s">
        <v>166</v>
      </c>
      <c r="I75" s="18">
        <v>3304958097</v>
      </c>
      <c r="J75" s="18" t="s">
        <v>343</v>
      </c>
    </row>
    <row r="76" spans="1:10" x14ac:dyDescent="0.2">
      <c r="A76" s="27" t="s">
        <v>262</v>
      </c>
      <c r="B76" s="22">
        <f>ROWS(B$3:B76)/10000</f>
        <v>7.4000000000000003E-3</v>
      </c>
      <c r="C76" s="18" t="s">
        <v>157</v>
      </c>
      <c r="D76" s="28" t="b">
        <f t="shared" si="0"/>
        <v>0</v>
      </c>
      <c r="E76" s="18" t="b">
        <f t="shared" si="1"/>
        <v>1</v>
      </c>
      <c r="G76" s="18" t="s">
        <v>157</v>
      </c>
      <c r="H76" s="18" t="s">
        <v>159</v>
      </c>
      <c r="I76" s="18">
        <v>3304178312</v>
      </c>
      <c r="J76" s="18" t="s">
        <v>263</v>
      </c>
    </row>
    <row r="77" spans="1:10" x14ac:dyDescent="0.2">
      <c r="A77" s="27" t="s">
        <v>100</v>
      </c>
      <c r="B77" s="22">
        <f>ROWS(B$3:B77)/10000</f>
        <v>7.4999999999999997E-3</v>
      </c>
      <c r="C77" s="18" t="s">
        <v>147</v>
      </c>
      <c r="D77" s="28" t="b">
        <f t="shared" si="0"/>
        <v>1</v>
      </c>
      <c r="E77" s="18" t="b">
        <f t="shared" si="1"/>
        <v>1</v>
      </c>
      <c r="G77" s="18" t="s">
        <v>147</v>
      </c>
      <c r="H77" s="18" t="s">
        <v>100</v>
      </c>
      <c r="I77" s="18">
        <v>3303216062</v>
      </c>
      <c r="J77" s="18" t="s">
        <v>308</v>
      </c>
    </row>
    <row r="78" spans="1:10" x14ac:dyDescent="0.2">
      <c r="A78" s="27" t="s">
        <v>233</v>
      </c>
      <c r="B78" s="22">
        <f>ROWS(B$3:B78)/10000</f>
        <v>7.6E-3</v>
      </c>
      <c r="C78" s="18" t="s">
        <v>335</v>
      </c>
      <c r="D78" s="28"/>
    </row>
    <row r="79" spans="1:10" x14ac:dyDescent="0.2">
      <c r="A79" s="27" t="s">
        <v>234</v>
      </c>
      <c r="B79" s="22">
        <f>ROWS(B$3:B79)/10000</f>
        <v>7.7000000000000002E-3</v>
      </c>
      <c r="C79" s="18" t="s">
        <v>335</v>
      </c>
      <c r="D79" s="28" t="b">
        <f t="shared" si="0"/>
        <v>1</v>
      </c>
      <c r="E79" s="18" t="b">
        <f t="shared" si="1"/>
        <v>1</v>
      </c>
      <c r="G79" s="18" t="s">
        <v>335</v>
      </c>
      <c r="H79" s="18" t="s">
        <v>234</v>
      </c>
      <c r="I79" s="18">
        <v>0</v>
      </c>
      <c r="J79" s="18" t="s">
        <v>235</v>
      </c>
    </row>
    <row r="80" spans="1:10" x14ac:dyDescent="0.2">
      <c r="A80" s="27" t="s">
        <v>431</v>
      </c>
      <c r="B80" s="22">
        <f>ROWS(B$3:B80)/10000</f>
        <v>7.7999999999999996E-3</v>
      </c>
      <c r="C80" s="18" t="s">
        <v>335</v>
      </c>
      <c r="D80" s="28"/>
    </row>
    <row r="81" spans="1:10" x14ac:dyDescent="0.2">
      <c r="A81" s="27" t="s">
        <v>236</v>
      </c>
      <c r="B81" s="22">
        <f>ROWS(B$3:B81)/10000</f>
        <v>7.9000000000000008E-3</v>
      </c>
      <c r="C81" s="18" t="s">
        <v>335</v>
      </c>
      <c r="D81" s="28" t="b">
        <f t="shared" si="0"/>
        <v>1</v>
      </c>
      <c r="E81" s="18" t="b">
        <f t="shared" si="1"/>
        <v>1</v>
      </c>
      <c r="G81" s="18" t="s">
        <v>335</v>
      </c>
      <c r="H81" s="18" t="s">
        <v>236</v>
      </c>
      <c r="I81" s="18">
        <v>3304715456</v>
      </c>
      <c r="J81" s="18" t="s">
        <v>237</v>
      </c>
    </row>
    <row r="82" spans="1:10" x14ac:dyDescent="0.2">
      <c r="A82" s="27" t="s">
        <v>269</v>
      </c>
      <c r="B82" s="22">
        <f>ROWS(B$3:B82)/10000</f>
        <v>8.0000000000000002E-3</v>
      </c>
      <c r="C82" s="18" t="s">
        <v>157</v>
      </c>
      <c r="D82" s="28" t="b">
        <f t="shared" si="0"/>
        <v>1</v>
      </c>
      <c r="E82" s="18" t="b">
        <f t="shared" si="1"/>
        <v>1</v>
      </c>
      <c r="G82" s="18" t="s">
        <v>157</v>
      </c>
      <c r="H82" s="18" t="s">
        <v>269</v>
      </c>
      <c r="I82" s="18">
        <v>3304778837</v>
      </c>
      <c r="J82" s="18" t="s">
        <v>270</v>
      </c>
    </row>
    <row r="83" spans="1:10" x14ac:dyDescent="0.2">
      <c r="A83" s="27" t="s">
        <v>300</v>
      </c>
      <c r="B83" s="22">
        <f>ROWS(B$3:B83)/10000</f>
        <v>8.0999999999999996E-3</v>
      </c>
      <c r="C83" s="18" t="s">
        <v>151</v>
      </c>
      <c r="D83" s="28" t="b">
        <f t="shared" si="0"/>
        <v>0</v>
      </c>
      <c r="E83" s="18" t="b">
        <f t="shared" si="1"/>
        <v>1</v>
      </c>
      <c r="G83" s="18" t="s">
        <v>151</v>
      </c>
      <c r="H83" s="18" t="s">
        <v>150</v>
      </c>
      <c r="I83" s="18">
        <v>3308334244</v>
      </c>
      <c r="J83" s="18" t="s">
        <v>301</v>
      </c>
    </row>
    <row r="84" spans="1:10" x14ac:dyDescent="0.2">
      <c r="A84" s="27" t="s">
        <v>155</v>
      </c>
      <c r="B84" s="22">
        <f>ROWS(B$3:B84)/10000</f>
        <v>8.2000000000000007E-3</v>
      </c>
      <c r="C84" s="18" t="s">
        <v>149</v>
      </c>
      <c r="D84" s="28" t="b">
        <f t="shared" si="0"/>
        <v>1</v>
      </c>
      <c r="E84" s="18" t="b">
        <f t="shared" si="1"/>
        <v>1</v>
      </c>
      <c r="G84" s="18" t="s">
        <v>149</v>
      </c>
      <c r="H84" s="18" t="s">
        <v>155</v>
      </c>
      <c r="I84" s="18">
        <v>3304715052</v>
      </c>
      <c r="J84" s="18" t="s">
        <v>293</v>
      </c>
    </row>
    <row r="85" spans="1:10" x14ac:dyDescent="0.2">
      <c r="A85" s="27" t="s">
        <v>495</v>
      </c>
      <c r="B85" s="22">
        <f>ROWS(B$3:B85)/10000</f>
        <v>8.3000000000000001E-3</v>
      </c>
      <c r="C85" s="18" t="s">
        <v>335</v>
      </c>
      <c r="D85" s="28"/>
    </row>
    <row r="86" spans="1:10" x14ac:dyDescent="0.2">
      <c r="A86" s="27" t="s">
        <v>238</v>
      </c>
      <c r="B86" s="22">
        <f>ROWS(B$3:B86)/10000</f>
        <v>8.3999999999999995E-3</v>
      </c>
      <c r="C86" s="18" t="s">
        <v>335</v>
      </c>
      <c r="D86" s="28" t="b">
        <f t="shared" si="0"/>
        <v>1</v>
      </c>
      <c r="E86" s="18" t="b">
        <f t="shared" si="1"/>
        <v>1</v>
      </c>
      <c r="G86" s="18" t="s">
        <v>335</v>
      </c>
      <c r="H86" s="18" t="s">
        <v>238</v>
      </c>
      <c r="I86" s="18">
        <v>3308440413</v>
      </c>
      <c r="J86" s="18" t="s">
        <v>239</v>
      </c>
    </row>
    <row r="87" spans="1:10" x14ac:dyDescent="0.2">
      <c r="A87" s="27" t="s">
        <v>148</v>
      </c>
      <c r="B87" s="22">
        <f>ROWS(B$3:B87)/10000</f>
        <v>8.5000000000000006E-3</v>
      </c>
      <c r="C87" s="18" t="s">
        <v>149</v>
      </c>
      <c r="D87" s="28"/>
      <c r="I87" s="18">
        <v>3304715044</v>
      </c>
      <c r="J87" s="18" t="s">
        <v>291</v>
      </c>
    </row>
    <row r="88" spans="1:10" x14ac:dyDescent="0.2">
      <c r="A88" s="27" t="s">
        <v>344</v>
      </c>
      <c r="B88" s="22">
        <f>ROWS(B$3:B88)/10000</f>
        <v>8.6E-3</v>
      </c>
      <c r="C88" s="18" t="s">
        <v>335</v>
      </c>
      <c r="D88" s="28" t="b">
        <f t="shared" si="0"/>
        <v>1</v>
      </c>
      <c r="E88" s="18" t="b">
        <f t="shared" si="1"/>
        <v>1</v>
      </c>
      <c r="G88" s="18" t="s">
        <v>335</v>
      </c>
      <c r="H88" s="18" t="s">
        <v>240</v>
      </c>
      <c r="I88" s="18">
        <v>3307042444</v>
      </c>
      <c r="J88" s="18" t="s">
        <v>241</v>
      </c>
    </row>
    <row r="89" spans="1:10" x14ac:dyDescent="0.2">
      <c r="A89" s="27" t="s">
        <v>286</v>
      </c>
      <c r="B89" s="22">
        <f>ROWS(B$3:B89)/10000</f>
        <v>8.6999999999999994E-3</v>
      </c>
      <c r="C89" s="18" t="s">
        <v>154</v>
      </c>
      <c r="D89" s="28" t="b">
        <f t="shared" si="0"/>
        <v>1</v>
      </c>
      <c r="E89" s="18" t="b">
        <f t="shared" si="1"/>
        <v>1</v>
      </c>
      <c r="G89" s="18" t="s">
        <v>154</v>
      </c>
      <c r="H89" s="18" t="s">
        <v>286</v>
      </c>
      <c r="I89" s="18">
        <v>3304715240</v>
      </c>
      <c r="J89" s="18" t="s">
        <v>345</v>
      </c>
    </row>
    <row r="90" spans="1:10" x14ac:dyDescent="0.2">
      <c r="A90" s="27" t="s">
        <v>491</v>
      </c>
      <c r="B90" s="22">
        <f>ROWS(B$3:B90)/10000</f>
        <v>8.8000000000000005E-3</v>
      </c>
      <c r="C90" s="18" t="s">
        <v>335</v>
      </c>
      <c r="D90" s="28"/>
    </row>
    <row r="91" spans="1:10" x14ac:dyDescent="0.2">
      <c r="A91" s="27" t="s">
        <v>242</v>
      </c>
      <c r="B91" s="22">
        <f>ROWS(B$3:B91)/10000</f>
        <v>8.8999999999999999E-3</v>
      </c>
      <c r="C91" s="18" t="s">
        <v>335</v>
      </c>
      <c r="D91" s="28" t="b">
        <f t="shared" si="0"/>
        <v>1</v>
      </c>
      <c r="E91" s="18" t="b">
        <f t="shared" si="1"/>
        <v>0</v>
      </c>
      <c r="G91" s="18" t="s">
        <v>149</v>
      </c>
      <c r="H91" s="18" t="s">
        <v>242</v>
      </c>
      <c r="I91" s="18">
        <v>3304383000</v>
      </c>
      <c r="J91" s="18" t="s">
        <v>243</v>
      </c>
    </row>
    <row r="92" spans="1:10" x14ac:dyDescent="0.2">
      <c r="A92" s="27" t="s">
        <v>244</v>
      </c>
      <c r="B92" s="22">
        <f>ROWS(B$3:B92)/10000</f>
        <v>8.9999999999999993E-3</v>
      </c>
      <c r="C92" s="18" t="s">
        <v>335</v>
      </c>
      <c r="D92" s="28" t="b">
        <f t="shared" si="0"/>
        <v>1</v>
      </c>
      <c r="E92" s="18" t="b">
        <f t="shared" si="1"/>
        <v>1</v>
      </c>
      <c r="G92" s="18" t="s">
        <v>335</v>
      </c>
      <c r="H92" s="18" t="s">
        <v>244</v>
      </c>
      <c r="I92" s="18">
        <v>3304470295</v>
      </c>
      <c r="J92" s="18" t="s">
        <v>245</v>
      </c>
    </row>
    <row r="93" spans="1:10" x14ac:dyDescent="0.2">
      <c r="A93" s="27" t="s">
        <v>156</v>
      </c>
      <c r="B93" s="22">
        <f>ROWS(B$3:B93)/10000</f>
        <v>9.1000000000000004E-3</v>
      </c>
      <c r="C93" s="18" t="s">
        <v>149</v>
      </c>
      <c r="D93" s="28" t="b">
        <f t="shared" si="0"/>
        <v>1</v>
      </c>
      <c r="E93" s="18" t="b">
        <f t="shared" si="1"/>
        <v>1</v>
      </c>
      <c r="G93" s="18" t="s">
        <v>149</v>
      </c>
      <c r="H93" s="18" t="s">
        <v>156</v>
      </c>
      <c r="I93" s="18">
        <v>3304027784</v>
      </c>
      <c r="J93" s="18" t="s">
        <v>346</v>
      </c>
    </row>
    <row r="94" spans="1:10" x14ac:dyDescent="0.2">
      <c r="A94" s="27" t="s">
        <v>246</v>
      </c>
      <c r="B94" s="22">
        <f>ROWS(B$3:B94)/10000</f>
        <v>9.1999999999999998E-3</v>
      </c>
      <c r="C94" s="18" t="s">
        <v>335</v>
      </c>
      <c r="D94" s="28" t="b">
        <f t="shared" si="0"/>
        <v>1</v>
      </c>
      <c r="E94" s="18" t="b">
        <f t="shared" si="1"/>
        <v>1</v>
      </c>
      <c r="G94" s="18" t="s">
        <v>335</v>
      </c>
      <c r="H94" s="18" t="s">
        <v>246</v>
      </c>
      <c r="I94" s="18">
        <v>3304715633</v>
      </c>
      <c r="J94" s="18" t="s">
        <v>247</v>
      </c>
    </row>
    <row r="95" spans="1:10" x14ac:dyDescent="0.2">
      <c r="A95" s="27" t="s">
        <v>484</v>
      </c>
      <c r="B95" s="22">
        <f>ROWS(B$3:B95)/10000</f>
        <v>9.2999999999999992E-3</v>
      </c>
      <c r="C95" s="18" t="s">
        <v>157</v>
      </c>
      <c r="D95" s="28"/>
    </row>
    <row r="96" spans="1:10" x14ac:dyDescent="0.2">
      <c r="A96" s="27" t="s">
        <v>161</v>
      </c>
      <c r="B96" s="22">
        <f>ROWS(B$3:B96)/10000</f>
        <v>9.4000000000000004E-3</v>
      </c>
      <c r="C96" s="18" t="s">
        <v>335</v>
      </c>
      <c r="D96" s="28" t="b">
        <f t="shared" ref="D96:D106" si="2">A96=H96</f>
        <v>1</v>
      </c>
      <c r="E96" s="18" t="b">
        <f t="shared" ref="E96:E106" si="3">C96=G96</f>
        <v>0</v>
      </c>
      <c r="G96" s="18" t="s">
        <v>162</v>
      </c>
      <c r="H96" s="18" t="s">
        <v>161</v>
      </c>
      <c r="I96" s="18" t="s">
        <v>347</v>
      </c>
      <c r="J96" s="18" t="s">
        <v>348</v>
      </c>
    </row>
    <row r="97" spans="1:10" x14ac:dyDescent="0.2">
      <c r="A97" s="27" t="s">
        <v>248</v>
      </c>
      <c r="B97" s="22">
        <f>ROWS(B$3:B97)/10000</f>
        <v>9.4999999999999998E-3</v>
      </c>
      <c r="C97" s="18" t="s">
        <v>335</v>
      </c>
      <c r="D97" s="28" t="b">
        <f t="shared" si="2"/>
        <v>1</v>
      </c>
      <c r="E97" s="18" t="b">
        <f t="shared" si="3"/>
        <v>0</v>
      </c>
      <c r="G97" s="18" t="s">
        <v>337</v>
      </c>
      <c r="H97" s="18" t="s">
        <v>248</v>
      </c>
      <c r="I97" s="18">
        <v>4073767286</v>
      </c>
      <c r="J97" s="18" t="s">
        <v>249</v>
      </c>
    </row>
    <row r="98" spans="1:10" x14ac:dyDescent="0.2">
      <c r="A98" s="27" t="s">
        <v>267</v>
      </c>
      <c r="B98" s="22">
        <f>ROWS(B$3:B98)/10000</f>
        <v>9.5999999999999992E-3</v>
      </c>
      <c r="C98" s="18" t="s">
        <v>157</v>
      </c>
      <c r="D98" s="28" t="b">
        <f t="shared" si="2"/>
        <v>1</v>
      </c>
      <c r="E98" s="18" t="b">
        <f t="shared" si="3"/>
        <v>1</v>
      </c>
      <c r="G98" s="18" t="s">
        <v>157</v>
      </c>
      <c r="H98" s="18" t="s">
        <v>267</v>
      </c>
      <c r="I98" s="18">
        <v>3309338392</v>
      </c>
      <c r="J98" s="18" t="s">
        <v>349</v>
      </c>
    </row>
    <row r="99" spans="1:10" x14ac:dyDescent="0.2">
      <c r="A99" s="27" t="s">
        <v>250</v>
      </c>
      <c r="B99" s="22">
        <f>ROWS(B$3:B99)/10000</f>
        <v>9.7000000000000003E-3</v>
      </c>
      <c r="C99" s="18" t="s">
        <v>335</v>
      </c>
      <c r="D99" s="28"/>
    </row>
    <row r="100" spans="1:10" x14ac:dyDescent="0.2">
      <c r="A100" s="27" t="s">
        <v>252</v>
      </c>
      <c r="B100" s="22">
        <f>ROWS(B$3:B100)/10000</f>
        <v>9.7999999999999997E-3</v>
      </c>
      <c r="C100" s="18" t="s">
        <v>335</v>
      </c>
      <c r="D100" s="28" t="b">
        <f t="shared" si="2"/>
        <v>1</v>
      </c>
      <c r="E100" s="18" t="b">
        <f t="shared" si="3"/>
        <v>1</v>
      </c>
      <c r="G100" s="18" t="s">
        <v>335</v>
      </c>
      <c r="H100" s="18" t="s">
        <v>252</v>
      </c>
      <c r="I100" s="18">
        <v>3304939202</v>
      </c>
      <c r="J100" s="18" t="s">
        <v>253</v>
      </c>
    </row>
    <row r="101" spans="1:10" x14ac:dyDescent="0.2">
      <c r="A101" s="27" t="s">
        <v>254</v>
      </c>
      <c r="B101" s="22">
        <f>ROWS(B$3:B101)/10000</f>
        <v>9.9000000000000008E-3</v>
      </c>
      <c r="C101" s="18" t="s">
        <v>335</v>
      </c>
      <c r="D101" s="28" t="b">
        <f t="shared" si="2"/>
        <v>1</v>
      </c>
      <c r="E101" s="18" t="b">
        <f t="shared" si="3"/>
        <v>1</v>
      </c>
      <c r="G101" s="18" t="s">
        <v>335</v>
      </c>
      <c r="H101" s="18" t="s">
        <v>254</v>
      </c>
      <c r="I101" s="18">
        <v>0</v>
      </c>
      <c r="J101" s="18" t="s">
        <v>255</v>
      </c>
    </row>
    <row r="102" spans="1:10" x14ac:dyDescent="0.2">
      <c r="A102" s="27" t="s">
        <v>315</v>
      </c>
      <c r="B102" s="22">
        <f>ROWS(B$3:B102)/10000</f>
        <v>0.01</v>
      </c>
      <c r="C102" s="18" t="s">
        <v>337</v>
      </c>
      <c r="D102" s="28" t="b">
        <f t="shared" si="2"/>
        <v>1</v>
      </c>
      <c r="E102" s="18" t="b">
        <f t="shared" si="3"/>
        <v>1</v>
      </c>
      <c r="G102" s="18" t="s">
        <v>337</v>
      </c>
      <c r="H102" s="18" t="s">
        <v>315</v>
      </c>
      <c r="I102" s="18">
        <v>3304952692</v>
      </c>
      <c r="J102" s="18" t="s">
        <v>316</v>
      </c>
    </row>
    <row r="103" spans="1:10" x14ac:dyDescent="0.2">
      <c r="A103" s="27" t="s">
        <v>256</v>
      </c>
      <c r="B103" s="22">
        <f>ROWS(B$3:B103)/10000</f>
        <v>1.01E-2</v>
      </c>
      <c r="C103" s="18" t="s">
        <v>335</v>
      </c>
      <c r="D103" s="28" t="b">
        <f t="shared" si="2"/>
        <v>1</v>
      </c>
      <c r="E103" s="18" t="b">
        <f t="shared" si="3"/>
        <v>1</v>
      </c>
      <c r="G103" s="18" t="s">
        <v>335</v>
      </c>
      <c r="H103" s="18" t="s">
        <v>256</v>
      </c>
      <c r="I103" s="18">
        <v>3304712563</v>
      </c>
      <c r="J103" s="18" t="s">
        <v>257</v>
      </c>
    </row>
    <row r="104" spans="1:10" x14ac:dyDescent="0.2">
      <c r="A104" s="27" t="s">
        <v>429</v>
      </c>
      <c r="B104" s="22">
        <f>ROWS(B$3:B104)/10000</f>
        <v>1.0200000000000001E-2</v>
      </c>
      <c r="C104" s="18" t="s">
        <v>335</v>
      </c>
      <c r="D104" s="28"/>
    </row>
    <row r="105" spans="1:10" x14ac:dyDescent="0.2">
      <c r="A105" s="27" t="s">
        <v>258</v>
      </c>
      <c r="B105" s="22">
        <f>ROWS(B$3:B105)/10000</f>
        <v>1.03E-2</v>
      </c>
      <c r="C105" s="18" t="s">
        <v>335</v>
      </c>
      <c r="D105" s="28" t="b">
        <f t="shared" si="2"/>
        <v>1</v>
      </c>
      <c r="E105" s="18" t="b">
        <f t="shared" si="3"/>
        <v>1</v>
      </c>
      <c r="G105" s="18" t="s">
        <v>335</v>
      </c>
      <c r="H105" s="18" t="s">
        <v>258</v>
      </c>
      <c r="I105" s="18">
        <v>3304139314</v>
      </c>
      <c r="J105" s="18" t="s">
        <v>259</v>
      </c>
    </row>
    <row r="106" spans="1:10" x14ac:dyDescent="0.2">
      <c r="A106" s="27" t="s">
        <v>294</v>
      </c>
      <c r="B106" s="22">
        <f>ROWS(B$3:B106)/10000</f>
        <v>1.04E-2</v>
      </c>
      <c r="C106" s="18" t="s">
        <v>149</v>
      </c>
      <c r="D106" s="28" t="b">
        <f t="shared" si="2"/>
        <v>1</v>
      </c>
      <c r="E106" s="18" t="b">
        <f t="shared" si="3"/>
        <v>1</v>
      </c>
      <c r="G106" s="18" t="s">
        <v>149</v>
      </c>
      <c r="H106" s="18" t="s">
        <v>294</v>
      </c>
      <c r="I106" s="18">
        <v>3309349216</v>
      </c>
      <c r="J106" s="18" t="s">
        <v>295</v>
      </c>
    </row>
    <row r="107" spans="1:10" x14ac:dyDescent="0.2">
      <c r="A107" s="27"/>
      <c r="B107" s="22"/>
      <c r="D107" s="28"/>
      <c r="I107" s="18" t="s">
        <v>160</v>
      </c>
      <c r="J107" s="18" t="s">
        <v>160</v>
      </c>
    </row>
    <row r="108" spans="1:10" x14ac:dyDescent="0.2">
      <c r="A108" s="27"/>
      <c r="B108" s="22"/>
      <c r="D108" s="28"/>
      <c r="I108" s="18" t="s">
        <v>160</v>
      </c>
      <c r="J108" s="18" t="s">
        <v>160</v>
      </c>
    </row>
    <row r="109" spans="1:10" x14ac:dyDescent="0.2">
      <c r="A109" s="27"/>
      <c r="B109" s="22"/>
      <c r="D109" s="28"/>
      <c r="I109" s="18" t="s">
        <v>160</v>
      </c>
      <c r="J109" s="18" t="s">
        <v>160</v>
      </c>
    </row>
    <row r="110" spans="1:10" x14ac:dyDescent="0.2">
      <c r="A110" s="27"/>
      <c r="B110" s="22"/>
      <c r="D110" s="28"/>
      <c r="I110" s="18" t="s">
        <v>160</v>
      </c>
      <c r="J110" s="18" t="s">
        <v>160</v>
      </c>
    </row>
    <row r="111" spans="1:10" x14ac:dyDescent="0.2">
      <c r="A111" s="27"/>
      <c r="B111" s="22"/>
      <c r="D111" s="28"/>
      <c r="I111" s="18" t="s">
        <v>160</v>
      </c>
      <c r="J111" s="18" t="s">
        <v>160</v>
      </c>
    </row>
    <row r="112" spans="1:10" x14ac:dyDescent="0.2">
      <c r="A112" s="27"/>
      <c r="B112" s="22"/>
      <c r="D112" s="28"/>
      <c r="I112" s="18" t="s">
        <v>160</v>
      </c>
      <c r="J112" s="18" t="s">
        <v>160</v>
      </c>
    </row>
    <row r="113" spans="1:10" x14ac:dyDescent="0.2">
      <c r="A113" s="27"/>
      <c r="B113" s="22"/>
      <c r="D113" s="28"/>
      <c r="I113" s="18" t="s">
        <v>160</v>
      </c>
      <c r="J113" s="18" t="s">
        <v>160</v>
      </c>
    </row>
    <row r="114" spans="1:10" x14ac:dyDescent="0.2">
      <c r="A114" s="18" t="s">
        <v>328</v>
      </c>
      <c r="B114" s="19" t="s">
        <v>57</v>
      </c>
      <c r="D114" s="28"/>
      <c r="I114" s="18" t="s">
        <v>160</v>
      </c>
      <c r="J114" s="18" t="s">
        <v>160</v>
      </c>
    </row>
    <row r="115" spans="1:10" x14ac:dyDescent="0.2">
      <c r="A115" s="18" t="s">
        <v>26</v>
      </c>
      <c r="B115" s="22">
        <v>0.20100000000000001</v>
      </c>
      <c r="D115" s="28"/>
    </row>
    <row r="116" spans="1:10" x14ac:dyDescent="0.2">
      <c r="A116" s="18" t="s">
        <v>20</v>
      </c>
      <c r="B116" s="22">
        <v>0.20200000000000001</v>
      </c>
    </row>
    <row r="117" spans="1:10" x14ac:dyDescent="0.2">
      <c r="A117" s="18" t="s">
        <v>16</v>
      </c>
      <c r="B117" s="22">
        <v>0.20300000000000001</v>
      </c>
    </row>
    <row r="118" spans="1:10" x14ac:dyDescent="0.2">
      <c r="A118" s="18" t="s">
        <v>18</v>
      </c>
      <c r="B118" s="22">
        <v>0.20399999999999999</v>
      </c>
    </row>
    <row r="119" spans="1:10" x14ac:dyDescent="0.2">
      <c r="A119" s="18" t="s">
        <v>22</v>
      </c>
      <c r="B119" s="22">
        <v>0.20499999999999999</v>
      </c>
    </row>
    <row r="120" spans="1:10" x14ac:dyDescent="0.2">
      <c r="A120" s="18" t="s">
        <v>24</v>
      </c>
      <c r="B120" s="22">
        <v>0.20599999999999999</v>
      </c>
    </row>
    <row r="121" spans="1:10" x14ac:dyDescent="0.2">
      <c r="A121" s="18" t="s">
        <v>28</v>
      </c>
      <c r="B121" s="22">
        <v>0.20699999999999999</v>
      </c>
    </row>
    <row r="122" spans="1:10" x14ac:dyDescent="0.2">
      <c r="A122" s="18" t="s">
        <v>30</v>
      </c>
      <c r="B122" s="22">
        <v>0.20799999999999999</v>
      </c>
    </row>
    <row r="123" spans="1:10" x14ac:dyDescent="0.2">
      <c r="B123" s="22">
        <v>0.20899999999999999</v>
      </c>
    </row>
    <row r="124" spans="1:10" x14ac:dyDescent="0.2">
      <c r="B124" s="22">
        <v>0.21</v>
      </c>
    </row>
    <row r="125" spans="1:10" x14ac:dyDescent="0.2">
      <c r="B125" s="22">
        <v>0.21099999999999999</v>
      </c>
    </row>
    <row r="126" spans="1:10" x14ac:dyDescent="0.2">
      <c r="B126" s="22">
        <v>0.21199999999999999</v>
      </c>
    </row>
    <row r="127" spans="1:10" x14ac:dyDescent="0.2">
      <c r="B127" s="22">
        <v>0.21299999999999999</v>
      </c>
    </row>
    <row r="349" spans="15:15" x14ac:dyDescent="0.2">
      <c r="O349" s="18" t="s">
        <v>160</v>
      </c>
    </row>
  </sheetData>
  <autoFilter ref="A2:E127" xr:uid="{1B3138A6-6894-41C5-8734-C23FCF1AB683}"/>
  <sortState xmlns:xlrd2="http://schemas.microsoft.com/office/spreadsheetml/2017/richdata2" ref="A115:B127">
    <sortCondition ref="B115:B127"/>
  </sortState>
  <phoneticPr fontId="28" type="noConversion"/>
  <pageMargins left="0.7" right="0.7" top="0.75" bottom="0.75" header="0.3" footer="0.3"/>
  <pageSetup orientation="portrait" horizontalDpi="1200" verticalDpi="1200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F396-9360-4C59-A816-4EEE0A8600A6}">
  <sheetPr codeName="Sheet29"/>
  <dimension ref="A1:AD124"/>
  <sheetViews>
    <sheetView workbookViewId="0"/>
  </sheetViews>
  <sheetFormatPr defaultRowHeight="13.2" x14ac:dyDescent="0.25"/>
  <cols>
    <col min="1" max="1" width="18.44140625" bestFit="1" customWidth="1"/>
    <col min="2" max="10" width="3.5546875" customWidth="1"/>
    <col min="11" max="11" width="4.109375" customWidth="1"/>
    <col min="13" max="30" width="3.5546875" customWidth="1"/>
  </cols>
  <sheetData>
    <row r="1" spans="1:30" x14ac:dyDescent="0.25">
      <c r="A1" s="34" t="s">
        <v>58</v>
      </c>
      <c r="B1" s="19" t="s">
        <v>405</v>
      </c>
      <c r="C1" s="19" t="s">
        <v>463</v>
      </c>
      <c r="D1" s="19" t="s">
        <v>464</v>
      </c>
      <c r="E1" s="19" t="s">
        <v>465</v>
      </c>
      <c r="F1" s="19" t="s">
        <v>466</v>
      </c>
      <c r="G1" s="19" t="s">
        <v>467</v>
      </c>
      <c r="H1" s="19" t="s">
        <v>468</v>
      </c>
      <c r="I1" s="19" t="s">
        <v>469</v>
      </c>
      <c r="J1" s="19" t="s">
        <v>470</v>
      </c>
      <c r="K1" s="19" t="s">
        <v>471</v>
      </c>
      <c r="M1" t="s">
        <v>480</v>
      </c>
      <c r="AD1" s="6" t="s">
        <v>481</v>
      </c>
    </row>
    <row r="2" spans="1:30" x14ac:dyDescent="0.25">
      <c r="A2" s="38" t="s">
        <v>26</v>
      </c>
      <c r="B2" s="336"/>
      <c r="C2" s="336"/>
      <c r="D2" s="336"/>
      <c r="E2" s="336"/>
      <c r="F2" s="336"/>
      <c r="G2" s="336"/>
      <c r="H2" s="336"/>
      <c r="I2" s="336"/>
      <c r="J2" s="336"/>
      <c r="K2" s="336"/>
    </row>
    <row r="3" spans="1:30" x14ac:dyDescent="0.25">
      <c r="A3" s="18" t="s">
        <v>146</v>
      </c>
      <c r="B3" s="19">
        <v>42</v>
      </c>
      <c r="C3" s="19">
        <v>41</v>
      </c>
      <c r="D3" s="19">
        <v>43</v>
      </c>
      <c r="E3" s="19">
        <v>42</v>
      </c>
      <c r="F3" s="19">
        <v>40</v>
      </c>
      <c r="G3" s="19">
        <v>43</v>
      </c>
      <c r="H3" s="19">
        <v>37</v>
      </c>
      <c r="I3" s="19">
        <v>40</v>
      </c>
      <c r="J3" s="19">
        <v>41</v>
      </c>
      <c r="K3" s="19">
        <v>40</v>
      </c>
      <c r="M3" s="20">
        <v>44</v>
      </c>
      <c r="N3" s="20">
        <v>43</v>
      </c>
      <c r="O3" s="20">
        <v>39</v>
      </c>
      <c r="P3" s="20">
        <v>46</v>
      </c>
      <c r="Q3" s="20">
        <v>42</v>
      </c>
      <c r="R3" s="20">
        <v>42</v>
      </c>
      <c r="S3" s="20">
        <v>41</v>
      </c>
      <c r="T3" s="20">
        <v>43</v>
      </c>
      <c r="U3" s="20">
        <v>42</v>
      </c>
      <c r="V3" s="20">
        <v>40</v>
      </c>
      <c r="W3" s="20">
        <v>43</v>
      </c>
      <c r="X3" s="20">
        <v>37</v>
      </c>
      <c r="Y3" s="20">
        <v>0</v>
      </c>
      <c r="Z3" s="20">
        <v>40</v>
      </c>
      <c r="AA3" s="20">
        <v>0</v>
      </c>
      <c r="AB3" s="20">
        <v>0</v>
      </c>
      <c r="AC3" s="20">
        <v>41</v>
      </c>
      <c r="AD3" s="20">
        <v>40</v>
      </c>
    </row>
    <row r="4" spans="1:30" x14ac:dyDescent="0.25">
      <c r="A4" s="18" t="s">
        <v>100</v>
      </c>
      <c r="B4" s="19">
        <v>39</v>
      </c>
      <c r="C4" s="19">
        <v>48</v>
      </c>
      <c r="D4" s="19">
        <v>49</v>
      </c>
      <c r="E4" s="19">
        <v>48</v>
      </c>
      <c r="F4" s="19">
        <v>45</v>
      </c>
      <c r="G4" s="19">
        <v>46</v>
      </c>
      <c r="H4" s="19">
        <v>48</v>
      </c>
      <c r="I4" s="19">
        <v>47</v>
      </c>
      <c r="J4" s="19">
        <v>42</v>
      </c>
      <c r="K4" s="19">
        <v>38</v>
      </c>
      <c r="M4" s="20">
        <v>39</v>
      </c>
      <c r="N4" s="20">
        <v>48</v>
      </c>
      <c r="O4" s="20">
        <v>46</v>
      </c>
      <c r="P4" s="20">
        <v>0</v>
      </c>
      <c r="Q4" s="20">
        <v>39</v>
      </c>
      <c r="R4" s="20">
        <v>48</v>
      </c>
      <c r="S4" s="20">
        <v>49</v>
      </c>
      <c r="T4" s="20">
        <v>0</v>
      </c>
      <c r="U4" s="20">
        <v>48</v>
      </c>
      <c r="V4" s="20">
        <v>45</v>
      </c>
      <c r="W4" s="20">
        <v>46</v>
      </c>
      <c r="X4" s="20">
        <v>0</v>
      </c>
      <c r="Y4" s="20">
        <v>48</v>
      </c>
      <c r="Z4" s="20">
        <v>47</v>
      </c>
      <c r="AA4" s="20">
        <v>0</v>
      </c>
      <c r="AB4" s="20">
        <v>0</v>
      </c>
      <c r="AC4" s="20">
        <v>42</v>
      </c>
      <c r="AD4" s="20">
        <v>38</v>
      </c>
    </row>
    <row r="5" spans="1:30" x14ac:dyDescent="0.25">
      <c r="A5" s="18" t="s">
        <v>309</v>
      </c>
      <c r="B5" s="19">
        <v>63</v>
      </c>
      <c r="C5" s="19">
        <v>51</v>
      </c>
      <c r="D5" s="19">
        <v>53</v>
      </c>
      <c r="E5" s="19">
        <v>48</v>
      </c>
      <c r="F5" s="19">
        <v>48</v>
      </c>
      <c r="G5" s="19">
        <v>53</v>
      </c>
      <c r="H5" s="19">
        <v>50</v>
      </c>
      <c r="I5" s="19">
        <v>55</v>
      </c>
      <c r="J5" s="19">
        <v>53</v>
      </c>
      <c r="K5" s="19">
        <v>52</v>
      </c>
      <c r="M5" s="20">
        <v>0</v>
      </c>
      <c r="N5" s="20">
        <v>58</v>
      </c>
      <c r="O5" s="20">
        <v>50</v>
      </c>
      <c r="P5" s="20">
        <v>53</v>
      </c>
      <c r="Q5" s="20">
        <v>54</v>
      </c>
      <c r="R5" s="20">
        <v>63</v>
      </c>
      <c r="S5" s="20">
        <v>51</v>
      </c>
      <c r="T5" s="20">
        <v>53</v>
      </c>
      <c r="U5" s="20">
        <v>48</v>
      </c>
      <c r="V5" s="20">
        <v>48</v>
      </c>
      <c r="W5" s="20">
        <v>53</v>
      </c>
      <c r="X5" s="20">
        <v>50</v>
      </c>
      <c r="Y5" s="20">
        <v>0</v>
      </c>
      <c r="Z5" s="20">
        <v>55</v>
      </c>
      <c r="AA5" s="20">
        <v>0</v>
      </c>
      <c r="AB5" s="20">
        <v>0</v>
      </c>
      <c r="AC5" s="20">
        <v>53</v>
      </c>
      <c r="AD5" s="20">
        <v>52</v>
      </c>
    </row>
    <row r="6" spans="1:30" x14ac:dyDescent="0.25">
      <c r="A6" s="18" t="s">
        <v>311</v>
      </c>
      <c r="B6" s="19">
        <v>42</v>
      </c>
      <c r="C6" s="19">
        <v>44</v>
      </c>
      <c r="D6" s="19">
        <v>44</v>
      </c>
      <c r="E6" s="19">
        <v>41</v>
      </c>
      <c r="F6" s="19">
        <v>46</v>
      </c>
      <c r="G6" s="19">
        <v>43</v>
      </c>
      <c r="H6" s="19">
        <v>42</v>
      </c>
      <c r="I6" s="19">
        <v>45</v>
      </c>
      <c r="J6" s="19">
        <v>41</v>
      </c>
      <c r="K6" s="19">
        <v>39</v>
      </c>
      <c r="M6" s="20">
        <v>41</v>
      </c>
      <c r="N6" s="20">
        <v>40</v>
      </c>
      <c r="O6" s="20">
        <v>43</v>
      </c>
      <c r="P6" s="20">
        <v>44</v>
      </c>
      <c r="Q6" s="20">
        <v>41</v>
      </c>
      <c r="R6" s="20">
        <v>42</v>
      </c>
      <c r="S6" s="20">
        <v>0</v>
      </c>
      <c r="T6" s="20">
        <v>44</v>
      </c>
      <c r="U6" s="20">
        <v>44</v>
      </c>
      <c r="V6" s="20">
        <v>41</v>
      </c>
      <c r="W6" s="20">
        <v>46</v>
      </c>
      <c r="X6" s="20">
        <v>43</v>
      </c>
      <c r="Y6" s="20">
        <v>42</v>
      </c>
      <c r="Z6" s="20">
        <v>45</v>
      </c>
      <c r="AA6" s="20">
        <v>0</v>
      </c>
      <c r="AB6" s="20">
        <v>0</v>
      </c>
      <c r="AC6" s="20">
        <v>41</v>
      </c>
      <c r="AD6" s="20">
        <v>39</v>
      </c>
    </row>
    <row r="7" spans="1:30" x14ac:dyDescent="0.25">
      <c r="A7" s="18" t="s">
        <v>165</v>
      </c>
      <c r="B7" s="19"/>
      <c r="C7" s="19"/>
      <c r="D7" s="19"/>
      <c r="E7" s="19"/>
      <c r="F7" s="19"/>
      <c r="G7" s="19">
        <v>56</v>
      </c>
      <c r="H7" s="19">
        <v>59</v>
      </c>
      <c r="I7" s="19">
        <v>52</v>
      </c>
      <c r="J7" s="19">
        <v>60</v>
      </c>
      <c r="K7" s="19">
        <v>58</v>
      </c>
      <c r="M7" s="20">
        <v>56</v>
      </c>
      <c r="N7" s="20">
        <v>0</v>
      </c>
      <c r="O7" s="20">
        <v>0</v>
      </c>
      <c r="P7" s="20">
        <v>59</v>
      </c>
      <c r="Q7" s="20">
        <v>0</v>
      </c>
      <c r="R7" s="20">
        <v>0</v>
      </c>
      <c r="S7" s="20">
        <v>52</v>
      </c>
      <c r="T7" s="20">
        <v>60</v>
      </c>
      <c r="U7" s="20">
        <v>0</v>
      </c>
      <c r="V7" s="20">
        <v>0</v>
      </c>
      <c r="W7" s="20">
        <v>0</v>
      </c>
      <c r="X7" s="20">
        <v>0</v>
      </c>
      <c r="Y7" s="20">
        <v>58</v>
      </c>
      <c r="Z7" s="20">
        <v>0</v>
      </c>
      <c r="AA7" s="20">
        <v>0</v>
      </c>
      <c r="AB7" s="20">
        <v>0</v>
      </c>
      <c r="AC7" s="20">
        <v>0</v>
      </c>
      <c r="AD7" s="20">
        <v>0</v>
      </c>
    </row>
    <row r="8" spans="1:30" x14ac:dyDescent="0.25">
      <c r="A8" s="18" t="s">
        <v>314</v>
      </c>
      <c r="B8" s="19"/>
      <c r="C8" s="19"/>
      <c r="D8" s="19"/>
      <c r="E8" s="19"/>
      <c r="F8" s="19"/>
      <c r="G8" s="19"/>
      <c r="H8" s="19"/>
      <c r="I8" s="19"/>
      <c r="J8" s="19"/>
      <c r="K8" s="19"/>
    </row>
    <row r="9" spans="1:30" x14ac:dyDescent="0.25">
      <c r="A9" s="18"/>
      <c r="B9" s="19"/>
      <c r="C9" s="19"/>
      <c r="D9" s="19"/>
      <c r="E9" s="19"/>
      <c r="F9" s="19"/>
      <c r="G9" s="19"/>
      <c r="H9" s="19"/>
      <c r="I9" s="19"/>
      <c r="J9" s="19"/>
      <c r="K9" s="19"/>
    </row>
    <row r="10" spans="1:30" x14ac:dyDescent="0.25">
      <c r="A10" s="38" t="s">
        <v>20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</row>
    <row r="11" spans="1:30" x14ac:dyDescent="0.25">
      <c r="A11" s="18" t="s">
        <v>153</v>
      </c>
      <c r="B11" s="19">
        <v>46</v>
      </c>
      <c r="C11" s="19">
        <v>46</v>
      </c>
      <c r="D11" s="19">
        <v>45</v>
      </c>
      <c r="E11" s="19">
        <v>38</v>
      </c>
      <c r="F11" s="19">
        <v>41</v>
      </c>
      <c r="G11" s="19">
        <v>41</v>
      </c>
      <c r="H11" s="19">
        <v>38</v>
      </c>
      <c r="I11" s="19">
        <v>43</v>
      </c>
      <c r="J11" s="19">
        <v>47</v>
      </c>
      <c r="K11" s="19">
        <v>48</v>
      </c>
      <c r="M11" s="20">
        <v>0</v>
      </c>
      <c r="N11" s="20">
        <v>44</v>
      </c>
      <c r="O11" s="20">
        <v>43</v>
      </c>
      <c r="P11" s="20">
        <v>48</v>
      </c>
      <c r="Q11" s="20">
        <v>45</v>
      </c>
      <c r="R11" s="20">
        <v>46</v>
      </c>
      <c r="S11" s="20">
        <v>46</v>
      </c>
      <c r="T11" s="20">
        <v>45</v>
      </c>
      <c r="U11" s="20">
        <v>38</v>
      </c>
      <c r="V11" s="20">
        <v>0</v>
      </c>
      <c r="W11" s="20">
        <v>41</v>
      </c>
      <c r="X11" s="20">
        <v>41</v>
      </c>
      <c r="Y11" s="20">
        <v>38</v>
      </c>
      <c r="Z11" s="20">
        <v>43</v>
      </c>
      <c r="AA11" s="20">
        <v>0</v>
      </c>
      <c r="AB11" s="20">
        <v>0</v>
      </c>
      <c r="AC11" s="20">
        <v>47</v>
      </c>
      <c r="AD11" s="20">
        <v>48</v>
      </c>
    </row>
    <row r="12" spans="1:30" x14ac:dyDescent="0.25">
      <c r="A12" s="18" t="s">
        <v>283</v>
      </c>
      <c r="B12" s="19"/>
      <c r="C12" s="19"/>
      <c r="D12" s="19"/>
      <c r="E12" s="19"/>
      <c r="F12" s="19">
        <v>45</v>
      </c>
      <c r="G12" s="19">
        <v>45</v>
      </c>
      <c r="H12" s="19">
        <v>45</v>
      </c>
      <c r="I12" s="19">
        <v>42</v>
      </c>
      <c r="J12" s="19">
        <v>44</v>
      </c>
      <c r="K12" s="19">
        <v>40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v>0</v>
      </c>
      <c r="T12" s="20">
        <v>0</v>
      </c>
      <c r="U12" s="20">
        <v>0</v>
      </c>
      <c r="V12" s="20">
        <v>0</v>
      </c>
      <c r="W12" s="20">
        <v>45</v>
      </c>
      <c r="X12" s="20">
        <v>45</v>
      </c>
      <c r="Y12" s="20">
        <v>45</v>
      </c>
      <c r="Z12" s="20">
        <v>42</v>
      </c>
      <c r="AA12" s="20">
        <v>0</v>
      </c>
      <c r="AB12" s="20">
        <v>0</v>
      </c>
      <c r="AC12" s="20">
        <v>44</v>
      </c>
      <c r="AD12" s="20">
        <v>40</v>
      </c>
    </row>
    <row r="13" spans="1:30" x14ac:dyDescent="0.25">
      <c r="A13" s="18" t="s">
        <v>163</v>
      </c>
      <c r="B13" s="19">
        <v>49</v>
      </c>
      <c r="C13" s="19">
        <v>47</v>
      </c>
      <c r="D13" s="19">
        <v>48</v>
      </c>
      <c r="E13" s="19">
        <v>46</v>
      </c>
      <c r="F13" s="19">
        <v>49</v>
      </c>
      <c r="G13" s="19">
        <v>47</v>
      </c>
      <c r="H13" s="19">
        <v>41</v>
      </c>
      <c r="I13" s="19">
        <v>45</v>
      </c>
      <c r="J13" s="19">
        <v>48</v>
      </c>
      <c r="K13" s="19">
        <v>54</v>
      </c>
      <c r="M13" s="20">
        <v>44</v>
      </c>
      <c r="N13" s="20">
        <v>44</v>
      </c>
      <c r="O13" s="20">
        <v>51</v>
      </c>
      <c r="P13" s="20">
        <v>43</v>
      </c>
      <c r="Q13" s="20">
        <v>49</v>
      </c>
      <c r="R13" s="20">
        <v>47</v>
      </c>
      <c r="S13" s="20">
        <v>48</v>
      </c>
      <c r="T13" s="20">
        <v>46</v>
      </c>
      <c r="U13" s="20">
        <v>49</v>
      </c>
      <c r="V13" s="20">
        <v>0</v>
      </c>
      <c r="W13" s="20">
        <v>47</v>
      </c>
      <c r="X13" s="20">
        <v>41</v>
      </c>
      <c r="Y13" s="20">
        <v>45</v>
      </c>
      <c r="Z13" s="20">
        <v>48</v>
      </c>
      <c r="AA13" s="20">
        <v>0</v>
      </c>
      <c r="AB13" s="20">
        <v>0</v>
      </c>
      <c r="AC13" s="20">
        <v>54</v>
      </c>
      <c r="AD13" s="20">
        <v>0</v>
      </c>
    </row>
    <row r="14" spans="1:30" x14ac:dyDescent="0.25">
      <c r="A14" s="18" t="s">
        <v>286</v>
      </c>
      <c r="B14" s="19">
        <v>56</v>
      </c>
      <c r="C14" s="19">
        <v>57</v>
      </c>
      <c r="D14" s="19">
        <v>54</v>
      </c>
      <c r="E14" s="19">
        <v>46</v>
      </c>
      <c r="F14" s="19">
        <v>50</v>
      </c>
      <c r="G14" s="19">
        <v>50</v>
      </c>
      <c r="H14" s="19">
        <v>48</v>
      </c>
      <c r="I14" s="19">
        <v>50</v>
      </c>
      <c r="J14" s="19">
        <v>49</v>
      </c>
      <c r="K14" s="19">
        <v>52</v>
      </c>
      <c r="M14" s="20">
        <v>0</v>
      </c>
      <c r="N14" s="20">
        <v>54</v>
      </c>
      <c r="O14" s="20">
        <v>56</v>
      </c>
      <c r="P14" s="20">
        <v>57</v>
      </c>
      <c r="Q14" s="20">
        <v>54</v>
      </c>
      <c r="R14" s="20">
        <v>46</v>
      </c>
      <c r="S14" s="20">
        <v>50</v>
      </c>
      <c r="T14" s="20">
        <v>50</v>
      </c>
      <c r="U14" s="20">
        <v>48</v>
      </c>
      <c r="V14" s="20">
        <v>50</v>
      </c>
      <c r="W14" s="20">
        <v>0</v>
      </c>
      <c r="X14" s="20">
        <v>0</v>
      </c>
      <c r="Y14" s="20">
        <v>0</v>
      </c>
      <c r="Z14" s="20">
        <v>49</v>
      </c>
      <c r="AA14" s="20">
        <v>0</v>
      </c>
      <c r="AB14" s="20">
        <v>0</v>
      </c>
      <c r="AC14" s="20">
        <v>0</v>
      </c>
      <c r="AD14" s="20">
        <v>52</v>
      </c>
    </row>
    <row r="15" spans="1:30" x14ac:dyDescent="0.25">
      <c r="A15" s="18" t="s">
        <v>513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M15" s="20">
        <v>0</v>
      </c>
      <c r="N15" s="20">
        <v>57</v>
      </c>
      <c r="O15" s="20">
        <v>50</v>
      </c>
      <c r="P15" s="20">
        <v>55</v>
      </c>
      <c r="Q15" s="20">
        <v>55</v>
      </c>
      <c r="R15" s="20">
        <v>56</v>
      </c>
      <c r="S15" s="20">
        <v>59</v>
      </c>
      <c r="T15" s="20">
        <v>56</v>
      </c>
      <c r="U15" s="20">
        <v>52</v>
      </c>
      <c r="V15" s="20">
        <v>0</v>
      </c>
      <c r="W15" s="20">
        <v>49</v>
      </c>
      <c r="X15" s="20">
        <v>0</v>
      </c>
      <c r="Y15" s="20">
        <v>50</v>
      </c>
      <c r="Z15" s="20">
        <v>0</v>
      </c>
      <c r="AA15" s="20">
        <v>0</v>
      </c>
      <c r="AB15" s="20">
        <v>0</v>
      </c>
      <c r="AC15" s="20">
        <v>0</v>
      </c>
      <c r="AD15" s="20">
        <v>58</v>
      </c>
    </row>
    <row r="16" spans="1:30" x14ac:dyDescent="0.25">
      <c r="A16" s="18" t="s">
        <v>289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</row>
    <row r="17" spans="1:30" x14ac:dyDescent="0.25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</row>
    <row r="18" spans="1:30" x14ac:dyDescent="0.25">
      <c r="A18" s="38" t="s">
        <v>16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</row>
    <row r="19" spans="1:30" x14ac:dyDescent="0.25">
      <c r="A19" s="18" t="s">
        <v>484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M19" s="355"/>
    </row>
    <row r="20" spans="1:30" x14ac:dyDescent="0.25">
      <c r="A20" s="18" t="s">
        <v>485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M20" s="355"/>
    </row>
    <row r="21" spans="1:30" x14ac:dyDescent="0.25">
      <c r="A21" s="18" t="s">
        <v>265</v>
      </c>
      <c r="B21" s="19">
        <v>54</v>
      </c>
      <c r="C21" s="19">
        <v>63</v>
      </c>
      <c r="D21" s="19">
        <v>59</v>
      </c>
      <c r="E21" s="19">
        <v>59</v>
      </c>
      <c r="F21" s="19">
        <v>48</v>
      </c>
      <c r="G21" s="19">
        <v>54</v>
      </c>
      <c r="H21" s="19">
        <v>55</v>
      </c>
      <c r="I21" s="19">
        <v>54</v>
      </c>
      <c r="J21" s="19">
        <v>57</v>
      </c>
      <c r="K21" s="19">
        <v>56</v>
      </c>
      <c r="M21" s="20">
        <v>63</v>
      </c>
      <c r="N21" s="20">
        <v>53</v>
      </c>
      <c r="O21" s="20">
        <v>58</v>
      </c>
      <c r="P21" s="20">
        <v>54</v>
      </c>
      <c r="Q21" s="20">
        <v>63</v>
      </c>
      <c r="R21" s="20">
        <v>59</v>
      </c>
      <c r="S21" s="20">
        <v>0</v>
      </c>
      <c r="T21" s="20">
        <v>59</v>
      </c>
      <c r="U21" s="20">
        <v>0</v>
      </c>
      <c r="V21" s="20">
        <v>0</v>
      </c>
      <c r="W21" s="20">
        <v>48</v>
      </c>
      <c r="X21" s="20">
        <v>54</v>
      </c>
      <c r="Y21" s="20">
        <v>55</v>
      </c>
      <c r="Z21" s="20">
        <v>54</v>
      </c>
      <c r="AA21" s="20">
        <v>0</v>
      </c>
      <c r="AB21" s="20">
        <v>0</v>
      </c>
      <c r="AC21" s="20">
        <v>57</v>
      </c>
      <c r="AD21" s="20">
        <v>56</v>
      </c>
    </row>
    <row r="22" spans="1:30" x14ac:dyDescent="0.25">
      <c r="A22" s="18" t="s">
        <v>267</v>
      </c>
      <c r="B22" s="19">
        <v>61</v>
      </c>
      <c r="C22" s="19">
        <v>47</v>
      </c>
      <c r="D22" s="19">
        <v>59</v>
      </c>
      <c r="E22" s="19">
        <v>52</v>
      </c>
      <c r="F22" s="19">
        <v>52</v>
      </c>
      <c r="G22" s="19">
        <v>47</v>
      </c>
      <c r="H22" s="19">
        <v>46</v>
      </c>
      <c r="I22" s="19">
        <v>46</v>
      </c>
      <c r="J22" s="19">
        <v>48</v>
      </c>
      <c r="K22" s="19">
        <v>52</v>
      </c>
      <c r="M22" s="20">
        <v>54</v>
      </c>
      <c r="N22" s="20">
        <v>61</v>
      </c>
      <c r="O22" s="20">
        <v>47</v>
      </c>
      <c r="P22" s="20">
        <v>50</v>
      </c>
      <c r="Q22" s="20">
        <v>57</v>
      </c>
      <c r="R22" s="20">
        <v>53</v>
      </c>
      <c r="S22" s="20">
        <v>61</v>
      </c>
      <c r="T22" s="20">
        <v>47</v>
      </c>
      <c r="U22" s="20">
        <v>59</v>
      </c>
      <c r="V22" s="20">
        <v>52</v>
      </c>
      <c r="W22" s="20">
        <v>52</v>
      </c>
      <c r="X22" s="20">
        <v>47</v>
      </c>
      <c r="Y22" s="20">
        <v>46</v>
      </c>
      <c r="Z22" s="20">
        <v>46</v>
      </c>
      <c r="AA22" s="20">
        <v>0</v>
      </c>
      <c r="AB22" s="20">
        <v>0</v>
      </c>
      <c r="AC22" s="20">
        <v>48</v>
      </c>
      <c r="AD22" s="20">
        <v>52</v>
      </c>
    </row>
    <row r="23" spans="1:30" x14ac:dyDescent="0.25">
      <c r="A23" s="18">
        <v>0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</row>
    <row r="24" spans="1:30" x14ac:dyDescent="0.25">
      <c r="A24" s="18" t="s">
        <v>271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30" x14ac:dyDescent="0.25">
      <c r="A25" s="18"/>
      <c r="B25" s="19"/>
      <c r="C25" s="19"/>
      <c r="D25" s="19"/>
      <c r="E25" s="19"/>
      <c r="F25" s="19"/>
      <c r="G25" s="19"/>
      <c r="H25" s="19"/>
      <c r="I25" s="19"/>
      <c r="J25" s="19"/>
      <c r="K25" s="19"/>
    </row>
    <row r="26" spans="1:30" x14ac:dyDescent="0.25">
      <c r="A26" s="38" t="s">
        <v>18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</row>
    <row r="27" spans="1:30" x14ac:dyDescent="0.25">
      <c r="A27" s="18" t="s">
        <v>272</v>
      </c>
      <c r="B27" s="19">
        <v>53</v>
      </c>
      <c r="C27" s="19">
        <v>46</v>
      </c>
      <c r="D27" s="19">
        <v>45</v>
      </c>
      <c r="E27" s="19">
        <v>45</v>
      </c>
      <c r="F27" s="19">
        <v>42</v>
      </c>
      <c r="G27" s="19">
        <v>42</v>
      </c>
      <c r="H27" s="19">
        <v>43</v>
      </c>
      <c r="I27" s="19">
        <v>44</v>
      </c>
      <c r="J27" s="19">
        <v>46</v>
      </c>
      <c r="K27" s="19">
        <v>50</v>
      </c>
      <c r="M27" s="20">
        <v>42</v>
      </c>
      <c r="N27" s="20">
        <v>51</v>
      </c>
      <c r="O27" s="20">
        <v>54</v>
      </c>
      <c r="P27" s="20">
        <v>49</v>
      </c>
      <c r="Q27" s="20">
        <v>52</v>
      </c>
      <c r="R27" s="20">
        <v>48</v>
      </c>
      <c r="S27" s="20">
        <v>53</v>
      </c>
      <c r="T27" s="20">
        <v>46</v>
      </c>
      <c r="U27" s="20">
        <v>45</v>
      </c>
      <c r="V27" s="20">
        <v>45</v>
      </c>
      <c r="W27" s="20">
        <v>42</v>
      </c>
      <c r="X27" s="20">
        <v>42</v>
      </c>
      <c r="Y27" s="20">
        <v>43</v>
      </c>
      <c r="Z27" s="20">
        <v>44</v>
      </c>
      <c r="AA27" s="20">
        <v>0</v>
      </c>
      <c r="AB27" s="20">
        <v>0</v>
      </c>
      <c r="AC27" s="20">
        <v>46</v>
      </c>
      <c r="AD27" s="20">
        <v>50</v>
      </c>
    </row>
    <row r="28" spans="1:30" x14ac:dyDescent="0.25">
      <c r="A28" s="18" t="s">
        <v>274</v>
      </c>
      <c r="B28" s="19">
        <v>57</v>
      </c>
      <c r="C28" s="19">
        <v>48</v>
      </c>
      <c r="D28" s="19">
        <v>39</v>
      </c>
      <c r="E28" s="19">
        <v>46</v>
      </c>
      <c r="F28" s="19">
        <v>48</v>
      </c>
      <c r="G28" s="19">
        <v>44</v>
      </c>
      <c r="H28" s="19">
        <v>43</v>
      </c>
      <c r="I28" s="19">
        <v>47</v>
      </c>
      <c r="J28" s="19">
        <v>49</v>
      </c>
      <c r="K28" s="19">
        <v>46</v>
      </c>
      <c r="M28" s="20">
        <v>53</v>
      </c>
      <c r="N28" s="20">
        <v>55</v>
      </c>
      <c r="O28" s="20">
        <v>45</v>
      </c>
      <c r="P28" s="20">
        <v>46</v>
      </c>
      <c r="Q28" s="20">
        <v>57</v>
      </c>
      <c r="R28" s="20">
        <v>0</v>
      </c>
      <c r="S28" s="20">
        <v>0</v>
      </c>
      <c r="T28" s="20">
        <v>48</v>
      </c>
      <c r="U28" s="20">
        <v>39</v>
      </c>
      <c r="V28" s="20">
        <v>46</v>
      </c>
      <c r="W28" s="20">
        <v>48</v>
      </c>
      <c r="X28" s="20">
        <v>44</v>
      </c>
      <c r="Y28" s="20">
        <v>43</v>
      </c>
      <c r="Z28" s="20">
        <v>47</v>
      </c>
      <c r="AA28" s="20">
        <v>0</v>
      </c>
      <c r="AB28" s="20">
        <v>0</v>
      </c>
      <c r="AC28" s="20">
        <v>49</v>
      </c>
      <c r="AD28" s="20">
        <v>46</v>
      </c>
    </row>
    <row r="29" spans="1:30" x14ac:dyDescent="0.25">
      <c r="A29" s="18" t="s">
        <v>276</v>
      </c>
      <c r="B29" s="19">
        <v>57</v>
      </c>
      <c r="C29" s="19">
        <v>58</v>
      </c>
      <c r="D29" s="19">
        <v>50</v>
      </c>
      <c r="E29" s="19">
        <v>51</v>
      </c>
      <c r="F29" s="19">
        <v>48</v>
      </c>
      <c r="G29" s="19">
        <v>60</v>
      </c>
      <c r="H29" s="19">
        <v>48</v>
      </c>
      <c r="I29" s="19">
        <v>49</v>
      </c>
      <c r="J29" s="19">
        <v>52</v>
      </c>
      <c r="K29" s="19">
        <v>54</v>
      </c>
      <c r="M29" s="20">
        <v>68</v>
      </c>
      <c r="N29" s="20">
        <v>49</v>
      </c>
      <c r="O29" s="20">
        <v>54</v>
      </c>
      <c r="P29" s="20">
        <v>56</v>
      </c>
      <c r="Q29" s="20">
        <v>57</v>
      </c>
      <c r="R29" s="20">
        <v>0</v>
      </c>
      <c r="S29" s="20">
        <v>58</v>
      </c>
      <c r="T29" s="20">
        <v>50</v>
      </c>
      <c r="U29" s="20">
        <v>51</v>
      </c>
      <c r="V29" s="20">
        <v>0</v>
      </c>
      <c r="W29" s="20">
        <v>48</v>
      </c>
      <c r="X29" s="20">
        <v>60</v>
      </c>
      <c r="Y29" s="20">
        <v>48</v>
      </c>
      <c r="Z29" s="20">
        <v>49</v>
      </c>
      <c r="AA29" s="20">
        <v>0</v>
      </c>
      <c r="AB29" s="20">
        <v>0</v>
      </c>
      <c r="AC29" s="20">
        <v>52</v>
      </c>
      <c r="AD29" s="20">
        <v>54</v>
      </c>
    </row>
    <row r="30" spans="1:30" x14ac:dyDescent="0.25">
      <c r="A30" s="18" t="s">
        <v>278</v>
      </c>
      <c r="B30" s="19">
        <v>53</v>
      </c>
      <c r="C30" s="19">
        <v>53</v>
      </c>
      <c r="D30" s="19">
        <v>55</v>
      </c>
      <c r="E30" s="19">
        <v>57</v>
      </c>
      <c r="F30" s="19">
        <v>48</v>
      </c>
      <c r="G30" s="19">
        <v>53</v>
      </c>
      <c r="H30" s="19">
        <v>60</v>
      </c>
      <c r="I30" s="19">
        <v>61</v>
      </c>
      <c r="J30" s="19">
        <v>58</v>
      </c>
      <c r="K30" s="19">
        <v>54</v>
      </c>
      <c r="M30" s="20">
        <v>54</v>
      </c>
      <c r="N30" s="20">
        <v>55</v>
      </c>
      <c r="O30" s="20">
        <v>50</v>
      </c>
      <c r="P30" s="20">
        <v>60</v>
      </c>
      <c r="Q30" s="20">
        <v>54</v>
      </c>
      <c r="R30" s="20">
        <v>55</v>
      </c>
      <c r="S30" s="20">
        <v>53</v>
      </c>
      <c r="T30" s="20">
        <v>53</v>
      </c>
      <c r="U30" s="20">
        <v>55</v>
      </c>
      <c r="V30" s="20">
        <v>57</v>
      </c>
      <c r="W30" s="20">
        <v>48</v>
      </c>
      <c r="X30" s="20">
        <v>53</v>
      </c>
      <c r="Y30" s="20">
        <v>60</v>
      </c>
      <c r="Z30" s="20">
        <v>61</v>
      </c>
      <c r="AA30" s="20">
        <v>0</v>
      </c>
      <c r="AB30" s="20">
        <v>0</v>
      </c>
      <c r="AC30" s="20">
        <v>58</v>
      </c>
      <c r="AD30" s="20">
        <v>54</v>
      </c>
    </row>
    <row r="31" spans="1:30" x14ac:dyDescent="0.25">
      <c r="A31" s="18" t="s">
        <v>280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30" x14ac:dyDescent="0.25">
      <c r="A32" s="18" t="s">
        <v>281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30" x14ac:dyDescent="0.25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30" x14ac:dyDescent="0.25">
      <c r="A34" s="38" t="s">
        <v>22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</row>
    <row r="35" spans="1:30" x14ac:dyDescent="0.25">
      <c r="A35" s="18" t="s">
        <v>156</v>
      </c>
      <c r="B35" s="19">
        <v>42</v>
      </c>
      <c r="C35" s="19">
        <v>42</v>
      </c>
      <c r="D35" s="19">
        <v>45</v>
      </c>
      <c r="E35" s="19">
        <v>44</v>
      </c>
      <c r="F35" s="19">
        <v>43</v>
      </c>
      <c r="G35" s="19">
        <v>47</v>
      </c>
      <c r="H35" s="19">
        <v>41</v>
      </c>
      <c r="I35" s="19">
        <v>42</v>
      </c>
      <c r="J35" s="19">
        <v>39</v>
      </c>
      <c r="K35" s="19">
        <v>49</v>
      </c>
      <c r="M35" s="20">
        <v>49</v>
      </c>
      <c r="N35" s="20">
        <v>39</v>
      </c>
      <c r="O35" s="20">
        <v>45</v>
      </c>
      <c r="P35" s="20">
        <v>47</v>
      </c>
      <c r="Q35" s="20">
        <v>48</v>
      </c>
      <c r="R35" s="20">
        <v>42</v>
      </c>
      <c r="S35" s="20">
        <v>42</v>
      </c>
      <c r="T35" s="20">
        <v>45</v>
      </c>
      <c r="U35" s="20">
        <v>44</v>
      </c>
      <c r="V35" s="20">
        <v>43</v>
      </c>
      <c r="W35" s="20">
        <v>47</v>
      </c>
      <c r="X35" s="20">
        <v>41</v>
      </c>
      <c r="Y35" s="20">
        <v>42</v>
      </c>
      <c r="Z35" s="20">
        <v>39</v>
      </c>
      <c r="AA35" s="20">
        <v>0</v>
      </c>
      <c r="AB35" s="20">
        <v>0</v>
      </c>
      <c r="AC35" s="20">
        <v>49</v>
      </c>
      <c r="AD35" s="20">
        <v>0</v>
      </c>
    </row>
    <row r="36" spans="1:30" x14ac:dyDescent="0.25">
      <c r="A36" s="18" t="s">
        <v>148</v>
      </c>
      <c r="B36" s="19">
        <v>52</v>
      </c>
      <c r="C36" s="19">
        <v>56</v>
      </c>
      <c r="D36" s="19">
        <v>50</v>
      </c>
      <c r="E36" s="19">
        <v>44</v>
      </c>
      <c r="F36" s="19">
        <v>52</v>
      </c>
      <c r="G36" s="19">
        <v>51</v>
      </c>
      <c r="H36" s="19">
        <v>53</v>
      </c>
      <c r="I36" s="19">
        <v>54</v>
      </c>
      <c r="J36" s="19">
        <v>47</v>
      </c>
      <c r="K36" s="19">
        <v>51</v>
      </c>
      <c r="M36" s="20">
        <v>55</v>
      </c>
      <c r="N36" s="20">
        <v>53</v>
      </c>
      <c r="O36" s="20">
        <v>53</v>
      </c>
      <c r="P36" s="20">
        <v>48</v>
      </c>
      <c r="Q36" s="20">
        <v>52</v>
      </c>
      <c r="R36" s="20">
        <v>56</v>
      </c>
      <c r="S36" s="20">
        <v>0</v>
      </c>
      <c r="T36" s="20">
        <v>50</v>
      </c>
      <c r="U36" s="20">
        <v>44</v>
      </c>
      <c r="V36" s="20">
        <v>52</v>
      </c>
      <c r="W36" s="20">
        <v>51</v>
      </c>
      <c r="X36" s="20">
        <v>53</v>
      </c>
      <c r="Y36" s="20">
        <v>54</v>
      </c>
      <c r="Z36" s="20">
        <v>47</v>
      </c>
      <c r="AA36" s="20">
        <v>0</v>
      </c>
      <c r="AB36" s="20">
        <v>0</v>
      </c>
      <c r="AC36" s="20">
        <v>51</v>
      </c>
      <c r="AD36" s="20">
        <v>0</v>
      </c>
    </row>
    <row r="37" spans="1:30" x14ac:dyDescent="0.25">
      <c r="A37" s="18" t="s">
        <v>158</v>
      </c>
      <c r="B37" s="19"/>
      <c r="C37" s="19"/>
      <c r="D37" s="19">
        <v>59</v>
      </c>
      <c r="E37" s="19">
        <v>55</v>
      </c>
      <c r="F37" s="19">
        <v>53</v>
      </c>
      <c r="G37" s="19">
        <v>55</v>
      </c>
      <c r="H37" s="19">
        <v>50</v>
      </c>
      <c r="I37" s="19">
        <v>59</v>
      </c>
      <c r="J37" s="19">
        <v>49</v>
      </c>
      <c r="K37" s="19">
        <v>49</v>
      </c>
      <c r="M37" s="20">
        <v>59</v>
      </c>
      <c r="N37" s="20">
        <v>55</v>
      </c>
      <c r="O37" s="20">
        <v>53</v>
      </c>
      <c r="P37" s="20">
        <v>55</v>
      </c>
      <c r="Q37" s="20">
        <v>50</v>
      </c>
      <c r="R37" s="20">
        <v>59</v>
      </c>
      <c r="S37" s="20">
        <v>49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 s="20">
        <v>0</v>
      </c>
      <c r="AC37" s="20">
        <v>49</v>
      </c>
      <c r="AD37" s="20">
        <v>0</v>
      </c>
    </row>
    <row r="38" spans="1:30" x14ac:dyDescent="0.25">
      <c r="A38" s="18" t="s">
        <v>155</v>
      </c>
      <c r="B38" s="19"/>
      <c r="C38" s="19"/>
      <c r="D38" s="19"/>
      <c r="E38" s="19">
        <v>54</v>
      </c>
      <c r="F38" s="19">
        <v>45</v>
      </c>
      <c r="G38" s="19">
        <v>44</v>
      </c>
      <c r="H38" s="19">
        <v>41</v>
      </c>
      <c r="I38" s="19">
        <v>50</v>
      </c>
      <c r="J38" s="19">
        <v>46</v>
      </c>
      <c r="K38" s="19">
        <v>42</v>
      </c>
      <c r="M38" s="20">
        <v>54</v>
      </c>
      <c r="N38" s="20">
        <v>0</v>
      </c>
      <c r="O38" s="20">
        <v>45</v>
      </c>
      <c r="P38" s="20">
        <v>0</v>
      </c>
      <c r="Q38" s="20">
        <v>0</v>
      </c>
      <c r="R38" s="20">
        <v>0</v>
      </c>
      <c r="S38" s="20">
        <v>44</v>
      </c>
      <c r="T38" s="20">
        <v>41</v>
      </c>
      <c r="U38" s="20">
        <v>0</v>
      </c>
      <c r="V38" s="20">
        <v>50</v>
      </c>
      <c r="W38" s="20">
        <v>46</v>
      </c>
      <c r="X38" s="20">
        <v>0</v>
      </c>
      <c r="Y38" s="20">
        <v>0</v>
      </c>
      <c r="Z38" s="20">
        <v>42</v>
      </c>
      <c r="AA38" s="20">
        <v>0</v>
      </c>
      <c r="AB38" s="20">
        <v>0</v>
      </c>
      <c r="AC38" s="20">
        <v>0</v>
      </c>
      <c r="AD38" s="20">
        <v>0</v>
      </c>
    </row>
    <row r="39" spans="1:30" x14ac:dyDescent="0.25">
      <c r="A39" s="18" t="s">
        <v>294</v>
      </c>
      <c r="B39" s="19">
        <v>43</v>
      </c>
      <c r="C39" s="19">
        <v>42</v>
      </c>
      <c r="D39" s="19">
        <v>40</v>
      </c>
      <c r="E39" s="19">
        <v>45</v>
      </c>
      <c r="F39" s="19">
        <v>41</v>
      </c>
      <c r="G39" s="19">
        <v>47</v>
      </c>
      <c r="H39" s="19">
        <v>45</v>
      </c>
      <c r="I39" s="19">
        <v>39</v>
      </c>
      <c r="J39" s="19">
        <v>41</v>
      </c>
      <c r="K39" s="19">
        <v>46</v>
      </c>
      <c r="M39" s="20">
        <v>0</v>
      </c>
      <c r="N39" s="20">
        <v>50</v>
      </c>
      <c r="O39" s="20">
        <v>0</v>
      </c>
      <c r="P39" s="20">
        <v>0</v>
      </c>
      <c r="Q39" s="20">
        <v>43</v>
      </c>
      <c r="R39" s="20">
        <v>42</v>
      </c>
      <c r="S39" s="20">
        <v>40</v>
      </c>
      <c r="T39" s="20">
        <v>45</v>
      </c>
      <c r="U39" s="20">
        <v>41</v>
      </c>
      <c r="V39" s="20">
        <v>0</v>
      </c>
      <c r="W39" s="20">
        <v>47</v>
      </c>
      <c r="X39" s="20">
        <v>45</v>
      </c>
      <c r="Y39" s="20">
        <v>39</v>
      </c>
      <c r="Z39" s="20">
        <v>41</v>
      </c>
      <c r="AA39" s="20">
        <v>0</v>
      </c>
      <c r="AB39" s="20">
        <v>0</v>
      </c>
      <c r="AC39" s="20">
        <v>46</v>
      </c>
      <c r="AD39" s="20">
        <v>0</v>
      </c>
    </row>
    <row r="40" spans="1:30" x14ac:dyDescent="0.25">
      <c r="A40" s="18" t="s">
        <v>296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30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</row>
    <row r="42" spans="1:30" x14ac:dyDescent="0.25">
      <c r="A42" s="38" t="s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</row>
    <row r="43" spans="1:30" x14ac:dyDescent="0.25">
      <c r="A43" s="18" t="s">
        <v>106</v>
      </c>
      <c r="B43" s="19">
        <v>53</v>
      </c>
      <c r="C43" s="19">
        <v>57</v>
      </c>
      <c r="D43" s="19">
        <v>53</v>
      </c>
      <c r="E43" s="19">
        <v>52</v>
      </c>
      <c r="F43" s="19">
        <v>51</v>
      </c>
      <c r="G43" s="19">
        <v>50</v>
      </c>
      <c r="H43" s="19">
        <v>53</v>
      </c>
      <c r="I43" s="19">
        <v>49</v>
      </c>
      <c r="J43" s="19">
        <v>56</v>
      </c>
      <c r="K43" s="19">
        <v>54</v>
      </c>
      <c r="M43" s="20">
        <v>0</v>
      </c>
      <c r="N43" s="20">
        <v>51</v>
      </c>
      <c r="O43" s="20">
        <v>61</v>
      </c>
      <c r="P43" s="20">
        <v>53</v>
      </c>
      <c r="Q43" s="20">
        <v>0</v>
      </c>
      <c r="R43" s="20">
        <v>0</v>
      </c>
      <c r="S43" s="20">
        <v>57</v>
      </c>
      <c r="T43" s="20">
        <v>53</v>
      </c>
      <c r="U43" s="20">
        <v>52</v>
      </c>
      <c r="V43" s="20">
        <v>51</v>
      </c>
      <c r="W43" s="20">
        <v>50</v>
      </c>
      <c r="X43" s="20">
        <v>53</v>
      </c>
      <c r="Y43" s="20">
        <v>49</v>
      </c>
      <c r="Z43" s="20">
        <v>56</v>
      </c>
      <c r="AA43" s="20">
        <v>0</v>
      </c>
      <c r="AB43" s="20">
        <v>0</v>
      </c>
      <c r="AC43" s="20">
        <v>54</v>
      </c>
      <c r="AD43" s="20">
        <v>0</v>
      </c>
    </row>
    <row r="44" spans="1:30" x14ac:dyDescent="0.25">
      <c r="A44" s="18" t="s">
        <v>298</v>
      </c>
      <c r="B44" s="19">
        <v>58</v>
      </c>
      <c r="C44" s="19">
        <v>46</v>
      </c>
      <c r="D44" s="19">
        <v>52</v>
      </c>
      <c r="E44" s="19">
        <v>45</v>
      </c>
      <c r="F44" s="19">
        <v>44</v>
      </c>
      <c r="G44" s="19">
        <v>41</v>
      </c>
      <c r="H44" s="19">
        <v>46</v>
      </c>
      <c r="I44" s="19">
        <v>52</v>
      </c>
      <c r="J44" s="19">
        <v>47</v>
      </c>
      <c r="K44" s="19">
        <v>41</v>
      </c>
      <c r="M44" s="20">
        <v>58</v>
      </c>
      <c r="N44" s="20">
        <v>49</v>
      </c>
      <c r="O44" s="20">
        <v>52</v>
      </c>
      <c r="P44" s="20">
        <v>58</v>
      </c>
      <c r="Q44" s="20">
        <v>0</v>
      </c>
      <c r="R44" s="20">
        <v>46</v>
      </c>
      <c r="S44" s="20">
        <v>52</v>
      </c>
      <c r="T44" s="20">
        <v>45</v>
      </c>
      <c r="U44" s="20">
        <v>44</v>
      </c>
      <c r="V44" s="20">
        <v>0</v>
      </c>
      <c r="W44" s="20">
        <v>41</v>
      </c>
      <c r="X44" s="20">
        <v>46</v>
      </c>
      <c r="Y44" s="20">
        <v>52</v>
      </c>
      <c r="Z44" s="20">
        <v>47</v>
      </c>
      <c r="AA44" s="20">
        <v>0</v>
      </c>
      <c r="AB44" s="20">
        <v>0</v>
      </c>
      <c r="AC44" s="20">
        <v>41</v>
      </c>
      <c r="AD44" s="20">
        <v>0</v>
      </c>
    </row>
    <row r="45" spans="1:30" x14ac:dyDescent="0.25">
      <c r="A45" s="18" t="s">
        <v>300</v>
      </c>
      <c r="B45" s="19">
        <v>50</v>
      </c>
      <c r="C45" s="19">
        <v>47</v>
      </c>
      <c r="D45" s="19">
        <v>50</v>
      </c>
      <c r="E45" s="19">
        <v>49</v>
      </c>
      <c r="F45" s="19">
        <v>51</v>
      </c>
      <c r="G45" s="19">
        <v>43</v>
      </c>
      <c r="H45" s="19">
        <v>44</v>
      </c>
      <c r="I45" s="19">
        <v>48</v>
      </c>
      <c r="J45" s="19">
        <v>48</v>
      </c>
      <c r="K45" s="19">
        <v>45</v>
      </c>
      <c r="M45" s="20">
        <v>49</v>
      </c>
      <c r="N45" s="20">
        <v>49</v>
      </c>
      <c r="O45" s="20">
        <v>48</v>
      </c>
      <c r="P45" s="20">
        <v>50</v>
      </c>
      <c r="Q45" s="20">
        <v>47</v>
      </c>
      <c r="R45" s="20">
        <v>50</v>
      </c>
      <c r="S45" s="20">
        <v>0</v>
      </c>
      <c r="T45" s="20">
        <v>49</v>
      </c>
      <c r="U45" s="20">
        <v>51</v>
      </c>
      <c r="V45" s="20">
        <v>43</v>
      </c>
      <c r="W45" s="20">
        <v>44</v>
      </c>
      <c r="X45" s="20">
        <v>48</v>
      </c>
      <c r="Y45" s="20">
        <v>48</v>
      </c>
      <c r="Z45" s="20">
        <v>0</v>
      </c>
      <c r="AA45" s="20">
        <v>0</v>
      </c>
      <c r="AB45" s="20">
        <v>0</v>
      </c>
      <c r="AC45" s="20">
        <v>45</v>
      </c>
      <c r="AD45" s="20">
        <v>0</v>
      </c>
    </row>
    <row r="46" spans="1:30" x14ac:dyDescent="0.25">
      <c r="A46" s="18" t="s">
        <v>479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M46" s="355"/>
    </row>
    <row r="47" spans="1:30" x14ac:dyDescent="0.25">
      <c r="A47" s="18" t="s">
        <v>425</v>
      </c>
      <c r="B47" s="19"/>
      <c r="C47" s="19"/>
      <c r="D47" s="19"/>
      <c r="E47" s="19"/>
      <c r="F47" s="19">
        <v>49</v>
      </c>
      <c r="G47" s="19">
        <v>52</v>
      </c>
      <c r="H47" s="19">
        <v>55</v>
      </c>
      <c r="I47" s="19">
        <v>57</v>
      </c>
      <c r="J47" s="19">
        <v>56</v>
      </c>
      <c r="K47" s="19">
        <v>54</v>
      </c>
      <c r="V47" s="20"/>
      <c r="W47" s="20"/>
      <c r="Y47" s="20">
        <v>49</v>
      </c>
      <c r="Z47" s="20">
        <v>52</v>
      </c>
      <c r="AA47" s="20">
        <v>55</v>
      </c>
      <c r="AB47" s="20">
        <v>57</v>
      </c>
      <c r="AC47" s="20">
        <v>56</v>
      </c>
      <c r="AD47" s="20">
        <v>54</v>
      </c>
    </row>
    <row r="48" spans="1:30" x14ac:dyDescent="0.25">
      <c r="A48" s="18" t="s">
        <v>306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30" x14ac:dyDescent="0.25">
      <c r="A49" s="18"/>
      <c r="B49" s="19"/>
      <c r="C49" s="19"/>
      <c r="D49" s="19"/>
      <c r="E49" s="19"/>
      <c r="F49" s="19"/>
      <c r="G49" s="19"/>
      <c r="H49" s="19"/>
      <c r="I49" s="19"/>
      <c r="J49" s="19"/>
      <c r="K49" s="19"/>
    </row>
    <row r="50" spans="1:30" x14ac:dyDescent="0.25">
      <c r="A50" s="38" t="s">
        <v>28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</row>
    <row r="51" spans="1:30" x14ac:dyDescent="0.25">
      <c r="A51" s="18" t="s">
        <v>315</v>
      </c>
      <c r="B51" s="19">
        <v>54</v>
      </c>
      <c r="C51" s="19">
        <v>53</v>
      </c>
      <c r="D51" s="19">
        <v>54</v>
      </c>
      <c r="E51" s="19">
        <v>51</v>
      </c>
      <c r="F51" s="19">
        <v>51</v>
      </c>
      <c r="G51" s="19">
        <v>50</v>
      </c>
      <c r="H51" s="19">
        <v>54</v>
      </c>
      <c r="I51" s="19">
        <v>53</v>
      </c>
      <c r="J51" s="19">
        <v>57</v>
      </c>
      <c r="K51" s="19">
        <v>56</v>
      </c>
      <c r="M51" s="20">
        <v>56</v>
      </c>
      <c r="N51" s="20">
        <v>0</v>
      </c>
      <c r="O51" s="20">
        <v>49</v>
      </c>
      <c r="P51" s="20">
        <v>54</v>
      </c>
      <c r="Q51" s="20">
        <v>53</v>
      </c>
      <c r="R51" s="20">
        <v>0</v>
      </c>
      <c r="S51" s="20">
        <v>54</v>
      </c>
      <c r="T51" s="20">
        <v>51</v>
      </c>
      <c r="U51" s="20">
        <v>0</v>
      </c>
      <c r="V51" s="20">
        <v>51</v>
      </c>
      <c r="W51" s="20">
        <v>50</v>
      </c>
      <c r="X51" s="20">
        <v>54</v>
      </c>
      <c r="Y51" s="20">
        <v>53</v>
      </c>
      <c r="Z51" s="20">
        <v>57</v>
      </c>
      <c r="AA51" s="20">
        <v>0</v>
      </c>
      <c r="AB51" s="20">
        <v>0</v>
      </c>
      <c r="AC51" s="20">
        <v>56</v>
      </c>
      <c r="AD51" s="20">
        <v>0</v>
      </c>
    </row>
    <row r="52" spans="1:30" x14ac:dyDescent="0.25">
      <c r="A52" s="269" t="s">
        <v>317</v>
      </c>
      <c r="B52" s="19">
        <v>55</v>
      </c>
      <c r="C52" s="19">
        <v>66</v>
      </c>
      <c r="D52" s="19">
        <v>51</v>
      </c>
      <c r="E52" s="19">
        <v>60</v>
      </c>
      <c r="F52" s="19">
        <v>53</v>
      </c>
      <c r="G52" s="19">
        <v>57</v>
      </c>
      <c r="H52" s="19">
        <v>52</v>
      </c>
      <c r="I52" s="19">
        <v>59</v>
      </c>
      <c r="J52" s="19">
        <v>51</v>
      </c>
      <c r="K52" s="19">
        <v>54</v>
      </c>
      <c r="M52" s="20">
        <v>55</v>
      </c>
      <c r="N52" s="20">
        <v>0</v>
      </c>
      <c r="O52" s="20">
        <v>0</v>
      </c>
      <c r="P52" s="20">
        <v>63</v>
      </c>
      <c r="Q52" s="20">
        <v>55</v>
      </c>
      <c r="R52" s="20">
        <v>66</v>
      </c>
      <c r="S52" s="20">
        <v>51</v>
      </c>
      <c r="T52" s="20">
        <v>0</v>
      </c>
      <c r="U52" s="20">
        <v>60</v>
      </c>
      <c r="V52" s="20">
        <v>53</v>
      </c>
      <c r="W52" s="20">
        <v>57</v>
      </c>
      <c r="X52" s="20">
        <v>52</v>
      </c>
      <c r="Y52" s="20">
        <v>59</v>
      </c>
      <c r="Z52" s="20">
        <v>51</v>
      </c>
      <c r="AA52" s="20">
        <v>0</v>
      </c>
      <c r="AB52" s="20">
        <v>0</v>
      </c>
      <c r="AC52" s="20">
        <v>54</v>
      </c>
      <c r="AD52" s="20">
        <v>0</v>
      </c>
    </row>
    <row r="53" spans="1:30" x14ac:dyDescent="0.25">
      <c r="A53" s="18" t="s">
        <v>101</v>
      </c>
      <c r="B53" s="19">
        <v>55</v>
      </c>
      <c r="C53" s="19">
        <v>59</v>
      </c>
      <c r="D53" s="19">
        <v>55</v>
      </c>
      <c r="E53" s="19">
        <v>56</v>
      </c>
      <c r="F53" s="19">
        <v>48</v>
      </c>
      <c r="G53" s="19">
        <v>60</v>
      </c>
      <c r="H53" s="19">
        <v>62</v>
      </c>
      <c r="I53" s="19">
        <v>56</v>
      </c>
      <c r="J53" s="19">
        <v>59</v>
      </c>
      <c r="K53" s="19">
        <v>55</v>
      </c>
      <c r="M53" s="20">
        <v>51</v>
      </c>
      <c r="N53" s="20">
        <v>57</v>
      </c>
      <c r="O53" s="20">
        <v>58</v>
      </c>
      <c r="P53" s="20">
        <v>54</v>
      </c>
      <c r="Q53" s="20">
        <v>57</v>
      </c>
      <c r="R53" s="20">
        <v>55</v>
      </c>
      <c r="S53" s="20">
        <v>59</v>
      </c>
      <c r="T53" s="20">
        <v>55</v>
      </c>
      <c r="U53" s="20">
        <v>56</v>
      </c>
      <c r="V53" s="20">
        <v>48</v>
      </c>
      <c r="W53" s="20">
        <v>60</v>
      </c>
      <c r="X53" s="20">
        <v>62</v>
      </c>
      <c r="Y53" s="20">
        <v>56</v>
      </c>
      <c r="Z53" s="20">
        <v>59</v>
      </c>
      <c r="AA53" s="20">
        <v>0</v>
      </c>
      <c r="AB53" s="20">
        <v>0</v>
      </c>
      <c r="AC53" s="20">
        <v>55</v>
      </c>
      <c r="AD53" s="20">
        <v>0</v>
      </c>
    </row>
    <row r="54" spans="1:30" x14ac:dyDescent="0.25">
      <c r="A54" s="18" t="s">
        <v>320</v>
      </c>
      <c r="B54" s="19">
        <v>52</v>
      </c>
      <c r="C54" s="19">
        <v>53</v>
      </c>
      <c r="D54" s="19">
        <v>54</v>
      </c>
      <c r="E54" s="19">
        <v>54</v>
      </c>
      <c r="F54" s="19">
        <v>46</v>
      </c>
      <c r="G54" s="19">
        <v>51</v>
      </c>
      <c r="H54" s="19">
        <v>52</v>
      </c>
      <c r="I54" s="19">
        <v>50</v>
      </c>
      <c r="J54" s="19">
        <v>47</v>
      </c>
      <c r="K54" s="19">
        <v>56</v>
      </c>
      <c r="M54" s="20">
        <v>55</v>
      </c>
      <c r="N54" s="20">
        <v>51</v>
      </c>
      <c r="O54" s="20">
        <v>52</v>
      </c>
      <c r="P54" s="20">
        <v>58</v>
      </c>
      <c r="Q54" s="20">
        <v>51</v>
      </c>
      <c r="R54" s="20">
        <v>52</v>
      </c>
      <c r="S54" s="20">
        <v>53</v>
      </c>
      <c r="T54" s="20">
        <v>54</v>
      </c>
      <c r="U54" s="20">
        <v>54</v>
      </c>
      <c r="V54" s="20">
        <v>46</v>
      </c>
      <c r="W54" s="20">
        <v>51</v>
      </c>
      <c r="X54" s="20">
        <v>52</v>
      </c>
      <c r="Y54" s="20">
        <v>50</v>
      </c>
      <c r="Z54" s="20">
        <v>47</v>
      </c>
      <c r="AA54" s="20">
        <v>0</v>
      </c>
      <c r="AB54" s="20">
        <v>0</v>
      </c>
      <c r="AC54" s="20">
        <v>56</v>
      </c>
      <c r="AD54" s="20">
        <v>0</v>
      </c>
    </row>
    <row r="55" spans="1:30" x14ac:dyDescent="0.25">
      <c r="A55" s="18"/>
      <c r="B55" s="19"/>
      <c r="C55" s="19"/>
      <c r="D55" s="19"/>
      <c r="E55" s="19"/>
      <c r="F55" s="19" t="s">
        <v>160</v>
      </c>
      <c r="G55" s="19" t="s">
        <v>160</v>
      </c>
      <c r="H55" s="19" t="s">
        <v>160</v>
      </c>
      <c r="I55" s="19" t="s">
        <v>160</v>
      </c>
      <c r="J55" s="19" t="s">
        <v>160</v>
      </c>
      <c r="K55" s="19" t="s">
        <v>160</v>
      </c>
    </row>
    <row r="56" spans="1:30" x14ac:dyDescent="0.25">
      <c r="A56" s="18" t="s">
        <v>322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</row>
    <row r="57" spans="1:30" x14ac:dyDescent="0.25">
      <c r="A57" s="18"/>
      <c r="B57" s="19"/>
      <c r="C57" s="19"/>
      <c r="D57" s="19"/>
      <c r="E57" s="19"/>
      <c r="F57" s="19"/>
      <c r="G57" s="19"/>
      <c r="H57" s="19"/>
      <c r="I57" s="19"/>
      <c r="J57" s="19"/>
      <c r="K57" s="19"/>
    </row>
    <row r="58" spans="1:30" x14ac:dyDescent="0.25">
      <c r="A58" s="38" t="s">
        <v>30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</row>
    <row r="59" spans="1:30" x14ac:dyDescent="0.25">
      <c r="A59" s="18" t="s">
        <v>323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30" x14ac:dyDescent="0.25">
      <c r="A60" s="18" t="s">
        <v>324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</row>
    <row r="61" spans="1:30" x14ac:dyDescent="0.25">
      <c r="A61" s="18" t="s">
        <v>325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</row>
    <row r="62" spans="1:30" x14ac:dyDescent="0.25">
      <c r="A62" s="18" t="s">
        <v>326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</row>
    <row r="63" spans="1:30" x14ac:dyDescent="0.25">
      <c r="A63" s="18"/>
      <c r="B63" s="19"/>
      <c r="C63" s="19"/>
      <c r="D63" s="19"/>
      <c r="E63" s="19"/>
      <c r="F63" s="19"/>
      <c r="G63" s="19"/>
      <c r="H63" s="19"/>
      <c r="I63" s="19"/>
      <c r="J63" s="19"/>
      <c r="K63" s="19"/>
    </row>
    <row r="64" spans="1:30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</row>
    <row r="65" spans="1:30" x14ac:dyDescent="0.25">
      <c r="A65" s="18"/>
      <c r="B65" s="19"/>
      <c r="C65" s="19"/>
      <c r="D65" s="19"/>
      <c r="E65" s="19"/>
      <c r="F65" s="19"/>
    </row>
    <row r="66" spans="1:30" x14ac:dyDescent="0.25">
      <c r="A66" s="38" t="s">
        <v>77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</row>
    <row r="67" spans="1:30" x14ac:dyDescent="0.25">
      <c r="A67" s="57" t="s">
        <v>528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0</v>
      </c>
      <c r="AB67" s="20">
        <v>0</v>
      </c>
      <c r="AC67" s="20">
        <v>0</v>
      </c>
      <c r="AD67" s="20">
        <v>0</v>
      </c>
    </row>
    <row r="68" spans="1:30" x14ac:dyDescent="0.25">
      <c r="A68" s="57" t="s">
        <v>555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0</v>
      </c>
      <c r="AB68" s="20">
        <v>0</v>
      </c>
      <c r="AC68" s="20">
        <v>0</v>
      </c>
      <c r="AD68" s="20">
        <v>0</v>
      </c>
    </row>
    <row r="69" spans="1:30" x14ac:dyDescent="0.25">
      <c r="A69" s="18" t="s">
        <v>302</v>
      </c>
      <c r="B69" s="19"/>
      <c r="C69" s="19"/>
      <c r="D69" s="19">
        <v>55</v>
      </c>
      <c r="E69" s="19">
        <v>57</v>
      </c>
      <c r="F69" s="19">
        <v>47</v>
      </c>
      <c r="G69" s="19">
        <v>55</v>
      </c>
      <c r="H69" s="19">
        <v>57</v>
      </c>
      <c r="I69" s="19">
        <v>51</v>
      </c>
      <c r="J69" s="19">
        <v>50</v>
      </c>
      <c r="K69" s="19">
        <v>54</v>
      </c>
      <c r="W69" s="20">
        <v>55</v>
      </c>
      <c r="X69" s="20">
        <v>57</v>
      </c>
      <c r="Y69" s="20">
        <v>47</v>
      </c>
      <c r="Z69" s="20">
        <v>55</v>
      </c>
      <c r="AA69" s="20">
        <v>57</v>
      </c>
      <c r="AB69" s="20">
        <v>51</v>
      </c>
      <c r="AC69" s="20">
        <v>50</v>
      </c>
      <c r="AD69" s="20">
        <v>54</v>
      </c>
    </row>
    <row r="70" spans="1:30" x14ac:dyDescent="0.25">
      <c r="A70" s="18" t="s">
        <v>169</v>
      </c>
      <c r="B70" s="19"/>
      <c r="C70" s="19"/>
      <c r="D70" s="19"/>
      <c r="E70" s="19"/>
      <c r="F70" s="19"/>
      <c r="G70" s="19"/>
      <c r="H70" s="19"/>
      <c r="I70" s="19"/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</row>
    <row r="71" spans="1:30" x14ac:dyDescent="0.25">
      <c r="A71" s="18" t="s">
        <v>179</v>
      </c>
      <c r="B71" s="19"/>
      <c r="C71" s="19"/>
      <c r="D71" s="19"/>
      <c r="E71" s="19"/>
      <c r="F71" s="19"/>
      <c r="G71" s="19"/>
      <c r="H71" s="19"/>
      <c r="I71" s="19"/>
      <c r="J71" s="19">
        <v>55</v>
      </c>
      <c r="K71" s="19">
        <v>44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55</v>
      </c>
      <c r="W71" s="20">
        <v>0</v>
      </c>
      <c r="X71" s="20">
        <v>0</v>
      </c>
      <c r="Y71" s="20">
        <v>44</v>
      </c>
      <c r="Z71" s="20">
        <v>0</v>
      </c>
      <c r="AA71" s="20">
        <v>0</v>
      </c>
      <c r="AB71" s="20">
        <v>0</v>
      </c>
      <c r="AC71" s="20">
        <v>0</v>
      </c>
      <c r="AD71" s="20">
        <v>0</v>
      </c>
    </row>
    <row r="72" spans="1:30" x14ac:dyDescent="0.25">
      <c r="A72" s="18" t="s">
        <v>181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0</v>
      </c>
      <c r="AB72" s="20">
        <v>0</v>
      </c>
      <c r="AC72" s="20">
        <v>0</v>
      </c>
      <c r="AD72" s="20">
        <v>0</v>
      </c>
    </row>
    <row r="73" spans="1:30" x14ac:dyDescent="0.25">
      <c r="A73" s="18" t="s">
        <v>183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0</v>
      </c>
      <c r="AB73" s="20">
        <v>0</v>
      </c>
      <c r="AC73" s="20">
        <v>0</v>
      </c>
      <c r="AD73" s="20">
        <v>0</v>
      </c>
    </row>
    <row r="74" spans="1:30" x14ac:dyDescent="0.25">
      <c r="A74" s="18" t="s">
        <v>185</v>
      </c>
      <c r="B74" s="19"/>
      <c r="C74" s="19"/>
      <c r="D74" s="19"/>
      <c r="E74" s="19"/>
      <c r="F74" s="19"/>
      <c r="G74" s="19"/>
      <c r="H74" s="19"/>
      <c r="I74" s="19"/>
      <c r="J74" s="19"/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0</v>
      </c>
      <c r="AB74" s="20">
        <v>0</v>
      </c>
      <c r="AC74" s="20">
        <v>0</v>
      </c>
      <c r="AD74" s="20">
        <v>0</v>
      </c>
    </row>
    <row r="75" spans="1:30" x14ac:dyDescent="0.25">
      <c r="A75" s="18" t="s">
        <v>433</v>
      </c>
      <c r="B75" s="19"/>
      <c r="C75" s="19"/>
      <c r="D75" s="19"/>
      <c r="E75" s="19"/>
      <c r="F75" s="19"/>
      <c r="G75" s="19"/>
      <c r="H75" s="19"/>
      <c r="I75" s="19"/>
      <c r="J75" s="19"/>
      <c r="K75" s="19">
        <v>49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49</v>
      </c>
      <c r="Y75" s="20">
        <v>0</v>
      </c>
      <c r="Z75" s="20">
        <v>0</v>
      </c>
      <c r="AA75" s="20">
        <v>0</v>
      </c>
      <c r="AB75" s="20">
        <v>0</v>
      </c>
      <c r="AC75" s="20">
        <v>0</v>
      </c>
      <c r="AD75" s="20">
        <v>0</v>
      </c>
    </row>
    <row r="76" spans="1:30" x14ac:dyDescent="0.25">
      <c r="A76" s="18" t="s">
        <v>187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v>0</v>
      </c>
      <c r="T76" s="20">
        <v>0</v>
      </c>
      <c r="U76" s="20">
        <v>0</v>
      </c>
      <c r="V76" s="20">
        <v>0</v>
      </c>
      <c r="W76" s="20">
        <v>0</v>
      </c>
      <c r="X76" s="20">
        <v>0</v>
      </c>
      <c r="Y76" s="20">
        <v>0</v>
      </c>
      <c r="Z76" s="20">
        <v>0</v>
      </c>
      <c r="AA76" s="20">
        <v>0</v>
      </c>
      <c r="AB76" s="20">
        <v>0</v>
      </c>
      <c r="AC76" s="20">
        <v>0</v>
      </c>
      <c r="AD76" s="20">
        <v>0</v>
      </c>
    </row>
    <row r="77" spans="1:30" x14ac:dyDescent="0.25">
      <c r="A77" s="18" t="s">
        <v>189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0</v>
      </c>
      <c r="AB77" s="20">
        <v>0</v>
      </c>
      <c r="AC77" s="20">
        <v>0</v>
      </c>
      <c r="AD77" s="20">
        <v>0</v>
      </c>
    </row>
    <row r="78" spans="1:30" x14ac:dyDescent="0.25">
      <c r="A78" s="18" t="s">
        <v>191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v>0</v>
      </c>
      <c r="T78" s="20">
        <v>0</v>
      </c>
      <c r="U78" s="20">
        <v>0</v>
      </c>
      <c r="V78" s="20">
        <v>0</v>
      </c>
      <c r="W78" s="20">
        <v>0</v>
      </c>
      <c r="X78" s="20">
        <v>0</v>
      </c>
      <c r="Y78" s="20">
        <v>0</v>
      </c>
      <c r="Z78" s="20">
        <v>0</v>
      </c>
      <c r="AA78" s="20">
        <v>0</v>
      </c>
      <c r="AB78" s="20">
        <v>0</v>
      </c>
      <c r="AC78" s="20">
        <v>0</v>
      </c>
      <c r="AD78" s="20">
        <v>0</v>
      </c>
    </row>
    <row r="79" spans="1:30" x14ac:dyDescent="0.25">
      <c r="A79" s="18" t="s">
        <v>304</v>
      </c>
      <c r="B79" s="19"/>
      <c r="C79" s="19"/>
      <c r="D79" s="19"/>
      <c r="E79" s="19"/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</row>
    <row r="80" spans="1:30" x14ac:dyDescent="0.25">
      <c r="A80" s="18" t="s">
        <v>193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M80" s="20">
        <v>0</v>
      </c>
      <c r="N80" s="20">
        <v>0</v>
      </c>
      <c r="O80" s="20">
        <v>0</v>
      </c>
      <c r="P80" s="20">
        <v>0</v>
      </c>
      <c r="Q80" s="20">
        <v>0</v>
      </c>
      <c r="R80" s="20">
        <v>0</v>
      </c>
      <c r="S80" s="20">
        <v>0</v>
      </c>
      <c r="T80" s="20">
        <v>0</v>
      </c>
      <c r="U80" s="20">
        <v>0</v>
      </c>
      <c r="V80" s="20">
        <v>0</v>
      </c>
      <c r="W80" s="20">
        <v>0</v>
      </c>
      <c r="X80" s="20">
        <v>0</v>
      </c>
      <c r="Y80" s="20">
        <v>0</v>
      </c>
      <c r="Z80" s="20">
        <v>0</v>
      </c>
      <c r="AA80" s="20">
        <v>0</v>
      </c>
      <c r="AB80" s="20">
        <v>0</v>
      </c>
      <c r="AC80" s="20">
        <v>0</v>
      </c>
      <c r="AD80" s="20">
        <v>0</v>
      </c>
    </row>
    <row r="81" spans="1:30" x14ac:dyDescent="0.25">
      <c r="A81" s="18" t="s">
        <v>195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0</v>
      </c>
      <c r="AB81" s="20">
        <v>0</v>
      </c>
      <c r="AC81" s="20">
        <v>0</v>
      </c>
      <c r="AD81" s="20">
        <v>0</v>
      </c>
    </row>
    <row r="82" spans="1:30" x14ac:dyDescent="0.25">
      <c r="A82" s="18" t="s">
        <v>197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0</v>
      </c>
      <c r="AB82" s="20">
        <v>0</v>
      </c>
      <c r="AC82" s="20">
        <v>0</v>
      </c>
      <c r="AD82" s="20">
        <v>0</v>
      </c>
    </row>
    <row r="83" spans="1:30" x14ac:dyDescent="0.25">
      <c r="A83" s="18" t="s">
        <v>198</v>
      </c>
      <c r="B83" s="19"/>
      <c r="C83" s="19"/>
      <c r="D83" s="19"/>
      <c r="E83" s="19"/>
      <c r="F83" s="19"/>
      <c r="G83" s="19"/>
      <c r="H83" s="19"/>
      <c r="I83" s="19"/>
      <c r="J83" s="19"/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0</v>
      </c>
      <c r="AB83" s="20">
        <v>0</v>
      </c>
      <c r="AC83" s="20">
        <v>0</v>
      </c>
      <c r="AD83" s="20">
        <v>0</v>
      </c>
    </row>
    <row r="84" spans="1:30" x14ac:dyDescent="0.25">
      <c r="A84" s="18" t="s">
        <v>428</v>
      </c>
      <c r="B84" s="19"/>
      <c r="C84" s="19"/>
      <c r="D84" s="19"/>
      <c r="E84" s="19"/>
      <c r="F84" s="19"/>
      <c r="G84" s="19"/>
      <c r="H84" s="19"/>
      <c r="I84" s="19"/>
      <c r="J84" s="19"/>
      <c r="K84" s="19">
        <v>46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46</v>
      </c>
      <c r="S84" s="20">
        <v>0</v>
      </c>
      <c r="T84" s="20">
        <v>0</v>
      </c>
      <c r="U84" s="20">
        <v>0</v>
      </c>
      <c r="V84" s="20">
        <v>0</v>
      </c>
      <c r="W84" s="20">
        <v>0</v>
      </c>
      <c r="X84" s="20">
        <v>0</v>
      </c>
      <c r="Y84" s="20">
        <v>0</v>
      </c>
      <c r="Z84" s="20">
        <v>0</v>
      </c>
      <c r="AA84" s="20">
        <v>0</v>
      </c>
      <c r="AB84" s="20">
        <v>0</v>
      </c>
      <c r="AC84" s="20">
        <v>0</v>
      </c>
      <c r="AD84" s="20">
        <v>0</v>
      </c>
    </row>
    <row r="85" spans="1:30" x14ac:dyDescent="0.25">
      <c r="A85" s="18" t="s">
        <v>201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20">
        <v>0</v>
      </c>
      <c r="T85" s="20">
        <v>0</v>
      </c>
      <c r="U85" s="20">
        <v>0</v>
      </c>
      <c r="V85" s="20">
        <v>0</v>
      </c>
      <c r="W85" s="20">
        <v>0</v>
      </c>
      <c r="X85" s="20">
        <v>0</v>
      </c>
      <c r="Y85" s="20">
        <v>0</v>
      </c>
      <c r="Z85" s="20">
        <v>0</v>
      </c>
      <c r="AA85" s="20">
        <v>0</v>
      </c>
      <c r="AB85" s="20">
        <v>0</v>
      </c>
      <c r="AC85" s="20">
        <v>0</v>
      </c>
      <c r="AD85" s="20">
        <v>0</v>
      </c>
    </row>
    <row r="86" spans="1:30" x14ac:dyDescent="0.25">
      <c r="A86" s="18" t="s">
        <v>203</v>
      </c>
      <c r="M86" s="20">
        <v>0</v>
      </c>
      <c r="N86" s="20">
        <v>0</v>
      </c>
      <c r="O86" s="20">
        <v>0</v>
      </c>
      <c r="P86" s="20">
        <v>0</v>
      </c>
      <c r="Q86" s="20">
        <v>0</v>
      </c>
      <c r="R86" s="20">
        <v>0</v>
      </c>
      <c r="S86" s="20">
        <v>0</v>
      </c>
      <c r="T86" s="20">
        <v>0</v>
      </c>
      <c r="U86" s="20">
        <v>0</v>
      </c>
      <c r="V86" s="20">
        <v>0</v>
      </c>
      <c r="W86" s="20">
        <v>0</v>
      </c>
      <c r="X86" s="20">
        <v>0</v>
      </c>
      <c r="Y86" s="20">
        <v>0</v>
      </c>
      <c r="Z86" s="20">
        <v>0</v>
      </c>
      <c r="AA86" s="20">
        <v>0</v>
      </c>
      <c r="AB86" s="20">
        <v>0</v>
      </c>
      <c r="AC86" s="20">
        <v>0</v>
      </c>
      <c r="AD86" s="20">
        <v>0</v>
      </c>
    </row>
    <row r="87" spans="1:30" x14ac:dyDescent="0.25">
      <c r="A87" s="18" t="s">
        <v>102</v>
      </c>
      <c r="B87" s="19">
        <v>50</v>
      </c>
      <c r="C87" s="19">
        <v>55</v>
      </c>
      <c r="D87" s="19">
        <v>55</v>
      </c>
      <c r="E87" s="19">
        <v>55</v>
      </c>
      <c r="F87" s="19">
        <v>47</v>
      </c>
      <c r="G87" s="19">
        <v>45</v>
      </c>
      <c r="H87" s="19">
        <v>54</v>
      </c>
      <c r="I87" s="19">
        <v>57</v>
      </c>
      <c r="J87" s="19">
        <v>52</v>
      </c>
      <c r="K87" s="19">
        <v>52</v>
      </c>
      <c r="M87" s="20">
        <v>49</v>
      </c>
      <c r="N87" s="20">
        <v>50</v>
      </c>
      <c r="O87" s="20">
        <v>48</v>
      </c>
      <c r="P87" s="20">
        <v>55</v>
      </c>
      <c r="Q87" s="20">
        <v>48</v>
      </c>
      <c r="R87" s="20">
        <v>50</v>
      </c>
      <c r="S87" s="20">
        <v>55</v>
      </c>
      <c r="T87" s="20">
        <v>55</v>
      </c>
      <c r="U87" s="20">
        <v>55</v>
      </c>
      <c r="V87" s="20">
        <v>0</v>
      </c>
      <c r="W87" s="20">
        <v>47</v>
      </c>
      <c r="X87" s="20">
        <v>45</v>
      </c>
      <c r="Y87" s="20">
        <v>54</v>
      </c>
      <c r="Z87" s="20">
        <v>57</v>
      </c>
      <c r="AA87" s="20">
        <v>0</v>
      </c>
      <c r="AB87" s="20">
        <v>0</v>
      </c>
      <c r="AC87" s="20">
        <v>52</v>
      </c>
      <c r="AD87" s="20">
        <v>52</v>
      </c>
    </row>
    <row r="88" spans="1:30" x14ac:dyDescent="0.25">
      <c r="A88" s="18" t="s">
        <v>205</v>
      </c>
      <c r="B88" s="19"/>
      <c r="C88" s="19"/>
      <c r="D88" s="19"/>
      <c r="E88" s="19"/>
      <c r="F88" s="19"/>
      <c r="G88" s="19"/>
      <c r="H88" s="19"/>
      <c r="I88" s="19"/>
      <c r="J88" s="19"/>
      <c r="K88" s="19">
        <v>46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46</v>
      </c>
      <c r="S88" s="20">
        <v>0</v>
      </c>
      <c r="T88" s="20">
        <v>0</v>
      </c>
      <c r="U88" s="20">
        <v>0</v>
      </c>
      <c r="V88" s="20">
        <v>0</v>
      </c>
      <c r="W88" s="20">
        <v>0</v>
      </c>
      <c r="X88" s="20">
        <v>0</v>
      </c>
      <c r="Y88" s="20">
        <v>0</v>
      </c>
      <c r="Z88" s="20">
        <v>0</v>
      </c>
      <c r="AA88" s="20">
        <v>0</v>
      </c>
      <c r="AB88" s="20">
        <v>0</v>
      </c>
      <c r="AC88" s="20">
        <v>0</v>
      </c>
      <c r="AD88" s="20">
        <v>0</v>
      </c>
    </row>
    <row r="89" spans="1:30" x14ac:dyDescent="0.25">
      <c r="A89" s="18" t="s">
        <v>207</v>
      </c>
      <c r="B89" s="19"/>
      <c r="C89" s="19"/>
      <c r="D89" s="19"/>
      <c r="E89" s="19"/>
      <c r="F89" s="19"/>
      <c r="G89" s="19"/>
      <c r="H89" s="19"/>
      <c r="I89" s="19"/>
      <c r="J89" s="19">
        <v>47</v>
      </c>
      <c r="K89" s="19">
        <v>49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v>0</v>
      </c>
      <c r="T89" s="20">
        <v>0</v>
      </c>
      <c r="U89" s="20">
        <v>47</v>
      </c>
      <c r="V89" s="20">
        <v>49</v>
      </c>
      <c r="W89" s="20">
        <v>0</v>
      </c>
      <c r="X89" s="20">
        <v>0</v>
      </c>
      <c r="Y89" s="20">
        <v>0</v>
      </c>
      <c r="Z89" s="20">
        <v>0</v>
      </c>
      <c r="AA89" s="20">
        <v>0</v>
      </c>
      <c r="AB89" s="20">
        <v>0</v>
      </c>
      <c r="AC89" s="20">
        <v>0</v>
      </c>
      <c r="AD89" s="20">
        <v>0</v>
      </c>
    </row>
    <row r="90" spans="1:30" x14ac:dyDescent="0.25">
      <c r="A90" s="18" t="s">
        <v>209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0</v>
      </c>
      <c r="S90" s="20">
        <v>0</v>
      </c>
      <c r="T90" s="20">
        <v>0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0">
        <v>0</v>
      </c>
      <c r="AA90" s="20">
        <v>0</v>
      </c>
      <c r="AB90" s="20">
        <v>0</v>
      </c>
      <c r="AC90" s="20">
        <v>0</v>
      </c>
      <c r="AD90" s="20">
        <v>0</v>
      </c>
    </row>
    <row r="91" spans="1:30" x14ac:dyDescent="0.25">
      <c r="A91" s="18" t="s">
        <v>210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0</v>
      </c>
      <c r="S91" s="20">
        <v>0</v>
      </c>
      <c r="T91" s="20">
        <v>0</v>
      </c>
      <c r="U91" s="20">
        <v>0</v>
      </c>
      <c r="V91" s="20">
        <v>0</v>
      </c>
      <c r="W91" s="20">
        <v>0</v>
      </c>
      <c r="X91" s="20">
        <v>0</v>
      </c>
      <c r="Y91" s="20">
        <v>0</v>
      </c>
      <c r="Z91" s="20">
        <v>0</v>
      </c>
      <c r="AA91" s="20">
        <v>0</v>
      </c>
      <c r="AB91" s="20">
        <v>0</v>
      </c>
      <c r="AC91" s="20">
        <v>0</v>
      </c>
      <c r="AD91" s="20">
        <v>0</v>
      </c>
    </row>
    <row r="92" spans="1:30" x14ac:dyDescent="0.25">
      <c r="A92" s="18" t="s">
        <v>212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0">
        <v>0</v>
      </c>
      <c r="AA92" s="20">
        <v>0</v>
      </c>
      <c r="AB92" s="20">
        <v>0</v>
      </c>
      <c r="AC92" s="20">
        <v>0</v>
      </c>
      <c r="AD92" s="20">
        <v>0</v>
      </c>
    </row>
    <row r="93" spans="1:30" x14ac:dyDescent="0.25">
      <c r="A93" s="18" t="s">
        <v>214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0">
        <v>0</v>
      </c>
      <c r="S93" s="20">
        <v>0</v>
      </c>
      <c r="T93" s="20">
        <v>0</v>
      </c>
      <c r="U93" s="20">
        <v>0</v>
      </c>
      <c r="V93" s="20">
        <v>0</v>
      </c>
      <c r="W93" s="20">
        <v>0</v>
      </c>
      <c r="X93" s="20">
        <v>0</v>
      </c>
      <c r="Y93" s="20">
        <v>0</v>
      </c>
      <c r="Z93" s="20">
        <v>0</v>
      </c>
      <c r="AA93" s="20">
        <v>0</v>
      </c>
      <c r="AB93" s="20">
        <v>0</v>
      </c>
      <c r="AC93" s="20">
        <v>0</v>
      </c>
      <c r="AD93" s="20">
        <v>0</v>
      </c>
    </row>
    <row r="94" spans="1:30" x14ac:dyDescent="0.25">
      <c r="A94" s="18" t="s">
        <v>216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M94" s="20">
        <v>0</v>
      </c>
      <c r="N94" s="20">
        <v>0</v>
      </c>
      <c r="O94" s="20">
        <v>0</v>
      </c>
      <c r="P94" s="20">
        <v>0</v>
      </c>
      <c r="Q94" s="20">
        <v>0</v>
      </c>
      <c r="R94" s="20">
        <v>0</v>
      </c>
      <c r="S94" s="20">
        <v>0</v>
      </c>
      <c r="T94" s="20">
        <v>0</v>
      </c>
      <c r="U94" s="20">
        <v>0</v>
      </c>
      <c r="V94" s="20">
        <v>0</v>
      </c>
      <c r="W94" s="20">
        <v>0</v>
      </c>
      <c r="X94" s="20">
        <v>0</v>
      </c>
      <c r="Y94" s="20">
        <v>0</v>
      </c>
      <c r="Z94" s="20">
        <v>0</v>
      </c>
      <c r="AA94" s="20">
        <v>0</v>
      </c>
      <c r="AB94" s="20">
        <v>0</v>
      </c>
      <c r="AC94" s="20">
        <v>0</v>
      </c>
      <c r="AD94" s="20">
        <v>0</v>
      </c>
    </row>
    <row r="95" spans="1:30" x14ac:dyDescent="0.25">
      <c r="A95" s="18" t="s">
        <v>218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v>0</v>
      </c>
      <c r="T95" s="20">
        <v>0</v>
      </c>
      <c r="U95" s="20">
        <v>0</v>
      </c>
      <c r="V95" s="20">
        <v>0</v>
      </c>
      <c r="W95" s="20">
        <v>0</v>
      </c>
      <c r="X95" s="20">
        <v>0</v>
      </c>
      <c r="Y95" s="20">
        <v>0</v>
      </c>
      <c r="Z95" s="20">
        <v>0</v>
      </c>
      <c r="AA95" s="20">
        <v>0</v>
      </c>
      <c r="AB95" s="20">
        <v>0</v>
      </c>
      <c r="AC95" s="20">
        <v>0</v>
      </c>
      <c r="AD95" s="20">
        <v>0</v>
      </c>
    </row>
    <row r="96" spans="1:30" x14ac:dyDescent="0.25">
      <c r="A96" s="18" t="s">
        <v>220</v>
      </c>
      <c r="B96" s="19"/>
      <c r="C96" s="19"/>
      <c r="D96" s="19"/>
      <c r="E96" s="19"/>
      <c r="F96" s="19"/>
      <c r="G96" s="19"/>
      <c r="H96" s="19"/>
      <c r="M96" s="20">
        <v>0</v>
      </c>
      <c r="N96" s="20">
        <v>0</v>
      </c>
      <c r="O96" s="20">
        <v>0</v>
      </c>
      <c r="P96" s="20">
        <v>0</v>
      </c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20">
        <v>0</v>
      </c>
      <c r="W96" s="20">
        <v>0</v>
      </c>
      <c r="X96" s="20">
        <v>0</v>
      </c>
      <c r="Y96" s="20">
        <v>0</v>
      </c>
      <c r="Z96" s="20">
        <v>0</v>
      </c>
      <c r="AA96" s="20">
        <v>0</v>
      </c>
      <c r="AB96" s="20">
        <v>0</v>
      </c>
      <c r="AC96" s="20">
        <v>0</v>
      </c>
      <c r="AD96" s="20">
        <v>0</v>
      </c>
    </row>
    <row r="97" spans="1:30" x14ac:dyDescent="0.25">
      <c r="A97" s="18" t="s">
        <v>222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M97" s="20">
        <v>0</v>
      </c>
      <c r="N97" s="20">
        <v>0</v>
      </c>
      <c r="O97" s="20">
        <v>0</v>
      </c>
      <c r="P97" s="20">
        <v>0</v>
      </c>
      <c r="Q97" s="20">
        <v>0</v>
      </c>
      <c r="R97" s="20">
        <v>0</v>
      </c>
      <c r="S97" s="20">
        <v>0</v>
      </c>
      <c r="T97" s="20">
        <v>0</v>
      </c>
      <c r="U97" s="20">
        <v>0</v>
      </c>
      <c r="V97" s="20">
        <v>0</v>
      </c>
      <c r="W97" s="20">
        <v>0</v>
      </c>
      <c r="X97" s="20">
        <v>0</v>
      </c>
      <c r="Y97" s="20">
        <v>0</v>
      </c>
      <c r="Z97" s="20">
        <v>0</v>
      </c>
      <c r="AA97" s="20">
        <v>0</v>
      </c>
      <c r="AB97" s="20">
        <v>0</v>
      </c>
      <c r="AC97" s="20">
        <v>0</v>
      </c>
      <c r="AD97" s="20">
        <v>0</v>
      </c>
    </row>
    <row r="98" spans="1:30" x14ac:dyDescent="0.25">
      <c r="A98" s="18" t="s">
        <v>224</v>
      </c>
      <c r="B98" s="19"/>
      <c r="C98" s="19"/>
      <c r="D98" s="19"/>
      <c r="E98" s="19"/>
      <c r="F98" s="19"/>
      <c r="G98" s="19"/>
      <c r="H98" s="19"/>
      <c r="I98" s="19">
        <v>50</v>
      </c>
      <c r="J98" s="19">
        <v>50</v>
      </c>
      <c r="K98" s="19">
        <v>50</v>
      </c>
      <c r="M98" s="20">
        <v>50</v>
      </c>
      <c r="N98" s="20">
        <v>0</v>
      </c>
      <c r="O98" s="20">
        <v>0</v>
      </c>
      <c r="P98" s="20">
        <v>0</v>
      </c>
      <c r="Q98" s="20">
        <v>0</v>
      </c>
      <c r="R98" s="20">
        <v>0</v>
      </c>
      <c r="S98" s="20">
        <v>0</v>
      </c>
      <c r="T98" s="20">
        <v>0</v>
      </c>
      <c r="U98" s="20">
        <v>0</v>
      </c>
      <c r="V98" s="20">
        <v>50</v>
      </c>
      <c r="W98" s="20">
        <v>0</v>
      </c>
      <c r="X98" s="20">
        <v>50</v>
      </c>
      <c r="Y98" s="20">
        <v>0</v>
      </c>
      <c r="Z98" s="20">
        <v>0</v>
      </c>
      <c r="AA98" s="20">
        <v>0</v>
      </c>
      <c r="AB98" s="20">
        <v>0</v>
      </c>
      <c r="AC98" s="20">
        <v>0</v>
      </c>
      <c r="AD98" s="20">
        <v>0</v>
      </c>
    </row>
    <row r="99" spans="1:30" x14ac:dyDescent="0.25">
      <c r="A99" s="18" t="s">
        <v>225</v>
      </c>
      <c r="B99" s="19"/>
      <c r="C99" s="19"/>
      <c r="D99" s="19"/>
      <c r="E99" s="19"/>
      <c r="F99" s="19"/>
      <c r="G99" s="19"/>
      <c r="H99" s="19"/>
      <c r="I99" s="19"/>
      <c r="M99" s="20">
        <v>0</v>
      </c>
      <c r="N99" s="20">
        <v>0</v>
      </c>
      <c r="O99" s="20">
        <v>0</v>
      </c>
      <c r="P99" s="20">
        <v>0</v>
      </c>
      <c r="Q99" s="20">
        <v>0</v>
      </c>
      <c r="R99" s="20">
        <v>0</v>
      </c>
      <c r="S99" s="20">
        <v>0</v>
      </c>
      <c r="T99" s="20">
        <v>0</v>
      </c>
      <c r="U99" s="20">
        <v>0</v>
      </c>
      <c r="V99" s="20">
        <v>0</v>
      </c>
      <c r="W99" s="20">
        <v>0</v>
      </c>
      <c r="X99" s="20">
        <v>0</v>
      </c>
      <c r="Y99" s="20">
        <v>0</v>
      </c>
      <c r="Z99" s="20">
        <v>0</v>
      </c>
      <c r="AA99" s="20">
        <v>0</v>
      </c>
      <c r="AB99" s="20">
        <v>0</v>
      </c>
      <c r="AC99" s="20">
        <v>0</v>
      </c>
      <c r="AD99" s="20">
        <v>0</v>
      </c>
    </row>
    <row r="100" spans="1:30" x14ac:dyDescent="0.25">
      <c r="A100" s="18" t="s">
        <v>227</v>
      </c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M100" s="20">
        <v>0</v>
      </c>
      <c r="N100" s="20">
        <v>0</v>
      </c>
      <c r="O100" s="20">
        <v>0</v>
      </c>
      <c r="P100" s="20">
        <v>0</v>
      </c>
      <c r="Q100" s="20">
        <v>0</v>
      </c>
      <c r="R100" s="20">
        <v>0</v>
      </c>
      <c r="S100" s="20">
        <v>0</v>
      </c>
      <c r="T100" s="20">
        <v>0</v>
      </c>
      <c r="U100" s="20">
        <v>0</v>
      </c>
      <c r="V100" s="20">
        <v>0</v>
      </c>
      <c r="W100" s="20">
        <v>0</v>
      </c>
      <c r="X100" s="20">
        <v>0</v>
      </c>
      <c r="Y100" s="20">
        <v>0</v>
      </c>
      <c r="Z100" s="20">
        <v>0</v>
      </c>
      <c r="AA100" s="20">
        <v>0</v>
      </c>
      <c r="AB100" s="20">
        <v>0</v>
      </c>
      <c r="AC100" s="20">
        <v>0</v>
      </c>
      <c r="AD100" s="20">
        <v>0</v>
      </c>
    </row>
    <row r="101" spans="1:30" x14ac:dyDescent="0.25">
      <c r="A101" s="18" t="s">
        <v>426</v>
      </c>
      <c r="B101" s="19"/>
      <c r="C101" s="19"/>
      <c r="D101" s="19"/>
      <c r="E101" s="19"/>
      <c r="F101" s="19"/>
      <c r="G101" s="19"/>
      <c r="H101" s="19"/>
      <c r="I101" s="19"/>
      <c r="J101" s="19">
        <v>54</v>
      </c>
      <c r="K101" s="19">
        <v>57</v>
      </c>
      <c r="M101" s="20">
        <v>0</v>
      </c>
      <c r="N101" s="20">
        <v>0</v>
      </c>
      <c r="O101" s="20">
        <v>0</v>
      </c>
      <c r="P101" s="20">
        <v>54</v>
      </c>
      <c r="Q101" s="20">
        <v>0</v>
      </c>
      <c r="R101" s="20">
        <v>0</v>
      </c>
      <c r="S101" s="20">
        <v>0</v>
      </c>
      <c r="T101" s="20">
        <v>0</v>
      </c>
      <c r="U101" s="20">
        <v>0</v>
      </c>
      <c r="V101" s="20">
        <v>57</v>
      </c>
      <c r="W101" s="20">
        <v>0</v>
      </c>
      <c r="X101" s="20">
        <v>0</v>
      </c>
      <c r="Y101" s="20">
        <v>0</v>
      </c>
      <c r="Z101" s="20">
        <v>0</v>
      </c>
      <c r="AA101" s="20">
        <v>0</v>
      </c>
      <c r="AB101" s="20">
        <v>0</v>
      </c>
      <c r="AC101" s="20">
        <v>0</v>
      </c>
      <c r="AD101" s="20">
        <v>0</v>
      </c>
    </row>
    <row r="102" spans="1:30" x14ac:dyDescent="0.25">
      <c r="A102" s="18" t="s">
        <v>229</v>
      </c>
      <c r="B102" s="19"/>
      <c r="C102" s="19"/>
      <c r="D102" s="19"/>
      <c r="E102" s="19"/>
      <c r="F102" s="19"/>
      <c r="G102" s="19"/>
      <c r="H102" s="19"/>
      <c r="M102" s="20">
        <v>0</v>
      </c>
      <c r="N102" s="20">
        <v>0</v>
      </c>
      <c r="O102" s="20">
        <v>0</v>
      </c>
      <c r="P102" s="20">
        <v>0</v>
      </c>
      <c r="Q102" s="20">
        <v>0</v>
      </c>
      <c r="R102" s="20">
        <v>0</v>
      </c>
      <c r="S102" s="20">
        <v>0</v>
      </c>
      <c r="T102" s="20">
        <v>0</v>
      </c>
      <c r="U102" s="20">
        <v>0</v>
      </c>
      <c r="V102" s="20">
        <v>0</v>
      </c>
      <c r="W102" s="20">
        <v>0</v>
      </c>
      <c r="X102" s="20">
        <v>0</v>
      </c>
      <c r="Y102" s="20">
        <v>0</v>
      </c>
      <c r="Z102" s="20">
        <v>0</v>
      </c>
      <c r="AA102" s="20">
        <v>0</v>
      </c>
      <c r="AB102" s="20">
        <v>0</v>
      </c>
      <c r="AC102" s="20">
        <v>0</v>
      </c>
      <c r="AD102" s="20">
        <v>0</v>
      </c>
    </row>
    <row r="103" spans="1:30" x14ac:dyDescent="0.25">
      <c r="A103" s="18" t="s">
        <v>231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M103" s="20">
        <v>0</v>
      </c>
      <c r="N103" s="20">
        <v>0</v>
      </c>
      <c r="O103" s="20">
        <v>0</v>
      </c>
      <c r="P103" s="20">
        <v>0</v>
      </c>
      <c r="Q103" s="20">
        <v>0</v>
      </c>
      <c r="R103" s="20">
        <v>0</v>
      </c>
      <c r="S103" s="20">
        <v>0</v>
      </c>
      <c r="T103" s="20">
        <v>0</v>
      </c>
      <c r="U103" s="20">
        <v>0</v>
      </c>
      <c r="V103" s="20">
        <v>0</v>
      </c>
      <c r="W103" s="20">
        <v>0</v>
      </c>
      <c r="X103" s="20">
        <v>0</v>
      </c>
      <c r="Y103" s="20">
        <v>0</v>
      </c>
      <c r="Z103" s="20">
        <v>0</v>
      </c>
      <c r="AA103" s="20">
        <v>0</v>
      </c>
      <c r="AB103" s="20">
        <v>0</v>
      </c>
      <c r="AC103" s="20">
        <v>0</v>
      </c>
      <c r="AD103" s="20">
        <v>0</v>
      </c>
    </row>
    <row r="104" spans="1:30" x14ac:dyDescent="0.25">
      <c r="A104" s="18" t="s">
        <v>166</v>
      </c>
      <c r="I104" s="19">
        <v>49</v>
      </c>
      <c r="J104" s="19">
        <v>57</v>
      </c>
      <c r="K104" s="19">
        <v>43</v>
      </c>
      <c r="M104" s="20">
        <v>0</v>
      </c>
      <c r="N104" s="20">
        <v>49</v>
      </c>
      <c r="O104" s="20">
        <v>0</v>
      </c>
      <c r="P104" s="20">
        <v>0</v>
      </c>
      <c r="Q104" s="20">
        <v>0</v>
      </c>
      <c r="R104" s="20">
        <v>0</v>
      </c>
      <c r="S104" s="20">
        <v>0</v>
      </c>
      <c r="T104" s="20">
        <v>57</v>
      </c>
      <c r="U104" s="20">
        <v>43</v>
      </c>
      <c r="V104" s="20">
        <v>0</v>
      </c>
      <c r="W104" s="20">
        <v>0</v>
      </c>
      <c r="X104" s="20">
        <v>0</v>
      </c>
      <c r="Y104" s="20">
        <v>0</v>
      </c>
      <c r="Z104" s="20">
        <v>0</v>
      </c>
      <c r="AA104" s="20">
        <v>0</v>
      </c>
      <c r="AB104" s="20">
        <v>0</v>
      </c>
      <c r="AC104" s="20">
        <v>0</v>
      </c>
      <c r="AD104" s="20">
        <v>0</v>
      </c>
    </row>
    <row r="105" spans="1:30" x14ac:dyDescent="0.25">
      <c r="A105" s="18" t="s">
        <v>262</v>
      </c>
      <c r="B105" s="19">
        <v>51</v>
      </c>
      <c r="C105" s="19">
        <v>49</v>
      </c>
      <c r="D105" s="19">
        <v>46</v>
      </c>
      <c r="E105" s="19">
        <v>53</v>
      </c>
      <c r="F105" s="19">
        <v>47</v>
      </c>
      <c r="G105" s="19">
        <v>44</v>
      </c>
      <c r="H105" s="19">
        <v>48</v>
      </c>
      <c r="I105" s="19">
        <v>50</v>
      </c>
      <c r="J105" s="19">
        <v>54</v>
      </c>
      <c r="K105" s="19">
        <v>57</v>
      </c>
      <c r="M105" s="20">
        <v>0</v>
      </c>
      <c r="N105" s="20">
        <v>51</v>
      </c>
      <c r="O105" s="20">
        <v>51</v>
      </c>
      <c r="P105" s="20">
        <v>49</v>
      </c>
      <c r="Q105" s="20">
        <v>46</v>
      </c>
      <c r="R105" s="20">
        <v>53</v>
      </c>
      <c r="S105" s="20">
        <v>47</v>
      </c>
      <c r="T105" s="20">
        <v>44</v>
      </c>
      <c r="U105" s="20">
        <v>48</v>
      </c>
      <c r="V105" s="20">
        <v>50</v>
      </c>
      <c r="W105" s="20">
        <v>0</v>
      </c>
      <c r="X105" s="20">
        <v>0</v>
      </c>
      <c r="Y105" s="20">
        <v>0</v>
      </c>
      <c r="Z105" s="20">
        <v>0</v>
      </c>
      <c r="AA105" s="20">
        <v>0</v>
      </c>
      <c r="AB105" s="20">
        <v>0</v>
      </c>
      <c r="AC105" s="20">
        <v>54</v>
      </c>
      <c r="AD105" s="20">
        <v>57</v>
      </c>
    </row>
    <row r="106" spans="1:30" x14ac:dyDescent="0.25">
      <c r="A106" s="18" t="s">
        <v>233</v>
      </c>
      <c r="B106" s="19"/>
      <c r="C106" s="19"/>
      <c r="D106" s="19"/>
      <c r="E106" s="19"/>
      <c r="F106" s="19"/>
      <c r="G106" s="19"/>
      <c r="H106" s="19"/>
      <c r="I106" s="19"/>
      <c r="J106" s="19"/>
      <c r="M106" s="20">
        <v>0</v>
      </c>
      <c r="N106" s="20">
        <v>0</v>
      </c>
      <c r="O106" s="20">
        <v>0</v>
      </c>
      <c r="P106" s="20">
        <v>0</v>
      </c>
      <c r="Q106" s="20">
        <v>0</v>
      </c>
      <c r="R106" s="20">
        <v>0</v>
      </c>
      <c r="S106" s="20">
        <v>0</v>
      </c>
      <c r="T106" s="20">
        <v>0</v>
      </c>
      <c r="U106" s="20">
        <v>0</v>
      </c>
      <c r="V106" s="20">
        <v>0</v>
      </c>
      <c r="W106" s="20">
        <v>0</v>
      </c>
      <c r="X106" s="20">
        <v>0</v>
      </c>
      <c r="Y106" s="20">
        <v>0</v>
      </c>
      <c r="Z106" s="20">
        <v>0</v>
      </c>
      <c r="AA106" s="20">
        <v>0</v>
      </c>
      <c r="AB106" s="20">
        <v>0</v>
      </c>
      <c r="AC106" s="20">
        <v>0</v>
      </c>
      <c r="AD106" s="20">
        <v>0</v>
      </c>
    </row>
    <row r="107" spans="1:30" x14ac:dyDescent="0.25">
      <c r="A107" s="18" t="s">
        <v>234</v>
      </c>
      <c r="B107" s="19"/>
      <c r="C107" s="19"/>
      <c r="D107" s="19"/>
      <c r="E107" s="19"/>
      <c r="F107" s="19"/>
      <c r="G107" s="19"/>
      <c r="H107" s="19"/>
      <c r="I107" s="19">
        <v>48</v>
      </c>
      <c r="J107" s="19">
        <v>53</v>
      </c>
      <c r="K107" s="19">
        <v>49</v>
      </c>
      <c r="M107" s="20">
        <v>0</v>
      </c>
      <c r="N107" s="20">
        <v>0</v>
      </c>
      <c r="O107" s="20">
        <v>48</v>
      </c>
      <c r="P107" s="20">
        <v>0</v>
      </c>
      <c r="Q107" s="20">
        <v>0</v>
      </c>
      <c r="R107" s="20">
        <v>53</v>
      </c>
      <c r="S107" s="20">
        <v>0</v>
      </c>
      <c r="T107" s="20">
        <v>0</v>
      </c>
      <c r="U107" s="20">
        <v>0</v>
      </c>
      <c r="V107" s="20">
        <v>0</v>
      </c>
      <c r="W107" s="20">
        <v>49</v>
      </c>
      <c r="X107" s="20">
        <v>0</v>
      </c>
      <c r="Y107" s="20">
        <v>0</v>
      </c>
      <c r="Z107" s="20">
        <v>0</v>
      </c>
      <c r="AA107" s="20">
        <v>0</v>
      </c>
      <c r="AB107" s="20">
        <v>0</v>
      </c>
      <c r="AC107" s="20">
        <v>0</v>
      </c>
      <c r="AD107" s="20">
        <v>0</v>
      </c>
    </row>
    <row r="108" spans="1:30" x14ac:dyDescent="0.25">
      <c r="A108" s="18" t="s">
        <v>431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19">
        <v>45</v>
      </c>
      <c r="M108" s="20">
        <v>0</v>
      </c>
      <c r="N108" s="20">
        <v>0</v>
      </c>
      <c r="O108" s="20">
        <v>0</v>
      </c>
      <c r="P108" s="20">
        <v>0</v>
      </c>
      <c r="Q108" s="20">
        <v>0</v>
      </c>
      <c r="R108" s="20">
        <v>0</v>
      </c>
      <c r="S108" s="20">
        <v>0</v>
      </c>
      <c r="T108" s="20">
        <v>0</v>
      </c>
      <c r="U108" s="20">
        <v>0</v>
      </c>
      <c r="V108" s="20">
        <v>45</v>
      </c>
      <c r="W108" s="20">
        <v>0</v>
      </c>
      <c r="X108" s="20">
        <v>0</v>
      </c>
      <c r="Y108" s="20">
        <v>0</v>
      </c>
      <c r="Z108" s="20">
        <v>0</v>
      </c>
      <c r="AA108" s="20">
        <v>0</v>
      </c>
      <c r="AB108" s="20">
        <v>0</v>
      </c>
      <c r="AC108" s="20">
        <v>0</v>
      </c>
      <c r="AD108" s="20">
        <v>0</v>
      </c>
    </row>
    <row r="109" spans="1:30" x14ac:dyDescent="0.25">
      <c r="A109" s="18" t="s">
        <v>236</v>
      </c>
      <c r="B109" s="19"/>
      <c r="C109" s="19"/>
      <c r="D109" s="19"/>
      <c r="E109" s="19"/>
      <c r="M109" s="20">
        <v>0</v>
      </c>
      <c r="N109" s="20">
        <v>0</v>
      </c>
      <c r="O109" s="20">
        <v>0</v>
      </c>
      <c r="P109" s="20">
        <v>0</v>
      </c>
      <c r="Q109" s="20">
        <v>0</v>
      </c>
      <c r="R109" s="20">
        <v>0</v>
      </c>
      <c r="S109" s="20">
        <v>0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0</v>
      </c>
      <c r="Z109" s="20">
        <v>0</v>
      </c>
      <c r="AA109" s="20">
        <v>0</v>
      </c>
      <c r="AB109" s="20">
        <v>0</v>
      </c>
      <c r="AC109" s="20">
        <v>0</v>
      </c>
      <c r="AD109" s="20">
        <v>0</v>
      </c>
    </row>
    <row r="110" spans="1:30" x14ac:dyDescent="0.25">
      <c r="A110" s="18" t="s">
        <v>269</v>
      </c>
      <c r="B110" s="19"/>
      <c r="C110" s="19"/>
      <c r="D110" s="19"/>
      <c r="E110" s="19"/>
      <c r="F110" s="19">
        <v>68</v>
      </c>
      <c r="G110" s="19">
        <v>55</v>
      </c>
      <c r="H110" s="19">
        <v>55</v>
      </c>
      <c r="I110" s="19">
        <v>56</v>
      </c>
      <c r="J110" s="19">
        <v>59</v>
      </c>
      <c r="K110" s="19">
        <v>51</v>
      </c>
      <c r="M110" s="20">
        <v>68</v>
      </c>
      <c r="N110" s="20">
        <v>0</v>
      </c>
      <c r="O110" s="20">
        <v>0</v>
      </c>
      <c r="P110" s="20">
        <v>0</v>
      </c>
      <c r="Q110" s="20">
        <v>0</v>
      </c>
      <c r="R110" s="20">
        <v>0</v>
      </c>
      <c r="S110" s="20">
        <v>55</v>
      </c>
      <c r="T110" s="20">
        <v>0</v>
      </c>
      <c r="U110" s="20">
        <v>0</v>
      </c>
      <c r="V110" s="20">
        <v>55</v>
      </c>
      <c r="W110" s="20">
        <v>0</v>
      </c>
      <c r="X110" s="20">
        <v>56</v>
      </c>
      <c r="Y110" s="20">
        <v>59</v>
      </c>
      <c r="Z110" s="20">
        <v>51</v>
      </c>
      <c r="AA110" s="20">
        <v>0</v>
      </c>
      <c r="AB110" s="20">
        <v>0</v>
      </c>
      <c r="AC110" s="20">
        <v>0</v>
      </c>
      <c r="AD110" s="20">
        <v>0</v>
      </c>
    </row>
    <row r="111" spans="1:30" x14ac:dyDescent="0.25">
      <c r="A111" s="18" t="s">
        <v>495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</row>
    <row r="112" spans="1:30" x14ac:dyDescent="0.25">
      <c r="A112" s="18" t="s">
        <v>491</v>
      </c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M112" s="20">
        <v>0</v>
      </c>
      <c r="N112" s="20">
        <v>0</v>
      </c>
      <c r="O112" s="20">
        <v>0</v>
      </c>
      <c r="P112" s="20">
        <v>0</v>
      </c>
      <c r="Q112" s="20">
        <v>0</v>
      </c>
      <c r="R112" s="20">
        <v>0</v>
      </c>
      <c r="S112" s="20">
        <v>0</v>
      </c>
      <c r="T112" s="20">
        <v>0</v>
      </c>
      <c r="U112" s="20">
        <v>0</v>
      </c>
      <c r="V112" s="20">
        <v>0</v>
      </c>
      <c r="W112" s="20">
        <v>0</v>
      </c>
      <c r="X112" s="20">
        <v>0</v>
      </c>
      <c r="Y112" s="20">
        <v>0</v>
      </c>
      <c r="Z112" s="20">
        <v>0</v>
      </c>
      <c r="AA112" s="20">
        <v>0</v>
      </c>
      <c r="AB112" s="20">
        <v>0</v>
      </c>
      <c r="AC112" s="20">
        <v>0</v>
      </c>
      <c r="AD112" s="20">
        <v>0</v>
      </c>
    </row>
    <row r="113" spans="1:30" x14ac:dyDescent="0.25">
      <c r="A113" s="18" t="s">
        <v>240</v>
      </c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M113" s="20">
        <v>0</v>
      </c>
      <c r="N113" s="20">
        <v>0</v>
      </c>
      <c r="O113" s="20">
        <v>0</v>
      </c>
      <c r="P113" s="20">
        <v>0</v>
      </c>
      <c r="Q113" s="20">
        <v>0</v>
      </c>
      <c r="R113" s="20">
        <v>0</v>
      </c>
      <c r="S113" s="20">
        <v>0</v>
      </c>
      <c r="T113" s="20">
        <v>0</v>
      </c>
      <c r="U113" s="20">
        <v>0</v>
      </c>
      <c r="V113" s="20">
        <v>0</v>
      </c>
      <c r="W113" s="20">
        <v>0</v>
      </c>
      <c r="X113" s="20">
        <v>0</v>
      </c>
      <c r="Y113" s="20">
        <v>0</v>
      </c>
      <c r="Z113" s="20">
        <v>0</v>
      </c>
      <c r="AA113" s="20">
        <v>0</v>
      </c>
      <c r="AB113" s="20">
        <v>0</v>
      </c>
      <c r="AC113" s="20">
        <v>0</v>
      </c>
      <c r="AD113" s="20">
        <v>0</v>
      </c>
    </row>
    <row r="114" spans="1:30" x14ac:dyDescent="0.25">
      <c r="A114" s="18" t="s">
        <v>242</v>
      </c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M114" s="20">
        <v>0</v>
      </c>
      <c r="N114" s="20">
        <v>0</v>
      </c>
      <c r="O114" s="20">
        <v>0</v>
      </c>
      <c r="P114" s="20">
        <v>0</v>
      </c>
      <c r="Q114" s="20">
        <v>0</v>
      </c>
      <c r="R114" s="20">
        <v>0</v>
      </c>
      <c r="S114" s="20">
        <v>0</v>
      </c>
      <c r="T114" s="20">
        <v>0</v>
      </c>
      <c r="U114" s="20">
        <v>0</v>
      </c>
      <c r="V114" s="20">
        <v>0</v>
      </c>
      <c r="W114" s="20">
        <v>0</v>
      </c>
      <c r="X114" s="20">
        <v>0</v>
      </c>
      <c r="Y114" s="20">
        <v>0</v>
      </c>
      <c r="Z114" s="20">
        <v>0</v>
      </c>
      <c r="AA114" s="20">
        <v>0</v>
      </c>
      <c r="AB114" s="20">
        <v>0</v>
      </c>
      <c r="AC114" s="20">
        <v>0</v>
      </c>
      <c r="AD114" s="20">
        <v>0</v>
      </c>
    </row>
    <row r="115" spans="1:30" x14ac:dyDescent="0.25">
      <c r="A115" s="18" t="s">
        <v>244</v>
      </c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M115" s="20">
        <v>0</v>
      </c>
      <c r="N115" s="20">
        <v>0</v>
      </c>
      <c r="O115" s="20">
        <v>0</v>
      </c>
      <c r="P115" s="20">
        <v>0</v>
      </c>
      <c r="Q115" s="20">
        <v>0</v>
      </c>
      <c r="R115" s="20">
        <v>0</v>
      </c>
      <c r="S115" s="20">
        <v>0</v>
      </c>
      <c r="T115" s="20">
        <v>0</v>
      </c>
      <c r="U115" s="20">
        <v>0</v>
      </c>
      <c r="V115" s="20">
        <v>0</v>
      </c>
      <c r="W115" s="20">
        <v>0</v>
      </c>
      <c r="X115" s="20">
        <v>0</v>
      </c>
      <c r="Y115" s="20">
        <v>0</v>
      </c>
      <c r="Z115" s="20">
        <v>0</v>
      </c>
      <c r="AA115" s="20">
        <v>0</v>
      </c>
      <c r="AB115" s="20">
        <v>0</v>
      </c>
      <c r="AC115" s="20">
        <v>0</v>
      </c>
      <c r="AD115" s="20">
        <v>0</v>
      </c>
    </row>
    <row r="116" spans="1:30" x14ac:dyDescent="0.25">
      <c r="A116" s="18" t="s">
        <v>246</v>
      </c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M116" s="20">
        <v>0</v>
      </c>
      <c r="N116" s="20">
        <v>0</v>
      </c>
      <c r="O116" s="20">
        <v>0</v>
      </c>
      <c r="P116" s="20">
        <v>0</v>
      </c>
      <c r="Q116" s="20">
        <v>0</v>
      </c>
      <c r="R116" s="20">
        <v>0</v>
      </c>
      <c r="S116" s="20">
        <v>0</v>
      </c>
      <c r="T116" s="20">
        <v>0</v>
      </c>
      <c r="U116" s="20">
        <v>0</v>
      </c>
      <c r="V116" s="20">
        <v>0</v>
      </c>
      <c r="W116" s="20">
        <v>0</v>
      </c>
      <c r="X116" s="20">
        <v>0</v>
      </c>
      <c r="Y116" s="20">
        <v>0</v>
      </c>
      <c r="Z116" s="20">
        <v>0</v>
      </c>
      <c r="AA116" s="20">
        <v>0</v>
      </c>
      <c r="AB116" s="20">
        <v>0</v>
      </c>
      <c r="AC116" s="20">
        <v>0</v>
      </c>
      <c r="AD116" s="20">
        <v>0</v>
      </c>
    </row>
    <row r="117" spans="1:30" x14ac:dyDescent="0.25">
      <c r="A117" s="18" t="s">
        <v>161</v>
      </c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M117" s="20">
        <v>0</v>
      </c>
      <c r="N117" s="20">
        <v>0</v>
      </c>
      <c r="O117" s="20">
        <v>0</v>
      </c>
      <c r="P117" s="20">
        <v>0</v>
      </c>
      <c r="Q117" s="20">
        <v>0</v>
      </c>
      <c r="R117" s="20">
        <v>0</v>
      </c>
      <c r="S117" s="20">
        <v>0</v>
      </c>
      <c r="T117" s="20">
        <v>0</v>
      </c>
      <c r="U117" s="20">
        <v>0</v>
      </c>
      <c r="V117" s="20">
        <v>0</v>
      </c>
      <c r="W117" s="20">
        <v>0</v>
      </c>
      <c r="X117" s="20">
        <v>0</v>
      </c>
      <c r="Y117" s="20">
        <v>0</v>
      </c>
      <c r="Z117" s="20">
        <v>0</v>
      </c>
      <c r="AA117" s="20">
        <v>0</v>
      </c>
      <c r="AB117" s="20">
        <v>0</v>
      </c>
      <c r="AC117" s="20">
        <v>0</v>
      </c>
      <c r="AD117" s="20">
        <v>0</v>
      </c>
    </row>
    <row r="118" spans="1:30" x14ac:dyDescent="0.25">
      <c r="A118" s="18" t="s">
        <v>248</v>
      </c>
      <c r="B118" s="19"/>
      <c r="C118" s="19"/>
      <c r="D118" s="19"/>
      <c r="E118" s="19"/>
      <c r="F118" s="19"/>
      <c r="G118" s="19"/>
      <c r="H118" s="19"/>
      <c r="I118" s="19"/>
      <c r="M118" s="20">
        <v>0</v>
      </c>
      <c r="N118" s="20">
        <v>0</v>
      </c>
      <c r="O118" s="20">
        <v>0</v>
      </c>
      <c r="P118" s="20">
        <v>0</v>
      </c>
      <c r="Q118" s="20">
        <v>0</v>
      </c>
      <c r="R118" s="20">
        <v>0</v>
      </c>
      <c r="S118" s="20">
        <v>0</v>
      </c>
      <c r="T118" s="20">
        <v>0</v>
      </c>
      <c r="U118" s="20">
        <v>0</v>
      </c>
      <c r="V118" s="20">
        <v>0</v>
      </c>
      <c r="W118" s="20">
        <v>0</v>
      </c>
      <c r="X118" s="20">
        <v>0</v>
      </c>
      <c r="Y118" s="20">
        <v>0</v>
      </c>
      <c r="Z118" s="20">
        <v>0</v>
      </c>
      <c r="AA118" s="20">
        <v>0</v>
      </c>
      <c r="AB118" s="20">
        <v>0</v>
      </c>
      <c r="AC118" s="20">
        <v>0</v>
      </c>
      <c r="AD118" s="20">
        <v>0</v>
      </c>
    </row>
    <row r="119" spans="1:30" x14ac:dyDescent="0.25">
      <c r="A119" s="18" t="s">
        <v>250</v>
      </c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M119" s="20">
        <v>0</v>
      </c>
      <c r="N119" s="20">
        <v>0</v>
      </c>
      <c r="O119" s="20">
        <v>0</v>
      </c>
      <c r="P119" s="20">
        <v>0</v>
      </c>
      <c r="Q119" s="20">
        <v>0</v>
      </c>
      <c r="R119" s="20">
        <v>0</v>
      </c>
      <c r="S119" s="20">
        <v>0</v>
      </c>
      <c r="T119" s="20">
        <v>0</v>
      </c>
      <c r="U119" s="20">
        <v>0</v>
      </c>
      <c r="V119" s="20">
        <v>0</v>
      </c>
      <c r="W119" s="20">
        <v>0</v>
      </c>
      <c r="X119" s="20">
        <v>0</v>
      </c>
      <c r="Y119" s="20">
        <v>0</v>
      </c>
      <c r="Z119" s="20">
        <v>0</v>
      </c>
      <c r="AA119" s="20">
        <v>0</v>
      </c>
      <c r="AB119" s="20">
        <v>0</v>
      </c>
      <c r="AC119" s="20">
        <v>0</v>
      </c>
      <c r="AD119" s="20">
        <v>0</v>
      </c>
    </row>
    <row r="120" spans="1:30" x14ac:dyDescent="0.25">
      <c r="A120" s="18" t="s">
        <v>252</v>
      </c>
      <c r="B120" s="19"/>
      <c r="M120" s="20">
        <v>0</v>
      </c>
      <c r="N120" s="20">
        <v>0</v>
      </c>
      <c r="O120" s="20">
        <v>0</v>
      </c>
      <c r="P120" s="20">
        <v>0</v>
      </c>
      <c r="Q120" s="20">
        <v>0</v>
      </c>
      <c r="R120" s="20">
        <v>0</v>
      </c>
      <c r="S120" s="20">
        <v>0</v>
      </c>
      <c r="T120" s="20">
        <v>0</v>
      </c>
      <c r="U120" s="20">
        <v>0</v>
      </c>
      <c r="V120" s="20">
        <v>0</v>
      </c>
      <c r="W120" s="20">
        <v>0</v>
      </c>
      <c r="X120" s="20">
        <v>0</v>
      </c>
      <c r="Y120" s="20">
        <v>0</v>
      </c>
      <c r="Z120" s="20">
        <v>0</v>
      </c>
      <c r="AA120" s="20">
        <v>0</v>
      </c>
      <c r="AB120" s="20">
        <v>0</v>
      </c>
      <c r="AC120" s="20">
        <v>0</v>
      </c>
      <c r="AD120" s="20">
        <v>0</v>
      </c>
    </row>
    <row r="121" spans="1:30" x14ac:dyDescent="0.25">
      <c r="A121" s="18" t="s">
        <v>254</v>
      </c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M121" s="20">
        <v>0</v>
      </c>
      <c r="N121" s="20">
        <v>0</v>
      </c>
      <c r="O121" s="20">
        <v>0</v>
      </c>
      <c r="P121" s="20">
        <v>0</v>
      </c>
      <c r="Q121" s="20">
        <v>0</v>
      </c>
      <c r="R121" s="20">
        <v>0</v>
      </c>
      <c r="S121" s="20">
        <v>0</v>
      </c>
      <c r="T121" s="20">
        <v>0</v>
      </c>
      <c r="U121" s="20">
        <v>0</v>
      </c>
      <c r="V121" s="20">
        <v>0</v>
      </c>
      <c r="W121" s="20">
        <v>0</v>
      </c>
      <c r="X121" s="20">
        <v>0</v>
      </c>
      <c r="Y121" s="20">
        <v>0</v>
      </c>
      <c r="Z121" s="20">
        <v>0</v>
      </c>
      <c r="AA121" s="20">
        <v>0</v>
      </c>
      <c r="AB121" s="20">
        <v>0</v>
      </c>
      <c r="AC121" s="20">
        <v>0</v>
      </c>
      <c r="AD121" s="20">
        <v>0</v>
      </c>
    </row>
    <row r="122" spans="1:30" x14ac:dyDescent="0.25">
      <c r="A122" s="18" t="s">
        <v>429</v>
      </c>
      <c r="B122" s="18"/>
      <c r="C122" s="18"/>
      <c r="D122" s="18"/>
      <c r="E122" s="18"/>
      <c r="F122" s="18"/>
      <c r="G122" s="18"/>
      <c r="H122" s="18"/>
      <c r="I122" s="18"/>
      <c r="J122" s="19">
        <v>45</v>
      </c>
      <c r="K122" s="19">
        <v>45</v>
      </c>
      <c r="M122" s="20">
        <v>0</v>
      </c>
      <c r="N122" s="20">
        <v>0</v>
      </c>
      <c r="O122" s="20">
        <v>0</v>
      </c>
      <c r="P122" s="20">
        <v>0</v>
      </c>
      <c r="Q122" s="20">
        <v>0</v>
      </c>
      <c r="R122" s="20">
        <v>0</v>
      </c>
      <c r="S122" s="20">
        <v>0</v>
      </c>
      <c r="T122" s="20">
        <v>0</v>
      </c>
      <c r="U122" s="20">
        <v>0</v>
      </c>
      <c r="V122" s="20">
        <v>45</v>
      </c>
      <c r="W122" s="20">
        <v>0</v>
      </c>
      <c r="X122" s="20">
        <v>0</v>
      </c>
      <c r="Y122" s="20">
        <v>0</v>
      </c>
      <c r="Z122" s="20">
        <v>0</v>
      </c>
      <c r="AA122" s="20">
        <v>0</v>
      </c>
      <c r="AB122" s="20">
        <v>0</v>
      </c>
      <c r="AC122" s="20">
        <v>45</v>
      </c>
      <c r="AD122" s="20">
        <v>0</v>
      </c>
    </row>
    <row r="123" spans="1:30" x14ac:dyDescent="0.25">
      <c r="A123" s="18" t="s">
        <v>256</v>
      </c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M123" s="20">
        <v>0</v>
      </c>
      <c r="N123" s="20">
        <v>0</v>
      </c>
      <c r="O123" s="20">
        <v>0</v>
      </c>
      <c r="P123" s="20">
        <v>0</v>
      </c>
      <c r="Q123" s="20">
        <v>0</v>
      </c>
      <c r="R123" s="20">
        <v>0</v>
      </c>
      <c r="S123" s="20">
        <v>0</v>
      </c>
      <c r="T123" s="20">
        <v>0</v>
      </c>
      <c r="U123" s="20">
        <v>0</v>
      </c>
      <c r="V123" s="20">
        <v>0</v>
      </c>
      <c r="W123" s="20">
        <v>0</v>
      </c>
      <c r="X123" s="20">
        <v>0</v>
      </c>
      <c r="Y123" s="20">
        <v>0</v>
      </c>
      <c r="Z123" s="20">
        <v>0</v>
      </c>
      <c r="AA123" s="20">
        <v>0</v>
      </c>
      <c r="AB123" s="20">
        <v>0</v>
      </c>
      <c r="AC123" s="20">
        <v>0</v>
      </c>
      <c r="AD123" s="20">
        <v>0</v>
      </c>
    </row>
    <row r="124" spans="1:30" x14ac:dyDescent="0.25">
      <c r="A124" s="18" t="s">
        <v>258</v>
      </c>
      <c r="B124" s="18"/>
      <c r="C124" s="19">
        <v>49</v>
      </c>
      <c r="D124" s="19">
        <v>49</v>
      </c>
      <c r="E124" s="19">
        <v>49</v>
      </c>
      <c r="F124" s="19">
        <v>52</v>
      </c>
      <c r="G124" s="19">
        <v>53</v>
      </c>
      <c r="H124" s="19">
        <v>43</v>
      </c>
      <c r="I124" s="19">
        <v>39</v>
      </c>
      <c r="J124" s="19">
        <v>45</v>
      </c>
      <c r="K124" s="19">
        <v>46</v>
      </c>
      <c r="M124" s="20">
        <v>49</v>
      </c>
      <c r="N124" s="20">
        <v>49</v>
      </c>
      <c r="O124" s="20">
        <v>0</v>
      </c>
      <c r="P124" s="20">
        <v>0</v>
      </c>
      <c r="Q124" s="20">
        <v>49</v>
      </c>
      <c r="R124" s="20">
        <v>0</v>
      </c>
      <c r="S124" s="20">
        <v>52</v>
      </c>
      <c r="T124" s="20">
        <v>0</v>
      </c>
      <c r="U124" s="20">
        <v>53</v>
      </c>
      <c r="V124" s="20">
        <v>0</v>
      </c>
      <c r="W124" s="20">
        <v>0</v>
      </c>
      <c r="X124" s="20">
        <v>43</v>
      </c>
      <c r="Y124" s="20">
        <v>39</v>
      </c>
      <c r="Z124" s="20">
        <v>45</v>
      </c>
      <c r="AA124" s="20">
        <v>0</v>
      </c>
      <c r="AB124" s="20">
        <v>0</v>
      </c>
      <c r="AC124" s="20">
        <v>46</v>
      </c>
      <c r="AD124" s="20">
        <v>0</v>
      </c>
    </row>
  </sheetData>
  <phoneticPr fontId="23" type="noConversion"/>
  <pageMargins left="0.7" right="0.7" top="0.75" bottom="0.75" header="0.3" footer="0.3"/>
  <legacyDrawing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468E-3717-4D99-8CB6-03FDBDEA2F0F}">
  <sheetPr codeName="Sheet24"/>
  <dimension ref="A1:BI529"/>
  <sheetViews>
    <sheetView workbookViewId="0"/>
  </sheetViews>
  <sheetFormatPr defaultRowHeight="13.2" x14ac:dyDescent="0.25"/>
  <cols>
    <col min="1" max="1" width="35.77734375" bestFit="1" customWidth="1"/>
    <col min="2" max="2" width="7.5546875" bestFit="1" customWidth="1"/>
    <col min="3" max="3" width="8.77734375" bestFit="1" customWidth="1"/>
    <col min="4" max="5" width="17.109375" bestFit="1" customWidth="1"/>
    <col min="6" max="6" width="12.44140625" bestFit="1" customWidth="1"/>
    <col min="7" max="7" width="10.21875" bestFit="1" customWidth="1"/>
    <col min="8" max="8" width="26.5546875" bestFit="1" customWidth="1"/>
    <col min="9" max="9" width="12.21875" bestFit="1" customWidth="1"/>
    <col min="10" max="18" width="9" bestFit="1" customWidth="1"/>
    <col min="19" max="19" width="8.21875" bestFit="1" customWidth="1"/>
    <col min="20" max="20" width="7.5546875" bestFit="1" customWidth="1"/>
    <col min="21" max="21" width="5.88671875" bestFit="1" customWidth="1"/>
    <col min="22" max="30" width="10.5546875" bestFit="1" customWidth="1"/>
    <col min="31" max="39" width="9.5546875" bestFit="1" customWidth="1"/>
    <col min="40" max="41" width="11.44140625" bestFit="1" customWidth="1"/>
    <col min="42" max="50" width="7.6640625" bestFit="1" customWidth="1"/>
    <col min="51" max="51" width="11.5546875" bestFit="1" customWidth="1"/>
    <col min="52" max="60" width="8.77734375" bestFit="1" customWidth="1"/>
    <col min="61" max="61" width="12.77734375" bestFit="1" customWidth="1"/>
  </cols>
  <sheetData>
    <row r="1" spans="1:61" x14ac:dyDescent="0.25">
      <c r="A1" t="s">
        <v>350</v>
      </c>
      <c r="B1" t="s">
        <v>7</v>
      </c>
      <c r="C1" t="s">
        <v>114</v>
      </c>
      <c r="D1" t="s">
        <v>8</v>
      </c>
      <c r="E1" t="s">
        <v>351</v>
      </c>
      <c r="F1" t="s">
        <v>352</v>
      </c>
      <c r="G1" t="s">
        <v>353</v>
      </c>
      <c r="H1" t="s">
        <v>83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362</v>
      </c>
      <c r="R1" t="s">
        <v>363</v>
      </c>
      <c r="S1" t="s">
        <v>145</v>
      </c>
      <c r="T1" t="s">
        <v>364</v>
      </c>
      <c r="U1" t="s">
        <v>144</v>
      </c>
      <c r="V1" t="s">
        <v>365</v>
      </c>
      <c r="W1" t="s">
        <v>366</v>
      </c>
      <c r="X1" t="s">
        <v>367</v>
      </c>
      <c r="Y1" t="s">
        <v>368</v>
      </c>
      <c r="Z1" t="s">
        <v>369</v>
      </c>
      <c r="AA1" t="s">
        <v>370</v>
      </c>
      <c r="AB1" t="s">
        <v>371</v>
      </c>
      <c r="AC1" t="s">
        <v>372</v>
      </c>
      <c r="AD1" t="s">
        <v>373</v>
      </c>
      <c r="AE1" t="s">
        <v>374</v>
      </c>
      <c r="AF1" t="s">
        <v>375</v>
      </c>
      <c r="AG1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385</v>
      </c>
      <c r="AQ1" t="s">
        <v>386</v>
      </c>
      <c r="AR1" t="s">
        <v>387</v>
      </c>
      <c r="AS1" t="s">
        <v>388</v>
      </c>
      <c r="AT1" t="s">
        <v>389</v>
      </c>
      <c r="AU1" t="s">
        <v>390</v>
      </c>
      <c r="AV1" t="s">
        <v>391</v>
      </c>
      <c r="AW1" t="s">
        <v>392</v>
      </c>
      <c r="AX1" t="s">
        <v>393</v>
      </c>
      <c r="AY1" t="s">
        <v>394</v>
      </c>
      <c r="AZ1" t="s">
        <v>395</v>
      </c>
      <c r="BA1" t="s">
        <v>396</v>
      </c>
      <c r="BB1" t="s">
        <v>397</v>
      </c>
      <c r="BC1" t="s">
        <v>398</v>
      </c>
      <c r="BD1" t="s">
        <v>399</v>
      </c>
      <c r="BE1" t="s">
        <v>400</v>
      </c>
      <c r="BF1" t="s">
        <v>401</v>
      </c>
      <c r="BG1" t="s">
        <v>402</v>
      </c>
      <c r="BH1" t="s">
        <v>403</v>
      </c>
      <c r="BI1" t="s">
        <v>404</v>
      </c>
    </row>
    <row r="2" spans="1:61" x14ac:dyDescent="0.25">
      <c r="A2" t="s">
        <v>476</v>
      </c>
      <c r="B2" t="s">
        <v>405</v>
      </c>
      <c r="C2" s="119">
        <v>45761</v>
      </c>
      <c r="D2" t="s">
        <v>26</v>
      </c>
      <c r="E2" t="s">
        <v>30</v>
      </c>
      <c r="F2" t="s">
        <v>408</v>
      </c>
      <c r="G2">
        <v>1</v>
      </c>
      <c r="H2" t="s">
        <v>146</v>
      </c>
      <c r="I2" t="s">
        <v>407</v>
      </c>
      <c r="J2">
        <v>6</v>
      </c>
      <c r="K2">
        <v>5</v>
      </c>
      <c r="L2">
        <v>7</v>
      </c>
      <c r="M2">
        <v>4</v>
      </c>
      <c r="N2">
        <v>4</v>
      </c>
      <c r="O2">
        <v>5</v>
      </c>
      <c r="P2">
        <v>6</v>
      </c>
      <c r="Q2">
        <v>3</v>
      </c>
      <c r="R2">
        <v>5</v>
      </c>
      <c r="S2">
        <v>45</v>
      </c>
      <c r="T2">
        <v>3.46</v>
      </c>
      <c r="U2">
        <v>42</v>
      </c>
      <c r="V2">
        <v>1</v>
      </c>
      <c r="W2">
        <v>0</v>
      </c>
      <c r="X2">
        <v>1</v>
      </c>
      <c r="Y2">
        <v>0</v>
      </c>
      <c r="Z2">
        <v>0</v>
      </c>
      <c r="AA2">
        <v>1</v>
      </c>
      <c r="AB2">
        <v>0</v>
      </c>
      <c r="AC2">
        <v>0</v>
      </c>
      <c r="AD2">
        <v>0</v>
      </c>
      <c r="AE2">
        <v>1</v>
      </c>
      <c r="AF2">
        <v>1</v>
      </c>
      <c r="AG2">
        <v>0</v>
      </c>
      <c r="AH2">
        <v>0</v>
      </c>
      <c r="AI2">
        <v>1</v>
      </c>
      <c r="AJ2">
        <v>2</v>
      </c>
      <c r="AK2">
        <v>0</v>
      </c>
      <c r="AL2">
        <v>1</v>
      </c>
      <c r="AM2">
        <v>0</v>
      </c>
      <c r="AN2">
        <v>0</v>
      </c>
      <c r="AO2">
        <v>6</v>
      </c>
      <c r="AY2">
        <f>SUM(Upload_Indiv[[#This Row],[Bird1]:[Bird9]])</f>
        <v>0</v>
      </c>
      <c r="BI2">
        <f>SUM(Upload_Indiv[[#This Row],[Eagle1]:[Eagle9]])</f>
        <v>0</v>
      </c>
    </row>
    <row r="3" spans="1:61" x14ac:dyDescent="0.25">
      <c r="A3" t="s">
        <v>476</v>
      </c>
      <c r="B3" t="s">
        <v>405</v>
      </c>
      <c r="C3" s="119">
        <v>45761</v>
      </c>
      <c r="D3" t="s">
        <v>26</v>
      </c>
      <c r="E3" t="s">
        <v>30</v>
      </c>
      <c r="F3" t="s">
        <v>408</v>
      </c>
      <c r="G3">
        <v>2</v>
      </c>
      <c r="H3" t="s">
        <v>311</v>
      </c>
      <c r="I3" t="s">
        <v>407</v>
      </c>
      <c r="J3">
        <v>6</v>
      </c>
      <c r="K3">
        <v>5</v>
      </c>
      <c r="L3">
        <v>5</v>
      </c>
      <c r="M3">
        <v>3</v>
      </c>
      <c r="N3">
        <v>5</v>
      </c>
      <c r="O3">
        <v>6</v>
      </c>
      <c r="P3">
        <v>7</v>
      </c>
      <c r="Q3">
        <v>3</v>
      </c>
      <c r="R3">
        <v>5</v>
      </c>
      <c r="S3">
        <v>45</v>
      </c>
      <c r="T3">
        <v>4.8</v>
      </c>
      <c r="U3">
        <v>40</v>
      </c>
      <c r="V3">
        <v>1</v>
      </c>
      <c r="W3">
        <v>0</v>
      </c>
      <c r="X3">
        <v>1</v>
      </c>
      <c r="Y3">
        <v>0</v>
      </c>
      <c r="Z3">
        <v>0</v>
      </c>
      <c r="AA3">
        <v>1</v>
      </c>
      <c r="AB3">
        <v>1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0</v>
      </c>
      <c r="AJ3">
        <v>1</v>
      </c>
      <c r="AK3">
        <v>0</v>
      </c>
      <c r="AL3">
        <v>1</v>
      </c>
      <c r="AM3">
        <v>1</v>
      </c>
      <c r="AN3">
        <v>0</v>
      </c>
      <c r="AO3">
        <v>7</v>
      </c>
      <c r="AY3">
        <f>SUM(Upload_Indiv[[#This Row],[Bird1]:[Bird9]])</f>
        <v>0</v>
      </c>
      <c r="BI3">
        <f>SUM(Upload_Indiv[[#This Row],[Eagle1]:[Eagle9]])</f>
        <v>0</v>
      </c>
    </row>
    <row r="4" spans="1:61" x14ac:dyDescent="0.25">
      <c r="A4" t="s">
        <v>476</v>
      </c>
      <c r="B4" t="s">
        <v>405</v>
      </c>
      <c r="C4" s="119">
        <v>45761</v>
      </c>
      <c r="D4" t="s">
        <v>26</v>
      </c>
      <c r="E4" t="s">
        <v>30</v>
      </c>
      <c r="F4" t="s">
        <v>408</v>
      </c>
      <c r="G4">
        <v>3</v>
      </c>
      <c r="H4" t="s">
        <v>100</v>
      </c>
      <c r="I4" t="s">
        <v>407</v>
      </c>
      <c r="J4">
        <v>5</v>
      </c>
      <c r="K4">
        <v>8</v>
      </c>
      <c r="L4">
        <v>6</v>
      </c>
      <c r="M4">
        <v>4</v>
      </c>
      <c r="N4">
        <v>4</v>
      </c>
      <c r="O4">
        <v>6</v>
      </c>
      <c r="P4">
        <v>5</v>
      </c>
      <c r="Q4">
        <v>4</v>
      </c>
      <c r="R4">
        <v>4</v>
      </c>
      <c r="S4">
        <v>46</v>
      </c>
      <c r="T4">
        <v>5.76</v>
      </c>
      <c r="U4">
        <v>40</v>
      </c>
      <c r="V4">
        <v>1</v>
      </c>
      <c r="W4">
        <v>0</v>
      </c>
      <c r="X4">
        <v>1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2</v>
      </c>
      <c r="AF4">
        <v>0</v>
      </c>
      <c r="AG4">
        <v>0</v>
      </c>
      <c r="AH4">
        <v>0</v>
      </c>
      <c r="AI4">
        <v>1</v>
      </c>
      <c r="AJ4">
        <v>1</v>
      </c>
      <c r="AK4">
        <v>2</v>
      </c>
      <c r="AL4">
        <v>1</v>
      </c>
      <c r="AM4">
        <v>2</v>
      </c>
      <c r="AN4">
        <v>0</v>
      </c>
      <c r="AO4">
        <v>9</v>
      </c>
      <c r="AY4">
        <f>SUM(Upload_Indiv[[#This Row],[Bird1]:[Bird9]])</f>
        <v>0</v>
      </c>
      <c r="BI4">
        <f>SUM(Upload_Indiv[[#This Row],[Eagle1]:[Eagle9]])</f>
        <v>0</v>
      </c>
    </row>
    <row r="5" spans="1:61" x14ac:dyDescent="0.25">
      <c r="A5" t="s">
        <v>476</v>
      </c>
      <c r="B5" t="s">
        <v>405</v>
      </c>
      <c r="C5" s="119">
        <v>45761</v>
      </c>
      <c r="D5" t="s">
        <v>26</v>
      </c>
      <c r="E5" t="s">
        <v>30</v>
      </c>
      <c r="F5" t="s">
        <v>408</v>
      </c>
      <c r="G5">
        <v>4</v>
      </c>
      <c r="H5" t="s">
        <v>309</v>
      </c>
      <c r="I5" t="s">
        <v>407</v>
      </c>
      <c r="J5">
        <v>6</v>
      </c>
      <c r="K5">
        <v>7</v>
      </c>
      <c r="L5">
        <v>5</v>
      </c>
      <c r="M5">
        <v>4</v>
      </c>
      <c r="N5">
        <v>6</v>
      </c>
      <c r="O5">
        <v>7</v>
      </c>
      <c r="P5">
        <v>7</v>
      </c>
      <c r="Q5">
        <v>5</v>
      </c>
      <c r="R5">
        <v>7</v>
      </c>
      <c r="S5">
        <v>54</v>
      </c>
      <c r="T5">
        <v>13.25</v>
      </c>
      <c r="U5">
        <v>41</v>
      </c>
      <c r="V5">
        <v>2</v>
      </c>
      <c r="W5">
        <v>1</v>
      </c>
      <c r="X5">
        <v>2</v>
      </c>
      <c r="Y5">
        <v>1</v>
      </c>
      <c r="Z5">
        <v>1</v>
      </c>
      <c r="AA5">
        <v>2</v>
      </c>
      <c r="AB5">
        <v>1</v>
      </c>
      <c r="AC5">
        <v>1</v>
      </c>
      <c r="AD5">
        <v>2</v>
      </c>
      <c r="AE5">
        <v>2</v>
      </c>
      <c r="AF5">
        <v>0</v>
      </c>
      <c r="AG5">
        <v>2</v>
      </c>
      <c r="AH5">
        <v>1</v>
      </c>
      <c r="AI5">
        <v>0</v>
      </c>
      <c r="AJ5">
        <v>1</v>
      </c>
      <c r="AK5">
        <v>0</v>
      </c>
      <c r="AL5">
        <v>0</v>
      </c>
      <c r="AM5">
        <v>0</v>
      </c>
      <c r="AN5">
        <v>0</v>
      </c>
      <c r="AO5">
        <v>6</v>
      </c>
      <c r="AY5">
        <f>SUM(Upload_Indiv[[#This Row],[Bird1]:[Bird9]])</f>
        <v>0</v>
      </c>
      <c r="BI5">
        <f>SUM(Upload_Indiv[[#This Row],[Eagle1]:[Eagle9]])</f>
        <v>0</v>
      </c>
    </row>
    <row r="6" spans="1:61" x14ac:dyDescent="0.25">
      <c r="A6" t="s">
        <v>476</v>
      </c>
      <c r="B6" t="s">
        <v>405</v>
      </c>
      <c r="C6" s="119">
        <v>45761</v>
      </c>
      <c r="D6" t="s">
        <v>30</v>
      </c>
      <c r="E6" t="s">
        <v>26</v>
      </c>
      <c r="F6" t="s">
        <v>408</v>
      </c>
      <c r="G6">
        <v>1</v>
      </c>
      <c r="H6" t="s">
        <v>323</v>
      </c>
      <c r="I6" t="s">
        <v>407</v>
      </c>
      <c r="J6">
        <v>5</v>
      </c>
      <c r="K6">
        <v>5</v>
      </c>
      <c r="L6">
        <v>4</v>
      </c>
      <c r="M6">
        <v>3</v>
      </c>
      <c r="N6">
        <v>4</v>
      </c>
      <c r="O6">
        <v>5</v>
      </c>
      <c r="P6">
        <v>5</v>
      </c>
      <c r="Q6">
        <v>3</v>
      </c>
      <c r="R6">
        <v>4</v>
      </c>
      <c r="S6">
        <v>38</v>
      </c>
      <c r="T6">
        <v>0</v>
      </c>
      <c r="U6">
        <v>38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1</v>
      </c>
      <c r="AF6">
        <v>1</v>
      </c>
      <c r="AG6">
        <v>2</v>
      </c>
      <c r="AH6">
        <v>2</v>
      </c>
      <c r="AI6">
        <v>1</v>
      </c>
      <c r="AJ6">
        <v>0</v>
      </c>
      <c r="AK6">
        <v>2</v>
      </c>
      <c r="AL6">
        <v>1</v>
      </c>
      <c r="AM6">
        <v>2</v>
      </c>
      <c r="AN6">
        <v>2</v>
      </c>
      <c r="AO6">
        <v>14</v>
      </c>
      <c r="AY6">
        <f>SUM(Upload_Indiv[[#This Row],[Bird1]:[Bird9]])</f>
        <v>0</v>
      </c>
      <c r="BI6">
        <f>SUM(Upload_Indiv[[#This Row],[Eagle1]:[Eagle9]])</f>
        <v>0</v>
      </c>
    </row>
    <row r="7" spans="1:61" x14ac:dyDescent="0.25">
      <c r="A7" t="s">
        <v>476</v>
      </c>
      <c r="B7" t="s">
        <v>405</v>
      </c>
      <c r="C7" s="119">
        <v>45761</v>
      </c>
      <c r="D7" t="s">
        <v>30</v>
      </c>
      <c r="E7" t="s">
        <v>26</v>
      </c>
      <c r="F7" t="s">
        <v>408</v>
      </c>
      <c r="G7">
        <v>2</v>
      </c>
      <c r="H7" t="s">
        <v>326</v>
      </c>
      <c r="I7" t="s">
        <v>407</v>
      </c>
      <c r="J7">
        <v>5</v>
      </c>
      <c r="K7">
        <v>5</v>
      </c>
      <c r="L7">
        <v>4</v>
      </c>
      <c r="M7">
        <v>3</v>
      </c>
      <c r="N7">
        <v>4</v>
      </c>
      <c r="O7">
        <v>5</v>
      </c>
      <c r="P7">
        <v>5</v>
      </c>
      <c r="Q7">
        <v>3</v>
      </c>
      <c r="R7">
        <v>4</v>
      </c>
      <c r="S7">
        <v>38</v>
      </c>
      <c r="T7">
        <v>0</v>
      </c>
      <c r="U7">
        <v>38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1</v>
      </c>
      <c r="AF7">
        <v>1</v>
      </c>
      <c r="AG7">
        <v>1</v>
      </c>
      <c r="AH7">
        <v>1</v>
      </c>
      <c r="AI7">
        <v>2</v>
      </c>
      <c r="AJ7">
        <v>1</v>
      </c>
      <c r="AK7">
        <v>2</v>
      </c>
      <c r="AL7">
        <v>1</v>
      </c>
      <c r="AM7">
        <v>1</v>
      </c>
      <c r="AN7">
        <v>2</v>
      </c>
      <c r="AO7">
        <v>13</v>
      </c>
      <c r="AY7">
        <f>SUM(Upload_Indiv[[#This Row],[Bird1]:[Bird9]])</f>
        <v>0</v>
      </c>
      <c r="BI7">
        <f>SUM(Upload_Indiv[[#This Row],[Eagle1]:[Eagle9]])</f>
        <v>0</v>
      </c>
    </row>
    <row r="8" spans="1:61" x14ac:dyDescent="0.25">
      <c r="A8" t="s">
        <v>476</v>
      </c>
      <c r="B8" t="s">
        <v>405</v>
      </c>
      <c r="C8" s="119">
        <v>45761</v>
      </c>
      <c r="D8" s="48" t="s">
        <v>30</v>
      </c>
      <c r="E8" t="s">
        <v>26</v>
      </c>
      <c r="F8" t="s">
        <v>408</v>
      </c>
      <c r="G8">
        <v>3</v>
      </c>
      <c r="H8" t="s">
        <v>324</v>
      </c>
      <c r="I8" t="s">
        <v>407</v>
      </c>
      <c r="J8">
        <v>5</v>
      </c>
      <c r="K8">
        <v>5</v>
      </c>
      <c r="L8">
        <v>4</v>
      </c>
      <c r="M8">
        <v>3</v>
      </c>
      <c r="N8">
        <v>4</v>
      </c>
      <c r="O8">
        <v>5</v>
      </c>
      <c r="P8">
        <v>5</v>
      </c>
      <c r="Q8">
        <v>3</v>
      </c>
      <c r="R8">
        <v>4</v>
      </c>
      <c r="S8">
        <v>38</v>
      </c>
      <c r="T8">
        <v>0</v>
      </c>
      <c r="U8">
        <v>38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</v>
      </c>
      <c r="AG8">
        <v>2</v>
      </c>
      <c r="AH8">
        <v>2</v>
      </c>
      <c r="AI8">
        <v>1</v>
      </c>
      <c r="AJ8">
        <v>1</v>
      </c>
      <c r="AK8">
        <v>0</v>
      </c>
      <c r="AL8">
        <v>1</v>
      </c>
      <c r="AM8">
        <v>0</v>
      </c>
      <c r="AN8">
        <v>2</v>
      </c>
      <c r="AO8">
        <v>11</v>
      </c>
      <c r="AY8">
        <f>SUM(Upload_Indiv[[#This Row],[Bird1]:[Bird9]])</f>
        <v>0</v>
      </c>
      <c r="BI8">
        <f>SUM(Upload_Indiv[[#This Row],[Eagle1]:[Eagle9]])</f>
        <v>0</v>
      </c>
    </row>
    <row r="9" spans="1:61" x14ac:dyDescent="0.25">
      <c r="A9" t="s">
        <v>476</v>
      </c>
      <c r="B9" t="s">
        <v>405</v>
      </c>
      <c r="C9" s="119">
        <v>45761</v>
      </c>
      <c r="D9" t="s">
        <v>30</v>
      </c>
      <c r="E9" t="s">
        <v>26</v>
      </c>
      <c r="F9" t="s">
        <v>408</v>
      </c>
      <c r="G9">
        <v>4</v>
      </c>
      <c r="H9" t="s">
        <v>325</v>
      </c>
      <c r="I9" t="s">
        <v>407</v>
      </c>
      <c r="J9">
        <v>5</v>
      </c>
      <c r="K9">
        <v>5</v>
      </c>
      <c r="L9">
        <v>4</v>
      </c>
      <c r="M9">
        <v>3</v>
      </c>
      <c r="N9">
        <v>4</v>
      </c>
      <c r="O9">
        <v>5</v>
      </c>
      <c r="P9">
        <v>5</v>
      </c>
      <c r="Q9">
        <v>3</v>
      </c>
      <c r="R9">
        <v>4</v>
      </c>
      <c r="S9">
        <v>38</v>
      </c>
      <c r="T9">
        <v>0</v>
      </c>
      <c r="U9">
        <v>38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</v>
      </c>
      <c r="AG9">
        <v>0</v>
      </c>
      <c r="AH9">
        <v>1</v>
      </c>
      <c r="AI9">
        <v>2</v>
      </c>
      <c r="AJ9">
        <v>1</v>
      </c>
      <c r="AK9">
        <v>2</v>
      </c>
      <c r="AL9">
        <v>2</v>
      </c>
      <c r="AM9">
        <v>2</v>
      </c>
      <c r="AN9">
        <v>2</v>
      </c>
      <c r="AO9">
        <v>14</v>
      </c>
      <c r="AY9">
        <f>SUM(Upload_Indiv[[#This Row],[Bird1]:[Bird9]])</f>
        <v>0</v>
      </c>
      <c r="BI9">
        <f>SUM(Upload_Indiv[[#This Row],[Eagle1]:[Eagle9]])</f>
        <v>0</v>
      </c>
    </row>
    <row r="10" spans="1:61" x14ac:dyDescent="0.25">
      <c r="A10" t="s">
        <v>482</v>
      </c>
      <c r="B10" t="s">
        <v>405</v>
      </c>
      <c r="C10" s="119">
        <v>45761</v>
      </c>
      <c r="D10" t="s">
        <v>20</v>
      </c>
      <c r="E10" t="s">
        <v>18</v>
      </c>
      <c r="F10" t="s">
        <v>406</v>
      </c>
      <c r="G10">
        <v>1</v>
      </c>
      <c r="H10" t="s">
        <v>153</v>
      </c>
      <c r="I10" t="s">
        <v>407</v>
      </c>
      <c r="J10">
        <v>4</v>
      </c>
      <c r="K10">
        <v>3</v>
      </c>
      <c r="L10">
        <v>6</v>
      </c>
      <c r="M10">
        <v>5</v>
      </c>
      <c r="N10">
        <v>6</v>
      </c>
      <c r="O10">
        <v>6</v>
      </c>
      <c r="P10">
        <v>4</v>
      </c>
      <c r="Q10">
        <v>5</v>
      </c>
      <c r="R10">
        <v>8</v>
      </c>
      <c r="S10">
        <v>47</v>
      </c>
      <c r="T10">
        <v>4.03</v>
      </c>
      <c r="U10">
        <v>43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1</v>
      </c>
      <c r="AG10">
        <v>1</v>
      </c>
      <c r="AH10">
        <v>2</v>
      </c>
      <c r="AI10">
        <v>0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9</v>
      </c>
      <c r="AY10">
        <f>SUM(Upload_Indiv[[#This Row],[Bird1]:[Bird9]])</f>
        <v>0</v>
      </c>
      <c r="BI10">
        <f>SUM(Upload_Indiv[[#This Row],[Eagle1]:[Eagle9]])</f>
        <v>0</v>
      </c>
    </row>
    <row r="11" spans="1:61" x14ac:dyDescent="0.25">
      <c r="A11" t="s">
        <v>482</v>
      </c>
      <c r="B11" t="s">
        <v>405</v>
      </c>
      <c r="C11" s="119">
        <v>45761</v>
      </c>
      <c r="D11" t="s">
        <v>20</v>
      </c>
      <c r="E11" t="s">
        <v>18</v>
      </c>
      <c r="F11" t="s">
        <v>406</v>
      </c>
      <c r="G11">
        <v>2</v>
      </c>
      <c r="H11" t="s">
        <v>283</v>
      </c>
      <c r="I11" t="s">
        <v>407</v>
      </c>
      <c r="J11">
        <v>5</v>
      </c>
      <c r="K11">
        <v>3</v>
      </c>
      <c r="L11">
        <v>4</v>
      </c>
      <c r="M11">
        <v>7</v>
      </c>
      <c r="N11">
        <v>7</v>
      </c>
      <c r="O11">
        <v>6</v>
      </c>
      <c r="P11">
        <v>4</v>
      </c>
      <c r="Q11">
        <v>5</v>
      </c>
      <c r="R11">
        <v>6</v>
      </c>
      <c r="S11">
        <v>47</v>
      </c>
      <c r="T11">
        <v>4.8</v>
      </c>
      <c r="U11">
        <v>42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</v>
      </c>
      <c r="AG11">
        <v>2</v>
      </c>
      <c r="AH11">
        <v>0</v>
      </c>
      <c r="AI11">
        <v>0</v>
      </c>
      <c r="AJ11">
        <v>2</v>
      </c>
      <c r="AK11">
        <v>1</v>
      </c>
      <c r="AL11">
        <v>0</v>
      </c>
      <c r="AM11">
        <v>2</v>
      </c>
      <c r="AN11">
        <v>0</v>
      </c>
      <c r="AO11">
        <v>9</v>
      </c>
      <c r="AY11">
        <f>SUM(Upload_Indiv[[#This Row],[Bird1]:[Bird9]])</f>
        <v>0</v>
      </c>
      <c r="BI11">
        <f>SUM(Upload_Indiv[[#This Row],[Eagle1]:[Eagle9]])</f>
        <v>0</v>
      </c>
    </row>
    <row r="12" spans="1:61" x14ac:dyDescent="0.25">
      <c r="A12" t="s">
        <v>482</v>
      </c>
      <c r="B12" t="s">
        <v>405</v>
      </c>
      <c r="C12" s="119">
        <v>45761</v>
      </c>
      <c r="D12" t="s">
        <v>20</v>
      </c>
      <c r="E12" t="s">
        <v>18</v>
      </c>
      <c r="F12" t="s">
        <v>406</v>
      </c>
      <c r="G12">
        <v>3</v>
      </c>
      <c r="H12" t="s">
        <v>258</v>
      </c>
      <c r="I12" t="s">
        <v>407</v>
      </c>
      <c r="J12">
        <v>5</v>
      </c>
      <c r="K12">
        <v>5</v>
      </c>
      <c r="L12">
        <v>5</v>
      </c>
      <c r="M12">
        <v>8</v>
      </c>
      <c r="N12">
        <v>5</v>
      </c>
      <c r="O12">
        <v>5</v>
      </c>
      <c r="P12">
        <v>4</v>
      </c>
      <c r="Q12">
        <v>4</v>
      </c>
      <c r="R12">
        <v>5</v>
      </c>
      <c r="S12">
        <v>46</v>
      </c>
      <c r="T12">
        <v>6.96</v>
      </c>
      <c r="U12">
        <v>39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2</v>
      </c>
      <c r="AF12">
        <v>0</v>
      </c>
      <c r="AG12">
        <v>2</v>
      </c>
      <c r="AH12">
        <v>1</v>
      </c>
      <c r="AI12">
        <v>0</v>
      </c>
      <c r="AJ12">
        <v>2</v>
      </c>
      <c r="AK12">
        <v>1</v>
      </c>
      <c r="AL12">
        <v>2</v>
      </c>
      <c r="AM12">
        <v>2</v>
      </c>
      <c r="AN12">
        <v>2</v>
      </c>
      <c r="AO12">
        <v>14</v>
      </c>
      <c r="AY12">
        <f>SUM(Upload_Indiv[[#This Row],[Bird1]:[Bird9]])</f>
        <v>0</v>
      </c>
      <c r="BI12">
        <f>SUM(Upload_Indiv[[#This Row],[Eagle1]:[Eagle9]])</f>
        <v>0</v>
      </c>
    </row>
    <row r="13" spans="1:61" x14ac:dyDescent="0.25">
      <c r="A13" t="s">
        <v>482</v>
      </c>
      <c r="B13" t="s">
        <v>405</v>
      </c>
      <c r="C13" s="119">
        <v>45761</v>
      </c>
      <c r="D13" t="s">
        <v>20</v>
      </c>
      <c r="E13" t="s">
        <v>18</v>
      </c>
      <c r="F13" t="s">
        <v>406</v>
      </c>
      <c r="G13">
        <v>4</v>
      </c>
      <c r="H13" t="s">
        <v>163</v>
      </c>
      <c r="I13" t="s">
        <v>407</v>
      </c>
      <c r="J13">
        <v>3</v>
      </c>
      <c r="K13">
        <v>5</v>
      </c>
      <c r="L13">
        <v>9</v>
      </c>
      <c r="M13">
        <v>4</v>
      </c>
      <c r="N13">
        <v>6</v>
      </c>
      <c r="O13">
        <v>6</v>
      </c>
      <c r="P13">
        <v>3</v>
      </c>
      <c r="Q13">
        <v>5</v>
      </c>
      <c r="R13">
        <v>8</v>
      </c>
      <c r="S13">
        <v>49</v>
      </c>
      <c r="T13">
        <v>8.83</v>
      </c>
      <c r="U13">
        <v>40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2</v>
      </c>
      <c r="AF13">
        <v>0</v>
      </c>
      <c r="AG13">
        <v>0</v>
      </c>
      <c r="AH13">
        <v>2</v>
      </c>
      <c r="AI13">
        <v>1</v>
      </c>
      <c r="AJ13">
        <v>0</v>
      </c>
      <c r="AK13">
        <v>2</v>
      </c>
      <c r="AL13">
        <v>2</v>
      </c>
      <c r="AM13">
        <v>1</v>
      </c>
      <c r="AN13">
        <v>2</v>
      </c>
      <c r="AO13">
        <v>12</v>
      </c>
      <c r="AP13">
        <v>1</v>
      </c>
      <c r="AY13">
        <f>SUM(Upload_Indiv[[#This Row],[Bird1]:[Bird9]])</f>
        <v>1</v>
      </c>
      <c r="BI13">
        <f>SUM(Upload_Indiv[[#This Row],[Eagle1]:[Eagle9]])</f>
        <v>0</v>
      </c>
    </row>
    <row r="14" spans="1:61" x14ac:dyDescent="0.25">
      <c r="A14" t="s">
        <v>482</v>
      </c>
      <c r="B14" t="s">
        <v>405</v>
      </c>
      <c r="C14" s="119">
        <v>45761</v>
      </c>
      <c r="D14" t="s">
        <v>18</v>
      </c>
      <c r="E14" t="s">
        <v>20</v>
      </c>
      <c r="F14" t="s">
        <v>406</v>
      </c>
      <c r="G14">
        <v>1</v>
      </c>
      <c r="H14" t="s">
        <v>272</v>
      </c>
      <c r="I14" t="s">
        <v>407</v>
      </c>
      <c r="J14">
        <v>5</v>
      </c>
      <c r="K14">
        <v>3</v>
      </c>
      <c r="L14">
        <v>6</v>
      </c>
      <c r="M14">
        <v>7</v>
      </c>
      <c r="N14">
        <v>6</v>
      </c>
      <c r="O14">
        <v>6</v>
      </c>
      <c r="P14">
        <v>4</v>
      </c>
      <c r="Q14">
        <v>6</v>
      </c>
      <c r="R14">
        <v>6</v>
      </c>
      <c r="S14">
        <v>49</v>
      </c>
      <c r="T14">
        <v>6.91</v>
      </c>
      <c r="U14">
        <v>42</v>
      </c>
      <c r="V14">
        <v>0</v>
      </c>
      <c r="W14">
        <v>0</v>
      </c>
      <c r="X14">
        <v>0</v>
      </c>
      <c r="Y14">
        <v>1</v>
      </c>
      <c r="Z14">
        <v>1</v>
      </c>
      <c r="AA14">
        <v>0</v>
      </c>
      <c r="AB14">
        <v>0</v>
      </c>
      <c r="AC14">
        <v>1</v>
      </c>
      <c r="AD14">
        <v>0</v>
      </c>
      <c r="AE14">
        <v>0</v>
      </c>
      <c r="AF14">
        <v>1</v>
      </c>
      <c r="AG14">
        <v>1</v>
      </c>
      <c r="AH14">
        <v>0</v>
      </c>
      <c r="AI14">
        <v>2</v>
      </c>
      <c r="AJ14">
        <v>1</v>
      </c>
      <c r="AK14">
        <v>1</v>
      </c>
      <c r="AL14">
        <v>1</v>
      </c>
      <c r="AM14">
        <v>2</v>
      </c>
      <c r="AN14">
        <v>2</v>
      </c>
      <c r="AO14">
        <v>11</v>
      </c>
      <c r="AY14">
        <f>SUM(Upload_Indiv[[#This Row],[Bird1]:[Bird9]])</f>
        <v>0</v>
      </c>
      <c r="BI14">
        <f>SUM(Upload_Indiv[[#This Row],[Eagle1]:[Eagle9]])</f>
        <v>0</v>
      </c>
    </row>
    <row r="15" spans="1:61" x14ac:dyDescent="0.25">
      <c r="A15" t="s">
        <v>482</v>
      </c>
      <c r="B15" t="s">
        <v>405</v>
      </c>
      <c r="C15" s="119">
        <v>45761</v>
      </c>
      <c r="D15" t="s">
        <v>18</v>
      </c>
      <c r="E15" t="s">
        <v>20</v>
      </c>
      <c r="F15" t="s">
        <v>406</v>
      </c>
      <c r="G15">
        <v>2</v>
      </c>
      <c r="H15" t="s">
        <v>274</v>
      </c>
      <c r="I15" t="s">
        <v>407</v>
      </c>
      <c r="J15">
        <v>4</v>
      </c>
      <c r="K15">
        <v>4</v>
      </c>
      <c r="L15">
        <v>5</v>
      </c>
      <c r="M15">
        <v>6</v>
      </c>
      <c r="N15">
        <v>5</v>
      </c>
      <c r="O15">
        <v>7</v>
      </c>
      <c r="P15">
        <v>4</v>
      </c>
      <c r="Q15">
        <v>5</v>
      </c>
      <c r="R15">
        <v>7</v>
      </c>
      <c r="S15">
        <v>47</v>
      </c>
      <c r="T15">
        <v>7.3</v>
      </c>
      <c r="U15">
        <v>40</v>
      </c>
      <c r="V15">
        <v>0</v>
      </c>
      <c r="W15">
        <v>0</v>
      </c>
      <c r="X15">
        <v>0</v>
      </c>
      <c r="Y15">
        <v>1</v>
      </c>
      <c r="Z15">
        <v>1</v>
      </c>
      <c r="AA15">
        <v>0</v>
      </c>
      <c r="AB15">
        <v>0</v>
      </c>
      <c r="AC15">
        <v>1</v>
      </c>
      <c r="AD15">
        <v>0</v>
      </c>
      <c r="AE15">
        <v>2</v>
      </c>
      <c r="AF15">
        <v>0</v>
      </c>
      <c r="AG15">
        <v>0</v>
      </c>
      <c r="AH15">
        <v>2</v>
      </c>
      <c r="AI15">
        <v>2</v>
      </c>
      <c r="AJ15">
        <v>0</v>
      </c>
      <c r="AK15">
        <v>1</v>
      </c>
      <c r="AL15">
        <v>2</v>
      </c>
      <c r="AM15">
        <v>0</v>
      </c>
      <c r="AN15">
        <v>2</v>
      </c>
      <c r="AO15">
        <v>11</v>
      </c>
      <c r="AY15">
        <f>SUM(Upload_Indiv[[#This Row],[Bird1]:[Bird9]])</f>
        <v>0</v>
      </c>
      <c r="BI15">
        <f>SUM(Upload_Indiv[[#This Row],[Eagle1]:[Eagle9]])</f>
        <v>0</v>
      </c>
    </row>
    <row r="16" spans="1:61" x14ac:dyDescent="0.25">
      <c r="A16" t="s">
        <v>482</v>
      </c>
      <c r="B16" t="s">
        <v>405</v>
      </c>
      <c r="C16" s="119">
        <v>45761</v>
      </c>
      <c r="D16" t="s">
        <v>18</v>
      </c>
      <c r="E16" t="s">
        <v>20</v>
      </c>
      <c r="F16" t="s">
        <v>406</v>
      </c>
      <c r="G16">
        <v>3</v>
      </c>
      <c r="H16" t="s">
        <v>276</v>
      </c>
      <c r="I16" t="s">
        <v>407</v>
      </c>
      <c r="J16">
        <v>6</v>
      </c>
      <c r="K16">
        <v>5</v>
      </c>
      <c r="L16">
        <v>6</v>
      </c>
      <c r="M16">
        <v>9</v>
      </c>
      <c r="N16">
        <v>5</v>
      </c>
      <c r="O16">
        <v>7</v>
      </c>
      <c r="P16">
        <v>4</v>
      </c>
      <c r="Q16">
        <v>8</v>
      </c>
      <c r="R16">
        <v>10</v>
      </c>
      <c r="S16">
        <v>60</v>
      </c>
      <c r="T16">
        <v>12.67</v>
      </c>
      <c r="U16">
        <v>47</v>
      </c>
      <c r="V16">
        <v>0</v>
      </c>
      <c r="W16">
        <v>1</v>
      </c>
      <c r="X16">
        <v>0</v>
      </c>
      <c r="Y16">
        <v>1</v>
      </c>
      <c r="Z16">
        <v>1</v>
      </c>
      <c r="AA16">
        <v>1</v>
      </c>
      <c r="AB16">
        <v>0</v>
      </c>
      <c r="AC16">
        <v>1</v>
      </c>
      <c r="AD16">
        <v>1</v>
      </c>
      <c r="AE16">
        <v>0</v>
      </c>
      <c r="AF16">
        <v>2</v>
      </c>
      <c r="AG16">
        <v>0</v>
      </c>
      <c r="AH16">
        <v>1</v>
      </c>
      <c r="AI16">
        <v>2</v>
      </c>
      <c r="AJ16">
        <v>0</v>
      </c>
      <c r="AK16">
        <v>1</v>
      </c>
      <c r="AL16">
        <v>0</v>
      </c>
      <c r="AM16">
        <v>0</v>
      </c>
      <c r="AN16">
        <v>0</v>
      </c>
      <c r="AO16">
        <v>6</v>
      </c>
      <c r="AY16">
        <f>SUM(Upload_Indiv[[#This Row],[Bird1]:[Bird9]])</f>
        <v>0</v>
      </c>
      <c r="BI16">
        <f>SUM(Upload_Indiv[[#This Row],[Eagle1]:[Eagle9]])</f>
        <v>0</v>
      </c>
    </row>
    <row r="17" spans="1:61" x14ac:dyDescent="0.25">
      <c r="A17" t="s">
        <v>482</v>
      </c>
      <c r="B17" t="s">
        <v>405</v>
      </c>
      <c r="C17" s="119">
        <v>45761</v>
      </c>
      <c r="D17" t="s">
        <v>18</v>
      </c>
      <c r="E17" t="s">
        <v>20</v>
      </c>
      <c r="F17" t="s">
        <v>406</v>
      </c>
      <c r="G17">
        <v>4</v>
      </c>
      <c r="H17" t="s">
        <v>278</v>
      </c>
      <c r="I17" t="s">
        <v>407</v>
      </c>
      <c r="J17">
        <v>6</v>
      </c>
      <c r="K17">
        <v>4</v>
      </c>
      <c r="L17">
        <v>6</v>
      </c>
      <c r="M17">
        <v>8</v>
      </c>
      <c r="N17">
        <v>7</v>
      </c>
      <c r="O17">
        <v>6</v>
      </c>
      <c r="P17">
        <v>4</v>
      </c>
      <c r="Q17">
        <v>8</v>
      </c>
      <c r="R17">
        <v>9</v>
      </c>
      <c r="S17">
        <v>58</v>
      </c>
      <c r="T17">
        <v>15.55</v>
      </c>
      <c r="U17">
        <v>42</v>
      </c>
      <c r="V17">
        <v>1</v>
      </c>
      <c r="W17">
        <v>1</v>
      </c>
      <c r="X17">
        <v>0</v>
      </c>
      <c r="Y17">
        <v>1</v>
      </c>
      <c r="Z17">
        <v>1</v>
      </c>
      <c r="AA17">
        <v>1</v>
      </c>
      <c r="AB17">
        <v>0</v>
      </c>
      <c r="AC17">
        <v>1</v>
      </c>
      <c r="AD17">
        <v>1</v>
      </c>
      <c r="AE17">
        <v>0</v>
      </c>
      <c r="AF17">
        <v>2</v>
      </c>
      <c r="AG17">
        <v>2</v>
      </c>
      <c r="AH17">
        <v>0</v>
      </c>
      <c r="AI17">
        <v>1</v>
      </c>
      <c r="AJ17">
        <v>2</v>
      </c>
      <c r="AK17">
        <v>0</v>
      </c>
      <c r="AL17">
        <v>0</v>
      </c>
      <c r="AM17">
        <v>1</v>
      </c>
      <c r="AN17">
        <v>0</v>
      </c>
      <c r="AO17">
        <v>8</v>
      </c>
      <c r="AY17">
        <f>SUM(Upload_Indiv[[#This Row],[Bird1]:[Bird9]])</f>
        <v>0</v>
      </c>
      <c r="BI17">
        <f>SUM(Upload_Indiv[[#This Row],[Eagle1]:[Eagle9]])</f>
        <v>0</v>
      </c>
    </row>
    <row r="18" spans="1:61" x14ac:dyDescent="0.25">
      <c r="A18" t="s">
        <v>483</v>
      </c>
      <c r="B18" t="s">
        <v>405</v>
      </c>
      <c r="C18" s="119">
        <v>45761</v>
      </c>
      <c r="D18" t="s">
        <v>16</v>
      </c>
      <c r="E18" t="s">
        <v>22</v>
      </c>
      <c r="F18" t="s">
        <v>406</v>
      </c>
      <c r="G18">
        <v>1</v>
      </c>
      <c r="H18" t="s">
        <v>267</v>
      </c>
      <c r="I18" t="s">
        <v>407</v>
      </c>
      <c r="J18">
        <v>5</v>
      </c>
      <c r="K18">
        <v>5</v>
      </c>
      <c r="L18">
        <v>6</v>
      </c>
      <c r="M18">
        <v>6</v>
      </c>
      <c r="N18">
        <v>6</v>
      </c>
      <c r="O18">
        <v>6</v>
      </c>
      <c r="P18">
        <v>5</v>
      </c>
      <c r="Q18">
        <v>8</v>
      </c>
      <c r="R18">
        <v>6</v>
      </c>
      <c r="S18">
        <v>53</v>
      </c>
      <c r="T18">
        <v>10.37</v>
      </c>
      <c r="U18">
        <v>43</v>
      </c>
      <c r="V18">
        <v>0</v>
      </c>
      <c r="W18">
        <v>0</v>
      </c>
      <c r="X18">
        <v>0</v>
      </c>
      <c r="Y18">
        <v>1</v>
      </c>
      <c r="Z18">
        <v>1</v>
      </c>
      <c r="AA18">
        <v>1</v>
      </c>
      <c r="AB18">
        <v>0</v>
      </c>
      <c r="AC18">
        <v>1</v>
      </c>
      <c r="AD18">
        <v>1</v>
      </c>
      <c r="AE18">
        <v>1</v>
      </c>
      <c r="AF18">
        <v>0</v>
      </c>
      <c r="AG18">
        <v>0</v>
      </c>
      <c r="AH18">
        <v>0</v>
      </c>
      <c r="AI18">
        <v>1</v>
      </c>
      <c r="AJ18">
        <v>0</v>
      </c>
      <c r="AK18">
        <v>0</v>
      </c>
      <c r="AL18">
        <v>0</v>
      </c>
      <c r="AM18">
        <v>2</v>
      </c>
      <c r="AN18">
        <v>0</v>
      </c>
      <c r="AO18">
        <v>4</v>
      </c>
      <c r="AY18">
        <f>SUM(Upload_Indiv[[#This Row],[Bird1]:[Bird9]])</f>
        <v>0</v>
      </c>
      <c r="BI18">
        <f>SUM(Upload_Indiv[[#This Row],[Eagle1]:[Eagle9]])</f>
        <v>0</v>
      </c>
    </row>
    <row r="19" spans="1:61" x14ac:dyDescent="0.25">
      <c r="A19" t="s">
        <v>483</v>
      </c>
      <c r="B19" t="s">
        <v>405</v>
      </c>
      <c r="C19" s="119">
        <v>45761</v>
      </c>
      <c r="D19" t="s">
        <v>16</v>
      </c>
      <c r="E19" t="s">
        <v>22</v>
      </c>
      <c r="F19" t="s">
        <v>406</v>
      </c>
      <c r="G19">
        <v>2</v>
      </c>
      <c r="H19" t="s">
        <v>484</v>
      </c>
      <c r="I19" t="s">
        <v>407</v>
      </c>
      <c r="J19">
        <v>7</v>
      </c>
      <c r="K19">
        <v>6</v>
      </c>
      <c r="L19">
        <v>9</v>
      </c>
      <c r="M19">
        <v>7</v>
      </c>
      <c r="N19">
        <v>5</v>
      </c>
      <c r="O19">
        <v>7</v>
      </c>
      <c r="P19">
        <v>6</v>
      </c>
      <c r="Q19">
        <v>9</v>
      </c>
      <c r="R19">
        <v>8</v>
      </c>
      <c r="S19">
        <v>64</v>
      </c>
      <c r="T19">
        <v>20</v>
      </c>
      <c r="U19">
        <v>44</v>
      </c>
      <c r="V19">
        <v>1</v>
      </c>
      <c r="W19">
        <v>1</v>
      </c>
      <c r="X19">
        <v>1</v>
      </c>
      <c r="Y19">
        <v>2</v>
      </c>
      <c r="Z19">
        <v>2</v>
      </c>
      <c r="AA19">
        <v>1</v>
      </c>
      <c r="AB19">
        <v>1</v>
      </c>
      <c r="AC19">
        <v>2</v>
      </c>
      <c r="AD19">
        <v>2</v>
      </c>
      <c r="AE19">
        <v>1</v>
      </c>
      <c r="AF19">
        <v>0</v>
      </c>
      <c r="AG19">
        <v>0</v>
      </c>
      <c r="AH19">
        <v>2</v>
      </c>
      <c r="AI19">
        <v>2</v>
      </c>
      <c r="AJ19">
        <v>2</v>
      </c>
      <c r="AK19">
        <v>0</v>
      </c>
      <c r="AL19">
        <v>0</v>
      </c>
      <c r="AM19">
        <v>1</v>
      </c>
      <c r="AN19">
        <v>1</v>
      </c>
      <c r="AO19">
        <v>9</v>
      </c>
      <c r="AY19">
        <f>SUM(Upload_Indiv[[#This Row],[Bird1]:[Bird9]])</f>
        <v>0</v>
      </c>
      <c r="BI19">
        <f>SUM(Upload_Indiv[[#This Row],[Eagle1]:[Eagle9]])</f>
        <v>0</v>
      </c>
    </row>
    <row r="20" spans="1:61" x14ac:dyDescent="0.25">
      <c r="A20" t="s">
        <v>483</v>
      </c>
      <c r="B20" t="s">
        <v>405</v>
      </c>
      <c r="C20" s="119">
        <v>45761</v>
      </c>
      <c r="D20" t="s">
        <v>16</v>
      </c>
      <c r="E20" t="s">
        <v>22</v>
      </c>
      <c r="F20" t="s">
        <v>406</v>
      </c>
      <c r="G20">
        <v>3</v>
      </c>
      <c r="H20" t="s">
        <v>485</v>
      </c>
      <c r="I20" t="s">
        <v>407</v>
      </c>
      <c r="J20">
        <v>3</v>
      </c>
      <c r="K20">
        <v>3</v>
      </c>
      <c r="L20">
        <v>9</v>
      </c>
      <c r="M20">
        <v>8</v>
      </c>
      <c r="N20">
        <v>5</v>
      </c>
      <c r="O20">
        <v>7</v>
      </c>
      <c r="P20">
        <v>8</v>
      </c>
      <c r="Q20">
        <v>8</v>
      </c>
      <c r="R20">
        <v>8</v>
      </c>
      <c r="S20">
        <v>59</v>
      </c>
      <c r="T20">
        <v>20</v>
      </c>
      <c r="U20">
        <v>39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0</v>
      </c>
      <c r="AC20">
        <v>1</v>
      </c>
      <c r="AD20">
        <v>1</v>
      </c>
      <c r="AE20">
        <v>2</v>
      </c>
      <c r="AF20">
        <v>2</v>
      </c>
      <c r="AG20">
        <v>0</v>
      </c>
      <c r="AH20">
        <v>0</v>
      </c>
      <c r="AI20">
        <v>2</v>
      </c>
      <c r="AJ20">
        <v>2</v>
      </c>
      <c r="AK20">
        <v>0</v>
      </c>
      <c r="AL20">
        <v>2</v>
      </c>
      <c r="AM20">
        <v>2</v>
      </c>
      <c r="AN20">
        <v>2</v>
      </c>
      <c r="AO20">
        <v>14</v>
      </c>
      <c r="AP20">
        <v>1</v>
      </c>
      <c r="AY20">
        <f>SUM(Upload_Indiv[[#This Row],[Bird1]:[Bird9]])</f>
        <v>1</v>
      </c>
      <c r="BI20">
        <f>SUM(Upload_Indiv[[#This Row],[Eagle1]:[Eagle9]])</f>
        <v>0</v>
      </c>
    </row>
    <row r="21" spans="1:61" x14ac:dyDescent="0.25">
      <c r="A21" t="s">
        <v>483</v>
      </c>
      <c r="B21" t="s">
        <v>405</v>
      </c>
      <c r="C21" s="119">
        <v>45761</v>
      </c>
      <c r="D21" t="s">
        <v>16</v>
      </c>
      <c r="E21" t="s">
        <v>22</v>
      </c>
      <c r="F21" t="s">
        <v>406</v>
      </c>
      <c r="G21">
        <v>4</v>
      </c>
      <c r="H21" t="s">
        <v>265</v>
      </c>
      <c r="I21" t="s">
        <v>407</v>
      </c>
      <c r="J21">
        <v>6</v>
      </c>
      <c r="K21">
        <v>5</v>
      </c>
      <c r="L21">
        <v>7</v>
      </c>
      <c r="M21">
        <v>7</v>
      </c>
      <c r="N21">
        <v>6</v>
      </c>
      <c r="O21">
        <v>7</v>
      </c>
      <c r="P21">
        <v>8</v>
      </c>
      <c r="Q21">
        <v>7</v>
      </c>
      <c r="R21">
        <v>8</v>
      </c>
      <c r="S21">
        <v>61</v>
      </c>
      <c r="T21">
        <v>16.32</v>
      </c>
      <c r="U21">
        <v>45</v>
      </c>
      <c r="V21">
        <v>0</v>
      </c>
      <c r="W21">
        <v>0</v>
      </c>
      <c r="X21">
        <v>0</v>
      </c>
      <c r="Y21">
        <v>1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2</v>
      </c>
      <c r="AF21">
        <v>1</v>
      </c>
      <c r="AG21">
        <v>2</v>
      </c>
      <c r="AH21">
        <v>2</v>
      </c>
      <c r="AI21">
        <v>2</v>
      </c>
      <c r="AJ21">
        <v>2</v>
      </c>
      <c r="AK21">
        <v>0</v>
      </c>
      <c r="AL21">
        <v>2</v>
      </c>
      <c r="AM21">
        <v>1</v>
      </c>
      <c r="AN21">
        <v>2</v>
      </c>
      <c r="AO21">
        <v>16</v>
      </c>
      <c r="AY21">
        <f>SUM(Upload_Indiv[[#This Row],[Bird1]:[Bird9]])</f>
        <v>0</v>
      </c>
      <c r="BI21">
        <f>SUM(Upload_Indiv[[#This Row],[Eagle1]:[Eagle9]])</f>
        <v>0</v>
      </c>
    </row>
    <row r="22" spans="1:61" x14ac:dyDescent="0.25">
      <c r="A22" t="s">
        <v>483</v>
      </c>
      <c r="B22" t="s">
        <v>405</v>
      </c>
      <c r="C22" s="119">
        <v>45761</v>
      </c>
      <c r="D22" t="s">
        <v>22</v>
      </c>
      <c r="E22" t="s">
        <v>16</v>
      </c>
      <c r="F22" t="s">
        <v>406</v>
      </c>
      <c r="G22">
        <v>1</v>
      </c>
      <c r="H22" t="s">
        <v>156</v>
      </c>
      <c r="I22" t="s">
        <v>407</v>
      </c>
      <c r="J22">
        <v>5</v>
      </c>
      <c r="K22">
        <v>4</v>
      </c>
      <c r="L22">
        <v>4</v>
      </c>
      <c r="M22">
        <v>4</v>
      </c>
      <c r="N22">
        <v>5</v>
      </c>
      <c r="O22">
        <v>4</v>
      </c>
      <c r="P22">
        <v>2</v>
      </c>
      <c r="Q22">
        <v>5</v>
      </c>
      <c r="R22">
        <v>6</v>
      </c>
      <c r="S22">
        <v>39</v>
      </c>
      <c r="T22">
        <v>4.99</v>
      </c>
      <c r="U22">
        <v>34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2</v>
      </c>
      <c r="AG22">
        <v>2</v>
      </c>
      <c r="AH22">
        <v>2</v>
      </c>
      <c r="AI22">
        <v>1</v>
      </c>
      <c r="AJ22">
        <v>2</v>
      </c>
      <c r="AK22">
        <v>2</v>
      </c>
      <c r="AL22">
        <v>2</v>
      </c>
      <c r="AM22">
        <v>0</v>
      </c>
      <c r="AN22">
        <v>2</v>
      </c>
      <c r="AO22">
        <v>16</v>
      </c>
      <c r="AU22">
        <v>1</v>
      </c>
      <c r="AV22">
        <v>1</v>
      </c>
      <c r="AY22">
        <f>SUM(Upload_Indiv[[#This Row],[Bird1]:[Bird9]])</f>
        <v>2</v>
      </c>
      <c r="BI22">
        <f>SUM(Upload_Indiv[[#This Row],[Eagle1]:[Eagle9]])</f>
        <v>0</v>
      </c>
    </row>
    <row r="23" spans="1:61" x14ac:dyDescent="0.25">
      <c r="A23" t="s">
        <v>483</v>
      </c>
      <c r="B23" t="s">
        <v>405</v>
      </c>
      <c r="C23" s="119">
        <v>45761</v>
      </c>
      <c r="D23" t="s">
        <v>22</v>
      </c>
      <c r="E23" t="s">
        <v>16</v>
      </c>
      <c r="F23" t="s">
        <v>406</v>
      </c>
      <c r="G23">
        <v>2</v>
      </c>
      <c r="H23" t="s">
        <v>155</v>
      </c>
      <c r="I23" t="s">
        <v>407</v>
      </c>
      <c r="J23">
        <v>6</v>
      </c>
      <c r="K23">
        <v>3</v>
      </c>
      <c r="L23">
        <v>5</v>
      </c>
      <c r="M23">
        <v>6</v>
      </c>
      <c r="N23">
        <v>7</v>
      </c>
      <c r="O23">
        <v>8</v>
      </c>
      <c r="P23">
        <v>4</v>
      </c>
      <c r="Q23">
        <v>6</v>
      </c>
      <c r="R23">
        <v>6</v>
      </c>
      <c r="S23">
        <v>51</v>
      </c>
      <c r="T23">
        <v>7.3</v>
      </c>
      <c r="U23">
        <v>44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2</v>
      </c>
      <c r="AG23">
        <v>2</v>
      </c>
      <c r="AH23">
        <v>0</v>
      </c>
      <c r="AI23">
        <v>0</v>
      </c>
      <c r="AJ23">
        <v>0</v>
      </c>
      <c r="AK23">
        <v>2</v>
      </c>
      <c r="AL23">
        <v>2</v>
      </c>
      <c r="AM23">
        <v>1</v>
      </c>
      <c r="AN23">
        <v>1</v>
      </c>
      <c r="AO23">
        <v>11</v>
      </c>
      <c r="AY23">
        <f>SUM(Upload_Indiv[[#This Row],[Bird1]:[Bird9]])</f>
        <v>0</v>
      </c>
      <c r="BI23">
        <f>SUM(Upload_Indiv[[#This Row],[Eagle1]:[Eagle9]])</f>
        <v>0</v>
      </c>
    </row>
    <row r="24" spans="1:61" x14ac:dyDescent="0.25">
      <c r="A24" t="s">
        <v>483</v>
      </c>
      <c r="B24" t="s">
        <v>405</v>
      </c>
      <c r="C24" s="119">
        <v>45761</v>
      </c>
      <c r="D24" t="s">
        <v>22</v>
      </c>
      <c r="E24" t="s">
        <v>16</v>
      </c>
      <c r="F24" t="s">
        <v>406</v>
      </c>
      <c r="G24">
        <v>3</v>
      </c>
      <c r="H24" t="s">
        <v>148</v>
      </c>
      <c r="I24" t="s">
        <v>407</v>
      </c>
      <c r="J24">
        <v>5</v>
      </c>
      <c r="K24">
        <v>4</v>
      </c>
      <c r="L24">
        <v>7</v>
      </c>
      <c r="M24">
        <v>6</v>
      </c>
      <c r="N24">
        <v>9</v>
      </c>
      <c r="O24">
        <v>8</v>
      </c>
      <c r="P24">
        <v>4</v>
      </c>
      <c r="Q24">
        <v>8</v>
      </c>
      <c r="R24">
        <v>9</v>
      </c>
      <c r="S24">
        <v>60</v>
      </c>
      <c r="T24">
        <v>12.1</v>
      </c>
      <c r="U24">
        <v>48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</v>
      </c>
      <c r="AH24">
        <v>2</v>
      </c>
      <c r="AI24">
        <v>0</v>
      </c>
      <c r="AJ24">
        <v>0</v>
      </c>
      <c r="AK24">
        <v>2</v>
      </c>
      <c r="AL24">
        <v>0</v>
      </c>
      <c r="AM24">
        <v>0</v>
      </c>
      <c r="AN24">
        <v>0</v>
      </c>
      <c r="AO24">
        <v>6</v>
      </c>
      <c r="AY24">
        <f>SUM(Upload_Indiv[[#This Row],[Bird1]:[Bird9]])</f>
        <v>0</v>
      </c>
      <c r="BI24">
        <f>SUM(Upload_Indiv[[#This Row],[Eagle1]:[Eagle9]])</f>
        <v>0</v>
      </c>
    </row>
    <row r="25" spans="1:61" x14ac:dyDescent="0.25">
      <c r="A25" t="s">
        <v>483</v>
      </c>
      <c r="B25" t="s">
        <v>405</v>
      </c>
      <c r="C25" s="119">
        <v>45761</v>
      </c>
      <c r="D25" t="s">
        <v>22</v>
      </c>
      <c r="E25" t="s">
        <v>16</v>
      </c>
      <c r="F25" t="s">
        <v>406</v>
      </c>
      <c r="G25">
        <v>4</v>
      </c>
      <c r="H25" t="s">
        <v>158</v>
      </c>
      <c r="I25" t="s">
        <v>407</v>
      </c>
      <c r="J25">
        <v>9</v>
      </c>
      <c r="K25">
        <v>5</v>
      </c>
      <c r="L25">
        <v>9</v>
      </c>
      <c r="M25">
        <v>7</v>
      </c>
      <c r="N25">
        <v>9</v>
      </c>
      <c r="O25">
        <v>9</v>
      </c>
      <c r="P25">
        <v>5</v>
      </c>
      <c r="Q25">
        <v>9</v>
      </c>
      <c r="R25">
        <v>8</v>
      </c>
      <c r="S25">
        <v>70</v>
      </c>
      <c r="T25">
        <v>14.59</v>
      </c>
      <c r="U25">
        <v>55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1</v>
      </c>
      <c r="AG25">
        <v>0</v>
      </c>
      <c r="AH25">
        <v>0</v>
      </c>
      <c r="AI25">
        <v>0</v>
      </c>
      <c r="AJ25">
        <v>0</v>
      </c>
      <c r="AK25">
        <v>2</v>
      </c>
      <c r="AL25">
        <v>0</v>
      </c>
      <c r="AM25">
        <v>1</v>
      </c>
      <c r="AN25">
        <v>0</v>
      </c>
      <c r="AO25">
        <v>4</v>
      </c>
      <c r="AY25">
        <f>SUM(Upload_Indiv[[#This Row],[Bird1]:[Bird9]])</f>
        <v>0</v>
      </c>
      <c r="BI25">
        <f>SUM(Upload_Indiv[[#This Row],[Eagle1]:[Eagle9]])</f>
        <v>0</v>
      </c>
    </row>
    <row r="26" spans="1:61" x14ac:dyDescent="0.25">
      <c r="A26" t="s">
        <v>477</v>
      </c>
      <c r="B26" t="s">
        <v>405</v>
      </c>
      <c r="C26" s="119">
        <v>45761</v>
      </c>
      <c r="D26" t="s">
        <v>24</v>
      </c>
      <c r="E26" t="s">
        <v>28</v>
      </c>
      <c r="F26" t="s">
        <v>408</v>
      </c>
      <c r="G26">
        <v>1</v>
      </c>
      <c r="H26" t="s">
        <v>298</v>
      </c>
      <c r="I26" t="s">
        <v>407</v>
      </c>
      <c r="J26">
        <v>7</v>
      </c>
      <c r="K26">
        <v>7</v>
      </c>
      <c r="L26">
        <v>5</v>
      </c>
      <c r="M26">
        <v>4</v>
      </c>
      <c r="N26">
        <v>8</v>
      </c>
      <c r="O26">
        <v>7</v>
      </c>
      <c r="P26">
        <v>8</v>
      </c>
      <c r="Q26">
        <v>6</v>
      </c>
      <c r="R26">
        <v>6</v>
      </c>
      <c r="S26">
        <v>58</v>
      </c>
      <c r="T26">
        <v>7.1</v>
      </c>
      <c r="U26">
        <v>51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</v>
      </c>
      <c r="AG26">
        <v>0</v>
      </c>
      <c r="AH26">
        <v>2</v>
      </c>
      <c r="AI26">
        <v>0</v>
      </c>
      <c r="AJ26">
        <v>2</v>
      </c>
      <c r="AK26">
        <v>1</v>
      </c>
      <c r="AL26">
        <v>0</v>
      </c>
      <c r="AM26">
        <v>1</v>
      </c>
      <c r="AN26">
        <v>0</v>
      </c>
      <c r="AO26">
        <v>8</v>
      </c>
      <c r="AY26">
        <f>SUM(Upload_Indiv[[#This Row],[Bird1]:[Bird9]])</f>
        <v>0</v>
      </c>
      <c r="BI26">
        <f>SUM(Upload_Indiv[[#This Row],[Eagle1]:[Eagle9]])</f>
        <v>0</v>
      </c>
    </row>
    <row r="27" spans="1:61" x14ac:dyDescent="0.25">
      <c r="A27" t="s">
        <v>477</v>
      </c>
      <c r="B27" t="s">
        <v>405</v>
      </c>
      <c r="C27" s="119">
        <v>45761</v>
      </c>
      <c r="D27" t="s">
        <v>24</v>
      </c>
      <c r="E27" t="s">
        <v>28</v>
      </c>
      <c r="F27" t="s">
        <v>408</v>
      </c>
      <c r="G27">
        <v>2</v>
      </c>
      <c r="H27" t="s">
        <v>479</v>
      </c>
      <c r="I27" t="s">
        <v>407</v>
      </c>
      <c r="J27">
        <v>9</v>
      </c>
      <c r="K27">
        <v>10</v>
      </c>
      <c r="L27">
        <v>7</v>
      </c>
      <c r="M27">
        <v>6</v>
      </c>
      <c r="N27">
        <v>7</v>
      </c>
      <c r="O27">
        <v>7</v>
      </c>
      <c r="P27">
        <v>9</v>
      </c>
      <c r="Q27">
        <v>7</v>
      </c>
      <c r="R27">
        <v>8</v>
      </c>
      <c r="S27">
        <v>70</v>
      </c>
      <c r="T27">
        <v>20</v>
      </c>
      <c r="U27">
        <v>50</v>
      </c>
      <c r="V27">
        <v>1</v>
      </c>
      <c r="W27">
        <v>0</v>
      </c>
      <c r="X27">
        <v>1</v>
      </c>
      <c r="Y27">
        <v>0</v>
      </c>
      <c r="Z27">
        <v>0</v>
      </c>
      <c r="AA27">
        <v>1</v>
      </c>
      <c r="AB27">
        <v>1</v>
      </c>
      <c r="AC27">
        <v>0</v>
      </c>
      <c r="AD27">
        <v>1</v>
      </c>
      <c r="AE27">
        <v>0</v>
      </c>
      <c r="AF27">
        <v>0</v>
      </c>
      <c r="AG27">
        <v>1</v>
      </c>
      <c r="AH27">
        <v>0</v>
      </c>
      <c r="AI27">
        <v>0</v>
      </c>
      <c r="AJ27">
        <v>1</v>
      </c>
      <c r="AK27">
        <v>1</v>
      </c>
      <c r="AL27">
        <v>0</v>
      </c>
      <c r="AM27">
        <v>0</v>
      </c>
      <c r="AN27">
        <v>0</v>
      </c>
      <c r="AO27">
        <v>3</v>
      </c>
      <c r="AY27">
        <f>SUM(Upload_Indiv[[#This Row],[Bird1]:[Bird9]])</f>
        <v>0</v>
      </c>
      <c r="BI27">
        <f>SUM(Upload_Indiv[[#This Row],[Eagle1]:[Eagle9]])</f>
        <v>0</v>
      </c>
    </row>
    <row r="28" spans="1:61" x14ac:dyDescent="0.25">
      <c r="A28" t="s">
        <v>477</v>
      </c>
      <c r="B28" t="s">
        <v>405</v>
      </c>
      <c r="C28" s="119">
        <v>45761</v>
      </c>
      <c r="D28" t="s">
        <v>24</v>
      </c>
      <c r="E28" t="s">
        <v>28</v>
      </c>
      <c r="F28" t="s">
        <v>408</v>
      </c>
      <c r="G28">
        <v>3</v>
      </c>
      <c r="H28" t="s">
        <v>300</v>
      </c>
      <c r="I28" t="s">
        <v>407</v>
      </c>
      <c r="J28">
        <v>7</v>
      </c>
      <c r="K28">
        <v>8</v>
      </c>
      <c r="L28">
        <v>6</v>
      </c>
      <c r="M28">
        <v>4</v>
      </c>
      <c r="N28">
        <v>5</v>
      </c>
      <c r="O28">
        <v>7</v>
      </c>
      <c r="P28">
        <v>8</v>
      </c>
      <c r="Q28">
        <v>5</v>
      </c>
      <c r="R28">
        <v>5</v>
      </c>
      <c r="S28">
        <v>55</v>
      </c>
      <c r="T28">
        <v>9.02</v>
      </c>
      <c r="U28">
        <v>46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</v>
      </c>
      <c r="AH28">
        <v>2</v>
      </c>
      <c r="AI28">
        <v>0</v>
      </c>
      <c r="AJ28">
        <v>0</v>
      </c>
      <c r="AK28">
        <v>2</v>
      </c>
      <c r="AL28">
        <v>0</v>
      </c>
      <c r="AM28">
        <v>2</v>
      </c>
      <c r="AN28">
        <v>0</v>
      </c>
      <c r="AO28">
        <v>8</v>
      </c>
      <c r="AY28">
        <f>SUM(Upload_Indiv[[#This Row],[Bird1]:[Bird9]])</f>
        <v>0</v>
      </c>
      <c r="BI28">
        <f>SUM(Upload_Indiv[[#This Row],[Eagle1]:[Eagle9]])</f>
        <v>0</v>
      </c>
    </row>
    <row r="29" spans="1:61" x14ac:dyDescent="0.25">
      <c r="A29" t="s">
        <v>477</v>
      </c>
      <c r="B29" t="s">
        <v>405</v>
      </c>
      <c r="C29" s="119">
        <v>45761</v>
      </c>
      <c r="D29" t="s">
        <v>24</v>
      </c>
      <c r="E29" t="s">
        <v>28</v>
      </c>
      <c r="F29" t="s">
        <v>408</v>
      </c>
      <c r="G29">
        <v>4</v>
      </c>
      <c r="H29" t="s">
        <v>106</v>
      </c>
      <c r="I29" t="s">
        <v>407</v>
      </c>
      <c r="J29">
        <v>7</v>
      </c>
      <c r="K29">
        <v>7</v>
      </c>
      <c r="L29">
        <v>5</v>
      </c>
      <c r="M29">
        <v>4</v>
      </c>
      <c r="N29">
        <v>6</v>
      </c>
      <c r="O29">
        <v>9</v>
      </c>
      <c r="P29">
        <v>9</v>
      </c>
      <c r="Q29">
        <v>3</v>
      </c>
      <c r="R29">
        <v>6</v>
      </c>
      <c r="S29">
        <v>56</v>
      </c>
      <c r="T29">
        <v>14.4</v>
      </c>
      <c r="U29">
        <v>42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>
        <v>2</v>
      </c>
      <c r="AH29">
        <v>2</v>
      </c>
      <c r="AI29">
        <v>0</v>
      </c>
      <c r="AJ29">
        <v>0</v>
      </c>
      <c r="AK29">
        <v>0</v>
      </c>
      <c r="AL29">
        <v>2</v>
      </c>
      <c r="AM29">
        <v>0</v>
      </c>
      <c r="AN29">
        <v>0</v>
      </c>
      <c r="AO29">
        <v>8</v>
      </c>
      <c r="AY29">
        <f>SUM(Upload_Indiv[[#This Row],[Bird1]:[Bird9]])</f>
        <v>0</v>
      </c>
      <c r="BI29">
        <f>SUM(Upload_Indiv[[#This Row],[Eagle1]:[Eagle9]])</f>
        <v>0</v>
      </c>
    </row>
    <row r="30" spans="1:61" x14ac:dyDescent="0.25">
      <c r="A30" t="s">
        <v>477</v>
      </c>
      <c r="B30" t="s">
        <v>405</v>
      </c>
      <c r="C30" s="119">
        <v>45761</v>
      </c>
      <c r="D30" t="s">
        <v>28</v>
      </c>
      <c r="E30" t="s">
        <v>24</v>
      </c>
      <c r="F30" t="s">
        <v>408</v>
      </c>
      <c r="G30">
        <v>1</v>
      </c>
      <c r="H30" t="s">
        <v>320</v>
      </c>
      <c r="I30" t="s">
        <v>407</v>
      </c>
      <c r="J30">
        <v>6</v>
      </c>
      <c r="K30">
        <v>8</v>
      </c>
      <c r="L30">
        <v>5</v>
      </c>
      <c r="M30">
        <v>5</v>
      </c>
      <c r="N30">
        <v>6</v>
      </c>
      <c r="O30">
        <v>9</v>
      </c>
      <c r="P30">
        <v>9</v>
      </c>
      <c r="Q30">
        <v>6</v>
      </c>
      <c r="R30">
        <v>7</v>
      </c>
      <c r="S30">
        <v>61</v>
      </c>
      <c r="T30">
        <v>12.67</v>
      </c>
      <c r="U30">
        <v>48</v>
      </c>
      <c r="V30">
        <v>1</v>
      </c>
      <c r="W30">
        <v>0</v>
      </c>
      <c r="X30">
        <v>1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2</v>
      </c>
      <c r="AF30">
        <v>0</v>
      </c>
      <c r="AG30">
        <v>2</v>
      </c>
      <c r="AH30">
        <v>0</v>
      </c>
      <c r="AI30">
        <v>2</v>
      </c>
      <c r="AJ30">
        <v>0</v>
      </c>
      <c r="AK30">
        <v>1</v>
      </c>
      <c r="AL30">
        <v>2</v>
      </c>
      <c r="AM30">
        <v>1</v>
      </c>
      <c r="AN30">
        <v>2</v>
      </c>
      <c r="AO30">
        <v>12</v>
      </c>
      <c r="AY30">
        <f>SUM(Upload_Indiv[[#This Row],[Bird1]:[Bird9]])</f>
        <v>0</v>
      </c>
      <c r="BI30">
        <f>SUM(Upload_Indiv[[#This Row],[Eagle1]:[Eagle9]])</f>
        <v>0</v>
      </c>
    </row>
    <row r="31" spans="1:61" x14ac:dyDescent="0.25">
      <c r="A31" t="s">
        <v>477</v>
      </c>
      <c r="B31" t="s">
        <v>405</v>
      </c>
      <c r="C31" s="119">
        <v>45761</v>
      </c>
      <c r="D31" t="s">
        <v>28</v>
      </c>
      <c r="E31" t="s">
        <v>24</v>
      </c>
      <c r="F31" t="s">
        <v>408</v>
      </c>
      <c r="G31">
        <v>2</v>
      </c>
      <c r="H31" t="s">
        <v>315</v>
      </c>
      <c r="I31" t="s">
        <v>407</v>
      </c>
      <c r="J31">
        <v>7</v>
      </c>
      <c r="K31">
        <v>7</v>
      </c>
      <c r="L31">
        <v>6</v>
      </c>
      <c r="M31">
        <v>4</v>
      </c>
      <c r="N31">
        <v>5</v>
      </c>
      <c r="O31">
        <v>6</v>
      </c>
      <c r="P31">
        <v>8</v>
      </c>
      <c r="Q31">
        <v>5</v>
      </c>
      <c r="R31">
        <v>6</v>
      </c>
      <c r="S31">
        <v>54</v>
      </c>
      <c r="T31">
        <v>14.98</v>
      </c>
      <c r="U31">
        <v>39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2</v>
      </c>
      <c r="AF31">
        <v>2</v>
      </c>
      <c r="AG31">
        <v>1</v>
      </c>
      <c r="AH31">
        <v>2</v>
      </c>
      <c r="AI31">
        <v>2</v>
      </c>
      <c r="AJ31">
        <v>1</v>
      </c>
      <c r="AK31">
        <v>1</v>
      </c>
      <c r="AL31">
        <v>2</v>
      </c>
      <c r="AM31">
        <v>2</v>
      </c>
      <c r="AN31">
        <v>2</v>
      </c>
      <c r="AO31">
        <v>17</v>
      </c>
      <c r="AY31">
        <f>SUM(Upload_Indiv[[#This Row],[Bird1]:[Bird9]])</f>
        <v>0</v>
      </c>
      <c r="BI31">
        <f>SUM(Upload_Indiv[[#This Row],[Eagle1]:[Eagle9]])</f>
        <v>0</v>
      </c>
    </row>
    <row r="32" spans="1:61" x14ac:dyDescent="0.25">
      <c r="A32" t="s">
        <v>477</v>
      </c>
      <c r="B32" t="s">
        <v>405</v>
      </c>
      <c r="C32" s="119">
        <v>45761</v>
      </c>
      <c r="D32" t="s">
        <v>28</v>
      </c>
      <c r="E32" t="s">
        <v>24</v>
      </c>
      <c r="F32" t="s">
        <v>408</v>
      </c>
      <c r="G32">
        <v>3</v>
      </c>
      <c r="H32" t="s">
        <v>317</v>
      </c>
      <c r="I32" t="s">
        <v>407</v>
      </c>
      <c r="J32">
        <v>7</v>
      </c>
      <c r="K32">
        <v>7</v>
      </c>
      <c r="L32">
        <v>8</v>
      </c>
      <c r="M32">
        <v>5</v>
      </c>
      <c r="N32">
        <v>4</v>
      </c>
      <c r="O32">
        <v>6</v>
      </c>
      <c r="P32">
        <v>10</v>
      </c>
      <c r="Q32">
        <v>4</v>
      </c>
      <c r="R32">
        <v>8</v>
      </c>
      <c r="S32">
        <v>59</v>
      </c>
      <c r="T32">
        <v>15.55</v>
      </c>
      <c r="U32">
        <v>43</v>
      </c>
      <c r="V32">
        <v>1</v>
      </c>
      <c r="W32">
        <v>1</v>
      </c>
      <c r="X32">
        <v>1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2</v>
      </c>
      <c r="AF32">
        <v>2</v>
      </c>
      <c r="AG32">
        <v>0</v>
      </c>
      <c r="AH32">
        <v>0</v>
      </c>
      <c r="AI32">
        <v>2</v>
      </c>
      <c r="AJ32">
        <v>2</v>
      </c>
      <c r="AK32">
        <v>0</v>
      </c>
      <c r="AL32">
        <v>2</v>
      </c>
      <c r="AM32">
        <v>0</v>
      </c>
      <c r="AN32">
        <v>2</v>
      </c>
      <c r="AO32">
        <v>12</v>
      </c>
      <c r="AY32">
        <f>SUM(Upload_Indiv[[#This Row],[Bird1]:[Bird9]])</f>
        <v>0</v>
      </c>
      <c r="BI32">
        <f>SUM(Upload_Indiv[[#This Row],[Eagle1]:[Eagle9]])</f>
        <v>0</v>
      </c>
    </row>
    <row r="33" spans="1:61" x14ac:dyDescent="0.25">
      <c r="A33" t="s">
        <v>477</v>
      </c>
      <c r="B33" t="s">
        <v>405</v>
      </c>
      <c r="C33" s="119">
        <v>45761</v>
      </c>
      <c r="D33" t="s">
        <v>28</v>
      </c>
      <c r="E33" t="s">
        <v>24</v>
      </c>
      <c r="F33" t="s">
        <v>408</v>
      </c>
      <c r="G33">
        <v>4</v>
      </c>
      <c r="H33" t="s">
        <v>101</v>
      </c>
      <c r="I33" t="s">
        <v>407</v>
      </c>
      <c r="J33">
        <v>8</v>
      </c>
      <c r="K33">
        <v>7</v>
      </c>
      <c r="L33">
        <v>7</v>
      </c>
      <c r="M33">
        <v>5</v>
      </c>
      <c r="N33">
        <v>5</v>
      </c>
      <c r="O33">
        <v>6</v>
      </c>
      <c r="P33">
        <v>7</v>
      </c>
      <c r="Q33">
        <v>5</v>
      </c>
      <c r="R33">
        <v>5</v>
      </c>
      <c r="S33">
        <v>55</v>
      </c>
      <c r="T33">
        <v>17.09</v>
      </c>
      <c r="U33">
        <v>38</v>
      </c>
      <c r="V33">
        <v>1</v>
      </c>
      <c r="W33">
        <v>0</v>
      </c>
      <c r="X33">
        <v>1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1</v>
      </c>
      <c r="AF33">
        <v>1</v>
      </c>
      <c r="AG33">
        <v>0</v>
      </c>
      <c r="AH33">
        <v>0</v>
      </c>
      <c r="AI33">
        <v>2</v>
      </c>
      <c r="AJ33">
        <v>2</v>
      </c>
      <c r="AK33">
        <v>2</v>
      </c>
      <c r="AL33">
        <v>0</v>
      </c>
      <c r="AM33">
        <v>2</v>
      </c>
      <c r="AN33">
        <v>2</v>
      </c>
      <c r="AO33">
        <v>12</v>
      </c>
      <c r="AY33">
        <f>SUM(Upload_Indiv[[#This Row],[Bird1]:[Bird9]])</f>
        <v>0</v>
      </c>
      <c r="BI33">
        <f>SUM(Upload_Indiv[[#This Row],[Eagle1]:[Eagle9]])</f>
        <v>0</v>
      </c>
    </row>
    <row r="34" spans="1:61" x14ac:dyDescent="0.25">
      <c r="A34" t="s">
        <v>529</v>
      </c>
      <c r="B34" t="s">
        <v>471</v>
      </c>
      <c r="C34" s="119">
        <v>45831</v>
      </c>
      <c r="D34" t="s">
        <v>26</v>
      </c>
      <c r="E34" t="s">
        <v>16</v>
      </c>
      <c r="F34" t="s">
        <v>408</v>
      </c>
      <c r="G34">
        <v>1</v>
      </c>
      <c r="H34" t="s">
        <v>146</v>
      </c>
      <c r="I34" t="s">
        <v>407</v>
      </c>
      <c r="J34">
        <v>4</v>
      </c>
      <c r="K34">
        <v>5</v>
      </c>
      <c r="L34">
        <v>5</v>
      </c>
      <c r="M34">
        <v>4</v>
      </c>
      <c r="N34">
        <v>5</v>
      </c>
      <c r="O34">
        <v>4</v>
      </c>
      <c r="P34">
        <v>6</v>
      </c>
      <c r="Q34">
        <v>3</v>
      </c>
      <c r="R34">
        <v>6</v>
      </c>
      <c r="S34">
        <v>42</v>
      </c>
      <c r="T34">
        <v>3.07</v>
      </c>
      <c r="U34">
        <v>39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</v>
      </c>
      <c r="AF34">
        <v>2</v>
      </c>
      <c r="AG34">
        <v>0</v>
      </c>
      <c r="AH34">
        <v>1</v>
      </c>
      <c r="AI34">
        <v>2</v>
      </c>
      <c r="AJ34">
        <v>2</v>
      </c>
      <c r="AK34">
        <v>0</v>
      </c>
      <c r="AL34">
        <v>0</v>
      </c>
      <c r="AM34">
        <v>0</v>
      </c>
      <c r="AN34">
        <v>0</v>
      </c>
      <c r="AO34">
        <v>8</v>
      </c>
      <c r="AY34">
        <f>SUM(Upload_Indiv[[#This Row],[Bird1]:[Bird9]])</f>
        <v>0</v>
      </c>
      <c r="BI34">
        <f>SUM(Upload_Indiv[[#This Row],[Eagle1]:[Eagle9]])</f>
        <v>0</v>
      </c>
    </row>
    <row r="35" spans="1:61" x14ac:dyDescent="0.25">
      <c r="A35" t="s">
        <v>529</v>
      </c>
      <c r="B35" t="s">
        <v>471</v>
      </c>
      <c r="C35" s="119">
        <v>45831</v>
      </c>
      <c r="D35" t="s">
        <v>26</v>
      </c>
      <c r="E35" t="s">
        <v>16</v>
      </c>
      <c r="F35" t="s">
        <v>408</v>
      </c>
      <c r="G35">
        <v>2</v>
      </c>
      <c r="H35" t="s">
        <v>311</v>
      </c>
      <c r="I35" t="s">
        <v>407</v>
      </c>
      <c r="J35">
        <v>6</v>
      </c>
      <c r="K35">
        <v>6</v>
      </c>
      <c r="L35">
        <v>4</v>
      </c>
      <c r="M35">
        <v>2</v>
      </c>
      <c r="N35">
        <v>4</v>
      </c>
      <c r="O35">
        <v>4</v>
      </c>
      <c r="P35">
        <v>5</v>
      </c>
      <c r="Q35">
        <v>5</v>
      </c>
      <c r="R35">
        <v>4</v>
      </c>
      <c r="S35">
        <v>40</v>
      </c>
      <c r="T35">
        <v>3.84</v>
      </c>
      <c r="U35">
        <v>36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</v>
      </c>
      <c r="AG35">
        <v>2</v>
      </c>
      <c r="AH35">
        <v>2</v>
      </c>
      <c r="AI35">
        <v>2</v>
      </c>
      <c r="AJ35">
        <v>2</v>
      </c>
      <c r="AK35">
        <v>0</v>
      </c>
      <c r="AL35">
        <v>0</v>
      </c>
      <c r="AM35">
        <v>1</v>
      </c>
      <c r="AN35">
        <v>2</v>
      </c>
      <c r="AO35">
        <v>12</v>
      </c>
      <c r="AS35">
        <v>1</v>
      </c>
      <c r="AY35">
        <f>SUM(Upload_Indiv[[#This Row],[Bird1]:[Bird9]])</f>
        <v>1</v>
      </c>
      <c r="BI35">
        <f>SUM(Upload_Indiv[[#This Row],[Eagle1]:[Eagle9]])</f>
        <v>0</v>
      </c>
    </row>
    <row r="36" spans="1:61" x14ac:dyDescent="0.25">
      <c r="A36" t="s">
        <v>529</v>
      </c>
      <c r="B36" t="s">
        <v>471</v>
      </c>
      <c r="C36" s="119">
        <v>45831</v>
      </c>
      <c r="D36" t="s">
        <v>26</v>
      </c>
      <c r="E36" t="s">
        <v>16</v>
      </c>
      <c r="F36" t="s">
        <v>408</v>
      </c>
      <c r="G36">
        <v>3</v>
      </c>
      <c r="H36" t="s">
        <v>100</v>
      </c>
      <c r="I36" t="s">
        <v>407</v>
      </c>
      <c r="J36">
        <v>3</v>
      </c>
      <c r="K36">
        <v>5</v>
      </c>
      <c r="L36">
        <v>5</v>
      </c>
      <c r="M36">
        <v>4</v>
      </c>
      <c r="N36">
        <v>3</v>
      </c>
      <c r="O36">
        <v>4</v>
      </c>
      <c r="P36">
        <v>7</v>
      </c>
      <c r="Q36">
        <v>4</v>
      </c>
      <c r="R36">
        <v>4</v>
      </c>
      <c r="S36">
        <v>39</v>
      </c>
      <c r="T36">
        <v>5.57</v>
      </c>
      <c r="U36">
        <v>33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2</v>
      </c>
      <c r="AF36">
        <v>1</v>
      </c>
      <c r="AG36">
        <v>1</v>
      </c>
      <c r="AH36">
        <v>1</v>
      </c>
      <c r="AI36">
        <v>2</v>
      </c>
      <c r="AJ36">
        <v>2</v>
      </c>
      <c r="AK36">
        <v>0</v>
      </c>
      <c r="AL36">
        <v>0</v>
      </c>
      <c r="AM36">
        <v>1</v>
      </c>
      <c r="AN36">
        <v>2</v>
      </c>
      <c r="AO36">
        <v>12</v>
      </c>
      <c r="AP36">
        <v>1</v>
      </c>
      <c r="AT36">
        <v>1</v>
      </c>
      <c r="AY36">
        <f>SUM(Upload_Indiv[[#This Row],[Bird1]:[Bird9]])</f>
        <v>2</v>
      </c>
      <c r="BI36">
        <f>SUM(Upload_Indiv[[#This Row],[Eagle1]:[Eagle9]])</f>
        <v>0</v>
      </c>
    </row>
    <row r="37" spans="1:61" x14ac:dyDescent="0.25">
      <c r="A37" t="s">
        <v>529</v>
      </c>
      <c r="B37" t="s">
        <v>471</v>
      </c>
      <c r="C37" s="119">
        <v>45831</v>
      </c>
      <c r="D37" t="s">
        <v>26</v>
      </c>
      <c r="E37" t="s">
        <v>16</v>
      </c>
      <c r="F37" t="s">
        <v>408</v>
      </c>
      <c r="G37">
        <v>4</v>
      </c>
      <c r="H37" t="s">
        <v>309</v>
      </c>
      <c r="I37" t="s">
        <v>407</v>
      </c>
      <c r="J37">
        <v>5</v>
      </c>
      <c r="K37">
        <v>7</v>
      </c>
      <c r="L37">
        <v>5</v>
      </c>
      <c r="M37">
        <v>4</v>
      </c>
      <c r="N37">
        <v>5</v>
      </c>
      <c r="O37">
        <v>6</v>
      </c>
      <c r="P37">
        <v>8</v>
      </c>
      <c r="Q37">
        <v>5</v>
      </c>
      <c r="R37">
        <v>5</v>
      </c>
      <c r="S37">
        <v>50</v>
      </c>
      <c r="T37">
        <v>15.94</v>
      </c>
      <c r="U37">
        <v>34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0</v>
      </c>
      <c r="AL37">
        <v>2</v>
      </c>
      <c r="AM37">
        <v>2</v>
      </c>
      <c r="AN37">
        <v>2</v>
      </c>
      <c r="AO37">
        <v>18</v>
      </c>
      <c r="AY37">
        <f>SUM(Upload_Indiv[[#This Row],[Bird1]:[Bird9]])</f>
        <v>0</v>
      </c>
      <c r="BI37">
        <f>SUM(Upload_Indiv[[#This Row],[Eagle1]:[Eagle9]])</f>
        <v>0</v>
      </c>
    </row>
    <row r="38" spans="1:61" x14ac:dyDescent="0.25">
      <c r="A38" t="s">
        <v>529</v>
      </c>
      <c r="B38" t="s">
        <v>471</v>
      </c>
      <c r="C38" s="119">
        <v>45831</v>
      </c>
      <c r="D38" t="s">
        <v>16</v>
      </c>
      <c r="E38" t="s">
        <v>26</v>
      </c>
      <c r="F38" t="s">
        <v>408</v>
      </c>
      <c r="G38">
        <v>1</v>
      </c>
      <c r="H38" t="s">
        <v>485</v>
      </c>
      <c r="I38" t="s">
        <v>407</v>
      </c>
      <c r="J38">
        <v>5</v>
      </c>
      <c r="K38">
        <v>7</v>
      </c>
      <c r="L38">
        <v>4</v>
      </c>
      <c r="M38">
        <v>4</v>
      </c>
      <c r="N38">
        <v>6</v>
      </c>
      <c r="O38">
        <v>6</v>
      </c>
      <c r="P38">
        <v>6</v>
      </c>
      <c r="Q38">
        <v>3</v>
      </c>
      <c r="R38">
        <v>6</v>
      </c>
      <c r="S38">
        <v>47</v>
      </c>
      <c r="T38">
        <v>8.64</v>
      </c>
      <c r="U38">
        <v>38</v>
      </c>
      <c r="V38">
        <v>1</v>
      </c>
      <c r="W38">
        <v>0</v>
      </c>
      <c r="X38">
        <v>1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0</v>
      </c>
      <c r="AG38">
        <v>2</v>
      </c>
      <c r="AH38">
        <v>1</v>
      </c>
      <c r="AI38">
        <v>0</v>
      </c>
      <c r="AJ38">
        <v>0</v>
      </c>
      <c r="AK38">
        <v>2</v>
      </c>
      <c r="AL38">
        <v>2</v>
      </c>
      <c r="AM38">
        <v>2</v>
      </c>
      <c r="AN38">
        <v>2</v>
      </c>
      <c r="AO38">
        <v>12</v>
      </c>
      <c r="AY38">
        <f>SUM(Upload_Indiv[[#This Row],[Bird1]:[Bird9]])</f>
        <v>0</v>
      </c>
      <c r="BI38">
        <f>SUM(Upload_Indiv[[#This Row],[Eagle1]:[Eagle9]])</f>
        <v>0</v>
      </c>
    </row>
    <row r="39" spans="1:61" x14ac:dyDescent="0.25">
      <c r="A39" t="s">
        <v>529</v>
      </c>
      <c r="B39" t="s">
        <v>471</v>
      </c>
      <c r="C39" s="119">
        <v>45831</v>
      </c>
      <c r="D39" t="s">
        <v>16</v>
      </c>
      <c r="E39" t="s">
        <v>26</v>
      </c>
      <c r="F39" t="s">
        <v>408</v>
      </c>
      <c r="G39">
        <v>2</v>
      </c>
      <c r="H39" t="s">
        <v>267</v>
      </c>
      <c r="I39" t="s">
        <v>407</v>
      </c>
      <c r="J39">
        <v>6</v>
      </c>
      <c r="K39">
        <v>7</v>
      </c>
      <c r="L39">
        <v>9</v>
      </c>
      <c r="M39">
        <v>4</v>
      </c>
      <c r="N39">
        <v>7</v>
      </c>
      <c r="O39">
        <v>8</v>
      </c>
      <c r="P39">
        <v>4</v>
      </c>
      <c r="Q39">
        <v>4</v>
      </c>
      <c r="R39">
        <v>5</v>
      </c>
      <c r="S39">
        <v>54</v>
      </c>
      <c r="T39">
        <v>12.1</v>
      </c>
      <c r="U39">
        <v>42</v>
      </c>
      <c r="V39">
        <v>1</v>
      </c>
      <c r="W39">
        <v>1</v>
      </c>
      <c r="X39">
        <v>1</v>
      </c>
      <c r="Y39">
        <v>1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2</v>
      </c>
      <c r="AF39">
        <v>1</v>
      </c>
      <c r="AG39">
        <v>0</v>
      </c>
      <c r="AH39">
        <v>0</v>
      </c>
      <c r="AI39">
        <v>0</v>
      </c>
      <c r="AJ39">
        <v>0</v>
      </c>
      <c r="AK39">
        <v>2</v>
      </c>
      <c r="AL39">
        <v>2</v>
      </c>
      <c r="AM39">
        <v>1</v>
      </c>
      <c r="AN39">
        <v>0</v>
      </c>
      <c r="AO39">
        <v>8</v>
      </c>
      <c r="AV39">
        <v>1</v>
      </c>
      <c r="AY39">
        <f>SUM(Upload_Indiv[[#This Row],[Bird1]:[Bird9]])</f>
        <v>1</v>
      </c>
      <c r="BI39">
        <f>SUM(Upload_Indiv[[#This Row],[Eagle1]:[Eagle9]])</f>
        <v>0</v>
      </c>
    </row>
    <row r="40" spans="1:61" x14ac:dyDescent="0.25">
      <c r="A40" t="s">
        <v>529</v>
      </c>
      <c r="B40" t="s">
        <v>471</v>
      </c>
      <c r="C40" s="119">
        <v>45831</v>
      </c>
      <c r="D40" t="s">
        <v>16</v>
      </c>
      <c r="E40" t="s">
        <v>26</v>
      </c>
      <c r="F40" t="s">
        <v>408</v>
      </c>
      <c r="G40">
        <v>3</v>
      </c>
      <c r="H40" t="s">
        <v>484</v>
      </c>
      <c r="I40" t="s">
        <v>407</v>
      </c>
      <c r="J40">
        <v>7</v>
      </c>
      <c r="K40">
        <v>6</v>
      </c>
      <c r="L40">
        <v>6</v>
      </c>
      <c r="M40">
        <v>5</v>
      </c>
      <c r="N40">
        <v>7</v>
      </c>
      <c r="O40">
        <v>9</v>
      </c>
      <c r="P40">
        <v>6</v>
      </c>
      <c r="Q40">
        <v>3</v>
      </c>
      <c r="R40">
        <v>5</v>
      </c>
      <c r="S40">
        <v>54</v>
      </c>
      <c r="T40">
        <v>16.32</v>
      </c>
      <c r="U40">
        <v>38</v>
      </c>
      <c r="V40">
        <v>2</v>
      </c>
      <c r="W40">
        <v>1</v>
      </c>
      <c r="X40">
        <v>1</v>
      </c>
      <c r="Y40">
        <v>1</v>
      </c>
      <c r="Z40">
        <v>1</v>
      </c>
      <c r="AA40">
        <v>2</v>
      </c>
      <c r="AB40">
        <v>1</v>
      </c>
      <c r="AC40">
        <v>1</v>
      </c>
      <c r="AD40">
        <v>1</v>
      </c>
      <c r="AE40">
        <v>0</v>
      </c>
      <c r="AF40">
        <v>1</v>
      </c>
      <c r="AG40">
        <v>1</v>
      </c>
      <c r="AH40">
        <v>1</v>
      </c>
      <c r="AI40">
        <v>0</v>
      </c>
      <c r="AJ40">
        <v>0</v>
      </c>
      <c r="AK40">
        <v>2</v>
      </c>
      <c r="AL40">
        <v>2</v>
      </c>
      <c r="AM40">
        <v>1</v>
      </c>
      <c r="AN40">
        <v>0</v>
      </c>
      <c r="AO40">
        <v>8</v>
      </c>
      <c r="AY40">
        <f>SUM(Upload_Indiv[[#This Row],[Bird1]:[Bird9]])</f>
        <v>0</v>
      </c>
      <c r="BI40">
        <f>SUM(Upload_Indiv[[#This Row],[Eagle1]:[Eagle9]])</f>
        <v>0</v>
      </c>
    </row>
    <row r="41" spans="1:61" x14ac:dyDescent="0.25">
      <c r="A41" t="s">
        <v>529</v>
      </c>
      <c r="B41" t="s">
        <v>471</v>
      </c>
      <c r="C41" s="119">
        <v>45831</v>
      </c>
      <c r="D41" t="s">
        <v>16</v>
      </c>
      <c r="E41" t="s">
        <v>26</v>
      </c>
      <c r="F41" t="s">
        <v>408</v>
      </c>
      <c r="G41">
        <v>4</v>
      </c>
      <c r="H41" t="s">
        <v>265</v>
      </c>
      <c r="I41" t="s">
        <v>407</v>
      </c>
      <c r="J41">
        <v>7</v>
      </c>
      <c r="K41">
        <v>8</v>
      </c>
      <c r="L41">
        <v>7</v>
      </c>
      <c r="M41">
        <v>6</v>
      </c>
      <c r="N41">
        <v>6</v>
      </c>
      <c r="O41">
        <v>9</v>
      </c>
      <c r="P41">
        <v>7</v>
      </c>
      <c r="Q41">
        <v>6</v>
      </c>
      <c r="R41">
        <v>6</v>
      </c>
      <c r="S41">
        <v>62</v>
      </c>
      <c r="T41">
        <v>19.2</v>
      </c>
      <c r="U41">
        <v>43</v>
      </c>
      <c r="V41">
        <v>1</v>
      </c>
      <c r="W41">
        <v>0</v>
      </c>
      <c r="X41">
        <v>1</v>
      </c>
      <c r="Y41">
        <v>0</v>
      </c>
      <c r="Z41">
        <v>0</v>
      </c>
      <c r="AA41">
        <v>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2</v>
      </c>
      <c r="AL41">
        <v>0</v>
      </c>
      <c r="AM41">
        <v>0</v>
      </c>
      <c r="AN41">
        <v>0</v>
      </c>
      <c r="AO41">
        <v>2</v>
      </c>
      <c r="AY41">
        <f>SUM(Upload_Indiv[[#This Row],[Bird1]:[Bird9]])</f>
        <v>0</v>
      </c>
      <c r="BI41">
        <f>SUM(Upload_Indiv[[#This Row],[Eagle1]:[Eagle9]])</f>
        <v>0</v>
      </c>
    </row>
    <row r="42" spans="1:61" x14ac:dyDescent="0.25">
      <c r="A42" t="s">
        <v>532</v>
      </c>
      <c r="B42" t="s">
        <v>471</v>
      </c>
      <c r="C42" s="119">
        <v>45831</v>
      </c>
      <c r="D42" t="s">
        <v>28</v>
      </c>
      <c r="E42" t="s">
        <v>30</v>
      </c>
      <c r="F42" t="s">
        <v>408</v>
      </c>
      <c r="G42">
        <v>1</v>
      </c>
      <c r="H42" t="s">
        <v>315</v>
      </c>
      <c r="I42" t="s">
        <v>407</v>
      </c>
      <c r="J42">
        <v>6</v>
      </c>
      <c r="K42">
        <v>6</v>
      </c>
      <c r="L42">
        <v>6</v>
      </c>
      <c r="M42">
        <v>7</v>
      </c>
      <c r="N42">
        <v>5</v>
      </c>
      <c r="O42">
        <v>5</v>
      </c>
      <c r="P42">
        <v>7</v>
      </c>
      <c r="Q42">
        <v>6</v>
      </c>
      <c r="R42">
        <v>6</v>
      </c>
      <c r="S42">
        <v>54</v>
      </c>
      <c r="T42">
        <v>15.74</v>
      </c>
      <c r="U42">
        <v>38</v>
      </c>
      <c r="V42">
        <v>2</v>
      </c>
      <c r="W42">
        <v>2</v>
      </c>
      <c r="X42">
        <v>2</v>
      </c>
      <c r="Y42">
        <v>1</v>
      </c>
      <c r="Z42">
        <v>1</v>
      </c>
      <c r="AA42">
        <v>2</v>
      </c>
      <c r="AB42">
        <v>2</v>
      </c>
      <c r="AC42">
        <v>2</v>
      </c>
      <c r="AD42">
        <v>2</v>
      </c>
      <c r="AE42">
        <v>2</v>
      </c>
      <c r="AF42">
        <v>2</v>
      </c>
      <c r="AG42">
        <v>1</v>
      </c>
      <c r="AH42">
        <v>0</v>
      </c>
      <c r="AI42">
        <v>1</v>
      </c>
      <c r="AJ42">
        <v>2</v>
      </c>
      <c r="AK42">
        <v>1</v>
      </c>
      <c r="AL42">
        <v>0</v>
      </c>
      <c r="AM42">
        <v>1</v>
      </c>
      <c r="AN42">
        <v>1</v>
      </c>
      <c r="AO42">
        <v>11</v>
      </c>
      <c r="AY42">
        <f>SUM(Upload_Indiv[[#This Row],[Bird1]:[Bird9]])</f>
        <v>0</v>
      </c>
      <c r="BI42">
        <f>SUM(Upload_Indiv[[#This Row],[Eagle1]:[Eagle9]])</f>
        <v>0</v>
      </c>
    </row>
    <row r="43" spans="1:61" x14ac:dyDescent="0.25">
      <c r="A43" t="s">
        <v>532</v>
      </c>
      <c r="B43" t="s">
        <v>471</v>
      </c>
      <c r="C43" s="119">
        <v>45831</v>
      </c>
      <c r="D43" t="s">
        <v>28</v>
      </c>
      <c r="E43" t="s">
        <v>30</v>
      </c>
      <c r="F43" t="s">
        <v>408</v>
      </c>
      <c r="G43">
        <v>2</v>
      </c>
      <c r="H43" t="s">
        <v>320</v>
      </c>
      <c r="I43" t="s">
        <v>407</v>
      </c>
      <c r="J43">
        <v>6</v>
      </c>
      <c r="K43">
        <v>6</v>
      </c>
      <c r="L43">
        <v>6</v>
      </c>
      <c r="M43">
        <v>8</v>
      </c>
      <c r="N43">
        <v>5</v>
      </c>
      <c r="O43">
        <v>5</v>
      </c>
      <c r="P43">
        <v>7</v>
      </c>
      <c r="Q43">
        <v>6</v>
      </c>
      <c r="R43">
        <v>6</v>
      </c>
      <c r="S43">
        <v>55</v>
      </c>
      <c r="T43">
        <v>16.7</v>
      </c>
      <c r="U43">
        <v>38</v>
      </c>
      <c r="V43">
        <v>2</v>
      </c>
      <c r="W43">
        <v>2</v>
      </c>
      <c r="X43">
        <v>2</v>
      </c>
      <c r="Y43">
        <v>2</v>
      </c>
      <c r="Z43">
        <v>1</v>
      </c>
      <c r="AA43">
        <v>2</v>
      </c>
      <c r="AB43">
        <v>2</v>
      </c>
      <c r="AC43">
        <v>2</v>
      </c>
      <c r="AD43">
        <v>2</v>
      </c>
      <c r="AE43">
        <v>2</v>
      </c>
      <c r="AF43">
        <v>2</v>
      </c>
      <c r="AG43">
        <v>1</v>
      </c>
      <c r="AH43">
        <v>0</v>
      </c>
      <c r="AI43">
        <v>1</v>
      </c>
      <c r="AJ43">
        <v>2</v>
      </c>
      <c r="AK43">
        <v>1</v>
      </c>
      <c r="AL43">
        <v>0</v>
      </c>
      <c r="AM43">
        <v>1</v>
      </c>
      <c r="AN43">
        <v>1</v>
      </c>
      <c r="AO43">
        <v>11</v>
      </c>
      <c r="AY43">
        <f>SUM(Upload_Indiv[[#This Row],[Bird1]:[Bird9]])</f>
        <v>0</v>
      </c>
      <c r="BI43">
        <f>SUM(Upload_Indiv[[#This Row],[Eagle1]:[Eagle9]])</f>
        <v>0</v>
      </c>
    </row>
    <row r="44" spans="1:61" x14ac:dyDescent="0.25">
      <c r="A44" t="s">
        <v>532</v>
      </c>
      <c r="B44" t="s">
        <v>471</v>
      </c>
      <c r="C44" s="119">
        <v>45831</v>
      </c>
      <c r="D44" t="s">
        <v>28</v>
      </c>
      <c r="E44" t="s">
        <v>30</v>
      </c>
      <c r="F44" t="s">
        <v>408</v>
      </c>
      <c r="G44">
        <v>3</v>
      </c>
      <c r="H44" t="s">
        <v>317</v>
      </c>
      <c r="I44" t="s">
        <v>407</v>
      </c>
      <c r="J44">
        <v>5</v>
      </c>
      <c r="K44">
        <v>6</v>
      </c>
      <c r="L44">
        <v>7</v>
      </c>
      <c r="M44">
        <v>5</v>
      </c>
      <c r="N44">
        <v>7</v>
      </c>
      <c r="O44">
        <v>5</v>
      </c>
      <c r="P44">
        <v>7</v>
      </c>
      <c r="Q44">
        <v>6</v>
      </c>
      <c r="R44">
        <v>6</v>
      </c>
      <c r="S44">
        <v>54</v>
      </c>
      <c r="T44">
        <v>17.66</v>
      </c>
      <c r="U44">
        <v>36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0</v>
      </c>
      <c r="AH44">
        <v>1</v>
      </c>
      <c r="AI44">
        <v>0</v>
      </c>
      <c r="AJ44">
        <v>2</v>
      </c>
      <c r="AK44">
        <v>1</v>
      </c>
      <c r="AL44">
        <v>0</v>
      </c>
      <c r="AM44">
        <v>1</v>
      </c>
      <c r="AN44">
        <v>2</v>
      </c>
      <c r="AO44">
        <v>11</v>
      </c>
      <c r="AY44">
        <f>SUM(Upload_Indiv[[#This Row],[Bird1]:[Bird9]])</f>
        <v>0</v>
      </c>
      <c r="BI44">
        <f>SUM(Upload_Indiv[[#This Row],[Eagle1]:[Eagle9]])</f>
        <v>0</v>
      </c>
    </row>
    <row r="45" spans="1:61" x14ac:dyDescent="0.25">
      <c r="A45" t="s">
        <v>532</v>
      </c>
      <c r="B45" t="s">
        <v>471</v>
      </c>
      <c r="C45" s="119">
        <v>45831</v>
      </c>
      <c r="D45" t="s">
        <v>28</v>
      </c>
      <c r="E45" t="s">
        <v>30</v>
      </c>
      <c r="F45" t="s">
        <v>408</v>
      </c>
      <c r="G45">
        <v>4</v>
      </c>
      <c r="H45" t="s">
        <v>101</v>
      </c>
      <c r="I45" t="s">
        <v>407</v>
      </c>
      <c r="J45">
        <v>5</v>
      </c>
      <c r="K45">
        <v>8</v>
      </c>
      <c r="L45">
        <v>6</v>
      </c>
      <c r="M45">
        <v>7</v>
      </c>
      <c r="N45">
        <v>7</v>
      </c>
      <c r="O45">
        <v>6</v>
      </c>
      <c r="P45">
        <v>8</v>
      </c>
      <c r="Q45">
        <v>6</v>
      </c>
      <c r="R45">
        <v>6</v>
      </c>
      <c r="S45">
        <v>59</v>
      </c>
      <c r="T45">
        <v>18.62</v>
      </c>
      <c r="U45">
        <v>40</v>
      </c>
      <c r="V45">
        <v>2</v>
      </c>
      <c r="W45">
        <v>2</v>
      </c>
      <c r="X45">
        <v>2</v>
      </c>
      <c r="Y45">
        <v>2</v>
      </c>
      <c r="Z45">
        <v>2</v>
      </c>
      <c r="AA45">
        <v>3</v>
      </c>
      <c r="AB45">
        <v>2</v>
      </c>
      <c r="AC45">
        <v>2</v>
      </c>
      <c r="AD45">
        <v>2</v>
      </c>
      <c r="AE45">
        <v>2</v>
      </c>
      <c r="AF45">
        <v>0</v>
      </c>
      <c r="AG45">
        <v>1</v>
      </c>
      <c r="AH45">
        <v>0</v>
      </c>
      <c r="AI45">
        <v>0</v>
      </c>
      <c r="AJ45">
        <v>2</v>
      </c>
      <c r="AK45">
        <v>0</v>
      </c>
      <c r="AL45">
        <v>0</v>
      </c>
      <c r="AM45">
        <v>1</v>
      </c>
      <c r="AN45">
        <v>0</v>
      </c>
      <c r="AO45">
        <v>6</v>
      </c>
      <c r="AY45">
        <f>SUM(Upload_Indiv[[#This Row],[Bird1]:[Bird9]])</f>
        <v>0</v>
      </c>
      <c r="BI45">
        <f>SUM(Upload_Indiv[[#This Row],[Eagle1]:[Eagle9]])</f>
        <v>0</v>
      </c>
    </row>
    <row r="46" spans="1:61" x14ac:dyDescent="0.25">
      <c r="A46" t="s">
        <v>532</v>
      </c>
      <c r="B46" t="s">
        <v>471</v>
      </c>
      <c r="C46" s="119">
        <v>45831</v>
      </c>
      <c r="D46" t="s">
        <v>30</v>
      </c>
      <c r="E46" t="s">
        <v>28</v>
      </c>
      <c r="F46" t="s">
        <v>408</v>
      </c>
      <c r="G46">
        <v>1</v>
      </c>
      <c r="H46" t="s">
        <v>323</v>
      </c>
      <c r="I46" t="s">
        <v>407</v>
      </c>
      <c r="J46">
        <v>5</v>
      </c>
      <c r="K46">
        <v>5</v>
      </c>
      <c r="L46">
        <v>4</v>
      </c>
      <c r="M46">
        <v>3</v>
      </c>
      <c r="N46">
        <v>4</v>
      </c>
      <c r="O46">
        <v>5</v>
      </c>
      <c r="P46">
        <v>5</v>
      </c>
      <c r="Q46">
        <v>3</v>
      </c>
      <c r="R46">
        <v>4</v>
      </c>
      <c r="S46">
        <v>38</v>
      </c>
      <c r="T46">
        <v>0</v>
      </c>
      <c r="U46">
        <v>38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1</v>
      </c>
      <c r="AH46">
        <v>2</v>
      </c>
      <c r="AI46">
        <v>1</v>
      </c>
      <c r="AJ46">
        <v>0</v>
      </c>
      <c r="AK46">
        <v>1</v>
      </c>
      <c r="AL46">
        <v>2</v>
      </c>
      <c r="AM46">
        <v>1</v>
      </c>
      <c r="AN46">
        <v>1</v>
      </c>
      <c r="AO46">
        <v>9</v>
      </c>
      <c r="AY46">
        <f>SUM(Upload_Indiv[[#This Row],[Bird1]:[Bird9]])</f>
        <v>0</v>
      </c>
      <c r="BI46">
        <f>SUM(Upload_Indiv[[#This Row],[Eagle1]:[Eagle9]])</f>
        <v>0</v>
      </c>
    </row>
    <row r="47" spans="1:61" x14ac:dyDescent="0.25">
      <c r="A47" t="s">
        <v>532</v>
      </c>
      <c r="B47" t="s">
        <v>471</v>
      </c>
      <c r="C47" s="119">
        <v>45831</v>
      </c>
      <c r="D47" t="s">
        <v>30</v>
      </c>
      <c r="E47" t="s">
        <v>28</v>
      </c>
      <c r="F47" t="s">
        <v>408</v>
      </c>
      <c r="G47">
        <v>2</v>
      </c>
      <c r="H47" t="s">
        <v>324</v>
      </c>
      <c r="I47" t="s">
        <v>407</v>
      </c>
      <c r="J47">
        <v>5</v>
      </c>
      <c r="K47">
        <v>5</v>
      </c>
      <c r="L47">
        <v>4</v>
      </c>
      <c r="M47">
        <v>3</v>
      </c>
      <c r="N47">
        <v>4</v>
      </c>
      <c r="O47">
        <v>5</v>
      </c>
      <c r="P47">
        <v>5</v>
      </c>
      <c r="Q47">
        <v>3</v>
      </c>
      <c r="R47">
        <v>4</v>
      </c>
      <c r="S47">
        <v>38</v>
      </c>
      <c r="T47">
        <v>0</v>
      </c>
      <c r="U47">
        <v>38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2</v>
      </c>
      <c r="AI47">
        <v>1</v>
      </c>
      <c r="AJ47">
        <v>0</v>
      </c>
      <c r="AK47">
        <v>1</v>
      </c>
      <c r="AL47">
        <v>2</v>
      </c>
      <c r="AM47">
        <v>1</v>
      </c>
      <c r="AN47">
        <v>1</v>
      </c>
      <c r="AO47">
        <v>9</v>
      </c>
      <c r="AY47">
        <f>SUM(Upload_Indiv[[#This Row],[Bird1]:[Bird9]])</f>
        <v>0</v>
      </c>
      <c r="BI47">
        <f>SUM(Upload_Indiv[[#This Row],[Eagle1]:[Eagle9]])</f>
        <v>0</v>
      </c>
    </row>
    <row r="48" spans="1:61" x14ac:dyDescent="0.25">
      <c r="A48" t="s">
        <v>532</v>
      </c>
      <c r="B48" t="s">
        <v>471</v>
      </c>
      <c r="C48" s="119">
        <v>45831</v>
      </c>
      <c r="D48" t="s">
        <v>30</v>
      </c>
      <c r="E48" t="s">
        <v>28</v>
      </c>
      <c r="F48" t="s">
        <v>408</v>
      </c>
      <c r="G48">
        <v>3</v>
      </c>
      <c r="H48" t="s">
        <v>325</v>
      </c>
      <c r="I48" t="s">
        <v>407</v>
      </c>
      <c r="J48">
        <v>5</v>
      </c>
      <c r="K48">
        <v>5</v>
      </c>
      <c r="L48">
        <v>4</v>
      </c>
      <c r="M48">
        <v>3</v>
      </c>
      <c r="N48">
        <v>4</v>
      </c>
      <c r="O48">
        <v>5</v>
      </c>
      <c r="P48">
        <v>5</v>
      </c>
      <c r="Q48">
        <v>3</v>
      </c>
      <c r="R48">
        <v>4</v>
      </c>
      <c r="S48">
        <v>38</v>
      </c>
      <c r="T48">
        <v>0</v>
      </c>
      <c r="U48">
        <v>38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2</v>
      </c>
      <c r="AH48">
        <v>1</v>
      </c>
      <c r="AI48">
        <v>2</v>
      </c>
      <c r="AJ48">
        <v>0</v>
      </c>
      <c r="AK48">
        <v>1</v>
      </c>
      <c r="AL48">
        <v>2</v>
      </c>
      <c r="AM48">
        <v>1</v>
      </c>
      <c r="AN48">
        <v>0</v>
      </c>
      <c r="AO48">
        <v>9</v>
      </c>
      <c r="AY48">
        <f>SUM(Upload_Indiv[[#This Row],[Bird1]:[Bird9]])</f>
        <v>0</v>
      </c>
      <c r="BI48">
        <f>SUM(Upload_Indiv[[#This Row],[Eagle1]:[Eagle9]])</f>
        <v>0</v>
      </c>
    </row>
    <row r="49" spans="1:61" x14ac:dyDescent="0.25">
      <c r="A49" t="s">
        <v>532</v>
      </c>
      <c r="B49" t="s">
        <v>471</v>
      </c>
      <c r="C49" s="119">
        <v>45831</v>
      </c>
      <c r="D49" t="s">
        <v>30</v>
      </c>
      <c r="E49" t="s">
        <v>28</v>
      </c>
      <c r="F49" t="s">
        <v>408</v>
      </c>
      <c r="G49">
        <v>4</v>
      </c>
      <c r="H49" t="s">
        <v>326</v>
      </c>
      <c r="I49" t="s">
        <v>407</v>
      </c>
      <c r="J49">
        <v>5</v>
      </c>
      <c r="K49">
        <v>5</v>
      </c>
      <c r="L49">
        <v>4</v>
      </c>
      <c r="M49">
        <v>3</v>
      </c>
      <c r="N49">
        <v>4</v>
      </c>
      <c r="O49">
        <v>5</v>
      </c>
      <c r="P49">
        <v>5</v>
      </c>
      <c r="Q49">
        <v>3</v>
      </c>
      <c r="R49">
        <v>4</v>
      </c>
      <c r="S49">
        <v>38</v>
      </c>
      <c r="T49">
        <v>0</v>
      </c>
      <c r="U49">
        <v>38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2</v>
      </c>
      <c r="AG49">
        <v>1</v>
      </c>
      <c r="AH49">
        <v>2</v>
      </c>
      <c r="AI49">
        <v>2</v>
      </c>
      <c r="AJ49">
        <v>0</v>
      </c>
      <c r="AK49">
        <v>2</v>
      </c>
      <c r="AL49">
        <v>2</v>
      </c>
      <c r="AM49">
        <v>1</v>
      </c>
      <c r="AN49">
        <v>2</v>
      </c>
      <c r="AO49">
        <v>14</v>
      </c>
      <c r="AY49">
        <f>SUM(Upload_Indiv[[#This Row],[Bird1]:[Bird9]])</f>
        <v>0</v>
      </c>
      <c r="BI49">
        <f>SUM(Upload_Indiv[[#This Row],[Eagle1]:[Eagle9]])</f>
        <v>0</v>
      </c>
    </row>
    <row r="50" spans="1:61" x14ac:dyDescent="0.25">
      <c r="A50" t="s">
        <v>530</v>
      </c>
      <c r="B50" t="s">
        <v>471</v>
      </c>
      <c r="C50" s="119">
        <v>45831</v>
      </c>
      <c r="D50" t="s">
        <v>20</v>
      </c>
      <c r="E50" t="s">
        <v>22</v>
      </c>
      <c r="F50" t="s">
        <v>406</v>
      </c>
      <c r="G50">
        <v>1</v>
      </c>
      <c r="H50" t="s">
        <v>283</v>
      </c>
      <c r="I50" t="s">
        <v>407</v>
      </c>
      <c r="J50">
        <v>5</v>
      </c>
      <c r="K50">
        <v>4</v>
      </c>
      <c r="L50">
        <v>5</v>
      </c>
      <c r="M50">
        <v>6</v>
      </c>
      <c r="N50">
        <v>5</v>
      </c>
      <c r="O50">
        <v>6</v>
      </c>
      <c r="P50">
        <v>4</v>
      </c>
      <c r="Q50">
        <v>5</v>
      </c>
      <c r="R50">
        <v>6</v>
      </c>
      <c r="S50">
        <v>46</v>
      </c>
      <c r="T50">
        <v>7.3</v>
      </c>
      <c r="U50">
        <v>39</v>
      </c>
      <c r="V50">
        <v>0</v>
      </c>
      <c r="W50">
        <v>0</v>
      </c>
      <c r="X50">
        <v>0</v>
      </c>
      <c r="Y50">
        <v>1</v>
      </c>
      <c r="Z50">
        <v>1</v>
      </c>
      <c r="AA50">
        <v>0</v>
      </c>
      <c r="AB50">
        <v>0</v>
      </c>
      <c r="AC50">
        <v>1</v>
      </c>
      <c r="AD50">
        <v>0</v>
      </c>
      <c r="AE50">
        <v>2</v>
      </c>
      <c r="AF50">
        <v>1</v>
      </c>
      <c r="AG50">
        <v>1</v>
      </c>
      <c r="AH50">
        <v>0</v>
      </c>
      <c r="AI50">
        <v>2</v>
      </c>
      <c r="AJ50">
        <v>1</v>
      </c>
      <c r="AK50">
        <v>0</v>
      </c>
      <c r="AL50">
        <v>1</v>
      </c>
      <c r="AM50">
        <v>0</v>
      </c>
      <c r="AN50">
        <v>0</v>
      </c>
      <c r="AO50">
        <v>8</v>
      </c>
      <c r="AY50">
        <f>SUM(Upload_Indiv[[#This Row],[Bird1]:[Bird9]])</f>
        <v>0</v>
      </c>
      <c r="BI50">
        <f>SUM(Upload_Indiv[[#This Row],[Eagle1]:[Eagle9]])</f>
        <v>0</v>
      </c>
    </row>
    <row r="51" spans="1:61" x14ac:dyDescent="0.25">
      <c r="A51" t="s">
        <v>530</v>
      </c>
      <c r="B51" t="s">
        <v>471</v>
      </c>
      <c r="C51" s="119">
        <v>45831</v>
      </c>
      <c r="D51" t="s">
        <v>20</v>
      </c>
      <c r="E51" t="s">
        <v>22</v>
      </c>
      <c r="F51" t="s">
        <v>406</v>
      </c>
      <c r="G51">
        <v>2</v>
      </c>
      <c r="H51" t="s">
        <v>153</v>
      </c>
      <c r="I51" t="s">
        <v>407</v>
      </c>
      <c r="J51">
        <v>5</v>
      </c>
      <c r="K51">
        <v>4</v>
      </c>
      <c r="L51">
        <v>5</v>
      </c>
      <c r="M51">
        <v>6</v>
      </c>
      <c r="N51">
        <v>7</v>
      </c>
      <c r="O51">
        <v>5</v>
      </c>
      <c r="P51">
        <v>5</v>
      </c>
      <c r="Q51">
        <v>5</v>
      </c>
      <c r="R51">
        <v>7</v>
      </c>
      <c r="S51">
        <v>49</v>
      </c>
      <c r="T51">
        <v>8.4499999999999993</v>
      </c>
      <c r="U51">
        <v>41</v>
      </c>
      <c r="V51">
        <v>0</v>
      </c>
      <c r="W51">
        <v>0</v>
      </c>
      <c r="X51">
        <v>0</v>
      </c>
      <c r="Y51">
        <v>1</v>
      </c>
      <c r="Z51">
        <v>0</v>
      </c>
      <c r="AA51">
        <v>0</v>
      </c>
      <c r="AB51">
        <v>0</v>
      </c>
      <c r="AC51">
        <v>1</v>
      </c>
      <c r="AD51">
        <v>0</v>
      </c>
      <c r="AE51">
        <v>2</v>
      </c>
      <c r="AF51">
        <v>2</v>
      </c>
      <c r="AG51">
        <v>1</v>
      </c>
      <c r="AH51">
        <v>1</v>
      </c>
      <c r="AI51">
        <v>0</v>
      </c>
      <c r="AJ51">
        <v>0</v>
      </c>
      <c r="AK51">
        <v>0</v>
      </c>
      <c r="AL51">
        <v>1</v>
      </c>
      <c r="AM51">
        <v>0</v>
      </c>
      <c r="AN51">
        <v>0</v>
      </c>
      <c r="AO51">
        <v>7</v>
      </c>
      <c r="AY51">
        <f>SUM(Upload_Indiv[[#This Row],[Bird1]:[Bird9]])</f>
        <v>0</v>
      </c>
      <c r="BI51">
        <f>SUM(Upload_Indiv[[#This Row],[Eagle1]:[Eagle9]])</f>
        <v>0</v>
      </c>
    </row>
    <row r="52" spans="1:61" x14ac:dyDescent="0.25">
      <c r="A52" t="s">
        <v>530</v>
      </c>
      <c r="B52" t="s">
        <v>471</v>
      </c>
      <c r="C52" s="119">
        <v>45831</v>
      </c>
      <c r="D52" t="s">
        <v>20</v>
      </c>
      <c r="E52" t="s">
        <v>22</v>
      </c>
      <c r="F52" t="s">
        <v>406</v>
      </c>
      <c r="G52">
        <v>3</v>
      </c>
      <c r="H52" t="s">
        <v>513</v>
      </c>
      <c r="I52" t="s">
        <v>407</v>
      </c>
      <c r="J52">
        <v>5</v>
      </c>
      <c r="K52">
        <v>3</v>
      </c>
      <c r="L52">
        <v>5</v>
      </c>
      <c r="M52">
        <v>3</v>
      </c>
      <c r="N52">
        <v>5</v>
      </c>
      <c r="O52">
        <v>9</v>
      </c>
      <c r="P52">
        <v>4</v>
      </c>
      <c r="Q52">
        <v>5</v>
      </c>
      <c r="R52">
        <v>9</v>
      </c>
      <c r="S52">
        <v>48</v>
      </c>
      <c r="T52">
        <v>10.56</v>
      </c>
      <c r="U52">
        <v>37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</v>
      </c>
      <c r="AF52">
        <v>2</v>
      </c>
      <c r="AG52">
        <v>0</v>
      </c>
      <c r="AH52">
        <v>2</v>
      </c>
      <c r="AI52">
        <v>0</v>
      </c>
      <c r="AJ52">
        <v>0</v>
      </c>
      <c r="AK52">
        <v>2</v>
      </c>
      <c r="AL52">
        <v>0</v>
      </c>
      <c r="AM52">
        <v>0</v>
      </c>
      <c r="AN52">
        <v>0</v>
      </c>
      <c r="AO52">
        <v>7</v>
      </c>
      <c r="AS52">
        <v>1</v>
      </c>
      <c r="AY52">
        <f>SUM(Upload_Indiv[[#This Row],[Bird1]:[Bird9]])</f>
        <v>1</v>
      </c>
      <c r="BI52">
        <f>SUM(Upload_Indiv[[#This Row],[Eagle1]:[Eagle9]])</f>
        <v>0</v>
      </c>
    </row>
    <row r="53" spans="1:61" x14ac:dyDescent="0.25">
      <c r="A53" t="s">
        <v>530</v>
      </c>
      <c r="B53" t="s">
        <v>471</v>
      </c>
      <c r="C53" s="119">
        <v>45831</v>
      </c>
      <c r="D53" t="s">
        <v>20</v>
      </c>
      <c r="E53" t="s">
        <v>22</v>
      </c>
      <c r="F53" t="s">
        <v>406</v>
      </c>
      <c r="G53">
        <v>4</v>
      </c>
      <c r="H53" t="s">
        <v>431</v>
      </c>
      <c r="I53" t="s">
        <v>407</v>
      </c>
      <c r="J53">
        <v>5</v>
      </c>
      <c r="K53">
        <v>3</v>
      </c>
      <c r="L53">
        <v>5</v>
      </c>
      <c r="M53">
        <v>5</v>
      </c>
      <c r="N53">
        <v>6</v>
      </c>
      <c r="O53">
        <v>5</v>
      </c>
      <c r="P53">
        <v>3</v>
      </c>
      <c r="Q53">
        <v>4</v>
      </c>
      <c r="R53">
        <v>5</v>
      </c>
      <c r="S53">
        <v>41</v>
      </c>
      <c r="T53">
        <v>3.8</v>
      </c>
      <c r="U53">
        <v>37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2</v>
      </c>
      <c r="AF53">
        <v>2</v>
      </c>
      <c r="AG53">
        <v>0</v>
      </c>
      <c r="AH53">
        <v>1</v>
      </c>
      <c r="AI53">
        <v>0</v>
      </c>
      <c r="AJ53">
        <v>0</v>
      </c>
      <c r="AK53">
        <v>0</v>
      </c>
      <c r="AL53">
        <v>1</v>
      </c>
      <c r="AM53">
        <v>2</v>
      </c>
      <c r="AN53">
        <v>2</v>
      </c>
      <c r="AO53">
        <v>10</v>
      </c>
      <c r="AY53">
        <f>SUM(Upload_Indiv[[#This Row],[Bird1]:[Bird9]])</f>
        <v>0</v>
      </c>
      <c r="BI53">
        <f>SUM(Upload_Indiv[[#This Row],[Eagle1]:[Eagle9]])</f>
        <v>0</v>
      </c>
    </row>
    <row r="54" spans="1:61" x14ac:dyDescent="0.25">
      <c r="A54" t="s">
        <v>530</v>
      </c>
      <c r="B54" t="s">
        <v>471</v>
      </c>
      <c r="C54" s="119">
        <v>45831</v>
      </c>
      <c r="D54" t="s">
        <v>22</v>
      </c>
      <c r="E54" t="s">
        <v>20</v>
      </c>
      <c r="F54" t="s">
        <v>406</v>
      </c>
      <c r="G54">
        <v>1</v>
      </c>
      <c r="H54" t="s">
        <v>156</v>
      </c>
      <c r="I54" t="s">
        <v>407</v>
      </c>
      <c r="J54">
        <v>6</v>
      </c>
      <c r="K54">
        <v>4</v>
      </c>
      <c r="L54">
        <v>5</v>
      </c>
      <c r="M54">
        <v>4</v>
      </c>
      <c r="N54">
        <v>6</v>
      </c>
      <c r="O54">
        <v>6</v>
      </c>
      <c r="P54">
        <v>3</v>
      </c>
      <c r="Q54">
        <v>4</v>
      </c>
      <c r="R54">
        <v>5</v>
      </c>
      <c r="S54">
        <v>43</v>
      </c>
      <c r="T54">
        <v>4.6100000000000003</v>
      </c>
      <c r="U54">
        <v>38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2</v>
      </c>
      <c r="AI54">
        <v>0</v>
      </c>
      <c r="AJ54">
        <v>1</v>
      </c>
      <c r="AK54">
        <v>2</v>
      </c>
      <c r="AL54">
        <v>1</v>
      </c>
      <c r="AM54">
        <v>2</v>
      </c>
      <c r="AN54">
        <v>2</v>
      </c>
      <c r="AO54">
        <v>12</v>
      </c>
      <c r="AY54">
        <f>SUM(Upload_Indiv[[#This Row],[Bird1]:[Bird9]])</f>
        <v>0</v>
      </c>
      <c r="BI54">
        <f>SUM(Upload_Indiv[[#This Row],[Eagle1]:[Eagle9]])</f>
        <v>0</v>
      </c>
    </row>
    <row r="55" spans="1:61" x14ac:dyDescent="0.25">
      <c r="A55" t="s">
        <v>530</v>
      </c>
      <c r="B55" t="s">
        <v>471</v>
      </c>
      <c r="C55" s="119">
        <v>45831</v>
      </c>
      <c r="D55" t="s">
        <v>22</v>
      </c>
      <c r="E55" t="s">
        <v>20</v>
      </c>
      <c r="F55" t="s">
        <v>406</v>
      </c>
      <c r="G55">
        <v>2</v>
      </c>
      <c r="H55" t="s">
        <v>433</v>
      </c>
      <c r="I55" t="s">
        <v>407</v>
      </c>
      <c r="J55">
        <v>6</v>
      </c>
      <c r="K55">
        <v>6</v>
      </c>
      <c r="L55">
        <v>5</v>
      </c>
      <c r="M55">
        <v>5</v>
      </c>
      <c r="N55">
        <v>5</v>
      </c>
      <c r="O55">
        <v>4</v>
      </c>
      <c r="P55">
        <v>3</v>
      </c>
      <c r="Q55">
        <v>4</v>
      </c>
      <c r="R55">
        <v>5</v>
      </c>
      <c r="S55">
        <v>43</v>
      </c>
      <c r="T55">
        <v>6.72</v>
      </c>
      <c r="U55">
        <v>36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1</v>
      </c>
      <c r="AH55">
        <v>1</v>
      </c>
      <c r="AI55">
        <v>2</v>
      </c>
      <c r="AJ55">
        <v>2</v>
      </c>
      <c r="AK55">
        <v>2</v>
      </c>
      <c r="AL55">
        <v>1</v>
      </c>
      <c r="AM55">
        <v>2</v>
      </c>
      <c r="AN55">
        <v>2</v>
      </c>
      <c r="AO55">
        <v>13</v>
      </c>
      <c r="AU55">
        <v>1</v>
      </c>
      <c r="AY55">
        <f>SUM(Upload_Indiv[[#This Row],[Bird1]:[Bird9]])</f>
        <v>1</v>
      </c>
      <c r="BI55">
        <f>SUM(Upload_Indiv[[#This Row],[Eagle1]:[Eagle9]])</f>
        <v>0</v>
      </c>
    </row>
    <row r="56" spans="1:61" x14ac:dyDescent="0.25">
      <c r="A56" t="s">
        <v>530</v>
      </c>
      <c r="B56" t="s">
        <v>471</v>
      </c>
      <c r="C56" s="119">
        <v>45831</v>
      </c>
      <c r="D56" t="s">
        <v>22</v>
      </c>
      <c r="E56" t="s">
        <v>20</v>
      </c>
      <c r="F56" t="s">
        <v>406</v>
      </c>
      <c r="G56">
        <v>3</v>
      </c>
      <c r="H56" t="s">
        <v>148</v>
      </c>
      <c r="I56" t="s">
        <v>407</v>
      </c>
      <c r="J56">
        <v>5</v>
      </c>
      <c r="K56">
        <v>5</v>
      </c>
      <c r="L56">
        <v>4</v>
      </c>
      <c r="M56">
        <v>7</v>
      </c>
      <c r="N56">
        <v>5</v>
      </c>
      <c r="O56">
        <v>6</v>
      </c>
      <c r="P56">
        <v>5</v>
      </c>
      <c r="Q56">
        <v>4</v>
      </c>
      <c r="R56">
        <v>8</v>
      </c>
      <c r="S56">
        <v>49</v>
      </c>
      <c r="T56">
        <v>13.63</v>
      </c>
      <c r="U56">
        <v>35</v>
      </c>
      <c r="V56">
        <v>0</v>
      </c>
      <c r="W56">
        <v>0</v>
      </c>
      <c r="X56">
        <v>0</v>
      </c>
      <c r="Y56">
        <v>1</v>
      </c>
      <c r="Z56">
        <v>1</v>
      </c>
      <c r="AA56">
        <v>0</v>
      </c>
      <c r="AB56">
        <v>0</v>
      </c>
      <c r="AC56">
        <v>1</v>
      </c>
      <c r="AD56">
        <v>0</v>
      </c>
      <c r="AE56">
        <v>1</v>
      </c>
      <c r="AF56">
        <v>0</v>
      </c>
      <c r="AG56">
        <v>2</v>
      </c>
      <c r="AH56">
        <v>0</v>
      </c>
      <c r="AI56">
        <v>2</v>
      </c>
      <c r="AJ56">
        <v>2</v>
      </c>
      <c r="AK56">
        <v>0</v>
      </c>
      <c r="AL56">
        <v>2</v>
      </c>
      <c r="AM56">
        <v>2</v>
      </c>
      <c r="AN56">
        <v>2</v>
      </c>
      <c r="AO56">
        <v>13</v>
      </c>
      <c r="AY56">
        <f>SUM(Upload_Indiv[[#This Row],[Bird1]:[Bird9]])</f>
        <v>0</v>
      </c>
      <c r="BI56">
        <f>SUM(Upload_Indiv[[#This Row],[Eagle1]:[Eagle9]])</f>
        <v>0</v>
      </c>
    </row>
    <row r="57" spans="1:61" x14ac:dyDescent="0.25">
      <c r="A57" t="s">
        <v>530</v>
      </c>
      <c r="B57" t="s">
        <v>471</v>
      </c>
      <c r="C57" s="119">
        <v>45831</v>
      </c>
      <c r="D57" t="s">
        <v>22</v>
      </c>
      <c r="E57" t="s">
        <v>20</v>
      </c>
      <c r="F57" t="s">
        <v>406</v>
      </c>
      <c r="G57">
        <v>4</v>
      </c>
      <c r="H57" t="s">
        <v>158</v>
      </c>
      <c r="I57" t="s">
        <v>407</v>
      </c>
      <c r="J57">
        <v>7</v>
      </c>
      <c r="K57">
        <v>6</v>
      </c>
      <c r="L57">
        <v>5</v>
      </c>
      <c r="M57">
        <v>7</v>
      </c>
      <c r="N57">
        <v>6</v>
      </c>
      <c r="O57">
        <v>5</v>
      </c>
      <c r="P57">
        <v>3</v>
      </c>
      <c r="Q57">
        <v>6</v>
      </c>
      <c r="R57">
        <v>7</v>
      </c>
      <c r="S57">
        <v>52</v>
      </c>
      <c r="T57">
        <v>14.4</v>
      </c>
      <c r="U57">
        <v>38</v>
      </c>
      <c r="V57">
        <v>1</v>
      </c>
      <c r="W57">
        <v>1</v>
      </c>
      <c r="X57">
        <v>1</v>
      </c>
      <c r="Y57">
        <v>2</v>
      </c>
      <c r="Z57">
        <v>1</v>
      </c>
      <c r="AA57">
        <v>1</v>
      </c>
      <c r="AB57">
        <v>1</v>
      </c>
      <c r="AC57">
        <v>2</v>
      </c>
      <c r="AD57">
        <v>1</v>
      </c>
      <c r="AE57">
        <v>0</v>
      </c>
      <c r="AF57">
        <v>0</v>
      </c>
      <c r="AG57">
        <v>2</v>
      </c>
      <c r="AH57">
        <v>1</v>
      </c>
      <c r="AI57">
        <v>2</v>
      </c>
      <c r="AJ57">
        <v>2</v>
      </c>
      <c r="AK57">
        <v>2</v>
      </c>
      <c r="AL57">
        <v>1</v>
      </c>
      <c r="AM57">
        <v>0</v>
      </c>
      <c r="AN57">
        <v>0</v>
      </c>
      <c r="AO57">
        <v>10</v>
      </c>
      <c r="AY57">
        <f>SUM(Upload_Indiv[[#This Row],[Bird1]:[Bird9]])</f>
        <v>0</v>
      </c>
      <c r="BI57">
        <f>SUM(Upload_Indiv[[#This Row],[Eagle1]:[Eagle9]])</f>
        <v>0</v>
      </c>
    </row>
    <row r="58" spans="1:61" x14ac:dyDescent="0.25">
      <c r="A58" t="s">
        <v>531</v>
      </c>
      <c r="B58" t="s">
        <v>471</v>
      </c>
      <c r="C58" s="119">
        <v>45831</v>
      </c>
      <c r="D58" t="s">
        <v>18</v>
      </c>
      <c r="E58" t="s">
        <v>24</v>
      </c>
      <c r="F58" t="s">
        <v>406</v>
      </c>
      <c r="G58">
        <v>1</v>
      </c>
      <c r="H58" t="s">
        <v>258</v>
      </c>
      <c r="I58" t="s">
        <v>407</v>
      </c>
      <c r="J58">
        <v>5</v>
      </c>
      <c r="K58">
        <v>5</v>
      </c>
      <c r="L58">
        <v>4</v>
      </c>
      <c r="M58">
        <v>6</v>
      </c>
      <c r="N58">
        <v>6</v>
      </c>
      <c r="O58">
        <v>6</v>
      </c>
      <c r="P58">
        <v>4</v>
      </c>
      <c r="Q58">
        <v>6</v>
      </c>
      <c r="R58">
        <v>4</v>
      </c>
      <c r="S58">
        <v>46</v>
      </c>
      <c r="T58">
        <v>7.49</v>
      </c>
      <c r="U58">
        <v>39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2</v>
      </c>
      <c r="AH58">
        <v>0</v>
      </c>
      <c r="AI58">
        <v>1</v>
      </c>
      <c r="AJ58">
        <v>2</v>
      </c>
      <c r="AK58">
        <v>0</v>
      </c>
      <c r="AL58">
        <v>1</v>
      </c>
      <c r="AM58">
        <v>2</v>
      </c>
      <c r="AN58">
        <v>0</v>
      </c>
      <c r="AO58">
        <v>9</v>
      </c>
      <c r="AX58">
        <v>1</v>
      </c>
      <c r="AY58">
        <f>SUM(Upload_Indiv[[#This Row],[Bird1]:[Bird9]])</f>
        <v>1</v>
      </c>
      <c r="BI58">
        <f>SUM(Upload_Indiv[[#This Row],[Eagle1]:[Eagle9]])</f>
        <v>0</v>
      </c>
    </row>
    <row r="59" spans="1:61" x14ac:dyDescent="0.25">
      <c r="A59" t="s">
        <v>531</v>
      </c>
      <c r="B59" t="s">
        <v>471</v>
      </c>
      <c r="C59" s="119">
        <v>45831</v>
      </c>
      <c r="D59" t="s">
        <v>18</v>
      </c>
      <c r="E59" t="s">
        <v>24</v>
      </c>
      <c r="F59" t="s">
        <v>406</v>
      </c>
      <c r="G59">
        <v>2</v>
      </c>
      <c r="H59" t="s">
        <v>272</v>
      </c>
      <c r="I59" t="s">
        <v>407</v>
      </c>
      <c r="J59">
        <v>5</v>
      </c>
      <c r="K59">
        <v>4</v>
      </c>
      <c r="L59">
        <v>4</v>
      </c>
      <c r="M59">
        <v>6</v>
      </c>
      <c r="N59">
        <v>5</v>
      </c>
      <c r="O59">
        <v>5</v>
      </c>
      <c r="P59">
        <v>4</v>
      </c>
      <c r="Q59">
        <v>6</v>
      </c>
      <c r="R59">
        <v>5</v>
      </c>
      <c r="S59">
        <v>44</v>
      </c>
      <c r="T59">
        <v>8.64</v>
      </c>
      <c r="U59">
        <v>35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2</v>
      </c>
      <c r="AH59">
        <v>1</v>
      </c>
      <c r="AI59">
        <v>2</v>
      </c>
      <c r="AJ59">
        <v>2</v>
      </c>
      <c r="AK59">
        <v>1</v>
      </c>
      <c r="AL59">
        <v>1</v>
      </c>
      <c r="AM59">
        <v>2</v>
      </c>
      <c r="AN59">
        <v>2</v>
      </c>
      <c r="AO59">
        <v>15</v>
      </c>
      <c r="AY59">
        <f>SUM(Upload_Indiv[[#This Row],[Bird1]:[Bird9]])</f>
        <v>0</v>
      </c>
      <c r="BI59">
        <f>SUM(Upload_Indiv[[#This Row],[Eagle1]:[Eagle9]])</f>
        <v>0</v>
      </c>
    </row>
    <row r="60" spans="1:61" x14ac:dyDescent="0.25">
      <c r="A60" t="s">
        <v>531</v>
      </c>
      <c r="B60" t="s">
        <v>471</v>
      </c>
      <c r="C60" s="119">
        <v>45831</v>
      </c>
      <c r="D60" t="s">
        <v>18</v>
      </c>
      <c r="E60" t="s">
        <v>24</v>
      </c>
      <c r="F60" t="s">
        <v>406</v>
      </c>
      <c r="G60">
        <v>3</v>
      </c>
      <c r="H60" t="s">
        <v>274</v>
      </c>
      <c r="I60" t="s">
        <v>407</v>
      </c>
      <c r="J60">
        <v>5</v>
      </c>
      <c r="K60">
        <v>5</v>
      </c>
      <c r="L60">
        <v>5</v>
      </c>
      <c r="M60">
        <v>6</v>
      </c>
      <c r="N60">
        <v>6</v>
      </c>
      <c r="O60">
        <v>6</v>
      </c>
      <c r="P60">
        <v>4</v>
      </c>
      <c r="Q60">
        <v>6</v>
      </c>
      <c r="R60">
        <v>7</v>
      </c>
      <c r="S60">
        <v>50</v>
      </c>
      <c r="T60">
        <v>9.98</v>
      </c>
      <c r="U60">
        <v>40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0</v>
      </c>
      <c r="AG60">
        <v>2</v>
      </c>
      <c r="AH60">
        <v>0</v>
      </c>
      <c r="AI60">
        <v>0</v>
      </c>
      <c r="AJ60">
        <v>1</v>
      </c>
      <c r="AK60">
        <v>1</v>
      </c>
      <c r="AL60">
        <v>0</v>
      </c>
      <c r="AM60">
        <v>2</v>
      </c>
      <c r="AN60">
        <v>0</v>
      </c>
      <c r="AO60">
        <v>7</v>
      </c>
      <c r="AY60">
        <f>SUM(Upload_Indiv[[#This Row],[Bird1]:[Bird9]])</f>
        <v>0</v>
      </c>
      <c r="BI60">
        <f>SUM(Upload_Indiv[[#This Row],[Eagle1]:[Eagle9]])</f>
        <v>0</v>
      </c>
    </row>
    <row r="61" spans="1:61" x14ac:dyDescent="0.25">
      <c r="A61" t="s">
        <v>531</v>
      </c>
      <c r="B61" t="s">
        <v>471</v>
      </c>
      <c r="C61" s="119">
        <v>45831</v>
      </c>
      <c r="D61" t="s">
        <v>18</v>
      </c>
      <c r="E61" t="s">
        <v>24</v>
      </c>
      <c r="F61" t="s">
        <v>406</v>
      </c>
      <c r="G61">
        <v>4</v>
      </c>
      <c r="H61" t="s">
        <v>276</v>
      </c>
      <c r="I61" t="s">
        <v>407</v>
      </c>
      <c r="J61">
        <v>4</v>
      </c>
      <c r="K61">
        <v>5</v>
      </c>
      <c r="L61">
        <v>5</v>
      </c>
      <c r="M61">
        <v>8</v>
      </c>
      <c r="N61">
        <v>6</v>
      </c>
      <c r="O61">
        <v>8</v>
      </c>
      <c r="P61">
        <v>4</v>
      </c>
      <c r="Q61">
        <v>6</v>
      </c>
      <c r="R61">
        <v>7</v>
      </c>
      <c r="S61">
        <v>53</v>
      </c>
      <c r="T61">
        <v>15.55</v>
      </c>
      <c r="U61">
        <v>37</v>
      </c>
      <c r="V61">
        <v>2</v>
      </c>
      <c r="W61">
        <v>2</v>
      </c>
      <c r="X61">
        <v>1</v>
      </c>
      <c r="Y61">
        <v>2</v>
      </c>
      <c r="Z61">
        <v>2</v>
      </c>
      <c r="AA61">
        <v>2</v>
      </c>
      <c r="AB61">
        <v>1</v>
      </c>
      <c r="AC61">
        <v>2</v>
      </c>
      <c r="AD61">
        <v>2</v>
      </c>
      <c r="AE61">
        <v>2</v>
      </c>
      <c r="AF61">
        <v>1</v>
      </c>
      <c r="AG61">
        <v>1</v>
      </c>
      <c r="AH61">
        <v>0</v>
      </c>
      <c r="AI61">
        <v>2</v>
      </c>
      <c r="AJ61">
        <v>0</v>
      </c>
      <c r="AK61">
        <v>1</v>
      </c>
      <c r="AL61">
        <v>2</v>
      </c>
      <c r="AM61">
        <v>2</v>
      </c>
      <c r="AN61">
        <v>2</v>
      </c>
      <c r="AO61">
        <v>13</v>
      </c>
      <c r="AY61">
        <f>SUM(Upload_Indiv[[#This Row],[Bird1]:[Bird9]])</f>
        <v>0</v>
      </c>
      <c r="BI61">
        <f>SUM(Upload_Indiv[[#This Row],[Eagle1]:[Eagle9]])</f>
        <v>0</v>
      </c>
    </row>
    <row r="62" spans="1:61" x14ac:dyDescent="0.25">
      <c r="A62" t="s">
        <v>531</v>
      </c>
      <c r="B62" t="s">
        <v>471</v>
      </c>
      <c r="C62" s="119">
        <v>45831</v>
      </c>
      <c r="D62" t="s">
        <v>24</v>
      </c>
      <c r="E62" t="s">
        <v>18</v>
      </c>
      <c r="F62" t="s">
        <v>406</v>
      </c>
      <c r="G62">
        <v>1</v>
      </c>
      <c r="H62" t="s">
        <v>300</v>
      </c>
      <c r="I62" t="s">
        <v>407</v>
      </c>
      <c r="J62">
        <v>5</v>
      </c>
      <c r="K62">
        <v>4</v>
      </c>
      <c r="L62">
        <v>5</v>
      </c>
      <c r="M62">
        <v>4</v>
      </c>
      <c r="N62">
        <v>6</v>
      </c>
      <c r="O62">
        <v>7</v>
      </c>
      <c r="P62">
        <v>3</v>
      </c>
      <c r="Q62">
        <v>7</v>
      </c>
      <c r="R62">
        <v>7</v>
      </c>
      <c r="S62">
        <v>48</v>
      </c>
      <c r="T62">
        <v>9.98</v>
      </c>
      <c r="U62">
        <v>38</v>
      </c>
      <c r="V62">
        <v>0</v>
      </c>
      <c r="W62">
        <v>0</v>
      </c>
      <c r="X62">
        <v>0</v>
      </c>
      <c r="Y62">
        <v>1</v>
      </c>
      <c r="Z62">
        <v>0</v>
      </c>
      <c r="AA62">
        <v>0</v>
      </c>
      <c r="AB62">
        <v>0</v>
      </c>
      <c r="AC62">
        <v>1</v>
      </c>
      <c r="AD62">
        <v>0</v>
      </c>
      <c r="AE62">
        <v>1</v>
      </c>
      <c r="AF62">
        <v>2</v>
      </c>
      <c r="AG62">
        <v>0</v>
      </c>
      <c r="AH62">
        <v>2</v>
      </c>
      <c r="AI62">
        <v>1</v>
      </c>
      <c r="AJ62">
        <v>0</v>
      </c>
      <c r="AK62">
        <v>2</v>
      </c>
      <c r="AL62">
        <v>1</v>
      </c>
      <c r="AM62">
        <v>0</v>
      </c>
      <c r="AN62">
        <v>2</v>
      </c>
      <c r="AO62">
        <v>11</v>
      </c>
      <c r="AY62">
        <f>SUM(Upload_Indiv[[#This Row],[Bird1]:[Bird9]])</f>
        <v>0</v>
      </c>
      <c r="BI62">
        <f>SUM(Upload_Indiv[[#This Row],[Eagle1]:[Eagle9]])</f>
        <v>0</v>
      </c>
    </row>
    <row r="63" spans="1:61" x14ac:dyDescent="0.25">
      <c r="A63" t="s">
        <v>531</v>
      </c>
      <c r="B63" t="s">
        <v>471</v>
      </c>
      <c r="C63" s="119">
        <v>45831</v>
      </c>
      <c r="D63" t="s">
        <v>24</v>
      </c>
      <c r="E63" t="s">
        <v>18</v>
      </c>
      <c r="F63" t="s">
        <v>406</v>
      </c>
      <c r="G63">
        <v>2</v>
      </c>
      <c r="H63" t="s">
        <v>30</v>
      </c>
      <c r="I63" t="s">
        <v>407</v>
      </c>
      <c r="J63">
        <v>4</v>
      </c>
      <c r="K63">
        <v>3</v>
      </c>
      <c r="L63">
        <v>4</v>
      </c>
      <c r="M63">
        <v>5</v>
      </c>
      <c r="N63">
        <v>5</v>
      </c>
      <c r="O63">
        <v>5</v>
      </c>
      <c r="P63">
        <v>3</v>
      </c>
      <c r="Q63">
        <v>5</v>
      </c>
      <c r="R63">
        <v>6</v>
      </c>
      <c r="S63">
        <v>40</v>
      </c>
      <c r="T63">
        <v>0</v>
      </c>
      <c r="U63">
        <v>40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1</v>
      </c>
      <c r="AF63">
        <v>1</v>
      </c>
      <c r="AG63">
        <v>0</v>
      </c>
      <c r="AH63">
        <v>1</v>
      </c>
      <c r="AI63">
        <v>0</v>
      </c>
      <c r="AJ63">
        <v>0</v>
      </c>
      <c r="AK63">
        <v>1</v>
      </c>
      <c r="AL63">
        <v>1</v>
      </c>
      <c r="AM63">
        <v>0</v>
      </c>
      <c r="AN63">
        <v>0</v>
      </c>
      <c r="AO63">
        <v>5</v>
      </c>
      <c r="AY63">
        <f>SUM(Upload_Indiv[[#This Row],[Bird1]:[Bird9]])</f>
        <v>0</v>
      </c>
      <c r="BI63">
        <f>SUM(Upload_Indiv[[#This Row],[Eagle1]:[Eagle9]])</f>
        <v>0</v>
      </c>
    </row>
    <row r="64" spans="1:61" x14ac:dyDescent="0.25">
      <c r="A64" t="s">
        <v>531</v>
      </c>
      <c r="B64" t="s">
        <v>471</v>
      </c>
      <c r="C64" s="119">
        <v>45831</v>
      </c>
      <c r="D64" t="s">
        <v>24</v>
      </c>
      <c r="E64" t="s">
        <v>18</v>
      </c>
      <c r="F64" t="s">
        <v>406</v>
      </c>
      <c r="G64">
        <v>3</v>
      </c>
      <c r="H64" t="s">
        <v>528</v>
      </c>
      <c r="I64" t="s">
        <v>407</v>
      </c>
      <c r="J64">
        <v>5</v>
      </c>
      <c r="K64">
        <v>4</v>
      </c>
      <c r="L64">
        <v>6</v>
      </c>
      <c r="M64">
        <v>5</v>
      </c>
      <c r="N64">
        <v>5</v>
      </c>
      <c r="O64">
        <v>6</v>
      </c>
      <c r="P64">
        <v>4</v>
      </c>
      <c r="Q64">
        <v>6</v>
      </c>
      <c r="R64">
        <v>8</v>
      </c>
      <c r="S64">
        <v>49</v>
      </c>
      <c r="T64">
        <v>10.48</v>
      </c>
      <c r="U64">
        <v>39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</v>
      </c>
      <c r="AF64">
        <v>2</v>
      </c>
      <c r="AG64">
        <v>0</v>
      </c>
      <c r="AH64">
        <v>2</v>
      </c>
      <c r="AI64">
        <v>2</v>
      </c>
      <c r="AJ64">
        <v>1</v>
      </c>
      <c r="AK64">
        <v>1</v>
      </c>
      <c r="AL64">
        <v>2</v>
      </c>
      <c r="AM64">
        <v>0</v>
      </c>
      <c r="AN64">
        <v>2</v>
      </c>
      <c r="AO64">
        <v>13</v>
      </c>
      <c r="AY64">
        <f>SUM(Upload_Indiv[[#This Row],[Bird1]:[Bird9]])</f>
        <v>0</v>
      </c>
      <c r="BI64">
        <f>SUM(Upload_Indiv[[#This Row],[Eagle1]:[Eagle9]])</f>
        <v>0</v>
      </c>
    </row>
    <row r="65" spans="1:61" x14ac:dyDescent="0.25">
      <c r="A65" t="s">
        <v>531</v>
      </c>
      <c r="B65" t="s">
        <v>471</v>
      </c>
      <c r="C65" s="119">
        <v>45831</v>
      </c>
      <c r="D65" t="s">
        <v>24</v>
      </c>
      <c r="E65" t="s">
        <v>18</v>
      </c>
      <c r="F65" t="s">
        <v>406</v>
      </c>
      <c r="G65">
        <v>4</v>
      </c>
      <c r="H65" t="s">
        <v>306</v>
      </c>
      <c r="I65" t="s">
        <v>407</v>
      </c>
      <c r="J65">
        <v>4</v>
      </c>
      <c r="K65">
        <v>3</v>
      </c>
      <c r="L65">
        <v>4</v>
      </c>
      <c r="M65">
        <v>5</v>
      </c>
      <c r="N65">
        <v>5</v>
      </c>
      <c r="O65">
        <v>5</v>
      </c>
      <c r="P65">
        <v>3</v>
      </c>
      <c r="Q65">
        <v>5</v>
      </c>
      <c r="R65">
        <v>6</v>
      </c>
      <c r="S65">
        <v>40</v>
      </c>
      <c r="T65">
        <v>0</v>
      </c>
      <c r="U65">
        <v>40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1</v>
      </c>
      <c r="AG65">
        <v>1</v>
      </c>
      <c r="AH65">
        <v>2</v>
      </c>
      <c r="AI65">
        <v>0</v>
      </c>
      <c r="AJ65">
        <v>2</v>
      </c>
      <c r="AK65">
        <v>1</v>
      </c>
      <c r="AL65">
        <v>0</v>
      </c>
      <c r="AM65">
        <v>0</v>
      </c>
      <c r="AN65">
        <v>0</v>
      </c>
      <c r="AO65">
        <v>7</v>
      </c>
      <c r="AY65">
        <f>SUM(Upload_Indiv[[#This Row],[Bird1]:[Bird9]])</f>
        <v>0</v>
      </c>
      <c r="BI65">
        <f>SUM(Upload_Indiv[[#This Row],[Eagle1]:[Eagle9]])</f>
        <v>0</v>
      </c>
    </row>
    <row r="66" spans="1:61" x14ac:dyDescent="0.25">
      <c r="A66" t="s">
        <v>537</v>
      </c>
      <c r="B66" t="s">
        <v>533</v>
      </c>
      <c r="C66" s="119">
        <v>45838</v>
      </c>
      <c r="D66" t="s">
        <v>22</v>
      </c>
      <c r="E66" t="s">
        <v>30</v>
      </c>
      <c r="F66" t="s">
        <v>406</v>
      </c>
      <c r="G66">
        <v>1</v>
      </c>
      <c r="H66" t="s">
        <v>156</v>
      </c>
      <c r="I66" t="s">
        <v>407</v>
      </c>
      <c r="J66">
        <v>5</v>
      </c>
      <c r="K66">
        <v>3</v>
      </c>
      <c r="L66">
        <v>5</v>
      </c>
      <c r="M66">
        <v>4</v>
      </c>
      <c r="N66">
        <v>5</v>
      </c>
      <c r="O66">
        <v>5</v>
      </c>
      <c r="P66">
        <v>3</v>
      </c>
      <c r="Q66">
        <v>5</v>
      </c>
      <c r="R66">
        <v>6</v>
      </c>
      <c r="S66">
        <v>41</v>
      </c>
      <c r="T66">
        <v>4.8</v>
      </c>
      <c r="U66">
        <v>36</v>
      </c>
      <c r="V66">
        <v>0</v>
      </c>
      <c r="W66">
        <v>0</v>
      </c>
      <c r="X66">
        <v>0</v>
      </c>
      <c r="Y66">
        <v>1</v>
      </c>
      <c r="Z66">
        <v>1</v>
      </c>
      <c r="AA66">
        <v>1</v>
      </c>
      <c r="AB66">
        <v>0</v>
      </c>
      <c r="AC66">
        <v>1</v>
      </c>
      <c r="AD66">
        <v>1</v>
      </c>
      <c r="AE66">
        <v>0</v>
      </c>
      <c r="AF66">
        <v>1</v>
      </c>
      <c r="AG66">
        <v>0</v>
      </c>
      <c r="AH66">
        <v>2</v>
      </c>
      <c r="AI66">
        <v>1</v>
      </c>
      <c r="AJ66">
        <v>2</v>
      </c>
      <c r="AK66">
        <v>1</v>
      </c>
      <c r="AL66">
        <v>2</v>
      </c>
      <c r="AM66">
        <v>1</v>
      </c>
      <c r="AN66">
        <v>2</v>
      </c>
      <c r="AO66">
        <v>12</v>
      </c>
      <c r="AY66">
        <f>SUM(Upload_Indiv[[#This Row],[Bird1]:[Bird9]])</f>
        <v>0</v>
      </c>
      <c r="BI66">
        <f>SUM(Upload_Indiv[[#This Row],[Eagle1]:[Eagle9]])</f>
        <v>0</v>
      </c>
    </row>
    <row r="67" spans="1:61" x14ac:dyDescent="0.25">
      <c r="A67" t="s">
        <v>537</v>
      </c>
      <c r="B67" t="s">
        <v>533</v>
      </c>
      <c r="C67" s="119">
        <v>45838</v>
      </c>
      <c r="D67" t="s">
        <v>22</v>
      </c>
      <c r="E67" t="s">
        <v>30</v>
      </c>
      <c r="F67" t="s">
        <v>406</v>
      </c>
      <c r="G67">
        <v>2</v>
      </c>
      <c r="H67" t="s">
        <v>433</v>
      </c>
      <c r="I67" t="s">
        <v>407</v>
      </c>
      <c r="J67">
        <v>5</v>
      </c>
      <c r="K67">
        <v>3</v>
      </c>
      <c r="L67">
        <v>4</v>
      </c>
      <c r="M67">
        <v>5</v>
      </c>
      <c r="N67">
        <v>4</v>
      </c>
      <c r="O67">
        <v>4</v>
      </c>
      <c r="P67">
        <v>3</v>
      </c>
      <c r="Q67">
        <v>5</v>
      </c>
      <c r="R67">
        <v>6</v>
      </c>
      <c r="S67">
        <v>39</v>
      </c>
      <c r="T67">
        <v>2.88</v>
      </c>
      <c r="U67">
        <v>36</v>
      </c>
      <c r="V67">
        <v>0</v>
      </c>
      <c r="W67">
        <v>0</v>
      </c>
      <c r="X67">
        <v>0</v>
      </c>
      <c r="Y67">
        <v>1</v>
      </c>
      <c r="Z67">
        <v>1</v>
      </c>
      <c r="AA67">
        <v>0</v>
      </c>
      <c r="AB67">
        <v>0</v>
      </c>
      <c r="AC67">
        <v>1</v>
      </c>
      <c r="AD67">
        <v>0</v>
      </c>
      <c r="AE67">
        <v>0</v>
      </c>
      <c r="AF67">
        <v>1</v>
      </c>
      <c r="AG67">
        <v>1</v>
      </c>
      <c r="AH67">
        <v>2</v>
      </c>
      <c r="AI67">
        <v>2</v>
      </c>
      <c r="AJ67">
        <v>2</v>
      </c>
      <c r="AK67">
        <v>1</v>
      </c>
      <c r="AL67">
        <v>2</v>
      </c>
      <c r="AM67">
        <v>0</v>
      </c>
      <c r="AN67">
        <v>2</v>
      </c>
      <c r="AO67">
        <v>13</v>
      </c>
      <c r="AU67">
        <v>1</v>
      </c>
      <c r="AY67">
        <f>SUM(Upload_Indiv[[#This Row],[Bird1]:[Bird9]])</f>
        <v>1</v>
      </c>
      <c r="BI67">
        <f>SUM(Upload_Indiv[[#This Row],[Eagle1]:[Eagle9]])</f>
        <v>0</v>
      </c>
    </row>
    <row r="68" spans="1:61" x14ac:dyDescent="0.25">
      <c r="A68" t="s">
        <v>537</v>
      </c>
      <c r="B68" t="s">
        <v>533</v>
      </c>
      <c r="C68" s="119">
        <v>45838</v>
      </c>
      <c r="D68" t="s">
        <v>22</v>
      </c>
      <c r="E68" t="s">
        <v>30</v>
      </c>
      <c r="F68" t="s">
        <v>406</v>
      </c>
      <c r="G68">
        <v>3</v>
      </c>
      <c r="H68" t="s">
        <v>155</v>
      </c>
      <c r="I68" t="s">
        <v>407</v>
      </c>
      <c r="J68">
        <v>5</v>
      </c>
      <c r="K68">
        <v>8</v>
      </c>
      <c r="L68">
        <v>6</v>
      </c>
      <c r="M68">
        <v>4</v>
      </c>
      <c r="N68">
        <v>7</v>
      </c>
      <c r="O68">
        <v>6</v>
      </c>
      <c r="P68">
        <v>4</v>
      </c>
      <c r="Q68">
        <v>6</v>
      </c>
      <c r="R68">
        <v>7</v>
      </c>
      <c r="S68">
        <v>53</v>
      </c>
      <c r="T68">
        <v>7.49</v>
      </c>
      <c r="U68">
        <v>46</v>
      </c>
      <c r="V68">
        <v>1</v>
      </c>
      <c r="W68">
        <v>1</v>
      </c>
      <c r="X68">
        <v>0</v>
      </c>
      <c r="Y68">
        <v>1</v>
      </c>
      <c r="Z68">
        <v>1</v>
      </c>
      <c r="AA68">
        <v>1</v>
      </c>
      <c r="AB68">
        <v>0</v>
      </c>
      <c r="AC68">
        <v>1</v>
      </c>
      <c r="AD68">
        <v>1</v>
      </c>
      <c r="AE68">
        <v>1</v>
      </c>
      <c r="AF68">
        <v>0</v>
      </c>
      <c r="AG68">
        <v>0</v>
      </c>
      <c r="AH68">
        <v>2</v>
      </c>
      <c r="AI68">
        <v>0</v>
      </c>
      <c r="AJ68">
        <v>1</v>
      </c>
      <c r="AK68">
        <v>0</v>
      </c>
      <c r="AL68">
        <v>1</v>
      </c>
      <c r="AM68">
        <v>0</v>
      </c>
      <c r="AN68">
        <v>0</v>
      </c>
      <c r="AO68">
        <v>5</v>
      </c>
      <c r="AY68">
        <f>SUM(Upload_Indiv[[#This Row],[Bird1]:[Bird9]])</f>
        <v>0</v>
      </c>
      <c r="BI68">
        <f>SUM(Upload_Indiv[[#This Row],[Eagle1]:[Eagle9]])</f>
        <v>0</v>
      </c>
    </row>
    <row r="69" spans="1:61" x14ac:dyDescent="0.25">
      <c r="A69" t="s">
        <v>537</v>
      </c>
      <c r="B69" t="s">
        <v>533</v>
      </c>
      <c r="C69" s="119">
        <v>45838</v>
      </c>
      <c r="D69" t="s">
        <v>22</v>
      </c>
      <c r="E69" t="s">
        <v>30</v>
      </c>
      <c r="F69" t="s">
        <v>406</v>
      </c>
      <c r="G69">
        <v>4</v>
      </c>
      <c r="H69" t="s">
        <v>148</v>
      </c>
      <c r="I69" t="s">
        <v>407</v>
      </c>
      <c r="J69">
        <v>4</v>
      </c>
      <c r="K69">
        <v>6</v>
      </c>
      <c r="L69">
        <v>6</v>
      </c>
      <c r="M69">
        <v>5</v>
      </c>
      <c r="N69">
        <v>5</v>
      </c>
      <c r="O69">
        <v>8</v>
      </c>
      <c r="P69">
        <v>5</v>
      </c>
      <c r="Q69">
        <v>5</v>
      </c>
      <c r="R69">
        <v>6</v>
      </c>
      <c r="S69">
        <v>50</v>
      </c>
      <c r="T69">
        <v>12.86</v>
      </c>
      <c r="U69">
        <v>37</v>
      </c>
      <c r="V69">
        <v>1</v>
      </c>
      <c r="W69">
        <v>1</v>
      </c>
      <c r="X69">
        <v>1</v>
      </c>
      <c r="Y69">
        <v>2</v>
      </c>
      <c r="Z69">
        <v>2</v>
      </c>
      <c r="AA69">
        <v>1</v>
      </c>
      <c r="AB69">
        <v>1</v>
      </c>
      <c r="AC69">
        <v>2</v>
      </c>
      <c r="AD69">
        <v>2</v>
      </c>
      <c r="AE69">
        <v>2</v>
      </c>
      <c r="AF69">
        <v>0</v>
      </c>
      <c r="AG69">
        <v>0</v>
      </c>
      <c r="AH69">
        <v>2</v>
      </c>
      <c r="AI69">
        <v>2</v>
      </c>
      <c r="AJ69">
        <v>0</v>
      </c>
      <c r="AK69">
        <v>0</v>
      </c>
      <c r="AL69">
        <v>2</v>
      </c>
      <c r="AM69">
        <v>2</v>
      </c>
      <c r="AN69">
        <v>2</v>
      </c>
      <c r="AO69">
        <v>12</v>
      </c>
      <c r="AY69">
        <f>SUM(Upload_Indiv[[#This Row],[Bird1]:[Bird9]])</f>
        <v>0</v>
      </c>
      <c r="BI69">
        <f>SUM(Upload_Indiv[[#This Row],[Eagle1]:[Eagle9]])</f>
        <v>0</v>
      </c>
    </row>
    <row r="70" spans="1:61" x14ac:dyDescent="0.25">
      <c r="A70" t="s">
        <v>537</v>
      </c>
      <c r="B70" t="s">
        <v>533</v>
      </c>
      <c r="C70" s="119">
        <v>45838</v>
      </c>
      <c r="D70" t="s">
        <v>30</v>
      </c>
      <c r="E70" t="s">
        <v>22</v>
      </c>
      <c r="F70" t="s">
        <v>406</v>
      </c>
      <c r="G70">
        <v>1</v>
      </c>
      <c r="H70" t="s">
        <v>323</v>
      </c>
      <c r="I70" t="s">
        <v>407</v>
      </c>
      <c r="J70">
        <v>4</v>
      </c>
      <c r="K70">
        <v>3</v>
      </c>
      <c r="L70">
        <v>4</v>
      </c>
      <c r="M70">
        <v>5</v>
      </c>
      <c r="N70">
        <v>4</v>
      </c>
      <c r="O70">
        <v>5</v>
      </c>
      <c r="P70">
        <v>3</v>
      </c>
      <c r="Q70">
        <v>5</v>
      </c>
      <c r="R70">
        <v>5</v>
      </c>
      <c r="S70">
        <v>38</v>
      </c>
      <c r="T70">
        <v>0</v>
      </c>
      <c r="U70">
        <v>38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2</v>
      </c>
      <c r="AF70">
        <v>1</v>
      </c>
      <c r="AG70">
        <v>2</v>
      </c>
      <c r="AH70">
        <v>0</v>
      </c>
      <c r="AI70">
        <v>1</v>
      </c>
      <c r="AJ70">
        <v>0</v>
      </c>
      <c r="AK70">
        <v>1</v>
      </c>
      <c r="AL70">
        <v>0</v>
      </c>
      <c r="AM70">
        <v>1</v>
      </c>
      <c r="AN70">
        <v>0</v>
      </c>
      <c r="AO70">
        <v>8</v>
      </c>
      <c r="AY70">
        <f>SUM(Upload_Indiv[[#This Row],[Bird1]:[Bird9]])</f>
        <v>0</v>
      </c>
      <c r="BI70">
        <f>SUM(Upload_Indiv[[#This Row],[Eagle1]:[Eagle9]])</f>
        <v>0</v>
      </c>
    </row>
    <row r="71" spans="1:61" x14ac:dyDescent="0.25">
      <c r="A71" t="s">
        <v>537</v>
      </c>
      <c r="B71" t="s">
        <v>533</v>
      </c>
      <c r="C71" s="119">
        <v>45838</v>
      </c>
      <c r="D71" t="s">
        <v>30</v>
      </c>
      <c r="E71" t="s">
        <v>22</v>
      </c>
      <c r="F71" t="s">
        <v>406</v>
      </c>
      <c r="G71">
        <v>2</v>
      </c>
      <c r="H71" t="s">
        <v>324</v>
      </c>
      <c r="I71" t="s">
        <v>407</v>
      </c>
      <c r="J71">
        <v>4</v>
      </c>
      <c r="K71">
        <v>3</v>
      </c>
      <c r="L71">
        <v>4</v>
      </c>
      <c r="M71">
        <v>5</v>
      </c>
      <c r="N71">
        <v>4</v>
      </c>
      <c r="O71">
        <v>5</v>
      </c>
      <c r="P71">
        <v>3</v>
      </c>
      <c r="Q71">
        <v>5</v>
      </c>
      <c r="R71">
        <v>5</v>
      </c>
      <c r="S71">
        <v>38</v>
      </c>
      <c r="T71">
        <v>0</v>
      </c>
      <c r="U71">
        <v>38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2</v>
      </c>
      <c r="AF71">
        <v>1</v>
      </c>
      <c r="AG71">
        <v>1</v>
      </c>
      <c r="AH71">
        <v>0</v>
      </c>
      <c r="AI71">
        <v>0</v>
      </c>
      <c r="AJ71">
        <v>0</v>
      </c>
      <c r="AK71">
        <v>1</v>
      </c>
      <c r="AL71">
        <v>0</v>
      </c>
      <c r="AM71">
        <v>2</v>
      </c>
      <c r="AN71">
        <v>0</v>
      </c>
      <c r="AO71">
        <v>7</v>
      </c>
      <c r="AY71">
        <f>SUM(Upload_Indiv[[#This Row],[Bird1]:[Bird9]])</f>
        <v>0</v>
      </c>
      <c r="BI71">
        <f>SUM(Upload_Indiv[[#This Row],[Eagle1]:[Eagle9]])</f>
        <v>0</v>
      </c>
    </row>
    <row r="72" spans="1:61" x14ac:dyDescent="0.25">
      <c r="A72" t="s">
        <v>537</v>
      </c>
      <c r="B72" t="s">
        <v>533</v>
      </c>
      <c r="C72" s="119">
        <v>45838</v>
      </c>
      <c r="D72" t="s">
        <v>30</v>
      </c>
      <c r="E72" t="s">
        <v>22</v>
      </c>
      <c r="F72" t="s">
        <v>406</v>
      </c>
      <c r="G72">
        <v>3</v>
      </c>
      <c r="H72" t="s">
        <v>325</v>
      </c>
      <c r="I72" t="s">
        <v>407</v>
      </c>
      <c r="J72">
        <v>4</v>
      </c>
      <c r="K72">
        <v>3</v>
      </c>
      <c r="L72">
        <v>4</v>
      </c>
      <c r="M72">
        <v>5</v>
      </c>
      <c r="N72">
        <v>4</v>
      </c>
      <c r="O72">
        <v>5</v>
      </c>
      <c r="P72">
        <v>3</v>
      </c>
      <c r="Q72">
        <v>5</v>
      </c>
      <c r="R72">
        <v>5</v>
      </c>
      <c r="S72">
        <v>38</v>
      </c>
      <c r="T72">
        <v>0</v>
      </c>
      <c r="U72">
        <v>38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</v>
      </c>
      <c r="AF72">
        <v>2</v>
      </c>
      <c r="AG72">
        <v>2</v>
      </c>
      <c r="AH72">
        <v>0</v>
      </c>
      <c r="AI72">
        <v>2</v>
      </c>
      <c r="AJ72">
        <v>1</v>
      </c>
      <c r="AK72">
        <v>2</v>
      </c>
      <c r="AL72">
        <v>1</v>
      </c>
      <c r="AM72">
        <v>2</v>
      </c>
      <c r="AN72">
        <v>2</v>
      </c>
      <c r="AO72">
        <v>15</v>
      </c>
      <c r="AY72">
        <f>SUM(Upload_Indiv[[#This Row],[Bird1]:[Bird9]])</f>
        <v>0</v>
      </c>
      <c r="BI72">
        <f>SUM(Upload_Indiv[[#This Row],[Eagle1]:[Eagle9]])</f>
        <v>0</v>
      </c>
    </row>
    <row r="73" spans="1:61" x14ac:dyDescent="0.25">
      <c r="A73" t="s">
        <v>537</v>
      </c>
      <c r="B73" t="s">
        <v>533</v>
      </c>
      <c r="C73" s="119">
        <v>45838</v>
      </c>
      <c r="D73" t="s">
        <v>30</v>
      </c>
      <c r="E73" t="s">
        <v>22</v>
      </c>
      <c r="F73" t="s">
        <v>406</v>
      </c>
      <c r="G73">
        <v>4</v>
      </c>
      <c r="H73" t="s">
        <v>326</v>
      </c>
      <c r="I73" t="s">
        <v>407</v>
      </c>
      <c r="J73">
        <v>4</v>
      </c>
      <c r="K73">
        <v>3</v>
      </c>
      <c r="L73">
        <v>4</v>
      </c>
      <c r="M73">
        <v>5</v>
      </c>
      <c r="N73">
        <v>4</v>
      </c>
      <c r="O73">
        <v>5</v>
      </c>
      <c r="P73">
        <v>3</v>
      </c>
      <c r="Q73">
        <v>5</v>
      </c>
      <c r="R73">
        <v>5</v>
      </c>
      <c r="S73">
        <v>38</v>
      </c>
      <c r="T73">
        <v>0</v>
      </c>
      <c r="U73">
        <v>38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2</v>
      </c>
      <c r="AG73">
        <v>2</v>
      </c>
      <c r="AH73">
        <v>0</v>
      </c>
      <c r="AI73">
        <v>0</v>
      </c>
      <c r="AJ73">
        <v>2</v>
      </c>
      <c r="AK73">
        <v>2</v>
      </c>
      <c r="AL73">
        <v>0</v>
      </c>
      <c r="AM73">
        <v>0</v>
      </c>
      <c r="AN73">
        <v>0</v>
      </c>
      <c r="AO73">
        <v>8</v>
      </c>
      <c r="AY73">
        <f>SUM(Upload_Indiv[[#This Row],[Bird1]:[Bird9]])</f>
        <v>0</v>
      </c>
      <c r="BI73">
        <f>SUM(Upload_Indiv[[#This Row],[Eagle1]:[Eagle9]])</f>
        <v>0</v>
      </c>
    </row>
    <row r="74" spans="1:61" x14ac:dyDescent="0.25">
      <c r="A74" t="s">
        <v>534</v>
      </c>
      <c r="B74" t="s">
        <v>533</v>
      </c>
      <c r="C74" s="119">
        <v>45838</v>
      </c>
      <c r="D74" t="s">
        <v>26</v>
      </c>
      <c r="E74" t="s">
        <v>18</v>
      </c>
      <c r="F74" t="s">
        <v>406</v>
      </c>
      <c r="G74">
        <v>1</v>
      </c>
      <c r="H74" t="s">
        <v>146</v>
      </c>
      <c r="I74" t="s">
        <v>407</v>
      </c>
      <c r="J74">
        <v>4</v>
      </c>
      <c r="K74">
        <v>3</v>
      </c>
      <c r="L74">
        <v>5</v>
      </c>
      <c r="M74">
        <v>4</v>
      </c>
      <c r="N74">
        <v>6</v>
      </c>
      <c r="O74">
        <v>5</v>
      </c>
      <c r="P74">
        <v>4</v>
      </c>
      <c r="Q74">
        <v>5</v>
      </c>
      <c r="R74">
        <v>5</v>
      </c>
      <c r="S74">
        <v>41</v>
      </c>
      <c r="T74">
        <v>3.07</v>
      </c>
      <c r="U74">
        <v>38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2</v>
      </c>
      <c r="AF74">
        <v>2</v>
      </c>
      <c r="AG74">
        <v>2</v>
      </c>
      <c r="AH74">
        <v>2</v>
      </c>
      <c r="AI74">
        <v>0</v>
      </c>
      <c r="AJ74">
        <v>0</v>
      </c>
      <c r="AK74">
        <v>2</v>
      </c>
      <c r="AL74">
        <v>1</v>
      </c>
      <c r="AM74">
        <v>2</v>
      </c>
      <c r="AN74">
        <v>2</v>
      </c>
      <c r="AO74">
        <v>15</v>
      </c>
      <c r="AY74">
        <f>SUM(Upload_Indiv[[#This Row],[Bird1]:[Bird9]])</f>
        <v>0</v>
      </c>
      <c r="BI74">
        <f>SUM(Upload_Indiv[[#This Row],[Eagle1]:[Eagle9]])</f>
        <v>0</v>
      </c>
    </row>
    <row r="75" spans="1:61" x14ac:dyDescent="0.25">
      <c r="A75" t="s">
        <v>534</v>
      </c>
      <c r="B75" t="s">
        <v>533</v>
      </c>
      <c r="C75" s="119">
        <v>45838</v>
      </c>
      <c r="D75" t="s">
        <v>26</v>
      </c>
      <c r="E75" t="s">
        <v>18</v>
      </c>
      <c r="F75" t="s">
        <v>406</v>
      </c>
      <c r="G75">
        <v>2</v>
      </c>
      <c r="H75" t="s">
        <v>311</v>
      </c>
      <c r="I75" t="s">
        <v>407</v>
      </c>
      <c r="J75">
        <v>5</v>
      </c>
      <c r="K75">
        <v>4</v>
      </c>
      <c r="L75">
        <v>5</v>
      </c>
      <c r="M75">
        <v>4</v>
      </c>
      <c r="N75">
        <v>8</v>
      </c>
      <c r="O75">
        <v>10</v>
      </c>
      <c r="P75">
        <v>3</v>
      </c>
      <c r="Q75">
        <v>5</v>
      </c>
      <c r="R75">
        <v>6</v>
      </c>
      <c r="S75">
        <v>50</v>
      </c>
      <c r="T75">
        <v>3.65</v>
      </c>
      <c r="U75">
        <v>46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2</v>
      </c>
      <c r="AF75">
        <v>0</v>
      </c>
      <c r="AG75">
        <v>2</v>
      </c>
      <c r="AH75">
        <v>0</v>
      </c>
      <c r="AI75">
        <v>0</v>
      </c>
      <c r="AJ75">
        <v>0</v>
      </c>
      <c r="AK75">
        <v>1</v>
      </c>
      <c r="AL75">
        <v>0</v>
      </c>
      <c r="AM75">
        <v>1</v>
      </c>
      <c r="AN75">
        <v>0</v>
      </c>
      <c r="AO75">
        <v>6</v>
      </c>
      <c r="AY75">
        <f>SUM(Upload_Indiv[[#This Row],[Bird1]:[Bird9]])</f>
        <v>0</v>
      </c>
      <c r="BI75">
        <f>SUM(Upload_Indiv[[#This Row],[Eagle1]:[Eagle9]])</f>
        <v>0</v>
      </c>
    </row>
    <row r="76" spans="1:61" x14ac:dyDescent="0.25">
      <c r="A76" t="s">
        <v>534</v>
      </c>
      <c r="B76" t="s">
        <v>533</v>
      </c>
      <c r="C76" s="119">
        <v>45838</v>
      </c>
      <c r="D76" t="s">
        <v>26</v>
      </c>
      <c r="E76" t="s">
        <v>18</v>
      </c>
      <c r="F76" t="s">
        <v>406</v>
      </c>
      <c r="G76">
        <v>3</v>
      </c>
      <c r="H76" t="s">
        <v>100</v>
      </c>
      <c r="I76" t="s">
        <v>407</v>
      </c>
      <c r="J76">
        <v>4</v>
      </c>
      <c r="K76">
        <v>4</v>
      </c>
      <c r="L76">
        <v>6</v>
      </c>
      <c r="M76">
        <v>7</v>
      </c>
      <c r="N76">
        <v>5</v>
      </c>
      <c r="O76">
        <v>5</v>
      </c>
      <c r="P76">
        <v>3</v>
      </c>
      <c r="Q76">
        <v>4</v>
      </c>
      <c r="R76">
        <v>6</v>
      </c>
      <c r="S76">
        <v>44</v>
      </c>
      <c r="T76">
        <v>4.22</v>
      </c>
      <c r="U76">
        <v>40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</v>
      </c>
      <c r="AF76">
        <v>1</v>
      </c>
      <c r="AG76">
        <v>0</v>
      </c>
      <c r="AH76">
        <v>0</v>
      </c>
      <c r="AI76">
        <v>0</v>
      </c>
      <c r="AJ76">
        <v>2</v>
      </c>
      <c r="AK76">
        <v>1</v>
      </c>
      <c r="AL76">
        <v>1</v>
      </c>
      <c r="AM76">
        <v>1</v>
      </c>
      <c r="AN76">
        <v>0</v>
      </c>
      <c r="AO76">
        <v>7</v>
      </c>
      <c r="AY76">
        <f>SUM(Upload_Indiv[[#This Row],[Bird1]:[Bird9]])</f>
        <v>0</v>
      </c>
      <c r="BI76">
        <f>SUM(Upload_Indiv[[#This Row],[Eagle1]:[Eagle9]])</f>
        <v>0</v>
      </c>
    </row>
    <row r="77" spans="1:61" x14ac:dyDescent="0.25">
      <c r="A77" t="s">
        <v>534</v>
      </c>
      <c r="B77" t="s">
        <v>533</v>
      </c>
      <c r="C77" s="119">
        <v>45838</v>
      </c>
      <c r="D77" t="s">
        <v>26</v>
      </c>
      <c r="E77" t="s">
        <v>18</v>
      </c>
      <c r="F77" t="s">
        <v>406</v>
      </c>
      <c r="G77">
        <v>4</v>
      </c>
      <c r="H77" t="s">
        <v>309</v>
      </c>
      <c r="I77" t="s">
        <v>407</v>
      </c>
      <c r="J77">
        <v>5</v>
      </c>
      <c r="K77">
        <v>5</v>
      </c>
      <c r="L77">
        <v>6</v>
      </c>
      <c r="M77">
        <v>5</v>
      </c>
      <c r="N77">
        <v>6</v>
      </c>
      <c r="O77">
        <v>7</v>
      </c>
      <c r="P77">
        <v>6</v>
      </c>
      <c r="Q77">
        <v>7</v>
      </c>
      <c r="R77">
        <v>6</v>
      </c>
      <c r="S77">
        <v>53</v>
      </c>
      <c r="T77">
        <v>15.36</v>
      </c>
      <c r="U77">
        <v>38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</v>
      </c>
      <c r="AF77">
        <v>0</v>
      </c>
      <c r="AG77">
        <v>2</v>
      </c>
      <c r="AH77">
        <v>1</v>
      </c>
      <c r="AI77">
        <v>1</v>
      </c>
      <c r="AJ77">
        <v>1</v>
      </c>
      <c r="AK77">
        <v>0</v>
      </c>
      <c r="AL77">
        <v>0</v>
      </c>
      <c r="AM77">
        <v>1</v>
      </c>
      <c r="AN77">
        <v>0</v>
      </c>
      <c r="AO77">
        <v>8</v>
      </c>
      <c r="AY77">
        <f>SUM(Upload_Indiv[[#This Row],[Bird1]:[Bird9]])</f>
        <v>0</v>
      </c>
      <c r="BI77">
        <f>SUM(Upload_Indiv[[#This Row],[Eagle1]:[Eagle9]])</f>
        <v>0</v>
      </c>
    </row>
    <row r="78" spans="1:61" x14ac:dyDescent="0.25">
      <c r="A78" t="s">
        <v>534</v>
      </c>
      <c r="B78" t="s">
        <v>533</v>
      </c>
      <c r="C78" s="119">
        <v>45838</v>
      </c>
      <c r="D78" t="s">
        <v>18</v>
      </c>
      <c r="E78" t="s">
        <v>26</v>
      </c>
      <c r="F78" t="s">
        <v>406</v>
      </c>
      <c r="G78">
        <v>1</v>
      </c>
      <c r="H78" t="s">
        <v>272</v>
      </c>
      <c r="I78" t="s">
        <v>407</v>
      </c>
      <c r="J78">
        <v>5</v>
      </c>
      <c r="K78">
        <v>5</v>
      </c>
      <c r="L78">
        <v>7</v>
      </c>
      <c r="M78">
        <v>6</v>
      </c>
      <c r="N78">
        <v>4</v>
      </c>
      <c r="O78">
        <v>5</v>
      </c>
      <c r="P78">
        <v>5</v>
      </c>
      <c r="Q78">
        <v>6</v>
      </c>
      <c r="R78">
        <v>7</v>
      </c>
      <c r="S78">
        <v>50</v>
      </c>
      <c r="T78">
        <v>8.64</v>
      </c>
      <c r="U78">
        <v>41</v>
      </c>
      <c r="V78">
        <v>0</v>
      </c>
      <c r="W78">
        <v>1</v>
      </c>
      <c r="X78">
        <v>0</v>
      </c>
      <c r="Y78">
        <v>1</v>
      </c>
      <c r="Z78">
        <v>1</v>
      </c>
      <c r="AA78">
        <v>1</v>
      </c>
      <c r="AB78">
        <v>0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2</v>
      </c>
      <c r="AJ78">
        <v>2</v>
      </c>
      <c r="AK78">
        <v>0</v>
      </c>
      <c r="AL78">
        <v>1</v>
      </c>
      <c r="AM78">
        <v>0</v>
      </c>
      <c r="AN78">
        <v>0</v>
      </c>
      <c r="AO78">
        <v>5</v>
      </c>
      <c r="AY78">
        <f>SUM(Upload_Indiv[[#This Row],[Bird1]:[Bird9]])</f>
        <v>0</v>
      </c>
      <c r="BI78">
        <f>SUM(Upload_Indiv[[#This Row],[Eagle1]:[Eagle9]])</f>
        <v>0</v>
      </c>
    </row>
    <row r="79" spans="1:61" x14ac:dyDescent="0.25">
      <c r="A79" t="s">
        <v>534</v>
      </c>
      <c r="B79" t="s">
        <v>533</v>
      </c>
      <c r="C79" s="119">
        <v>45838</v>
      </c>
      <c r="D79" t="s">
        <v>18</v>
      </c>
      <c r="E79" t="s">
        <v>26</v>
      </c>
      <c r="F79" t="s">
        <v>406</v>
      </c>
      <c r="G79">
        <v>2</v>
      </c>
      <c r="H79" t="s">
        <v>274</v>
      </c>
      <c r="I79" t="s">
        <v>407</v>
      </c>
      <c r="J79">
        <v>6</v>
      </c>
      <c r="K79">
        <v>4</v>
      </c>
      <c r="L79">
        <v>7</v>
      </c>
      <c r="M79">
        <v>4</v>
      </c>
      <c r="N79">
        <v>5</v>
      </c>
      <c r="O79">
        <v>7</v>
      </c>
      <c r="P79">
        <v>3</v>
      </c>
      <c r="Q79">
        <v>5</v>
      </c>
      <c r="R79">
        <v>7</v>
      </c>
      <c r="S79">
        <v>48</v>
      </c>
      <c r="T79">
        <v>9.98</v>
      </c>
      <c r="U79">
        <v>38</v>
      </c>
      <c r="V79">
        <v>0</v>
      </c>
      <c r="W79">
        <v>1</v>
      </c>
      <c r="X79">
        <v>0</v>
      </c>
      <c r="Y79">
        <v>1</v>
      </c>
      <c r="Z79">
        <v>1</v>
      </c>
      <c r="AA79">
        <v>1</v>
      </c>
      <c r="AB79">
        <v>0</v>
      </c>
      <c r="AC79">
        <v>1</v>
      </c>
      <c r="AD79">
        <v>1</v>
      </c>
      <c r="AE79">
        <v>0</v>
      </c>
      <c r="AF79">
        <v>2</v>
      </c>
      <c r="AG79">
        <v>0</v>
      </c>
      <c r="AH79">
        <v>2</v>
      </c>
      <c r="AI79">
        <v>2</v>
      </c>
      <c r="AJ79">
        <v>2</v>
      </c>
      <c r="AK79">
        <v>1</v>
      </c>
      <c r="AL79">
        <v>2</v>
      </c>
      <c r="AM79">
        <v>1</v>
      </c>
      <c r="AN79">
        <v>2</v>
      </c>
      <c r="AO79">
        <v>14</v>
      </c>
      <c r="AY79">
        <f>SUM(Upload_Indiv[[#This Row],[Bird1]:[Bird9]])</f>
        <v>0</v>
      </c>
      <c r="BI79">
        <f>SUM(Upload_Indiv[[#This Row],[Eagle1]:[Eagle9]])</f>
        <v>0</v>
      </c>
    </row>
    <row r="80" spans="1:61" x14ac:dyDescent="0.25">
      <c r="A80" t="s">
        <v>534</v>
      </c>
      <c r="B80" t="s">
        <v>533</v>
      </c>
      <c r="C80" s="119">
        <v>45838</v>
      </c>
      <c r="D80" t="s">
        <v>18</v>
      </c>
      <c r="E80" t="s">
        <v>26</v>
      </c>
      <c r="F80" t="s">
        <v>406</v>
      </c>
      <c r="G80">
        <v>3</v>
      </c>
      <c r="H80" t="s">
        <v>276</v>
      </c>
      <c r="I80" t="s">
        <v>407</v>
      </c>
      <c r="J80">
        <v>5</v>
      </c>
      <c r="K80">
        <v>5</v>
      </c>
      <c r="L80">
        <v>5</v>
      </c>
      <c r="M80">
        <v>7</v>
      </c>
      <c r="N80">
        <v>5</v>
      </c>
      <c r="O80">
        <v>7</v>
      </c>
      <c r="P80">
        <v>4</v>
      </c>
      <c r="Q80">
        <v>6</v>
      </c>
      <c r="R80">
        <v>7</v>
      </c>
      <c r="S80">
        <v>51</v>
      </c>
      <c r="T80">
        <v>16.32</v>
      </c>
      <c r="U80">
        <v>35</v>
      </c>
      <c r="V80">
        <v>1</v>
      </c>
      <c r="W80">
        <v>1</v>
      </c>
      <c r="X80">
        <v>1</v>
      </c>
      <c r="Y80">
        <v>2</v>
      </c>
      <c r="Z80">
        <v>2</v>
      </c>
      <c r="AA80">
        <v>1</v>
      </c>
      <c r="AB80">
        <v>1</v>
      </c>
      <c r="AC80">
        <v>2</v>
      </c>
      <c r="AD80">
        <v>1</v>
      </c>
      <c r="AE80">
        <v>1</v>
      </c>
      <c r="AF80">
        <v>1</v>
      </c>
      <c r="AG80">
        <v>2</v>
      </c>
      <c r="AH80">
        <v>2</v>
      </c>
      <c r="AI80">
        <v>2</v>
      </c>
      <c r="AJ80">
        <v>0</v>
      </c>
      <c r="AK80">
        <v>1</v>
      </c>
      <c r="AL80">
        <v>1</v>
      </c>
      <c r="AM80">
        <v>1</v>
      </c>
      <c r="AN80">
        <v>2</v>
      </c>
      <c r="AO80">
        <v>13</v>
      </c>
      <c r="AY80">
        <f>SUM(Upload_Indiv[[#This Row],[Bird1]:[Bird9]])</f>
        <v>0</v>
      </c>
      <c r="BI80">
        <f>SUM(Upload_Indiv[[#This Row],[Eagle1]:[Eagle9]])</f>
        <v>0</v>
      </c>
    </row>
    <row r="81" spans="1:61" x14ac:dyDescent="0.25">
      <c r="A81" t="s">
        <v>534</v>
      </c>
      <c r="B81" t="s">
        <v>533</v>
      </c>
      <c r="C81" s="119">
        <v>45838</v>
      </c>
      <c r="D81" t="s">
        <v>18</v>
      </c>
      <c r="E81" t="s">
        <v>26</v>
      </c>
      <c r="F81" t="s">
        <v>406</v>
      </c>
      <c r="G81">
        <v>4</v>
      </c>
      <c r="H81" t="s">
        <v>278</v>
      </c>
      <c r="I81" t="s">
        <v>407</v>
      </c>
      <c r="J81">
        <v>6</v>
      </c>
      <c r="K81">
        <v>3</v>
      </c>
      <c r="L81">
        <v>9</v>
      </c>
      <c r="M81">
        <v>6</v>
      </c>
      <c r="N81">
        <v>7</v>
      </c>
      <c r="O81">
        <v>7</v>
      </c>
      <c r="P81">
        <v>4</v>
      </c>
      <c r="Q81">
        <v>7</v>
      </c>
      <c r="R81">
        <v>6</v>
      </c>
      <c r="S81">
        <v>55</v>
      </c>
      <c r="T81">
        <v>17.86</v>
      </c>
      <c r="U81">
        <v>37</v>
      </c>
      <c r="V81">
        <v>0</v>
      </c>
      <c r="W81">
        <v>0</v>
      </c>
      <c r="X81">
        <v>0</v>
      </c>
      <c r="Y81">
        <v>1</v>
      </c>
      <c r="Z81">
        <v>1</v>
      </c>
      <c r="AA81">
        <v>0</v>
      </c>
      <c r="AB81">
        <v>0</v>
      </c>
      <c r="AC81">
        <v>1</v>
      </c>
      <c r="AD81">
        <v>0</v>
      </c>
      <c r="AE81">
        <v>0</v>
      </c>
      <c r="AF81">
        <v>2</v>
      </c>
      <c r="AG81">
        <v>0</v>
      </c>
      <c r="AH81">
        <v>1</v>
      </c>
      <c r="AI81">
        <v>1</v>
      </c>
      <c r="AJ81">
        <v>1</v>
      </c>
      <c r="AK81">
        <v>2</v>
      </c>
      <c r="AL81">
        <v>2</v>
      </c>
      <c r="AM81">
        <v>1</v>
      </c>
      <c r="AN81">
        <v>2</v>
      </c>
      <c r="AO81">
        <v>12</v>
      </c>
      <c r="AY81">
        <f>SUM(Upload_Indiv[[#This Row],[Bird1]:[Bird9]])</f>
        <v>0</v>
      </c>
      <c r="BI81">
        <f>SUM(Upload_Indiv[[#This Row],[Eagle1]:[Eagle9]])</f>
        <v>0</v>
      </c>
    </row>
    <row r="82" spans="1:61" x14ac:dyDescent="0.25">
      <c r="A82" t="s">
        <v>535</v>
      </c>
      <c r="B82" t="s">
        <v>533</v>
      </c>
      <c r="C82" s="119">
        <v>45838</v>
      </c>
      <c r="D82" t="s">
        <v>28</v>
      </c>
      <c r="E82" t="s">
        <v>16</v>
      </c>
      <c r="F82" t="s">
        <v>408</v>
      </c>
      <c r="G82">
        <v>1</v>
      </c>
      <c r="H82" t="s">
        <v>315</v>
      </c>
      <c r="I82" t="s">
        <v>407</v>
      </c>
      <c r="J82">
        <v>6</v>
      </c>
      <c r="K82">
        <v>7</v>
      </c>
      <c r="L82">
        <v>5</v>
      </c>
      <c r="M82">
        <v>6</v>
      </c>
      <c r="N82">
        <v>6</v>
      </c>
      <c r="O82">
        <v>8</v>
      </c>
      <c r="P82">
        <v>7</v>
      </c>
      <c r="Q82">
        <v>4</v>
      </c>
      <c r="R82">
        <v>6</v>
      </c>
      <c r="S82">
        <v>55</v>
      </c>
      <c r="T82">
        <v>16.32</v>
      </c>
      <c r="U82">
        <v>39</v>
      </c>
      <c r="V82">
        <v>1</v>
      </c>
      <c r="W82">
        <v>1</v>
      </c>
      <c r="X82">
        <v>1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2</v>
      </c>
      <c r="AG82">
        <v>1</v>
      </c>
      <c r="AH82">
        <v>0</v>
      </c>
      <c r="AI82">
        <v>0</v>
      </c>
      <c r="AJ82">
        <v>0</v>
      </c>
      <c r="AK82">
        <v>2</v>
      </c>
      <c r="AL82">
        <v>2</v>
      </c>
      <c r="AM82">
        <v>1</v>
      </c>
      <c r="AN82">
        <v>0</v>
      </c>
      <c r="AO82">
        <v>9</v>
      </c>
      <c r="AY82">
        <f>SUM(Upload_Indiv[[#This Row],[Bird1]:[Bird9]])</f>
        <v>0</v>
      </c>
      <c r="BI82">
        <f>SUM(Upload_Indiv[[#This Row],[Eagle1]:[Eagle9]])</f>
        <v>0</v>
      </c>
    </row>
    <row r="83" spans="1:61" x14ac:dyDescent="0.25">
      <c r="A83" t="s">
        <v>535</v>
      </c>
      <c r="B83" t="s">
        <v>533</v>
      </c>
      <c r="C83" s="119">
        <v>45838</v>
      </c>
      <c r="D83" t="s">
        <v>28</v>
      </c>
      <c r="E83" t="s">
        <v>16</v>
      </c>
      <c r="F83" t="s">
        <v>408</v>
      </c>
      <c r="G83">
        <v>2</v>
      </c>
      <c r="H83" t="s">
        <v>317</v>
      </c>
      <c r="I83" t="s">
        <v>407</v>
      </c>
      <c r="J83">
        <v>7</v>
      </c>
      <c r="K83">
        <v>6</v>
      </c>
      <c r="L83">
        <v>6</v>
      </c>
      <c r="M83">
        <v>6</v>
      </c>
      <c r="N83">
        <v>5</v>
      </c>
      <c r="O83">
        <v>6</v>
      </c>
      <c r="P83">
        <v>9</v>
      </c>
      <c r="Q83">
        <v>5</v>
      </c>
      <c r="R83">
        <v>7</v>
      </c>
      <c r="S83">
        <v>57</v>
      </c>
      <c r="T83">
        <v>17.09</v>
      </c>
      <c r="U83">
        <v>40</v>
      </c>
      <c r="V83">
        <v>1</v>
      </c>
      <c r="W83">
        <v>0</v>
      </c>
      <c r="X83">
        <v>1</v>
      </c>
      <c r="Y83">
        <v>0</v>
      </c>
      <c r="Z83">
        <v>0</v>
      </c>
      <c r="AA83">
        <v>1</v>
      </c>
      <c r="AB83">
        <v>0</v>
      </c>
      <c r="AC83">
        <v>0</v>
      </c>
      <c r="AD83">
        <v>1</v>
      </c>
      <c r="AE83">
        <v>1</v>
      </c>
      <c r="AF83">
        <v>1</v>
      </c>
      <c r="AG83">
        <v>2</v>
      </c>
      <c r="AH83">
        <v>0</v>
      </c>
      <c r="AI83">
        <v>2</v>
      </c>
      <c r="AJ83">
        <v>0</v>
      </c>
      <c r="AK83">
        <v>0</v>
      </c>
      <c r="AL83">
        <v>2</v>
      </c>
      <c r="AM83">
        <v>1</v>
      </c>
      <c r="AN83">
        <v>0</v>
      </c>
      <c r="AO83">
        <v>9</v>
      </c>
      <c r="AY83">
        <f>SUM(Upload_Indiv[[#This Row],[Bird1]:[Bird9]])</f>
        <v>0</v>
      </c>
      <c r="BI83">
        <f>SUM(Upload_Indiv[[#This Row],[Eagle1]:[Eagle9]])</f>
        <v>0</v>
      </c>
    </row>
    <row r="84" spans="1:61" x14ac:dyDescent="0.25">
      <c r="A84" t="s">
        <v>535</v>
      </c>
      <c r="B84" t="s">
        <v>533</v>
      </c>
      <c r="C84" s="119">
        <v>45838</v>
      </c>
      <c r="D84" t="s">
        <v>28</v>
      </c>
      <c r="E84" t="s">
        <v>16</v>
      </c>
      <c r="F84" t="s">
        <v>408</v>
      </c>
      <c r="G84">
        <v>3</v>
      </c>
      <c r="H84" t="s">
        <v>320</v>
      </c>
      <c r="I84" t="s">
        <v>407</v>
      </c>
      <c r="J84">
        <v>4</v>
      </c>
      <c r="K84">
        <v>7</v>
      </c>
      <c r="L84">
        <v>6</v>
      </c>
      <c r="M84">
        <v>3</v>
      </c>
      <c r="N84">
        <v>5</v>
      </c>
      <c r="O84">
        <v>6</v>
      </c>
      <c r="P84">
        <v>7</v>
      </c>
      <c r="Q84">
        <v>6</v>
      </c>
      <c r="R84">
        <v>5</v>
      </c>
      <c r="S84">
        <v>49</v>
      </c>
      <c r="T84">
        <v>18.239999999999998</v>
      </c>
      <c r="U84">
        <v>31</v>
      </c>
      <c r="V84">
        <v>1</v>
      </c>
      <c r="W84">
        <v>0</v>
      </c>
      <c r="X84">
        <v>0</v>
      </c>
      <c r="Y84">
        <v>0</v>
      </c>
      <c r="Z84">
        <v>0</v>
      </c>
      <c r="AA84">
        <v>1</v>
      </c>
      <c r="AB84">
        <v>0</v>
      </c>
      <c r="AC84">
        <v>0</v>
      </c>
      <c r="AD84">
        <v>0</v>
      </c>
      <c r="AE84">
        <v>2</v>
      </c>
      <c r="AF84">
        <v>0</v>
      </c>
      <c r="AG84">
        <v>0</v>
      </c>
      <c r="AH84">
        <v>2</v>
      </c>
      <c r="AI84">
        <v>2</v>
      </c>
      <c r="AJ84">
        <v>2</v>
      </c>
      <c r="AK84">
        <v>2</v>
      </c>
      <c r="AL84">
        <v>0</v>
      </c>
      <c r="AM84">
        <v>1</v>
      </c>
      <c r="AN84">
        <v>2</v>
      </c>
      <c r="AO84">
        <v>13</v>
      </c>
      <c r="AY84">
        <f>SUM(Upload_Indiv[[#This Row],[Bird1]:[Bird9]])</f>
        <v>0</v>
      </c>
      <c r="BI84">
        <f>SUM(Upload_Indiv[[#This Row],[Eagle1]:[Eagle9]])</f>
        <v>0</v>
      </c>
    </row>
    <row r="85" spans="1:61" x14ac:dyDescent="0.25">
      <c r="A85" t="s">
        <v>535</v>
      </c>
      <c r="B85" t="s">
        <v>533</v>
      </c>
      <c r="C85" s="119">
        <v>45838</v>
      </c>
      <c r="D85" t="s">
        <v>28</v>
      </c>
      <c r="E85" t="s">
        <v>16</v>
      </c>
      <c r="F85" t="s">
        <v>408</v>
      </c>
      <c r="G85">
        <v>4</v>
      </c>
      <c r="H85" t="s">
        <v>101</v>
      </c>
      <c r="I85" t="s">
        <v>407</v>
      </c>
      <c r="J85">
        <v>5</v>
      </c>
      <c r="K85">
        <v>6</v>
      </c>
      <c r="L85">
        <v>8</v>
      </c>
      <c r="M85">
        <v>6</v>
      </c>
      <c r="N85">
        <v>9</v>
      </c>
      <c r="O85">
        <v>9</v>
      </c>
      <c r="P85">
        <v>4</v>
      </c>
      <c r="Q85">
        <v>6</v>
      </c>
      <c r="R85">
        <v>6</v>
      </c>
      <c r="S85">
        <v>59</v>
      </c>
      <c r="T85">
        <v>18.62</v>
      </c>
      <c r="U85">
        <v>40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2</v>
      </c>
      <c r="AF85">
        <v>1</v>
      </c>
      <c r="AG85">
        <v>0</v>
      </c>
      <c r="AH85">
        <v>1</v>
      </c>
      <c r="AI85">
        <v>0</v>
      </c>
      <c r="AJ85">
        <v>0</v>
      </c>
      <c r="AK85">
        <v>2</v>
      </c>
      <c r="AL85">
        <v>0</v>
      </c>
      <c r="AM85">
        <v>1</v>
      </c>
      <c r="AN85">
        <v>0</v>
      </c>
      <c r="AO85">
        <v>7</v>
      </c>
      <c r="AV85">
        <v>1</v>
      </c>
      <c r="AY85">
        <f>SUM(Upload_Indiv[[#This Row],[Bird1]:[Bird9]])</f>
        <v>1</v>
      </c>
      <c r="BI85">
        <f>SUM(Upload_Indiv[[#This Row],[Eagle1]:[Eagle9]])</f>
        <v>0</v>
      </c>
    </row>
    <row r="86" spans="1:61" x14ac:dyDescent="0.25">
      <c r="A86" t="s">
        <v>535</v>
      </c>
      <c r="B86" t="s">
        <v>533</v>
      </c>
      <c r="C86" s="119">
        <v>45838</v>
      </c>
      <c r="D86" t="s">
        <v>16</v>
      </c>
      <c r="E86" t="s">
        <v>28</v>
      </c>
      <c r="F86" t="s">
        <v>408</v>
      </c>
      <c r="G86">
        <v>1</v>
      </c>
      <c r="H86" t="s">
        <v>485</v>
      </c>
      <c r="I86" t="s">
        <v>407</v>
      </c>
      <c r="J86">
        <v>5</v>
      </c>
      <c r="K86">
        <v>7</v>
      </c>
      <c r="L86">
        <v>4</v>
      </c>
      <c r="M86">
        <v>4</v>
      </c>
      <c r="N86">
        <v>5</v>
      </c>
      <c r="O86">
        <v>6</v>
      </c>
      <c r="P86">
        <v>7</v>
      </c>
      <c r="Q86">
        <v>5</v>
      </c>
      <c r="R86">
        <v>5</v>
      </c>
      <c r="S86">
        <v>48</v>
      </c>
      <c r="T86">
        <v>9.6</v>
      </c>
      <c r="U86">
        <v>38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</v>
      </c>
      <c r="AF86">
        <v>0</v>
      </c>
      <c r="AG86">
        <v>1</v>
      </c>
      <c r="AH86">
        <v>2</v>
      </c>
      <c r="AI86">
        <v>2</v>
      </c>
      <c r="AJ86">
        <v>2</v>
      </c>
      <c r="AK86">
        <v>0</v>
      </c>
      <c r="AL86">
        <v>0</v>
      </c>
      <c r="AM86">
        <v>1</v>
      </c>
      <c r="AN86">
        <v>2</v>
      </c>
      <c r="AO86">
        <v>11</v>
      </c>
      <c r="AY86">
        <f>SUM(Upload_Indiv[[#This Row],[Bird1]:[Bird9]])</f>
        <v>0</v>
      </c>
      <c r="BI86">
        <f>SUM(Upload_Indiv[[#This Row],[Eagle1]:[Eagle9]])</f>
        <v>0</v>
      </c>
    </row>
    <row r="87" spans="1:61" x14ac:dyDescent="0.25">
      <c r="A87" t="s">
        <v>535</v>
      </c>
      <c r="B87" t="s">
        <v>533</v>
      </c>
      <c r="C87" s="119">
        <v>45838</v>
      </c>
      <c r="D87" t="s">
        <v>16</v>
      </c>
      <c r="E87" t="s">
        <v>28</v>
      </c>
      <c r="F87" t="s">
        <v>408</v>
      </c>
      <c r="G87">
        <v>2</v>
      </c>
      <c r="H87" t="s">
        <v>267</v>
      </c>
      <c r="I87" t="s">
        <v>407</v>
      </c>
      <c r="J87">
        <v>6</v>
      </c>
      <c r="K87">
        <v>6</v>
      </c>
      <c r="L87">
        <v>6</v>
      </c>
      <c r="M87">
        <v>4</v>
      </c>
      <c r="N87">
        <v>6</v>
      </c>
      <c r="O87">
        <v>4</v>
      </c>
      <c r="P87">
        <v>6</v>
      </c>
      <c r="Q87">
        <v>6</v>
      </c>
      <c r="R87">
        <v>6</v>
      </c>
      <c r="S87">
        <v>50</v>
      </c>
      <c r="T87">
        <v>13.25</v>
      </c>
      <c r="U87">
        <v>37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</v>
      </c>
      <c r="AF87">
        <v>1</v>
      </c>
      <c r="AG87">
        <v>0</v>
      </c>
      <c r="AH87">
        <v>2</v>
      </c>
      <c r="AI87">
        <v>0</v>
      </c>
      <c r="AJ87">
        <v>2</v>
      </c>
      <c r="AK87">
        <v>2</v>
      </c>
      <c r="AL87">
        <v>0</v>
      </c>
      <c r="AM87">
        <v>1</v>
      </c>
      <c r="AN87">
        <v>2</v>
      </c>
      <c r="AO87">
        <v>11</v>
      </c>
      <c r="AY87">
        <f>SUM(Upload_Indiv[[#This Row],[Bird1]:[Bird9]])</f>
        <v>0</v>
      </c>
      <c r="BI87">
        <f>SUM(Upload_Indiv[[#This Row],[Eagle1]:[Eagle9]])</f>
        <v>0</v>
      </c>
    </row>
    <row r="88" spans="1:61" x14ac:dyDescent="0.25">
      <c r="A88" t="s">
        <v>535</v>
      </c>
      <c r="B88" t="s">
        <v>533</v>
      </c>
      <c r="C88" s="119">
        <v>45838</v>
      </c>
      <c r="D88" t="s">
        <v>16</v>
      </c>
      <c r="E88" t="s">
        <v>28</v>
      </c>
      <c r="F88" t="s">
        <v>408</v>
      </c>
      <c r="G88">
        <v>3</v>
      </c>
      <c r="H88" t="s">
        <v>484</v>
      </c>
      <c r="I88" t="s">
        <v>407</v>
      </c>
      <c r="J88">
        <v>6</v>
      </c>
      <c r="K88">
        <v>6</v>
      </c>
      <c r="L88">
        <v>5</v>
      </c>
      <c r="M88">
        <v>4</v>
      </c>
      <c r="N88">
        <v>7</v>
      </c>
      <c r="O88">
        <v>6</v>
      </c>
      <c r="P88">
        <v>10</v>
      </c>
      <c r="Q88">
        <v>4</v>
      </c>
      <c r="R88">
        <v>5</v>
      </c>
      <c r="S88">
        <v>53</v>
      </c>
      <c r="T88">
        <v>16.079999999999998</v>
      </c>
      <c r="U88">
        <v>37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2</v>
      </c>
      <c r="AG88">
        <v>2</v>
      </c>
      <c r="AH88">
        <v>0</v>
      </c>
      <c r="AI88">
        <v>0</v>
      </c>
      <c r="AJ88">
        <v>0</v>
      </c>
      <c r="AK88">
        <v>0</v>
      </c>
      <c r="AL88">
        <v>2</v>
      </c>
      <c r="AM88">
        <v>1</v>
      </c>
      <c r="AN88">
        <v>0</v>
      </c>
      <c r="AO88">
        <v>7</v>
      </c>
      <c r="AY88">
        <f>SUM(Upload_Indiv[[#This Row],[Bird1]:[Bird9]])</f>
        <v>0</v>
      </c>
      <c r="BI88">
        <f>SUM(Upload_Indiv[[#This Row],[Eagle1]:[Eagle9]])</f>
        <v>0</v>
      </c>
    </row>
    <row r="89" spans="1:61" x14ac:dyDescent="0.25">
      <c r="A89" t="s">
        <v>535</v>
      </c>
      <c r="B89" t="s">
        <v>533</v>
      </c>
      <c r="C89" s="119">
        <v>45838</v>
      </c>
      <c r="D89" t="s">
        <v>16</v>
      </c>
      <c r="E89" t="s">
        <v>28</v>
      </c>
      <c r="F89" t="s">
        <v>408</v>
      </c>
      <c r="G89">
        <v>4</v>
      </c>
      <c r="H89" t="s">
        <v>265</v>
      </c>
      <c r="I89" t="s">
        <v>407</v>
      </c>
      <c r="J89">
        <v>8</v>
      </c>
      <c r="K89">
        <v>6</v>
      </c>
      <c r="L89">
        <v>7</v>
      </c>
      <c r="M89">
        <v>6</v>
      </c>
      <c r="N89">
        <v>6</v>
      </c>
      <c r="O89">
        <v>7</v>
      </c>
      <c r="P89">
        <v>7</v>
      </c>
      <c r="Q89">
        <v>5</v>
      </c>
      <c r="R89">
        <v>6</v>
      </c>
      <c r="S89">
        <v>58</v>
      </c>
      <c r="T89">
        <v>20</v>
      </c>
      <c r="U89">
        <v>38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0</v>
      </c>
      <c r="AC89">
        <v>0</v>
      </c>
      <c r="AD89">
        <v>0</v>
      </c>
      <c r="AE89">
        <v>0</v>
      </c>
      <c r="AF89">
        <v>1</v>
      </c>
      <c r="AG89">
        <v>2</v>
      </c>
      <c r="AH89">
        <v>1</v>
      </c>
      <c r="AI89">
        <v>2</v>
      </c>
      <c r="AJ89">
        <v>2</v>
      </c>
      <c r="AK89">
        <v>0</v>
      </c>
      <c r="AL89">
        <v>2</v>
      </c>
      <c r="AM89">
        <v>1</v>
      </c>
      <c r="AN89">
        <v>2</v>
      </c>
      <c r="AO89">
        <v>13</v>
      </c>
      <c r="AY89">
        <f>SUM(Upload_Indiv[[#This Row],[Bird1]:[Bird9]])</f>
        <v>0</v>
      </c>
      <c r="BI89">
        <f>SUM(Upload_Indiv[[#This Row],[Eagle1]:[Eagle9]])</f>
        <v>0</v>
      </c>
    </row>
    <row r="90" spans="1:61" x14ac:dyDescent="0.25">
      <c r="A90" t="s">
        <v>536</v>
      </c>
      <c r="B90" t="s">
        <v>533</v>
      </c>
      <c r="C90" s="119">
        <v>45838</v>
      </c>
      <c r="D90" t="s">
        <v>24</v>
      </c>
      <c r="E90" t="s">
        <v>20</v>
      </c>
      <c r="F90" t="s">
        <v>408</v>
      </c>
      <c r="G90">
        <v>1</v>
      </c>
      <c r="H90" t="s">
        <v>258</v>
      </c>
      <c r="I90" t="s">
        <v>407</v>
      </c>
      <c r="J90">
        <v>5</v>
      </c>
      <c r="K90">
        <v>6</v>
      </c>
      <c r="L90">
        <v>4</v>
      </c>
      <c r="M90">
        <v>4</v>
      </c>
      <c r="N90">
        <v>7</v>
      </c>
      <c r="O90">
        <v>6</v>
      </c>
      <c r="P90">
        <v>6</v>
      </c>
      <c r="Q90">
        <v>4</v>
      </c>
      <c r="R90">
        <v>5</v>
      </c>
      <c r="S90">
        <v>47</v>
      </c>
      <c r="T90">
        <v>7.49</v>
      </c>
      <c r="U90">
        <v>40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2</v>
      </c>
      <c r="AF90">
        <v>1</v>
      </c>
      <c r="AG90">
        <v>2</v>
      </c>
      <c r="AH90">
        <v>2</v>
      </c>
      <c r="AI90">
        <v>0</v>
      </c>
      <c r="AJ90">
        <v>0</v>
      </c>
      <c r="AK90">
        <v>1</v>
      </c>
      <c r="AL90">
        <v>2</v>
      </c>
      <c r="AM90">
        <v>1</v>
      </c>
      <c r="AN90">
        <v>2</v>
      </c>
      <c r="AO90">
        <v>13</v>
      </c>
      <c r="AY90">
        <f>SUM(Upload_Indiv[[#This Row],[Bird1]:[Bird9]])</f>
        <v>0</v>
      </c>
      <c r="BI90">
        <f>SUM(Upload_Indiv[[#This Row],[Eagle1]:[Eagle9]])</f>
        <v>0</v>
      </c>
    </row>
    <row r="91" spans="1:61" x14ac:dyDescent="0.25">
      <c r="A91" t="s">
        <v>536</v>
      </c>
      <c r="B91" t="s">
        <v>533</v>
      </c>
      <c r="C91" s="119">
        <v>45838</v>
      </c>
      <c r="D91" t="s">
        <v>24</v>
      </c>
      <c r="E91" t="s">
        <v>20</v>
      </c>
      <c r="F91" t="s">
        <v>408</v>
      </c>
      <c r="G91">
        <v>2</v>
      </c>
      <c r="H91" t="s">
        <v>528</v>
      </c>
      <c r="I91" t="s">
        <v>407</v>
      </c>
      <c r="J91">
        <v>5</v>
      </c>
      <c r="K91">
        <v>7</v>
      </c>
      <c r="L91">
        <v>5</v>
      </c>
      <c r="M91">
        <v>4</v>
      </c>
      <c r="N91">
        <v>6</v>
      </c>
      <c r="O91">
        <v>6</v>
      </c>
      <c r="P91">
        <v>6</v>
      </c>
      <c r="Q91">
        <v>3</v>
      </c>
      <c r="R91">
        <v>5</v>
      </c>
      <c r="S91">
        <v>47</v>
      </c>
      <c r="T91">
        <v>9.56</v>
      </c>
      <c r="U91">
        <v>37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2</v>
      </c>
      <c r="AF91">
        <v>1</v>
      </c>
      <c r="AG91">
        <v>1</v>
      </c>
      <c r="AH91">
        <v>0</v>
      </c>
      <c r="AI91">
        <v>0</v>
      </c>
      <c r="AJ91">
        <v>0</v>
      </c>
      <c r="AK91">
        <v>2</v>
      </c>
      <c r="AL91">
        <v>2</v>
      </c>
      <c r="AM91">
        <v>0</v>
      </c>
      <c r="AN91">
        <v>1</v>
      </c>
      <c r="AO91">
        <v>9</v>
      </c>
      <c r="AY91">
        <f>SUM(Upload_Indiv[[#This Row],[Bird1]:[Bird9]])</f>
        <v>0</v>
      </c>
      <c r="BI91">
        <f>SUM(Upload_Indiv[[#This Row],[Eagle1]:[Eagle9]])</f>
        <v>0</v>
      </c>
    </row>
    <row r="92" spans="1:61" x14ac:dyDescent="0.25">
      <c r="A92" t="s">
        <v>536</v>
      </c>
      <c r="B92" t="s">
        <v>533</v>
      </c>
      <c r="C92" s="119">
        <v>45838</v>
      </c>
      <c r="D92" t="s">
        <v>24</v>
      </c>
      <c r="E92" t="s">
        <v>20</v>
      </c>
      <c r="F92" t="s">
        <v>408</v>
      </c>
      <c r="G92">
        <v>3</v>
      </c>
      <c r="H92" t="s">
        <v>425</v>
      </c>
      <c r="I92" t="s">
        <v>407</v>
      </c>
      <c r="J92">
        <v>6</v>
      </c>
      <c r="K92">
        <v>7</v>
      </c>
      <c r="L92">
        <v>8</v>
      </c>
      <c r="M92">
        <v>5</v>
      </c>
      <c r="N92">
        <v>7</v>
      </c>
      <c r="O92">
        <v>5</v>
      </c>
      <c r="P92">
        <v>10</v>
      </c>
      <c r="Q92">
        <v>6</v>
      </c>
      <c r="R92">
        <v>6</v>
      </c>
      <c r="S92">
        <v>60</v>
      </c>
      <c r="T92">
        <v>15.94</v>
      </c>
      <c r="U92">
        <v>44</v>
      </c>
      <c r="V92">
        <v>1</v>
      </c>
      <c r="W92">
        <v>0</v>
      </c>
      <c r="X92">
        <v>1</v>
      </c>
      <c r="Y92">
        <v>0</v>
      </c>
      <c r="Z92">
        <v>0</v>
      </c>
      <c r="AA92">
        <v>1</v>
      </c>
      <c r="AB92">
        <v>1</v>
      </c>
      <c r="AC92">
        <v>0</v>
      </c>
      <c r="AD92">
        <v>1</v>
      </c>
      <c r="AE92">
        <v>1</v>
      </c>
      <c r="AF92">
        <v>1</v>
      </c>
      <c r="AG92">
        <v>0</v>
      </c>
      <c r="AH92">
        <v>1</v>
      </c>
      <c r="AI92">
        <v>0</v>
      </c>
      <c r="AJ92">
        <v>2</v>
      </c>
      <c r="AK92">
        <v>0</v>
      </c>
      <c r="AL92">
        <v>0</v>
      </c>
      <c r="AM92">
        <v>1</v>
      </c>
      <c r="AN92">
        <v>0</v>
      </c>
      <c r="AO92">
        <v>6</v>
      </c>
      <c r="AY92">
        <f>SUM(Upload_Indiv[[#This Row],[Bird1]:[Bird9]])</f>
        <v>0</v>
      </c>
      <c r="BI92">
        <f>SUM(Upload_Indiv[[#This Row],[Eagle1]:[Eagle9]])</f>
        <v>0</v>
      </c>
    </row>
    <row r="93" spans="1:61" x14ac:dyDescent="0.25">
      <c r="A93" t="s">
        <v>536</v>
      </c>
      <c r="B93" t="s">
        <v>533</v>
      </c>
      <c r="C93" s="119">
        <v>45838</v>
      </c>
      <c r="D93" t="s">
        <v>24</v>
      </c>
      <c r="E93" t="s">
        <v>20</v>
      </c>
      <c r="F93" t="s">
        <v>408</v>
      </c>
      <c r="G93">
        <v>4</v>
      </c>
      <c r="H93" t="s">
        <v>106</v>
      </c>
      <c r="I93" t="s">
        <v>407</v>
      </c>
      <c r="J93">
        <v>6</v>
      </c>
      <c r="K93">
        <v>7</v>
      </c>
      <c r="L93">
        <v>5</v>
      </c>
      <c r="M93">
        <v>4</v>
      </c>
      <c r="N93">
        <v>6</v>
      </c>
      <c r="O93">
        <v>6</v>
      </c>
      <c r="P93">
        <v>6</v>
      </c>
      <c r="Q93">
        <v>5</v>
      </c>
      <c r="R93">
        <v>5</v>
      </c>
      <c r="S93">
        <v>50</v>
      </c>
      <c r="T93">
        <v>16.7</v>
      </c>
      <c r="U93">
        <v>33</v>
      </c>
      <c r="V93">
        <v>1</v>
      </c>
      <c r="W93">
        <v>0</v>
      </c>
      <c r="X93">
        <v>1</v>
      </c>
      <c r="Y93">
        <v>0</v>
      </c>
      <c r="Z93">
        <v>0</v>
      </c>
      <c r="AA93">
        <v>1</v>
      </c>
      <c r="AB93">
        <v>0</v>
      </c>
      <c r="AC93">
        <v>0</v>
      </c>
      <c r="AD93">
        <v>1</v>
      </c>
      <c r="AE93">
        <v>1</v>
      </c>
      <c r="AF93">
        <v>0</v>
      </c>
      <c r="AG93">
        <v>2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2</v>
      </c>
      <c r="AN93">
        <v>0</v>
      </c>
      <c r="AO93">
        <v>7</v>
      </c>
      <c r="AY93">
        <f>SUM(Upload_Indiv[[#This Row],[Bird1]:[Bird9]])</f>
        <v>0</v>
      </c>
      <c r="BI93">
        <f>SUM(Upload_Indiv[[#This Row],[Eagle1]:[Eagle9]])</f>
        <v>0</v>
      </c>
    </row>
    <row r="94" spans="1:61" x14ac:dyDescent="0.25">
      <c r="A94" t="s">
        <v>536</v>
      </c>
      <c r="B94" t="s">
        <v>533</v>
      </c>
      <c r="C94" s="119">
        <v>45838</v>
      </c>
      <c r="D94" t="s">
        <v>20</v>
      </c>
      <c r="E94" t="s">
        <v>24</v>
      </c>
      <c r="F94" t="s">
        <v>408</v>
      </c>
      <c r="G94">
        <v>1</v>
      </c>
      <c r="H94" t="s">
        <v>429</v>
      </c>
      <c r="I94" t="s">
        <v>407</v>
      </c>
      <c r="J94">
        <v>7</v>
      </c>
      <c r="K94">
        <v>6</v>
      </c>
      <c r="L94">
        <v>7</v>
      </c>
      <c r="M94">
        <v>5</v>
      </c>
      <c r="N94">
        <v>6</v>
      </c>
      <c r="O94">
        <v>5</v>
      </c>
      <c r="P94">
        <v>6</v>
      </c>
      <c r="Q94">
        <v>5</v>
      </c>
      <c r="R94">
        <v>5</v>
      </c>
      <c r="S94">
        <v>52</v>
      </c>
      <c r="T94">
        <v>8.64</v>
      </c>
      <c r="U94">
        <v>43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0</v>
      </c>
      <c r="AC94">
        <v>0</v>
      </c>
      <c r="AD94">
        <v>0</v>
      </c>
      <c r="AE94">
        <v>0</v>
      </c>
      <c r="AF94">
        <v>1</v>
      </c>
      <c r="AG94">
        <v>0</v>
      </c>
      <c r="AH94">
        <v>0</v>
      </c>
      <c r="AI94">
        <v>2</v>
      </c>
      <c r="AJ94">
        <v>2</v>
      </c>
      <c r="AK94">
        <v>1</v>
      </c>
      <c r="AL94">
        <v>0</v>
      </c>
      <c r="AM94">
        <v>1</v>
      </c>
      <c r="AN94">
        <v>0</v>
      </c>
      <c r="AO94">
        <v>7</v>
      </c>
      <c r="AY94">
        <f>SUM(Upload_Indiv[[#This Row],[Bird1]:[Bird9]])</f>
        <v>0</v>
      </c>
      <c r="BI94">
        <f>SUM(Upload_Indiv[[#This Row],[Eagle1]:[Eagle9]])</f>
        <v>0</v>
      </c>
    </row>
    <row r="95" spans="1:61" x14ac:dyDescent="0.25">
      <c r="A95" t="s">
        <v>536</v>
      </c>
      <c r="B95" t="s">
        <v>533</v>
      </c>
      <c r="C95" s="119">
        <v>45838</v>
      </c>
      <c r="D95" t="s">
        <v>20</v>
      </c>
      <c r="E95" t="s">
        <v>24</v>
      </c>
      <c r="F95" t="s">
        <v>408</v>
      </c>
      <c r="G95">
        <v>2</v>
      </c>
      <c r="H95" t="s">
        <v>163</v>
      </c>
      <c r="I95" t="s">
        <v>407</v>
      </c>
      <c r="J95">
        <v>6</v>
      </c>
      <c r="K95">
        <v>7</v>
      </c>
      <c r="L95">
        <v>5</v>
      </c>
      <c r="M95">
        <v>3</v>
      </c>
      <c r="N95">
        <v>5</v>
      </c>
      <c r="O95">
        <v>5</v>
      </c>
      <c r="P95">
        <v>7</v>
      </c>
      <c r="Q95">
        <v>4</v>
      </c>
      <c r="R95">
        <v>4</v>
      </c>
      <c r="S95">
        <v>46</v>
      </c>
      <c r="T95">
        <v>9.2200000000000006</v>
      </c>
      <c r="U95">
        <v>37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1</v>
      </c>
      <c r="AH95">
        <v>2</v>
      </c>
      <c r="AI95">
        <v>2</v>
      </c>
      <c r="AJ95">
        <v>2</v>
      </c>
      <c r="AK95">
        <v>0</v>
      </c>
      <c r="AL95">
        <v>0</v>
      </c>
      <c r="AM95">
        <v>2</v>
      </c>
      <c r="AN95">
        <v>1</v>
      </c>
      <c r="AO95">
        <v>11</v>
      </c>
      <c r="AY95">
        <f>SUM(Upload_Indiv[[#This Row],[Bird1]:[Bird9]])</f>
        <v>0</v>
      </c>
      <c r="BI95">
        <f>SUM(Upload_Indiv[[#This Row],[Eagle1]:[Eagle9]])</f>
        <v>0</v>
      </c>
    </row>
    <row r="96" spans="1:61" x14ac:dyDescent="0.25">
      <c r="A96" t="s">
        <v>536</v>
      </c>
      <c r="B96" t="s">
        <v>533</v>
      </c>
      <c r="C96" s="119">
        <v>45838</v>
      </c>
      <c r="D96" t="s">
        <v>20</v>
      </c>
      <c r="E96" t="s">
        <v>24</v>
      </c>
      <c r="F96" t="s">
        <v>408</v>
      </c>
      <c r="G96">
        <v>3</v>
      </c>
      <c r="H96" t="s">
        <v>513</v>
      </c>
      <c r="I96" t="s">
        <v>407</v>
      </c>
      <c r="J96">
        <v>5</v>
      </c>
      <c r="K96">
        <v>7</v>
      </c>
      <c r="L96">
        <v>6</v>
      </c>
      <c r="M96">
        <v>5</v>
      </c>
      <c r="N96">
        <v>6</v>
      </c>
      <c r="O96">
        <v>8</v>
      </c>
      <c r="P96">
        <v>6</v>
      </c>
      <c r="Q96">
        <v>5</v>
      </c>
      <c r="R96">
        <v>5</v>
      </c>
      <c r="S96">
        <v>53</v>
      </c>
      <c r="T96">
        <v>10.56</v>
      </c>
      <c r="U96">
        <v>42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</v>
      </c>
      <c r="AF96">
        <v>1</v>
      </c>
      <c r="AG96">
        <v>2</v>
      </c>
      <c r="AH96">
        <v>1</v>
      </c>
      <c r="AI96">
        <v>2</v>
      </c>
      <c r="AJ96">
        <v>0</v>
      </c>
      <c r="AK96">
        <v>2</v>
      </c>
      <c r="AL96">
        <v>2</v>
      </c>
      <c r="AM96">
        <v>1</v>
      </c>
      <c r="AN96">
        <v>2</v>
      </c>
      <c r="AO96">
        <v>14</v>
      </c>
      <c r="AY96">
        <f>SUM(Upload_Indiv[[#This Row],[Bird1]:[Bird9]])</f>
        <v>0</v>
      </c>
      <c r="BI96">
        <f>SUM(Upload_Indiv[[#This Row],[Eagle1]:[Eagle9]])</f>
        <v>0</v>
      </c>
    </row>
    <row r="97" spans="1:61" x14ac:dyDescent="0.25">
      <c r="A97" t="s">
        <v>536</v>
      </c>
      <c r="B97" t="s">
        <v>533</v>
      </c>
      <c r="C97" s="119">
        <v>45838</v>
      </c>
      <c r="D97" t="s">
        <v>20</v>
      </c>
      <c r="E97" t="s">
        <v>24</v>
      </c>
      <c r="F97" t="s">
        <v>408</v>
      </c>
      <c r="G97">
        <v>4</v>
      </c>
      <c r="H97" t="s">
        <v>224</v>
      </c>
      <c r="I97" t="s">
        <v>407</v>
      </c>
      <c r="J97">
        <v>5</v>
      </c>
      <c r="K97">
        <v>5</v>
      </c>
      <c r="L97">
        <v>5</v>
      </c>
      <c r="M97">
        <v>5</v>
      </c>
      <c r="N97">
        <v>5</v>
      </c>
      <c r="O97">
        <v>4</v>
      </c>
      <c r="P97">
        <v>5</v>
      </c>
      <c r="Q97">
        <v>4</v>
      </c>
      <c r="R97">
        <v>6</v>
      </c>
      <c r="S97">
        <v>44</v>
      </c>
      <c r="T97">
        <v>13.12</v>
      </c>
      <c r="U97">
        <v>31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</v>
      </c>
      <c r="AF97">
        <v>2</v>
      </c>
      <c r="AG97">
        <v>0</v>
      </c>
      <c r="AH97">
        <v>0</v>
      </c>
      <c r="AI97">
        <v>2</v>
      </c>
      <c r="AJ97">
        <v>2</v>
      </c>
      <c r="AK97">
        <v>2</v>
      </c>
      <c r="AL97">
        <v>2</v>
      </c>
      <c r="AM97">
        <v>0</v>
      </c>
      <c r="AN97">
        <v>2</v>
      </c>
      <c r="AO97">
        <v>13</v>
      </c>
      <c r="AY97">
        <f>SUM(Upload_Indiv[[#This Row],[Bird1]:[Bird9]])</f>
        <v>0</v>
      </c>
      <c r="BI97">
        <f>SUM(Upload_Indiv[[#This Row],[Eagle1]:[Eagle9]])</f>
        <v>0</v>
      </c>
    </row>
    <row r="98" spans="1:61" x14ac:dyDescent="0.25">
      <c r="A98" t="s">
        <v>539</v>
      </c>
      <c r="B98" t="s">
        <v>540</v>
      </c>
      <c r="C98" s="119">
        <v>45852</v>
      </c>
      <c r="D98" t="s">
        <v>26</v>
      </c>
      <c r="E98" t="s">
        <v>28</v>
      </c>
      <c r="F98" t="s">
        <v>408</v>
      </c>
      <c r="G98">
        <v>1</v>
      </c>
      <c r="H98" t="s">
        <v>311</v>
      </c>
      <c r="I98" t="s">
        <v>407</v>
      </c>
      <c r="J98">
        <v>5</v>
      </c>
      <c r="K98">
        <v>6</v>
      </c>
      <c r="L98">
        <v>5</v>
      </c>
      <c r="M98">
        <v>4</v>
      </c>
      <c r="N98">
        <v>6</v>
      </c>
      <c r="O98">
        <v>4</v>
      </c>
      <c r="P98">
        <v>5</v>
      </c>
      <c r="Q98">
        <v>3</v>
      </c>
      <c r="R98">
        <v>3</v>
      </c>
      <c r="S98">
        <v>41</v>
      </c>
      <c r="T98">
        <v>4.22</v>
      </c>
      <c r="U98">
        <v>37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2</v>
      </c>
      <c r="AG98">
        <v>1</v>
      </c>
      <c r="AH98">
        <v>1</v>
      </c>
      <c r="AI98">
        <v>0</v>
      </c>
      <c r="AJ98">
        <v>2</v>
      </c>
      <c r="AK98">
        <v>2</v>
      </c>
      <c r="AL98">
        <v>2</v>
      </c>
      <c r="AM98">
        <v>1</v>
      </c>
      <c r="AN98">
        <v>2</v>
      </c>
      <c r="AO98">
        <v>13</v>
      </c>
      <c r="AX98">
        <v>1</v>
      </c>
      <c r="AY98">
        <f>SUM(Upload_Indiv[[#This Row],[Bird1]:[Bird9]])</f>
        <v>1</v>
      </c>
      <c r="BI98">
        <f>SUM(Upload_Indiv[[#This Row],[Eagle1]:[Eagle9]])</f>
        <v>0</v>
      </c>
    </row>
    <row r="99" spans="1:61" x14ac:dyDescent="0.25">
      <c r="A99" t="s">
        <v>539</v>
      </c>
      <c r="B99" t="s">
        <v>540</v>
      </c>
      <c r="C99" s="119">
        <v>45852</v>
      </c>
      <c r="D99" t="s">
        <v>26</v>
      </c>
      <c r="E99" t="s">
        <v>28</v>
      </c>
      <c r="F99" t="s">
        <v>408</v>
      </c>
      <c r="G99">
        <v>2</v>
      </c>
      <c r="H99" t="s">
        <v>100</v>
      </c>
      <c r="I99" t="s">
        <v>407</v>
      </c>
      <c r="J99">
        <v>6</v>
      </c>
      <c r="K99">
        <v>5</v>
      </c>
      <c r="L99">
        <v>4</v>
      </c>
      <c r="M99">
        <v>4</v>
      </c>
      <c r="N99">
        <v>5</v>
      </c>
      <c r="O99">
        <v>5</v>
      </c>
      <c r="P99">
        <v>6</v>
      </c>
      <c r="Q99">
        <v>5</v>
      </c>
      <c r="R99">
        <v>5</v>
      </c>
      <c r="S99">
        <v>45</v>
      </c>
      <c r="T99">
        <v>4.22</v>
      </c>
      <c r="U99">
        <v>41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2</v>
      </c>
      <c r="AG99">
        <v>1</v>
      </c>
      <c r="AH99">
        <v>2</v>
      </c>
      <c r="AI99">
        <v>1</v>
      </c>
      <c r="AJ99">
        <v>0</v>
      </c>
      <c r="AK99">
        <v>2</v>
      </c>
      <c r="AL99">
        <v>0</v>
      </c>
      <c r="AM99">
        <v>1</v>
      </c>
      <c r="AN99">
        <v>2</v>
      </c>
      <c r="AO99">
        <v>11</v>
      </c>
      <c r="AY99">
        <f>SUM(Upload_Indiv[[#This Row],[Bird1]:[Bird9]])</f>
        <v>0</v>
      </c>
      <c r="BI99">
        <f>SUM(Upload_Indiv[[#This Row],[Eagle1]:[Eagle9]])</f>
        <v>0</v>
      </c>
    </row>
    <row r="100" spans="1:61" x14ac:dyDescent="0.25">
      <c r="A100" t="s">
        <v>539</v>
      </c>
      <c r="B100" t="s">
        <v>540</v>
      </c>
      <c r="C100" s="119">
        <v>45852</v>
      </c>
      <c r="D100" t="s">
        <v>26</v>
      </c>
      <c r="E100" t="s">
        <v>28</v>
      </c>
      <c r="F100" t="s">
        <v>408</v>
      </c>
      <c r="G100">
        <v>3</v>
      </c>
      <c r="H100" t="s">
        <v>309</v>
      </c>
      <c r="I100" t="s">
        <v>407</v>
      </c>
      <c r="J100">
        <v>6</v>
      </c>
      <c r="K100">
        <v>7</v>
      </c>
      <c r="L100">
        <v>3</v>
      </c>
      <c r="M100">
        <v>5</v>
      </c>
      <c r="N100">
        <v>5</v>
      </c>
      <c r="O100">
        <v>7</v>
      </c>
      <c r="P100">
        <v>7</v>
      </c>
      <c r="Q100">
        <v>5</v>
      </c>
      <c r="R100">
        <v>5</v>
      </c>
      <c r="S100">
        <v>50</v>
      </c>
      <c r="T100">
        <v>15.55</v>
      </c>
      <c r="U100">
        <v>34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2</v>
      </c>
      <c r="AH100">
        <v>0</v>
      </c>
      <c r="AI100">
        <v>2</v>
      </c>
      <c r="AJ100">
        <v>0</v>
      </c>
      <c r="AK100">
        <v>2</v>
      </c>
      <c r="AL100">
        <v>1</v>
      </c>
      <c r="AM100">
        <v>2</v>
      </c>
      <c r="AN100">
        <v>2</v>
      </c>
      <c r="AO100">
        <v>11</v>
      </c>
      <c r="AR100">
        <v>1</v>
      </c>
      <c r="AY100">
        <f>SUM(Upload_Indiv[[#This Row],[Bird1]:[Bird9]])</f>
        <v>1</v>
      </c>
      <c r="BI100">
        <f>SUM(Upload_Indiv[[#This Row],[Eagle1]:[Eagle9]])</f>
        <v>0</v>
      </c>
    </row>
    <row r="101" spans="1:61" x14ac:dyDescent="0.25">
      <c r="A101" t="s">
        <v>539</v>
      </c>
      <c r="B101" t="s">
        <v>540</v>
      </c>
      <c r="C101" s="119">
        <v>45852</v>
      </c>
      <c r="D101" t="s">
        <v>26</v>
      </c>
      <c r="E101" t="s">
        <v>28</v>
      </c>
      <c r="F101" t="s">
        <v>408</v>
      </c>
      <c r="G101">
        <v>4</v>
      </c>
      <c r="H101" t="s">
        <v>165</v>
      </c>
      <c r="I101" t="s">
        <v>407</v>
      </c>
      <c r="J101">
        <v>6</v>
      </c>
      <c r="K101">
        <v>8</v>
      </c>
      <c r="L101">
        <v>6</v>
      </c>
      <c r="M101">
        <v>4</v>
      </c>
      <c r="N101">
        <v>7</v>
      </c>
      <c r="O101">
        <v>7</v>
      </c>
      <c r="P101">
        <v>7</v>
      </c>
      <c r="Q101">
        <v>4</v>
      </c>
      <c r="R101">
        <v>7</v>
      </c>
      <c r="S101">
        <v>56</v>
      </c>
      <c r="T101">
        <v>18.48</v>
      </c>
      <c r="U101">
        <v>38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2</v>
      </c>
      <c r="AF101">
        <v>2</v>
      </c>
      <c r="AG101">
        <v>2</v>
      </c>
      <c r="AH101">
        <v>1</v>
      </c>
      <c r="AI101">
        <v>0</v>
      </c>
      <c r="AJ101">
        <v>0</v>
      </c>
      <c r="AK101">
        <v>2</v>
      </c>
      <c r="AL101">
        <v>2</v>
      </c>
      <c r="AM101">
        <v>0</v>
      </c>
      <c r="AN101">
        <v>2</v>
      </c>
      <c r="AO101">
        <v>13</v>
      </c>
      <c r="AY101">
        <f>SUM(Upload_Indiv[[#This Row],[Bird1]:[Bird9]])</f>
        <v>0</v>
      </c>
      <c r="BI101">
        <f>SUM(Upload_Indiv[[#This Row],[Eagle1]:[Eagle9]])</f>
        <v>0</v>
      </c>
    </row>
    <row r="102" spans="1:61" x14ac:dyDescent="0.25">
      <c r="A102" t="s">
        <v>539</v>
      </c>
      <c r="B102" t="s">
        <v>540</v>
      </c>
      <c r="C102" s="119">
        <v>45852</v>
      </c>
      <c r="D102" t="s">
        <v>28</v>
      </c>
      <c r="E102" t="s">
        <v>26</v>
      </c>
      <c r="F102" t="s">
        <v>408</v>
      </c>
      <c r="G102">
        <v>1</v>
      </c>
      <c r="H102" t="s">
        <v>320</v>
      </c>
      <c r="I102" t="s">
        <v>407</v>
      </c>
      <c r="J102">
        <v>5</v>
      </c>
      <c r="K102">
        <v>8</v>
      </c>
      <c r="L102">
        <v>7</v>
      </c>
      <c r="M102">
        <v>5</v>
      </c>
      <c r="N102">
        <v>6</v>
      </c>
      <c r="O102">
        <v>9</v>
      </c>
      <c r="P102">
        <v>10</v>
      </c>
      <c r="Q102">
        <v>5</v>
      </c>
      <c r="R102">
        <v>5</v>
      </c>
      <c r="S102">
        <v>60</v>
      </c>
      <c r="T102">
        <v>16.899999999999999</v>
      </c>
      <c r="U102">
        <v>43</v>
      </c>
      <c r="V102">
        <v>2</v>
      </c>
      <c r="W102">
        <v>1</v>
      </c>
      <c r="X102">
        <v>2</v>
      </c>
      <c r="Y102">
        <v>1</v>
      </c>
      <c r="Z102">
        <v>1</v>
      </c>
      <c r="AA102">
        <v>2</v>
      </c>
      <c r="AB102">
        <v>1</v>
      </c>
      <c r="AC102">
        <v>1</v>
      </c>
      <c r="AD102">
        <v>2</v>
      </c>
      <c r="AE102">
        <v>2</v>
      </c>
      <c r="AF102">
        <v>0</v>
      </c>
      <c r="AG102">
        <v>1</v>
      </c>
      <c r="AH102">
        <v>1</v>
      </c>
      <c r="AI102">
        <v>2</v>
      </c>
      <c r="AJ102">
        <v>0</v>
      </c>
      <c r="AK102">
        <v>0</v>
      </c>
      <c r="AL102">
        <v>0</v>
      </c>
      <c r="AM102">
        <v>1</v>
      </c>
      <c r="AN102">
        <v>0</v>
      </c>
      <c r="AO102">
        <v>7</v>
      </c>
      <c r="AY102">
        <f>SUM(Upload_Indiv[[#This Row],[Bird1]:[Bird9]])</f>
        <v>0</v>
      </c>
      <c r="BI102">
        <f>SUM(Upload_Indiv[[#This Row],[Eagle1]:[Eagle9]])</f>
        <v>0</v>
      </c>
    </row>
    <row r="103" spans="1:61" x14ac:dyDescent="0.25">
      <c r="A103" t="s">
        <v>539</v>
      </c>
      <c r="B103" t="s">
        <v>540</v>
      </c>
      <c r="C103" s="119">
        <v>45852</v>
      </c>
      <c r="D103" t="s">
        <v>28</v>
      </c>
      <c r="E103" t="s">
        <v>26</v>
      </c>
      <c r="F103" t="s">
        <v>408</v>
      </c>
      <c r="G103">
        <v>2</v>
      </c>
      <c r="H103" t="s">
        <v>315</v>
      </c>
      <c r="I103" t="s">
        <v>407</v>
      </c>
      <c r="J103">
        <v>7</v>
      </c>
      <c r="K103">
        <v>7</v>
      </c>
      <c r="L103">
        <v>6</v>
      </c>
      <c r="M103">
        <v>7</v>
      </c>
      <c r="N103">
        <v>6</v>
      </c>
      <c r="O103">
        <v>6</v>
      </c>
      <c r="P103">
        <v>8</v>
      </c>
      <c r="Q103">
        <v>5</v>
      </c>
      <c r="R103">
        <v>7</v>
      </c>
      <c r="S103">
        <v>59</v>
      </c>
      <c r="T103">
        <v>17.28</v>
      </c>
      <c r="U103">
        <v>42</v>
      </c>
      <c r="V103">
        <v>2</v>
      </c>
      <c r="W103">
        <v>1</v>
      </c>
      <c r="X103">
        <v>2</v>
      </c>
      <c r="Y103">
        <v>1</v>
      </c>
      <c r="Z103">
        <v>1</v>
      </c>
      <c r="AA103">
        <v>2</v>
      </c>
      <c r="AB103">
        <v>1</v>
      </c>
      <c r="AC103">
        <v>1</v>
      </c>
      <c r="AD103">
        <v>2</v>
      </c>
      <c r="AE103">
        <v>2</v>
      </c>
      <c r="AF103">
        <v>0</v>
      </c>
      <c r="AG103">
        <v>1</v>
      </c>
      <c r="AH103">
        <v>0</v>
      </c>
      <c r="AI103">
        <v>1</v>
      </c>
      <c r="AJ103">
        <v>2</v>
      </c>
      <c r="AK103">
        <v>0</v>
      </c>
      <c r="AL103">
        <v>2</v>
      </c>
      <c r="AM103">
        <v>1</v>
      </c>
      <c r="AN103">
        <v>0</v>
      </c>
      <c r="AO103">
        <v>9</v>
      </c>
      <c r="AY103">
        <f>SUM(Upload_Indiv[[#This Row],[Bird1]:[Bird9]])</f>
        <v>0</v>
      </c>
      <c r="BI103">
        <f>SUM(Upload_Indiv[[#This Row],[Eagle1]:[Eagle9]])</f>
        <v>0</v>
      </c>
    </row>
    <row r="104" spans="1:61" x14ac:dyDescent="0.25">
      <c r="A104" t="s">
        <v>539</v>
      </c>
      <c r="B104" t="s">
        <v>540</v>
      </c>
      <c r="C104" s="119">
        <v>45852</v>
      </c>
      <c r="D104" t="s">
        <v>28</v>
      </c>
      <c r="E104" t="s">
        <v>26</v>
      </c>
      <c r="F104" t="s">
        <v>408</v>
      </c>
      <c r="G104">
        <v>3</v>
      </c>
      <c r="H104" t="s">
        <v>317</v>
      </c>
      <c r="I104" t="s">
        <v>407</v>
      </c>
      <c r="J104">
        <v>6</v>
      </c>
      <c r="K104">
        <v>6</v>
      </c>
      <c r="L104">
        <v>8</v>
      </c>
      <c r="M104">
        <v>4</v>
      </c>
      <c r="N104">
        <v>9</v>
      </c>
      <c r="O104">
        <v>6</v>
      </c>
      <c r="P104">
        <v>9</v>
      </c>
      <c r="Q104">
        <v>5</v>
      </c>
      <c r="R104">
        <v>8</v>
      </c>
      <c r="S104">
        <v>61</v>
      </c>
      <c r="T104">
        <v>18.05</v>
      </c>
      <c r="U104">
        <v>43</v>
      </c>
      <c r="V104">
        <v>1</v>
      </c>
      <c r="W104">
        <v>0</v>
      </c>
      <c r="X104">
        <v>1</v>
      </c>
      <c r="Y104">
        <v>0</v>
      </c>
      <c r="Z104">
        <v>0</v>
      </c>
      <c r="AA104">
        <v>1</v>
      </c>
      <c r="AB104">
        <v>0</v>
      </c>
      <c r="AC104">
        <v>0</v>
      </c>
      <c r="AD104">
        <v>0</v>
      </c>
      <c r="AE104">
        <v>2</v>
      </c>
      <c r="AF104">
        <v>2</v>
      </c>
      <c r="AG104">
        <v>0</v>
      </c>
      <c r="AH104">
        <v>2</v>
      </c>
      <c r="AI104">
        <v>0</v>
      </c>
      <c r="AJ104">
        <v>2</v>
      </c>
      <c r="AK104">
        <v>0</v>
      </c>
      <c r="AL104">
        <v>1</v>
      </c>
      <c r="AM104">
        <v>0</v>
      </c>
      <c r="AN104">
        <v>0</v>
      </c>
      <c r="AO104">
        <v>9</v>
      </c>
      <c r="AY104">
        <f>SUM(Upload_Indiv[[#This Row],[Bird1]:[Bird9]])</f>
        <v>0</v>
      </c>
      <c r="BI104">
        <f>SUM(Upload_Indiv[[#This Row],[Eagle1]:[Eagle9]])</f>
        <v>0</v>
      </c>
    </row>
    <row r="105" spans="1:61" x14ac:dyDescent="0.25">
      <c r="A105" t="s">
        <v>539</v>
      </c>
      <c r="B105" t="s">
        <v>540</v>
      </c>
      <c r="C105" s="119">
        <v>45852</v>
      </c>
      <c r="D105" t="s">
        <v>28</v>
      </c>
      <c r="E105" t="s">
        <v>26</v>
      </c>
      <c r="F105" t="s">
        <v>408</v>
      </c>
      <c r="G105">
        <v>4</v>
      </c>
      <c r="H105" t="s">
        <v>101</v>
      </c>
      <c r="I105" t="s">
        <v>407</v>
      </c>
      <c r="J105">
        <v>7</v>
      </c>
      <c r="K105">
        <v>9</v>
      </c>
      <c r="L105">
        <v>8</v>
      </c>
      <c r="M105">
        <v>4</v>
      </c>
      <c r="N105">
        <v>6</v>
      </c>
      <c r="O105">
        <v>7</v>
      </c>
      <c r="P105">
        <v>10</v>
      </c>
      <c r="Q105">
        <v>5</v>
      </c>
      <c r="R105">
        <v>5</v>
      </c>
      <c r="S105">
        <v>61</v>
      </c>
      <c r="T105">
        <v>19.2</v>
      </c>
      <c r="U105">
        <v>42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1</v>
      </c>
      <c r="AI105">
        <v>2</v>
      </c>
      <c r="AJ105">
        <v>2</v>
      </c>
      <c r="AK105">
        <v>0</v>
      </c>
      <c r="AL105">
        <v>0</v>
      </c>
      <c r="AM105">
        <v>2</v>
      </c>
      <c r="AN105">
        <v>0</v>
      </c>
      <c r="AO105">
        <v>7</v>
      </c>
      <c r="AY105">
        <f>SUM(Upload_Indiv[[#This Row],[Bird1]:[Bird9]])</f>
        <v>0</v>
      </c>
      <c r="BI105">
        <f>SUM(Upload_Indiv[[#This Row],[Eagle1]:[Eagle9]])</f>
        <v>0</v>
      </c>
    </row>
    <row r="106" spans="1:61" x14ac:dyDescent="0.25">
      <c r="A106" t="s">
        <v>541</v>
      </c>
      <c r="B106" t="s">
        <v>540</v>
      </c>
      <c r="C106" s="119">
        <v>45852</v>
      </c>
      <c r="D106" t="s">
        <v>20</v>
      </c>
      <c r="E106" t="s">
        <v>30</v>
      </c>
      <c r="F106" t="s">
        <v>408</v>
      </c>
      <c r="G106">
        <v>1</v>
      </c>
      <c r="H106" t="s">
        <v>283</v>
      </c>
      <c r="I106" t="s">
        <v>407</v>
      </c>
      <c r="J106">
        <v>5</v>
      </c>
      <c r="K106">
        <v>5</v>
      </c>
      <c r="L106">
        <v>4</v>
      </c>
      <c r="M106">
        <v>4</v>
      </c>
      <c r="N106">
        <v>5</v>
      </c>
      <c r="O106">
        <v>6</v>
      </c>
      <c r="P106">
        <v>6</v>
      </c>
      <c r="Q106">
        <v>3</v>
      </c>
      <c r="R106">
        <v>5</v>
      </c>
      <c r="S106">
        <v>43</v>
      </c>
      <c r="T106">
        <v>7.68</v>
      </c>
      <c r="U106">
        <v>35</v>
      </c>
      <c r="V106">
        <v>1</v>
      </c>
      <c r="W106">
        <v>1</v>
      </c>
      <c r="X106">
        <v>1</v>
      </c>
      <c r="Y106">
        <v>1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2</v>
      </c>
      <c r="AF106">
        <v>2</v>
      </c>
      <c r="AG106">
        <v>2</v>
      </c>
      <c r="AH106">
        <v>1</v>
      </c>
      <c r="AI106">
        <v>0</v>
      </c>
      <c r="AJ106">
        <v>1</v>
      </c>
      <c r="AK106">
        <v>1</v>
      </c>
      <c r="AL106">
        <v>2</v>
      </c>
      <c r="AM106">
        <v>1</v>
      </c>
      <c r="AN106">
        <v>2</v>
      </c>
      <c r="AO106">
        <v>14</v>
      </c>
      <c r="AY106">
        <f>SUM(Upload_Indiv[[#This Row],[Bird1]:[Bird9]])</f>
        <v>0</v>
      </c>
      <c r="BI106">
        <f>SUM(Upload_Indiv[[#This Row],[Eagle1]:[Eagle9]])</f>
        <v>0</v>
      </c>
    </row>
    <row r="107" spans="1:61" x14ac:dyDescent="0.25">
      <c r="A107" t="s">
        <v>541</v>
      </c>
      <c r="B107" t="s">
        <v>540</v>
      </c>
      <c r="C107" s="119">
        <v>45852</v>
      </c>
      <c r="D107" t="s">
        <v>20</v>
      </c>
      <c r="E107" t="s">
        <v>30</v>
      </c>
      <c r="F107" t="s">
        <v>408</v>
      </c>
      <c r="G107">
        <v>2</v>
      </c>
      <c r="H107" t="s">
        <v>153</v>
      </c>
      <c r="I107" t="s">
        <v>407</v>
      </c>
      <c r="J107">
        <v>6</v>
      </c>
      <c r="K107">
        <v>5</v>
      </c>
      <c r="L107">
        <v>6</v>
      </c>
      <c r="M107">
        <v>5</v>
      </c>
      <c r="N107">
        <v>4</v>
      </c>
      <c r="O107">
        <v>7</v>
      </c>
      <c r="P107">
        <v>8</v>
      </c>
      <c r="Q107">
        <v>4</v>
      </c>
      <c r="R107">
        <v>4</v>
      </c>
      <c r="S107">
        <v>49</v>
      </c>
      <c r="T107">
        <v>8.4499999999999993</v>
      </c>
      <c r="U107">
        <v>41</v>
      </c>
      <c r="V107">
        <v>1</v>
      </c>
      <c r="W107">
        <v>1</v>
      </c>
      <c r="X107">
        <v>1</v>
      </c>
      <c r="Y107">
        <v>1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2</v>
      </c>
      <c r="AG107">
        <v>0</v>
      </c>
      <c r="AH107">
        <v>0</v>
      </c>
      <c r="AI107">
        <v>1</v>
      </c>
      <c r="AJ107">
        <v>0</v>
      </c>
      <c r="AK107">
        <v>0</v>
      </c>
      <c r="AL107">
        <v>1</v>
      </c>
      <c r="AM107">
        <v>2</v>
      </c>
      <c r="AN107">
        <v>0</v>
      </c>
      <c r="AO107">
        <v>7</v>
      </c>
      <c r="AY107">
        <f>SUM(Upload_Indiv[[#This Row],[Bird1]:[Bird9]])</f>
        <v>0</v>
      </c>
      <c r="BI107">
        <f>SUM(Upload_Indiv[[#This Row],[Eagle1]:[Eagle9]])</f>
        <v>0</v>
      </c>
    </row>
    <row r="108" spans="1:61" x14ac:dyDescent="0.25">
      <c r="A108" t="s">
        <v>541</v>
      </c>
      <c r="B108" t="s">
        <v>540</v>
      </c>
      <c r="C108" s="119">
        <v>45852</v>
      </c>
      <c r="D108" t="s">
        <v>20</v>
      </c>
      <c r="E108" t="s">
        <v>30</v>
      </c>
      <c r="F108" t="s">
        <v>408</v>
      </c>
      <c r="G108">
        <v>3</v>
      </c>
      <c r="H108" t="s">
        <v>163</v>
      </c>
      <c r="I108" t="s">
        <v>407</v>
      </c>
      <c r="J108">
        <v>5</v>
      </c>
      <c r="K108">
        <v>6</v>
      </c>
      <c r="L108">
        <v>7</v>
      </c>
      <c r="M108">
        <v>4</v>
      </c>
      <c r="N108">
        <v>4</v>
      </c>
      <c r="O108">
        <v>5</v>
      </c>
      <c r="P108">
        <v>6</v>
      </c>
      <c r="Q108">
        <v>3</v>
      </c>
      <c r="R108">
        <v>6</v>
      </c>
      <c r="S108">
        <v>46</v>
      </c>
      <c r="T108">
        <v>9.41</v>
      </c>
      <c r="U108">
        <v>37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2</v>
      </c>
      <c r="AF108">
        <v>1</v>
      </c>
      <c r="AG108">
        <v>0</v>
      </c>
      <c r="AH108">
        <v>1</v>
      </c>
      <c r="AI108">
        <v>2</v>
      </c>
      <c r="AJ108">
        <v>2</v>
      </c>
      <c r="AK108">
        <v>1</v>
      </c>
      <c r="AL108">
        <v>2</v>
      </c>
      <c r="AM108">
        <v>0</v>
      </c>
      <c r="AN108">
        <v>2</v>
      </c>
      <c r="AO108">
        <v>13</v>
      </c>
      <c r="AY108">
        <f>SUM(Upload_Indiv[[#This Row],[Bird1]:[Bird9]])</f>
        <v>0</v>
      </c>
      <c r="BI108">
        <f>SUM(Upload_Indiv[[#This Row],[Eagle1]:[Eagle9]])</f>
        <v>0</v>
      </c>
    </row>
    <row r="109" spans="1:61" x14ac:dyDescent="0.25">
      <c r="A109" t="s">
        <v>541</v>
      </c>
      <c r="B109" t="s">
        <v>540</v>
      </c>
      <c r="C109" s="119">
        <v>45852</v>
      </c>
      <c r="D109" t="s">
        <v>20</v>
      </c>
      <c r="E109" t="s">
        <v>30</v>
      </c>
      <c r="F109" t="s">
        <v>408</v>
      </c>
      <c r="G109">
        <v>4</v>
      </c>
      <c r="H109" t="s">
        <v>513</v>
      </c>
      <c r="I109" t="s">
        <v>407</v>
      </c>
      <c r="J109">
        <v>5</v>
      </c>
      <c r="K109">
        <v>6</v>
      </c>
      <c r="L109">
        <v>5</v>
      </c>
      <c r="M109">
        <v>6</v>
      </c>
      <c r="N109">
        <v>6</v>
      </c>
      <c r="O109">
        <v>6</v>
      </c>
      <c r="P109">
        <v>8</v>
      </c>
      <c r="Q109">
        <v>5</v>
      </c>
      <c r="R109">
        <v>6</v>
      </c>
      <c r="S109">
        <v>53</v>
      </c>
      <c r="T109">
        <v>10.56</v>
      </c>
      <c r="U109">
        <v>42</v>
      </c>
      <c r="V109">
        <v>2</v>
      </c>
      <c r="W109">
        <v>1</v>
      </c>
      <c r="X109">
        <v>1</v>
      </c>
      <c r="Y109">
        <v>1</v>
      </c>
      <c r="Z109">
        <v>1</v>
      </c>
      <c r="AA109">
        <v>2</v>
      </c>
      <c r="AB109">
        <v>1</v>
      </c>
      <c r="AC109">
        <v>1</v>
      </c>
      <c r="AD109">
        <v>1</v>
      </c>
      <c r="AE109">
        <v>2</v>
      </c>
      <c r="AF109">
        <v>1</v>
      </c>
      <c r="AG109">
        <v>1</v>
      </c>
      <c r="AH109">
        <v>0</v>
      </c>
      <c r="AI109">
        <v>0</v>
      </c>
      <c r="AJ109">
        <v>2</v>
      </c>
      <c r="AK109">
        <v>0</v>
      </c>
      <c r="AL109">
        <v>0</v>
      </c>
      <c r="AM109">
        <v>0</v>
      </c>
      <c r="AN109">
        <v>0</v>
      </c>
      <c r="AO109">
        <v>6</v>
      </c>
      <c r="AY109">
        <f>SUM(Upload_Indiv[[#This Row],[Bird1]:[Bird9]])</f>
        <v>0</v>
      </c>
      <c r="BI109">
        <f>SUM(Upload_Indiv[[#This Row],[Eagle1]:[Eagle9]])</f>
        <v>0</v>
      </c>
    </row>
    <row r="110" spans="1:61" x14ac:dyDescent="0.25">
      <c r="A110" t="s">
        <v>541</v>
      </c>
      <c r="B110" t="s">
        <v>540</v>
      </c>
      <c r="C110" s="119">
        <v>45852</v>
      </c>
      <c r="D110" t="s">
        <v>30</v>
      </c>
      <c r="E110" t="s">
        <v>20</v>
      </c>
      <c r="F110" t="s">
        <v>408</v>
      </c>
      <c r="G110">
        <v>1</v>
      </c>
      <c r="H110" t="s">
        <v>323</v>
      </c>
      <c r="I110" t="s">
        <v>407</v>
      </c>
      <c r="J110">
        <v>5</v>
      </c>
      <c r="K110">
        <v>5</v>
      </c>
      <c r="L110">
        <v>4</v>
      </c>
      <c r="M110">
        <v>3</v>
      </c>
      <c r="N110">
        <v>4</v>
      </c>
      <c r="O110">
        <v>5</v>
      </c>
      <c r="P110">
        <v>5</v>
      </c>
      <c r="Q110">
        <v>3</v>
      </c>
      <c r="R110">
        <v>4</v>
      </c>
      <c r="S110">
        <v>38</v>
      </c>
      <c r="T110">
        <v>0</v>
      </c>
      <c r="U110">
        <v>38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1</v>
      </c>
      <c r="AI110">
        <v>2</v>
      </c>
      <c r="AJ110">
        <v>1</v>
      </c>
      <c r="AK110">
        <v>1</v>
      </c>
      <c r="AL110">
        <v>0</v>
      </c>
      <c r="AM110">
        <v>1</v>
      </c>
      <c r="AN110">
        <v>0</v>
      </c>
      <c r="AO110">
        <v>6</v>
      </c>
      <c r="AY110">
        <f>SUM(Upload_Indiv[[#This Row],[Bird1]:[Bird9]])</f>
        <v>0</v>
      </c>
      <c r="BI110">
        <f>SUM(Upload_Indiv[[#This Row],[Eagle1]:[Eagle9]])</f>
        <v>0</v>
      </c>
    </row>
    <row r="111" spans="1:61" x14ac:dyDescent="0.25">
      <c r="A111" t="s">
        <v>541</v>
      </c>
      <c r="B111" t="s">
        <v>540</v>
      </c>
      <c r="C111" s="119">
        <v>45852</v>
      </c>
      <c r="D111" t="s">
        <v>30</v>
      </c>
      <c r="E111" t="s">
        <v>20</v>
      </c>
      <c r="F111" t="s">
        <v>408</v>
      </c>
      <c r="G111">
        <v>2</v>
      </c>
      <c r="H111" t="s">
        <v>324</v>
      </c>
      <c r="I111" t="s">
        <v>407</v>
      </c>
      <c r="J111">
        <v>5</v>
      </c>
      <c r="K111">
        <v>5</v>
      </c>
      <c r="L111">
        <v>4</v>
      </c>
      <c r="M111">
        <v>3</v>
      </c>
      <c r="N111">
        <v>4</v>
      </c>
      <c r="O111">
        <v>5</v>
      </c>
      <c r="P111">
        <v>5</v>
      </c>
      <c r="Q111">
        <v>3</v>
      </c>
      <c r="R111">
        <v>4</v>
      </c>
      <c r="S111">
        <v>38</v>
      </c>
      <c r="T111">
        <v>0</v>
      </c>
      <c r="U111">
        <v>38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1</v>
      </c>
      <c r="AF111">
        <v>0</v>
      </c>
      <c r="AG111">
        <v>2</v>
      </c>
      <c r="AH111">
        <v>2</v>
      </c>
      <c r="AI111">
        <v>1</v>
      </c>
      <c r="AJ111">
        <v>2</v>
      </c>
      <c r="AK111">
        <v>2</v>
      </c>
      <c r="AL111">
        <v>1</v>
      </c>
      <c r="AM111">
        <v>0</v>
      </c>
      <c r="AN111">
        <v>2</v>
      </c>
      <c r="AO111">
        <v>13</v>
      </c>
      <c r="AY111">
        <f>SUM(Upload_Indiv[[#This Row],[Bird1]:[Bird9]])</f>
        <v>0</v>
      </c>
      <c r="BI111">
        <f>SUM(Upload_Indiv[[#This Row],[Eagle1]:[Eagle9]])</f>
        <v>0</v>
      </c>
    </row>
    <row r="112" spans="1:61" x14ac:dyDescent="0.25">
      <c r="A112" t="s">
        <v>541</v>
      </c>
      <c r="B112" t="s">
        <v>540</v>
      </c>
      <c r="C112" s="119">
        <v>45852</v>
      </c>
      <c r="D112" t="s">
        <v>30</v>
      </c>
      <c r="E112" t="s">
        <v>20</v>
      </c>
      <c r="F112" t="s">
        <v>408</v>
      </c>
      <c r="G112">
        <v>3</v>
      </c>
      <c r="H112" t="s">
        <v>325</v>
      </c>
      <c r="I112" t="s">
        <v>407</v>
      </c>
      <c r="J112">
        <v>5</v>
      </c>
      <c r="K112">
        <v>5</v>
      </c>
      <c r="L112">
        <v>4</v>
      </c>
      <c r="M112">
        <v>3</v>
      </c>
      <c r="N112">
        <v>4</v>
      </c>
      <c r="O112">
        <v>5</v>
      </c>
      <c r="P112">
        <v>5</v>
      </c>
      <c r="Q112">
        <v>3</v>
      </c>
      <c r="R112">
        <v>4</v>
      </c>
      <c r="S112">
        <v>38</v>
      </c>
      <c r="T112">
        <v>0</v>
      </c>
      <c r="U112">
        <v>38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1</v>
      </c>
      <c r="AG112">
        <v>2</v>
      </c>
      <c r="AH112">
        <v>1</v>
      </c>
      <c r="AI112">
        <v>0</v>
      </c>
      <c r="AJ112">
        <v>0</v>
      </c>
      <c r="AK112">
        <v>1</v>
      </c>
      <c r="AL112">
        <v>0</v>
      </c>
      <c r="AM112">
        <v>2</v>
      </c>
      <c r="AN112">
        <v>0</v>
      </c>
      <c r="AO112">
        <v>7</v>
      </c>
      <c r="AY112">
        <f>SUM(Upload_Indiv[[#This Row],[Bird1]:[Bird9]])</f>
        <v>0</v>
      </c>
      <c r="BI112">
        <f>SUM(Upload_Indiv[[#This Row],[Eagle1]:[Eagle9]])</f>
        <v>0</v>
      </c>
    </row>
    <row r="113" spans="1:61" x14ac:dyDescent="0.25">
      <c r="A113" t="s">
        <v>541</v>
      </c>
      <c r="B113" t="s">
        <v>540</v>
      </c>
      <c r="C113" s="119">
        <v>45852</v>
      </c>
      <c r="D113" t="s">
        <v>30</v>
      </c>
      <c r="E113" t="s">
        <v>20</v>
      </c>
      <c r="F113" t="s">
        <v>408</v>
      </c>
      <c r="G113">
        <v>4</v>
      </c>
      <c r="H113" t="s">
        <v>326</v>
      </c>
      <c r="I113" t="s">
        <v>407</v>
      </c>
      <c r="J113">
        <v>5</v>
      </c>
      <c r="K113">
        <v>5</v>
      </c>
      <c r="L113">
        <v>4</v>
      </c>
      <c r="M113">
        <v>3</v>
      </c>
      <c r="N113">
        <v>4</v>
      </c>
      <c r="O113">
        <v>5</v>
      </c>
      <c r="P113">
        <v>5</v>
      </c>
      <c r="Q113">
        <v>3</v>
      </c>
      <c r="R113">
        <v>4</v>
      </c>
      <c r="S113">
        <v>38</v>
      </c>
      <c r="T113">
        <v>0</v>
      </c>
      <c r="U113">
        <v>38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1</v>
      </c>
      <c r="AG113">
        <v>1</v>
      </c>
      <c r="AH113">
        <v>2</v>
      </c>
      <c r="AI113">
        <v>2</v>
      </c>
      <c r="AJ113">
        <v>0</v>
      </c>
      <c r="AK113">
        <v>2</v>
      </c>
      <c r="AL113">
        <v>2</v>
      </c>
      <c r="AM113">
        <v>2</v>
      </c>
      <c r="AN113">
        <v>2</v>
      </c>
      <c r="AO113">
        <v>14</v>
      </c>
      <c r="AY113">
        <f>SUM(Upload_Indiv[[#This Row],[Bird1]:[Bird9]])</f>
        <v>0</v>
      </c>
      <c r="BI113">
        <f>SUM(Upload_Indiv[[#This Row],[Eagle1]:[Eagle9]])</f>
        <v>0</v>
      </c>
    </row>
    <row r="114" spans="1:61" x14ac:dyDescent="0.25">
      <c r="A114" t="s">
        <v>543</v>
      </c>
      <c r="B114" t="s">
        <v>540</v>
      </c>
      <c r="C114" s="119">
        <v>45852</v>
      </c>
      <c r="D114" t="s">
        <v>18</v>
      </c>
      <c r="E114" t="s">
        <v>22</v>
      </c>
      <c r="F114" t="s">
        <v>406</v>
      </c>
      <c r="G114">
        <v>1</v>
      </c>
      <c r="H114" t="s">
        <v>272</v>
      </c>
      <c r="I114" t="s">
        <v>407</v>
      </c>
      <c r="J114">
        <v>5</v>
      </c>
      <c r="K114">
        <v>4</v>
      </c>
      <c r="L114">
        <v>4</v>
      </c>
      <c r="M114">
        <v>6</v>
      </c>
      <c r="N114">
        <v>4</v>
      </c>
      <c r="O114">
        <v>6</v>
      </c>
      <c r="P114">
        <v>4</v>
      </c>
      <c r="Q114">
        <v>6</v>
      </c>
      <c r="R114">
        <v>5</v>
      </c>
      <c r="S114">
        <v>44</v>
      </c>
      <c r="T114">
        <v>9.2200000000000006</v>
      </c>
      <c r="U114">
        <v>35</v>
      </c>
      <c r="V114">
        <v>0</v>
      </c>
      <c r="W114">
        <v>1</v>
      </c>
      <c r="X114">
        <v>0</v>
      </c>
      <c r="Y114">
        <v>1</v>
      </c>
      <c r="Z114">
        <v>1</v>
      </c>
      <c r="AA114">
        <v>1</v>
      </c>
      <c r="AB114">
        <v>0</v>
      </c>
      <c r="AC114">
        <v>1</v>
      </c>
      <c r="AD114">
        <v>1</v>
      </c>
      <c r="AE114">
        <v>1</v>
      </c>
      <c r="AF114">
        <v>2</v>
      </c>
      <c r="AG114">
        <v>2</v>
      </c>
      <c r="AH114">
        <v>1</v>
      </c>
      <c r="AI114">
        <v>2</v>
      </c>
      <c r="AJ114">
        <v>1</v>
      </c>
      <c r="AK114">
        <v>2</v>
      </c>
      <c r="AL114">
        <v>1</v>
      </c>
      <c r="AM114">
        <v>2</v>
      </c>
      <c r="AN114">
        <v>2</v>
      </c>
      <c r="AO114">
        <v>16</v>
      </c>
      <c r="AY114">
        <f>SUM(Upload_Indiv[[#This Row],[Bird1]:[Bird9]])</f>
        <v>0</v>
      </c>
      <c r="BI114">
        <f>SUM(Upload_Indiv[[#This Row],[Eagle1]:[Eagle9]])</f>
        <v>0</v>
      </c>
    </row>
    <row r="115" spans="1:61" x14ac:dyDescent="0.25">
      <c r="A115" t="s">
        <v>543</v>
      </c>
      <c r="B115" t="s">
        <v>540</v>
      </c>
      <c r="C115" s="119">
        <v>45852</v>
      </c>
      <c r="D115" t="s">
        <v>18</v>
      </c>
      <c r="E115" t="s">
        <v>22</v>
      </c>
      <c r="F115" t="s">
        <v>406</v>
      </c>
      <c r="G115">
        <v>2</v>
      </c>
      <c r="H115" t="s">
        <v>274</v>
      </c>
      <c r="I115" t="s">
        <v>407</v>
      </c>
      <c r="J115">
        <v>4</v>
      </c>
      <c r="K115">
        <v>3</v>
      </c>
      <c r="L115">
        <v>5</v>
      </c>
      <c r="M115">
        <v>4</v>
      </c>
      <c r="N115">
        <v>4</v>
      </c>
      <c r="O115">
        <v>4</v>
      </c>
      <c r="P115">
        <v>3</v>
      </c>
      <c r="Q115">
        <v>5</v>
      </c>
      <c r="R115">
        <v>6</v>
      </c>
      <c r="S115">
        <v>38</v>
      </c>
      <c r="T115">
        <v>9.98</v>
      </c>
      <c r="U115">
        <v>28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0</v>
      </c>
      <c r="AC115">
        <v>1</v>
      </c>
      <c r="AD115">
        <v>1</v>
      </c>
      <c r="AE115">
        <v>2</v>
      </c>
      <c r="AF115">
        <v>2</v>
      </c>
      <c r="AG115">
        <v>0</v>
      </c>
      <c r="AH115">
        <v>2</v>
      </c>
      <c r="AI115">
        <v>2</v>
      </c>
      <c r="AJ115">
        <v>2</v>
      </c>
      <c r="AK115">
        <v>2</v>
      </c>
      <c r="AL115">
        <v>1</v>
      </c>
      <c r="AM115">
        <v>2</v>
      </c>
      <c r="AN115">
        <v>2</v>
      </c>
      <c r="AO115">
        <v>17</v>
      </c>
      <c r="AU115">
        <v>1</v>
      </c>
      <c r="AY115">
        <f>SUM(Upload_Indiv[[#This Row],[Bird1]:[Bird9]])</f>
        <v>1</v>
      </c>
      <c r="BI115">
        <f>SUM(Upload_Indiv[[#This Row],[Eagle1]:[Eagle9]])</f>
        <v>0</v>
      </c>
    </row>
    <row r="116" spans="1:61" x14ac:dyDescent="0.25">
      <c r="A116" t="s">
        <v>543</v>
      </c>
      <c r="B116" t="s">
        <v>540</v>
      </c>
      <c r="C116" s="119">
        <v>45852</v>
      </c>
      <c r="D116" t="s">
        <v>18</v>
      </c>
      <c r="E116" t="s">
        <v>22</v>
      </c>
      <c r="F116" t="s">
        <v>406</v>
      </c>
      <c r="G116">
        <v>3</v>
      </c>
      <c r="H116" t="s">
        <v>276</v>
      </c>
      <c r="I116" t="s">
        <v>407</v>
      </c>
      <c r="J116">
        <v>7</v>
      </c>
      <c r="K116">
        <v>4</v>
      </c>
      <c r="L116">
        <v>5</v>
      </c>
      <c r="M116">
        <v>7</v>
      </c>
      <c r="N116">
        <v>6</v>
      </c>
      <c r="O116">
        <v>7</v>
      </c>
      <c r="P116">
        <v>5</v>
      </c>
      <c r="Q116">
        <v>7</v>
      </c>
      <c r="R116">
        <v>8</v>
      </c>
      <c r="S116">
        <v>56</v>
      </c>
      <c r="T116">
        <v>16.13</v>
      </c>
      <c r="U116">
        <v>40</v>
      </c>
      <c r="V116">
        <v>2</v>
      </c>
      <c r="W116">
        <v>2</v>
      </c>
      <c r="X116">
        <v>1</v>
      </c>
      <c r="Y116">
        <v>2</v>
      </c>
      <c r="Z116">
        <v>2</v>
      </c>
      <c r="AA116">
        <v>2</v>
      </c>
      <c r="AB116">
        <v>1</v>
      </c>
      <c r="AC116">
        <v>2</v>
      </c>
      <c r="AD116">
        <v>2</v>
      </c>
      <c r="AE116">
        <v>0</v>
      </c>
      <c r="AF116">
        <v>2</v>
      </c>
      <c r="AG116">
        <v>1</v>
      </c>
      <c r="AH116">
        <v>1</v>
      </c>
      <c r="AI116">
        <v>2</v>
      </c>
      <c r="AJ116">
        <v>1</v>
      </c>
      <c r="AK116">
        <v>0</v>
      </c>
      <c r="AL116">
        <v>1</v>
      </c>
      <c r="AM116">
        <v>1</v>
      </c>
      <c r="AN116">
        <v>1</v>
      </c>
      <c r="AO116">
        <v>10</v>
      </c>
      <c r="AY116">
        <f>SUM(Upload_Indiv[[#This Row],[Bird1]:[Bird9]])</f>
        <v>0</v>
      </c>
      <c r="BI116">
        <f>SUM(Upload_Indiv[[#This Row],[Eagle1]:[Eagle9]])</f>
        <v>0</v>
      </c>
    </row>
    <row r="117" spans="1:61" x14ac:dyDescent="0.25">
      <c r="A117" t="s">
        <v>543</v>
      </c>
      <c r="B117" t="s">
        <v>540</v>
      </c>
      <c r="C117" s="119">
        <v>45852</v>
      </c>
      <c r="D117" t="s">
        <v>18</v>
      </c>
      <c r="E117" t="s">
        <v>22</v>
      </c>
      <c r="F117" t="s">
        <v>406</v>
      </c>
      <c r="G117">
        <v>4</v>
      </c>
      <c r="H117" t="s">
        <v>278</v>
      </c>
      <c r="I117" t="s">
        <v>407</v>
      </c>
      <c r="J117">
        <v>5</v>
      </c>
      <c r="K117">
        <v>6</v>
      </c>
      <c r="L117">
        <v>6</v>
      </c>
      <c r="M117">
        <v>6</v>
      </c>
      <c r="N117">
        <v>6</v>
      </c>
      <c r="O117">
        <v>8</v>
      </c>
      <c r="P117">
        <v>5</v>
      </c>
      <c r="Q117">
        <v>5</v>
      </c>
      <c r="R117">
        <v>8</v>
      </c>
      <c r="S117">
        <v>55</v>
      </c>
      <c r="T117">
        <v>17.66</v>
      </c>
      <c r="U117">
        <v>37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0</v>
      </c>
      <c r="AB117">
        <v>0</v>
      </c>
      <c r="AC117">
        <v>1</v>
      </c>
      <c r="AD117">
        <v>0</v>
      </c>
      <c r="AE117">
        <v>1</v>
      </c>
      <c r="AF117">
        <v>0</v>
      </c>
      <c r="AG117">
        <v>1</v>
      </c>
      <c r="AH117">
        <v>1</v>
      </c>
      <c r="AI117">
        <v>2</v>
      </c>
      <c r="AJ117">
        <v>0</v>
      </c>
      <c r="AK117">
        <v>0</v>
      </c>
      <c r="AL117">
        <v>2</v>
      </c>
      <c r="AM117">
        <v>0</v>
      </c>
      <c r="AN117">
        <v>0</v>
      </c>
      <c r="AO117">
        <v>7</v>
      </c>
      <c r="AY117">
        <f>SUM(Upload_Indiv[[#This Row],[Bird1]:[Bird9]])</f>
        <v>0</v>
      </c>
      <c r="BI117">
        <f>SUM(Upload_Indiv[[#This Row],[Eagle1]:[Eagle9]])</f>
        <v>0</v>
      </c>
    </row>
    <row r="118" spans="1:61" x14ac:dyDescent="0.25">
      <c r="A118" t="s">
        <v>543</v>
      </c>
      <c r="B118" t="s">
        <v>540</v>
      </c>
      <c r="C118" s="119">
        <v>45852</v>
      </c>
      <c r="D118" t="s">
        <v>22</v>
      </c>
      <c r="E118" t="s">
        <v>18</v>
      </c>
      <c r="F118" t="s">
        <v>406</v>
      </c>
      <c r="G118">
        <v>1</v>
      </c>
      <c r="H118" t="s">
        <v>433</v>
      </c>
      <c r="I118" t="s">
        <v>407</v>
      </c>
      <c r="J118">
        <v>5</v>
      </c>
      <c r="K118">
        <v>4</v>
      </c>
      <c r="L118">
        <v>6</v>
      </c>
      <c r="M118">
        <v>5</v>
      </c>
      <c r="N118">
        <v>7</v>
      </c>
      <c r="O118">
        <v>5</v>
      </c>
      <c r="P118">
        <v>5</v>
      </c>
      <c r="Q118">
        <v>5</v>
      </c>
      <c r="R118">
        <v>5</v>
      </c>
      <c r="S118">
        <v>47</v>
      </c>
      <c r="T118">
        <v>2.88</v>
      </c>
      <c r="U118">
        <v>44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1</v>
      </c>
      <c r="AF118">
        <v>0</v>
      </c>
      <c r="AG118">
        <v>0</v>
      </c>
      <c r="AH118">
        <v>1</v>
      </c>
      <c r="AI118">
        <v>0</v>
      </c>
      <c r="AJ118">
        <v>1</v>
      </c>
      <c r="AK118">
        <v>0</v>
      </c>
      <c r="AL118">
        <v>1</v>
      </c>
      <c r="AM118">
        <v>0</v>
      </c>
      <c r="AN118">
        <v>0</v>
      </c>
      <c r="AO118">
        <v>4</v>
      </c>
      <c r="AY118">
        <f>SUM(Upload_Indiv[[#This Row],[Bird1]:[Bird9]])</f>
        <v>0</v>
      </c>
      <c r="BI118">
        <f>SUM(Upload_Indiv[[#This Row],[Eagle1]:[Eagle9]])</f>
        <v>0</v>
      </c>
    </row>
    <row r="119" spans="1:61" x14ac:dyDescent="0.25">
      <c r="A119" t="s">
        <v>543</v>
      </c>
      <c r="B119" t="s">
        <v>540</v>
      </c>
      <c r="C119" s="119">
        <v>45852</v>
      </c>
      <c r="D119" t="s">
        <v>22</v>
      </c>
      <c r="E119" t="s">
        <v>18</v>
      </c>
      <c r="F119" t="s">
        <v>406</v>
      </c>
      <c r="G119">
        <v>2</v>
      </c>
      <c r="H119" t="s">
        <v>156</v>
      </c>
      <c r="I119" t="s">
        <v>407</v>
      </c>
      <c r="J119">
        <v>5</v>
      </c>
      <c r="K119">
        <v>4</v>
      </c>
      <c r="L119">
        <v>4</v>
      </c>
      <c r="M119">
        <v>5</v>
      </c>
      <c r="N119">
        <v>5</v>
      </c>
      <c r="O119">
        <v>6</v>
      </c>
      <c r="P119">
        <v>4</v>
      </c>
      <c r="Q119">
        <v>4</v>
      </c>
      <c r="R119">
        <v>6</v>
      </c>
      <c r="S119">
        <v>43</v>
      </c>
      <c r="T119">
        <v>5.18</v>
      </c>
      <c r="U119">
        <v>38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2</v>
      </c>
      <c r="AH119">
        <v>0</v>
      </c>
      <c r="AI119">
        <v>0</v>
      </c>
      <c r="AJ119">
        <v>0</v>
      </c>
      <c r="AK119">
        <v>0</v>
      </c>
      <c r="AL119">
        <v>1</v>
      </c>
      <c r="AM119">
        <v>0</v>
      </c>
      <c r="AN119">
        <v>0</v>
      </c>
      <c r="AO119">
        <v>3</v>
      </c>
      <c r="AY119">
        <f>SUM(Upload_Indiv[[#This Row],[Bird1]:[Bird9]])</f>
        <v>0</v>
      </c>
      <c r="BI119">
        <f>SUM(Upload_Indiv[[#This Row],[Eagle1]:[Eagle9]])</f>
        <v>0</v>
      </c>
    </row>
    <row r="120" spans="1:61" x14ac:dyDescent="0.25">
      <c r="A120" t="s">
        <v>543</v>
      </c>
      <c r="B120" t="s">
        <v>540</v>
      </c>
      <c r="C120" s="119">
        <v>45852</v>
      </c>
      <c r="D120" t="s">
        <v>22</v>
      </c>
      <c r="E120" t="s">
        <v>18</v>
      </c>
      <c r="F120" t="s">
        <v>406</v>
      </c>
      <c r="G120">
        <v>3</v>
      </c>
      <c r="H120" t="s">
        <v>296</v>
      </c>
      <c r="I120" t="s">
        <v>407</v>
      </c>
      <c r="J120">
        <v>4</v>
      </c>
      <c r="K120">
        <v>3</v>
      </c>
      <c r="L120">
        <v>4</v>
      </c>
      <c r="M120">
        <v>5</v>
      </c>
      <c r="N120">
        <v>5</v>
      </c>
      <c r="O120">
        <v>5</v>
      </c>
      <c r="P120">
        <v>3</v>
      </c>
      <c r="Q120">
        <v>5</v>
      </c>
      <c r="R120">
        <v>6</v>
      </c>
      <c r="S120">
        <v>40</v>
      </c>
      <c r="T120">
        <v>0</v>
      </c>
      <c r="U120">
        <v>40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2</v>
      </c>
      <c r="AF120">
        <v>0</v>
      </c>
      <c r="AG120">
        <v>1</v>
      </c>
      <c r="AH120">
        <v>1</v>
      </c>
      <c r="AI120">
        <v>0</v>
      </c>
      <c r="AJ120">
        <v>1</v>
      </c>
      <c r="AK120">
        <v>2</v>
      </c>
      <c r="AL120">
        <v>1</v>
      </c>
      <c r="AM120">
        <v>1</v>
      </c>
      <c r="AN120">
        <v>1</v>
      </c>
      <c r="AO120">
        <v>10</v>
      </c>
      <c r="AY120">
        <f>SUM(Upload_Indiv[[#This Row],[Bird1]:[Bird9]])</f>
        <v>0</v>
      </c>
      <c r="BI120">
        <f>SUM(Upload_Indiv[[#This Row],[Eagle1]:[Eagle9]])</f>
        <v>0</v>
      </c>
    </row>
    <row r="121" spans="1:61" x14ac:dyDescent="0.25">
      <c r="A121" t="s">
        <v>543</v>
      </c>
      <c r="B121" t="s">
        <v>540</v>
      </c>
      <c r="C121" s="119">
        <v>45852</v>
      </c>
      <c r="D121" t="s">
        <v>22</v>
      </c>
      <c r="E121" t="s">
        <v>18</v>
      </c>
      <c r="F121" t="s">
        <v>406</v>
      </c>
      <c r="G121">
        <v>4</v>
      </c>
      <c r="H121" t="s">
        <v>158</v>
      </c>
      <c r="I121" t="s">
        <v>407</v>
      </c>
      <c r="J121">
        <v>5</v>
      </c>
      <c r="K121">
        <v>5</v>
      </c>
      <c r="L121">
        <v>6</v>
      </c>
      <c r="M121">
        <v>5</v>
      </c>
      <c r="N121">
        <v>6</v>
      </c>
      <c r="O121">
        <v>4</v>
      </c>
      <c r="P121">
        <v>4</v>
      </c>
      <c r="Q121">
        <v>6</v>
      </c>
      <c r="R121">
        <v>7</v>
      </c>
      <c r="S121">
        <v>48</v>
      </c>
      <c r="T121">
        <v>14.78</v>
      </c>
      <c r="U121">
        <v>33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2</v>
      </c>
      <c r="AG121">
        <v>1</v>
      </c>
      <c r="AH121">
        <v>1</v>
      </c>
      <c r="AI121">
        <v>0</v>
      </c>
      <c r="AJ121">
        <v>2</v>
      </c>
      <c r="AK121">
        <v>2</v>
      </c>
      <c r="AL121">
        <v>0</v>
      </c>
      <c r="AM121">
        <v>2</v>
      </c>
      <c r="AN121">
        <v>2</v>
      </c>
      <c r="AO121">
        <v>13</v>
      </c>
      <c r="AU121">
        <v>1</v>
      </c>
      <c r="AY121">
        <f>SUM(Upload_Indiv[[#This Row],[Bird1]:[Bird9]])</f>
        <v>1</v>
      </c>
      <c r="BI121">
        <f>SUM(Upload_Indiv[[#This Row],[Eagle1]:[Eagle9]])</f>
        <v>0</v>
      </c>
    </row>
    <row r="122" spans="1:61" x14ac:dyDescent="0.25">
      <c r="A122" t="s">
        <v>542</v>
      </c>
      <c r="B122" t="s">
        <v>540</v>
      </c>
      <c r="C122" s="119">
        <v>45852</v>
      </c>
      <c r="D122" t="s">
        <v>24</v>
      </c>
      <c r="E122" t="s">
        <v>16</v>
      </c>
      <c r="F122" t="s">
        <v>406</v>
      </c>
      <c r="G122">
        <v>1</v>
      </c>
      <c r="H122" t="s">
        <v>258</v>
      </c>
      <c r="I122" t="s">
        <v>407</v>
      </c>
      <c r="J122">
        <v>4</v>
      </c>
      <c r="K122">
        <v>6</v>
      </c>
      <c r="L122">
        <v>5</v>
      </c>
      <c r="M122">
        <v>6</v>
      </c>
      <c r="N122">
        <v>6</v>
      </c>
      <c r="O122">
        <v>7</v>
      </c>
      <c r="P122">
        <v>4</v>
      </c>
      <c r="Q122">
        <v>5</v>
      </c>
      <c r="R122">
        <v>6</v>
      </c>
      <c r="S122">
        <v>49</v>
      </c>
      <c r="T122">
        <v>8.06</v>
      </c>
      <c r="U122">
        <v>41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1</v>
      </c>
      <c r="AF122">
        <v>0</v>
      </c>
      <c r="AG122">
        <v>1</v>
      </c>
      <c r="AH122">
        <v>0</v>
      </c>
      <c r="AI122">
        <v>0</v>
      </c>
      <c r="AJ122">
        <v>1</v>
      </c>
      <c r="AK122">
        <v>0</v>
      </c>
      <c r="AL122">
        <v>0</v>
      </c>
      <c r="AM122">
        <v>2</v>
      </c>
      <c r="AN122">
        <v>0</v>
      </c>
      <c r="AO122">
        <v>5</v>
      </c>
      <c r="AY122">
        <f>SUM(Upload_Indiv[[#This Row],[Bird1]:[Bird9]])</f>
        <v>0</v>
      </c>
      <c r="BI122">
        <f>SUM(Upload_Indiv[[#This Row],[Eagle1]:[Eagle9]])</f>
        <v>0</v>
      </c>
    </row>
    <row r="123" spans="1:61" x14ac:dyDescent="0.25">
      <c r="A123" t="s">
        <v>542</v>
      </c>
      <c r="B123" t="s">
        <v>540</v>
      </c>
      <c r="C123" s="119">
        <v>45852</v>
      </c>
      <c r="D123" t="s">
        <v>24</v>
      </c>
      <c r="E123" t="s">
        <v>16</v>
      </c>
      <c r="F123" t="s">
        <v>406</v>
      </c>
      <c r="G123">
        <v>2</v>
      </c>
      <c r="H123" t="s">
        <v>298</v>
      </c>
      <c r="I123" t="s">
        <v>407</v>
      </c>
      <c r="J123">
        <v>6</v>
      </c>
      <c r="K123">
        <v>7</v>
      </c>
      <c r="L123">
        <v>4</v>
      </c>
      <c r="M123">
        <v>8</v>
      </c>
      <c r="N123">
        <v>5</v>
      </c>
      <c r="O123">
        <v>5</v>
      </c>
      <c r="P123">
        <v>3</v>
      </c>
      <c r="Q123">
        <v>5</v>
      </c>
      <c r="R123">
        <v>5</v>
      </c>
      <c r="S123">
        <v>48</v>
      </c>
      <c r="T123">
        <v>8.64</v>
      </c>
      <c r="U123">
        <v>39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2</v>
      </c>
      <c r="AF123">
        <v>0</v>
      </c>
      <c r="AG123">
        <v>2</v>
      </c>
      <c r="AH123">
        <v>0</v>
      </c>
      <c r="AI123">
        <v>0</v>
      </c>
      <c r="AJ123">
        <v>1</v>
      </c>
      <c r="AK123">
        <v>1</v>
      </c>
      <c r="AL123">
        <v>0</v>
      </c>
      <c r="AM123">
        <v>2</v>
      </c>
      <c r="AN123">
        <v>0</v>
      </c>
      <c r="AO123">
        <v>8</v>
      </c>
      <c r="AY123">
        <f>SUM(Upload_Indiv[[#This Row],[Bird1]:[Bird9]])</f>
        <v>0</v>
      </c>
      <c r="BI123">
        <f>SUM(Upload_Indiv[[#This Row],[Eagle1]:[Eagle9]])</f>
        <v>0</v>
      </c>
    </row>
    <row r="124" spans="1:61" x14ac:dyDescent="0.25">
      <c r="A124" t="s">
        <v>542</v>
      </c>
      <c r="B124" t="s">
        <v>540</v>
      </c>
      <c r="C124" s="119">
        <v>45852</v>
      </c>
      <c r="D124" t="s">
        <v>24</v>
      </c>
      <c r="E124" t="s">
        <v>16</v>
      </c>
      <c r="F124" t="s">
        <v>406</v>
      </c>
      <c r="G124">
        <v>3</v>
      </c>
      <c r="H124" t="s">
        <v>300</v>
      </c>
      <c r="I124" t="s">
        <v>407</v>
      </c>
      <c r="J124">
        <v>4</v>
      </c>
      <c r="K124">
        <v>4</v>
      </c>
      <c r="L124">
        <v>5</v>
      </c>
      <c r="M124">
        <v>6</v>
      </c>
      <c r="N124">
        <v>4</v>
      </c>
      <c r="O124">
        <v>6</v>
      </c>
      <c r="P124">
        <v>3</v>
      </c>
      <c r="Q124">
        <v>6</v>
      </c>
      <c r="R124">
        <v>10</v>
      </c>
      <c r="S124">
        <v>48</v>
      </c>
      <c r="T124">
        <v>10.75</v>
      </c>
      <c r="U124">
        <v>37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2</v>
      </c>
      <c r="AF124">
        <v>1</v>
      </c>
      <c r="AG124">
        <v>2</v>
      </c>
      <c r="AH124">
        <v>2</v>
      </c>
      <c r="AI124">
        <v>1</v>
      </c>
      <c r="AJ124">
        <v>0</v>
      </c>
      <c r="AK124">
        <v>2</v>
      </c>
      <c r="AL124">
        <v>1</v>
      </c>
      <c r="AM124">
        <v>0</v>
      </c>
      <c r="AN124">
        <v>2</v>
      </c>
      <c r="AO124">
        <v>13</v>
      </c>
      <c r="AY124">
        <f>SUM(Upload_Indiv[[#This Row],[Bird1]:[Bird9]])</f>
        <v>0</v>
      </c>
      <c r="BI124">
        <f>SUM(Upload_Indiv[[#This Row],[Eagle1]:[Eagle9]])</f>
        <v>0</v>
      </c>
    </row>
    <row r="125" spans="1:61" x14ac:dyDescent="0.25">
      <c r="A125" t="s">
        <v>542</v>
      </c>
      <c r="B125" t="s">
        <v>540</v>
      </c>
      <c r="C125" s="119">
        <v>45852</v>
      </c>
      <c r="D125" t="s">
        <v>24</v>
      </c>
      <c r="E125" t="s">
        <v>16</v>
      </c>
      <c r="F125" t="s">
        <v>406</v>
      </c>
      <c r="G125">
        <v>4</v>
      </c>
      <c r="H125" t="s">
        <v>479</v>
      </c>
      <c r="I125" t="s">
        <v>405</v>
      </c>
      <c r="J125">
        <v>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9</v>
      </c>
      <c r="T125">
        <v>20</v>
      </c>
      <c r="U125">
        <v>-11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0</v>
      </c>
      <c r="AO125">
        <v>8</v>
      </c>
      <c r="AY125">
        <f>SUM(Upload_Indiv[[#This Row],[Bird1]:[Bird9]])</f>
        <v>0</v>
      </c>
      <c r="BI125">
        <f>SUM(Upload_Indiv[[#This Row],[Eagle1]:[Eagle9]])</f>
        <v>0</v>
      </c>
    </row>
    <row r="126" spans="1:61" x14ac:dyDescent="0.25">
      <c r="A126" t="s">
        <v>542</v>
      </c>
      <c r="B126" t="s">
        <v>540</v>
      </c>
      <c r="C126" s="119">
        <v>45852</v>
      </c>
      <c r="D126" t="s">
        <v>16</v>
      </c>
      <c r="E126" t="s">
        <v>24</v>
      </c>
      <c r="F126" t="s">
        <v>406</v>
      </c>
      <c r="G126">
        <v>1</v>
      </c>
      <c r="H126" t="s">
        <v>485</v>
      </c>
      <c r="I126" t="s">
        <v>407</v>
      </c>
      <c r="J126">
        <v>4</v>
      </c>
      <c r="K126">
        <v>4</v>
      </c>
      <c r="L126">
        <v>5</v>
      </c>
      <c r="M126">
        <v>5</v>
      </c>
      <c r="N126">
        <v>5</v>
      </c>
      <c r="O126">
        <v>7</v>
      </c>
      <c r="P126">
        <v>3</v>
      </c>
      <c r="Q126">
        <v>4</v>
      </c>
      <c r="R126">
        <v>8</v>
      </c>
      <c r="S126">
        <v>45</v>
      </c>
      <c r="T126">
        <v>10.24</v>
      </c>
      <c r="U126">
        <v>35</v>
      </c>
      <c r="V126">
        <v>0</v>
      </c>
      <c r="W126">
        <v>0</v>
      </c>
      <c r="X126">
        <v>0</v>
      </c>
      <c r="Y126">
        <v>1</v>
      </c>
      <c r="Z126">
        <v>0</v>
      </c>
      <c r="AA126">
        <v>0</v>
      </c>
      <c r="AB126">
        <v>0</v>
      </c>
      <c r="AC126">
        <v>1</v>
      </c>
      <c r="AD126">
        <v>0</v>
      </c>
      <c r="AE126">
        <v>1</v>
      </c>
      <c r="AF126">
        <v>2</v>
      </c>
      <c r="AG126">
        <v>1</v>
      </c>
      <c r="AH126">
        <v>2</v>
      </c>
      <c r="AI126">
        <v>2</v>
      </c>
      <c r="AJ126">
        <v>1</v>
      </c>
      <c r="AK126">
        <v>2</v>
      </c>
      <c r="AL126">
        <v>2</v>
      </c>
      <c r="AM126">
        <v>0</v>
      </c>
      <c r="AN126">
        <v>2</v>
      </c>
      <c r="AO126">
        <v>15</v>
      </c>
      <c r="AY126">
        <f>SUM(Upload_Indiv[[#This Row],[Bird1]:[Bird9]])</f>
        <v>0</v>
      </c>
      <c r="BI126">
        <f>SUM(Upload_Indiv[[#This Row],[Eagle1]:[Eagle9]])</f>
        <v>0</v>
      </c>
    </row>
    <row r="127" spans="1:61" x14ac:dyDescent="0.25">
      <c r="A127" t="s">
        <v>542</v>
      </c>
      <c r="B127" t="s">
        <v>540</v>
      </c>
      <c r="C127" s="119">
        <v>45852</v>
      </c>
      <c r="D127" t="s">
        <v>16</v>
      </c>
      <c r="E127" t="s">
        <v>24</v>
      </c>
      <c r="F127" t="s">
        <v>406</v>
      </c>
      <c r="G127">
        <v>2</v>
      </c>
      <c r="H127" t="s">
        <v>267</v>
      </c>
      <c r="I127" t="s">
        <v>407</v>
      </c>
      <c r="J127">
        <v>8</v>
      </c>
      <c r="K127">
        <v>5</v>
      </c>
      <c r="L127">
        <v>6</v>
      </c>
      <c r="M127">
        <v>7</v>
      </c>
      <c r="N127">
        <v>5</v>
      </c>
      <c r="O127">
        <v>6</v>
      </c>
      <c r="P127">
        <v>3</v>
      </c>
      <c r="Q127">
        <v>5</v>
      </c>
      <c r="R127">
        <v>7</v>
      </c>
      <c r="S127">
        <v>52</v>
      </c>
      <c r="T127">
        <v>13.63</v>
      </c>
      <c r="U127">
        <v>38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0</v>
      </c>
      <c r="AC127">
        <v>1</v>
      </c>
      <c r="AD127">
        <v>1</v>
      </c>
      <c r="AE127">
        <v>0</v>
      </c>
      <c r="AF127">
        <v>2</v>
      </c>
      <c r="AG127">
        <v>0</v>
      </c>
      <c r="AH127">
        <v>2</v>
      </c>
      <c r="AI127">
        <v>2</v>
      </c>
      <c r="AJ127">
        <v>1</v>
      </c>
      <c r="AK127">
        <v>1</v>
      </c>
      <c r="AL127">
        <v>2</v>
      </c>
      <c r="AM127">
        <v>0</v>
      </c>
      <c r="AN127">
        <v>2</v>
      </c>
      <c r="AO127">
        <v>12</v>
      </c>
      <c r="AY127">
        <f>SUM(Upload_Indiv[[#This Row],[Bird1]:[Bird9]])</f>
        <v>0</v>
      </c>
      <c r="BI127">
        <f>SUM(Upload_Indiv[[#This Row],[Eagle1]:[Eagle9]])</f>
        <v>0</v>
      </c>
    </row>
    <row r="128" spans="1:61" x14ac:dyDescent="0.25">
      <c r="A128" t="s">
        <v>542</v>
      </c>
      <c r="B128" t="s">
        <v>540</v>
      </c>
      <c r="C128" s="119">
        <v>45852</v>
      </c>
      <c r="D128" t="s">
        <v>16</v>
      </c>
      <c r="E128" t="s">
        <v>24</v>
      </c>
      <c r="F128" t="s">
        <v>406</v>
      </c>
      <c r="G128">
        <v>3</v>
      </c>
      <c r="H128" t="s">
        <v>484</v>
      </c>
      <c r="I128" t="s">
        <v>407</v>
      </c>
      <c r="J128">
        <v>7</v>
      </c>
      <c r="K128">
        <v>4</v>
      </c>
      <c r="L128">
        <v>6</v>
      </c>
      <c r="M128">
        <v>9</v>
      </c>
      <c r="N128">
        <v>5</v>
      </c>
      <c r="O128">
        <v>6</v>
      </c>
      <c r="P128">
        <v>4</v>
      </c>
      <c r="Q128">
        <v>7</v>
      </c>
      <c r="R128">
        <v>10</v>
      </c>
      <c r="S128">
        <v>58</v>
      </c>
      <c r="T128">
        <v>16.13</v>
      </c>
      <c r="U128">
        <v>42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0</v>
      </c>
      <c r="AC128">
        <v>1</v>
      </c>
      <c r="AD128">
        <v>1</v>
      </c>
      <c r="AE128">
        <v>0</v>
      </c>
      <c r="AF128">
        <v>1</v>
      </c>
      <c r="AG128">
        <v>0</v>
      </c>
      <c r="AH128">
        <v>0</v>
      </c>
      <c r="AI128">
        <v>1</v>
      </c>
      <c r="AJ128">
        <v>2</v>
      </c>
      <c r="AK128">
        <v>0</v>
      </c>
      <c r="AL128">
        <v>1</v>
      </c>
      <c r="AM128">
        <v>2</v>
      </c>
      <c r="AN128">
        <v>0</v>
      </c>
      <c r="AO128">
        <v>7</v>
      </c>
      <c r="AY128">
        <f>SUM(Upload_Indiv[[#This Row],[Bird1]:[Bird9]])</f>
        <v>0</v>
      </c>
      <c r="BI128">
        <f>SUM(Upload_Indiv[[#This Row],[Eagle1]:[Eagle9]])</f>
        <v>0</v>
      </c>
    </row>
    <row r="129" spans="1:61" x14ac:dyDescent="0.25">
      <c r="A129" t="s">
        <v>542</v>
      </c>
      <c r="B129" t="s">
        <v>540</v>
      </c>
      <c r="C129" s="119">
        <v>45852</v>
      </c>
      <c r="D129" t="s">
        <v>16</v>
      </c>
      <c r="E129" t="s">
        <v>24</v>
      </c>
      <c r="F129" t="s">
        <v>406</v>
      </c>
      <c r="G129">
        <v>4</v>
      </c>
      <c r="H129" t="s">
        <v>265</v>
      </c>
      <c r="I129" t="s">
        <v>405</v>
      </c>
      <c r="J129">
        <v>5</v>
      </c>
      <c r="K129">
        <v>6</v>
      </c>
      <c r="L129">
        <v>5</v>
      </c>
      <c r="M129">
        <v>5</v>
      </c>
      <c r="N129">
        <v>7</v>
      </c>
      <c r="O129">
        <v>7</v>
      </c>
      <c r="P129">
        <v>5</v>
      </c>
      <c r="Q129">
        <v>7</v>
      </c>
      <c r="R129">
        <v>7</v>
      </c>
      <c r="S129">
        <v>54</v>
      </c>
      <c r="T129">
        <v>20</v>
      </c>
      <c r="U129">
        <v>34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2</v>
      </c>
      <c r="AF129">
        <v>1</v>
      </c>
      <c r="AG129">
        <v>1</v>
      </c>
      <c r="AH129">
        <v>1</v>
      </c>
      <c r="AI129">
        <v>1</v>
      </c>
      <c r="AJ129">
        <v>1</v>
      </c>
      <c r="AK129">
        <v>1</v>
      </c>
      <c r="AL129">
        <v>1</v>
      </c>
      <c r="AM129">
        <v>1</v>
      </c>
      <c r="AN129">
        <v>2</v>
      </c>
      <c r="AO129">
        <v>12</v>
      </c>
      <c r="AY129">
        <f>SUM(Upload_Indiv[[#This Row],[Bird1]:[Bird9]])</f>
        <v>0</v>
      </c>
      <c r="BI129">
        <f>SUM(Upload_Indiv[[#This Row],[Eagle1]:[Eagle9]])</f>
        <v>0</v>
      </c>
    </row>
    <row r="130" spans="1:61" x14ac:dyDescent="0.25">
      <c r="A130" t="s">
        <v>547</v>
      </c>
      <c r="B130" t="s">
        <v>545</v>
      </c>
      <c r="C130" s="119">
        <v>45859</v>
      </c>
      <c r="D130" t="s">
        <v>22</v>
      </c>
      <c r="E130" t="s">
        <v>28</v>
      </c>
      <c r="F130" t="s">
        <v>406</v>
      </c>
      <c r="G130">
        <v>1</v>
      </c>
      <c r="H130" t="s">
        <v>156</v>
      </c>
      <c r="I130" t="s">
        <v>407</v>
      </c>
      <c r="J130">
        <v>5</v>
      </c>
      <c r="K130">
        <v>5</v>
      </c>
      <c r="L130">
        <v>3</v>
      </c>
      <c r="M130">
        <v>3</v>
      </c>
      <c r="N130">
        <v>6</v>
      </c>
      <c r="O130">
        <v>5</v>
      </c>
      <c r="P130">
        <v>3</v>
      </c>
      <c r="Q130">
        <v>5</v>
      </c>
      <c r="R130">
        <v>5</v>
      </c>
      <c r="S130">
        <v>40</v>
      </c>
      <c r="T130">
        <v>5.18</v>
      </c>
      <c r="U130">
        <v>35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1</v>
      </c>
      <c r="AF130">
        <v>0</v>
      </c>
      <c r="AG130">
        <v>2</v>
      </c>
      <c r="AH130">
        <v>2</v>
      </c>
      <c r="AI130">
        <v>0</v>
      </c>
      <c r="AJ130">
        <v>2</v>
      </c>
      <c r="AK130">
        <v>1</v>
      </c>
      <c r="AL130">
        <v>0</v>
      </c>
      <c r="AM130">
        <v>2</v>
      </c>
      <c r="AN130">
        <v>2</v>
      </c>
      <c r="AO130">
        <v>12</v>
      </c>
      <c r="AR130">
        <v>1</v>
      </c>
      <c r="AS130">
        <v>1</v>
      </c>
      <c r="AY130">
        <f>SUM(Upload_Indiv[[#This Row],[Bird1]:[Bird9]])</f>
        <v>2</v>
      </c>
      <c r="BI130">
        <f>SUM(Upload_Indiv[[#This Row],[Eagle1]:[Eagle9]])</f>
        <v>0</v>
      </c>
    </row>
    <row r="131" spans="1:61" x14ac:dyDescent="0.25">
      <c r="A131" t="s">
        <v>547</v>
      </c>
      <c r="B131" t="s">
        <v>545</v>
      </c>
      <c r="C131" s="119">
        <v>45859</v>
      </c>
      <c r="D131" t="s">
        <v>22</v>
      </c>
      <c r="E131" t="s">
        <v>28</v>
      </c>
      <c r="F131" t="s">
        <v>406</v>
      </c>
      <c r="G131">
        <v>2</v>
      </c>
      <c r="H131" t="s">
        <v>155</v>
      </c>
      <c r="I131" t="s">
        <v>407</v>
      </c>
      <c r="J131">
        <v>4</v>
      </c>
      <c r="K131">
        <v>4</v>
      </c>
      <c r="L131">
        <v>7</v>
      </c>
      <c r="M131">
        <v>5</v>
      </c>
      <c r="N131">
        <v>6</v>
      </c>
      <c r="O131">
        <v>5</v>
      </c>
      <c r="P131">
        <v>5</v>
      </c>
      <c r="Q131">
        <v>7</v>
      </c>
      <c r="R131">
        <v>7</v>
      </c>
      <c r="S131">
        <v>50</v>
      </c>
      <c r="T131">
        <v>8.4499999999999993</v>
      </c>
      <c r="U131">
        <v>42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2</v>
      </c>
      <c r="AF131">
        <v>1</v>
      </c>
      <c r="AG131">
        <v>0</v>
      </c>
      <c r="AH131">
        <v>2</v>
      </c>
      <c r="AI131">
        <v>0</v>
      </c>
      <c r="AJ131">
        <v>1</v>
      </c>
      <c r="AK131">
        <v>1</v>
      </c>
      <c r="AL131">
        <v>0</v>
      </c>
      <c r="AM131">
        <v>0</v>
      </c>
      <c r="AN131">
        <v>0</v>
      </c>
      <c r="AO131">
        <v>7</v>
      </c>
      <c r="AY131">
        <f>SUM(Upload_Indiv[[#This Row],[Bird1]:[Bird9]])</f>
        <v>0</v>
      </c>
      <c r="BI131">
        <f>SUM(Upload_Indiv[[#This Row],[Eagle1]:[Eagle9]])</f>
        <v>0</v>
      </c>
    </row>
    <row r="132" spans="1:61" x14ac:dyDescent="0.25">
      <c r="A132" t="s">
        <v>547</v>
      </c>
      <c r="B132" t="s">
        <v>545</v>
      </c>
      <c r="C132" s="119">
        <v>45859</v>
      </c>
      <c r="D132" t="s">
        <v>22</v>
      </c>
      <c r="E132" t="s">
        <v>28</v>
      </c>
      <c r="F132" t="s">
        <v>406</v>
      </c>
      <c r="G132">
        <v>3</v>
      </c>
      <c r="H132" t="s">
        <v>148</v>
      </c>
      <c r="I132" t="s">
        <v>407</v>
      </c>
      <c r="J132">
        <v>5</v>
      </c>
      <c r="K132">
        <v>5</v>
      </c>
      <c r="L132">
        <v>5</v>
      </c>
      <c r="M132">
        <v>7</v>
      </c>
      <c r="N132">
        <v>7</v>
      </c>
      <c r="O132">
        <v>7</v>
      </c>
      <c r="P132">
        <v>4</v>
      </c>
      <c r="Q132">
        <v>5</v>
      </c>
      <c r="R132">
        <v>6</v>
      </c>
      <c r="S132">
        <v>51</v>
      </c>
      <c r="T132">
        <v>13.44</v>
      </c>
      <c r="U132">
        <v>38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2</v>
      </c>
      <c r="AF132">
        <v>2</v>
      </c>
      <c r="AG132">
        <v>1</v>
      </c>
      <c r="AH132">
        <v>0</v>
      </c>
      <c r="AI132">
        <v>1</v>
      </c>
      <c r="AJ132">
        <v>0</v>
      </c>
      <c r="AK132">
        <v>1</v>
      </c>
      <c r="AL132">
        <v>0</v>
      </c>
      <c r="AM132">
        <v>0</v>
      </c>
      <c r="AN132">
        <v>0</v>
      </c>
      <c r="AO132">
        <v>7</v>
      </c>
      <c r="AY132">
        <f>SUM(Upload_Indiv[[#This Row],[Bird1]:[Bird9]])</f>
        <v>0</v>
      </c>
      <c r="BI132">
        <f>SUM(Upload_Indiv[[#This Row],[Eagle1]:[Eagle9]])</f>
        <v>0</v>
      </c>
    </row>
    <row r="133" spans="1:61" x14ac:dyDescent="0.25">
      <c r="A133" t="s">
        <v>547</v>
      </c>
      <c r="B133" t="s">
        <v>545</v>
      </c>
      <c r="C133" s="119">
        <v>45859</v>
      </c>
      <c r="D133" t="s">
        <v>22</v>
      </c>
      <c r="E133" t="s">
        <v>28</v>
      </c>
      <c r="F133" t="s">
        <v>406</v>
      </c>
      <c r="G133">
        <v>4</v>
      </c>
      <c r="H133" t="s">
        <v>158</v>
      </c>
      <c r="I133" t="s">
        <v>407</v>
      </c>
      <c r="J133">
        <v>7</v>
      </c>
      <c r="K133">
        <v>4</v>
      </c>
      <c r="L133">
        <v>4</v>
      </c>
      <c r="M133">
        <v>5</v>
      </c>
      <c r="N133">
        <v>7</v>
      </c>
      <c r="O133">
        <v>6</v>
      </c>
      <c r="P133">
        <v>3</v>
      </c>
      <c r="Q133">
        <v>5</v>
      </c>
      <c r="R133">
        <v>8</v>
      </c>
      <c r="S133">
        <v>49</v>
      </c>
      <c r="T133">
        <v>13.63</v>
      </c>
      <c r="U133">
        <v>35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</v>
      </c>
      <c r="AF133">
        <v>2</v>
      </c>
      <c r="AG133">
        <v>2</v>
      </c>
      <c r="AH133">
        <v>1</v>
      </c>
      <c r="AI133">
        <v>0</v>
      </c>
      <c r="AJ133">
        <v>2</v>
      </c>
      <c r="AK133">
        <v>2</v>
      </c>
      <c r="AL133">
        <v>2</v>
      </c>
      <c r="AM133">
        <v>0</v>
      </c>
      <c r="AN133">
        <v>2</v>
      </c>
      <c r="AO133">
        <v>14</v>
      </c>
      <c r="AY133">
        <f>SUM(Upload_Indiv[[#This Row],[Bird1]:[Bird9]])</f>
        <v>0</v>
      </c>
      <c r="BI133">
        <f>SUM(Upload_Indiv[[#This Row],[Eagle1]:[Eagle9]])</f>
        <v>0</v>
      </c>
    </row>
    <row r="134" spans="1:61" x14ac:dyDescent="0.25">
      <c r="A134" t="s">
        <v>547</v>
      </c>
      <c r="B134" t="s">
        <v>545</v>
      </c>
      <c r="C134" s="119">
        <v>45859</v>
      </c>
      <c r="D134" t="s">
        <v>28</v>
      </c>
      <c r="E134" t="s">
        <v>22</v>
      </c>
      <c r="F134" t="s">
        <v>406</v>
      </c>
      <c r="G134">
        <v>1</v>
      </c>
      <c r="H134" t="s">
        <v>320</v>
      </c>
      <c r="I134" t="s">
        <v>407</v>
      </c>
      <c r="J134">
        <v>6</v>
      </c>
      <c r="K134">
        <v>4</v>
      </c>
      <c r="L134">
        <v>6</v>
      </c>
      <c r="M134">
        <v>6</v>
      </c>
      <c r="N134">
        <v>6</v>
      </c>
      <c r="O134">
        <v>10</v>
      </c>
      <c r="P134">
        <v>4</v>
      </c>
      <c r="Q134">
        <v>6</v>
      </c>
      <c r="R134">
        <v>7</v>
      </c>
      <c r="S134">
        <v>55</v>
      </c>
      <c r="T134">
        <v>16.899999999999999</v>
      </c>
      <c r="U134">
        <v>38</v>
      </c>
      <c r="V134">
        <v>1</v>
      </c>
      <c r="W134">
        <v>1</v>
      </c>
      <c r="X134">
        <v>1</v>
      </c>
      <c r="Y134">
        <v>2</v>
      </c>
      <c r="Z134">
        <v>2</v>
      </c>
      <c r="AA134">
        <v>1</v>
      </c>
      <c r="AB134">
        <v>1</v>
      </c>
      <c r="AC134">
        <v>2</v>
      </c>
      <c r="AD134">
        <v>1</v>
      </c>
      <c r="AE134">
        <v>1</v>
      </c>
      <c r="AF134">
        <v>2</v>
      </c>
      <c r="AG134">
        <v>0</v>
      </c>
      <c r="AH134">
        <v>0</v>
      </c>
      <c r="AI134">
        <v>2</v>
      </c>
      <c r="AJ134">
        <v>0</v>
      </c>
      <c r="AK134">
        <v>1</v>
      </c>
      <c r="AL134">
        <v>2</v>
      </c>
      <c r="AM134">
        <v>0</v>
      </c>
      <c r="AN134">
        <v>0</v>
      </c>
      <c r="AO134">
        <v>8</v>
      </c>
      <c r="AY134">
        <f>SUM(Upload_Indiv[[#This Row],[Bird1]:[Bird9]])</f>
        <v>0</v>
      </c>
      <c r="BI134">
        <f>SUM(Upload_Indiv[[#This Row],[Eagle1]:[Eagle9]])</f>
        <v>0</v>
      </c>
    </row>
    <row r="135" spans="1:61" x14ac:dyDescent="0.25">
      <c r="A135" t="s">
        <v>547</v>
      </c>
      <c r="B135" t="s">
        <v>545</v>
      </c>
      <c r="C135" s="119">
        <v>45859</v>
      </c>
      <c r="D135" t="s">
        <v>28</v>
      </c>
      <c r="E135" t="s">
        <v>22</v>
      </c>
      <c r="F135" t="s">
        <v>406</v>
      </c>
      <c r="G135">
        <v>2</v>
      </c>
      <c r="H135" t="s">
        <v>315</v>
      </c>
      <c r="I135" t="s">
        <v>407</v>
      </c>
      <c r="J135">
        <v>6</v>
      </c>
      <c r="K135">
        <v>5</v>
      </c>
      <c r="L135">
        <v>6</v>
      </c>
      <c r="M135">
        <v>7</v>
      </c>
      <c r="N135">
        <v>6</v>
      </c>
      <c r="O135">
        <v>6</v>
      </c>
      <c r="P135">
        <v>6</v>
      </c>
      <c r="Q135">
        <v>7</v>
      </c>
      <c r="R135">
        <v>7</v>
      </c>
      <c r="S135">
        <v>56</v>
      </c>
      <c r="T135">
        <v>17.66</v>
      </c>
      <c r="U135">
        <v>38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0</v>
      </c>
      <c r="AF135">
        <v>1</v>
      </c>
      <c r="AG135">
        <v>2</v>
      </c>
      <c r="AH135">
        <v>0</v>
      </c>
      <c r="AI135">
        <v>2</v>
      </c>
      <c r="AJ135">
        <v>1</v>
      </c>
      <c r="AK135">
        <v>1</v>
      </c>
      <c r="AL135">
        <v>2</v>
      </c>
      <c r="AM135">
        <v>2</v>
      </c>
      <c r="AN135">
        <v>2</v>
      </c>
      <c r="AO135">
        <v>13</v>
      </c>
      <c r="AY135">
        <f>SUM(Upload_Indiv[[#This Row],[Bird1]:[Bird9]])</f>
        <v>0</v>
      </c>
      <c r="BI135">
        <f>SUM(Upload_Indiv[[#This Row],[Eagle1]:[Eagle9]])</f>
        <v>0</v>
      </c>
    </row>
    <row r="136" spans="1:61" x14ac:dyDescent="0.25">
      <c r="A136" t="s">
        <v>547</v>
      </c>
      <c r="B136" t="s">
        <v>545</v>
      </c>
      <c r="C136" s="119">
        <v>45859</v>
      </c>
      <c r="D136" t="s">
        <v>28</v>
      </c>
      <c r="E136" t="s">
        <v>22</v>
      </c>
      <c r="F136" t="s">
        <v>406</v>
      </c>
      <c r="G136">
        <v>3</v>
      </c>
      <c r="H136" t="s">
        <v>317</v>
      </c>
      <c r="I136" t="s">
        <v>407</v>
      </c>
      <c r="J136">
        <v>6</v>
      </c>
      <c r="K136">
        <v>6</v>
      </c>
      <c r="L136">
        <v>5</v>
      </c>
      <c r="M136">
        <v>7</v>
      </c>
      <c r="N136">
        <v>8</v>
      </c>
      <c r="O136">
        <v>4</v>
      </c>
      <c r="P136">
        <v>4</v>
      </c>
      <c r="Q136">
        <v>5</v>
      </c>
      <c r="R136">
        <v>6</v>
      </c>
      <c r="S136">
        <v>51</v>
      </c>
      <c r="T136">
        <v>18.05</v>
      </c>
      <c r="U136">
        <v>33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0</v>
      </c>
      <c r="AC136">
        <v>1</v>
      </c>
      <c r="AD136">
        <v>1</v>
      </c>
      <c r="AE136">
        <v>0</v>
      </c>
      <c r="AF136">
        <v>0</v>
      </c>
      <c r="AG136">
        <v>1</v>
      </c>
      <c r="AH136">
        <v>2</v>
      </c>
      <c r="AI136">
        <v>1</v>
      </c>
      <c r="AJ136">
        <v>2</v>
      </c>
      <c r="AK136">
        <v>1</v>
      </c>
      <c r="AL136">
        <v>2</v>
      </c>
      <c r="AM136">
        <v>2</v>
      </c>
      <c r="AN136">
        <v>2</v>
      </c>
      <c r="AO136">
        <v>13</v>
      </c>
      <c r="AU136">
        <v>1</v>
      </c>
      <c r="AY136">
        <f>SUM(Upload_Indiv[[#This Row],[Bird1]:[Bird9]])</f>
        <v>1</v>
      </c>
      <c r="BI136">
        <f>SUM(Upload_Indiv[[#This Row],[Eagle1]:[Eagle9]])</f>
        <v>0</v>
      </c>
    </row>
    <row r="137" spans="1:61" x14ac:dyDescent="0.25">
      <c r="A137" t="s">
        <v>547</v>
      </c>
      <c r="B137" t="s">
        <v>545</v>
      </c>
      <c r="C137" s="119">
        <v>45859</v>
      </c>
      <c r="D137" t="s">
        <v>28</v>
      </c>
      <c r="E137" t="s">
        <v>22</v>
      </c>
      <c r="F137" t="s">
        <v>406</v>
      </c>
      <c r="G137">
        <v>4</v>
      </c>
      <c r="H137" t="s">
        <v>101</v>
      </c>
      <c r="I137" t="s">
        <v>407</v>
      </c>
      <c r="J137">
        <v>7</v>
      </c>
      <c r="K137">
        <v>6</v>
      </c>
      <c r="L137">
        <v>6</v>
      </c>
      <c r="M137">
        <v>6</v>
      </c>
      <c r="N137">
        <v>6</v>
      </c>
      <c r="O137">
        <v>8</v>
      </c>
      <c r="P137">
        <v>6</v>
      </c>
      <c r="Q137">
        <v>8</v>
      </c>
      <c r="R137">
        <v>8</v>
      </c>
      <c r="S137">
        <v>61</v>
      </c>
      <c r="T137">
        <v>19.97</v>
      </c>
      <c r="U137">
        <v>41</v>
      </c>
      <c r="V137">
        <v>0</v>
      </c>
      <c r="W137">
        <v>1</v>
      </c>
      <c r="X137">
        <v>0</v>
      </c>
      <c r="Y137">
        <v>1</v>
      </c>
      <c r="Z137">
        <v>1</v>
      </c>
      <c r="AA137">
        <v>1</v>
      </c>
      <c r="AB137">
        <v>0</v>
      </c>
      <c r="AC137">
        <v>1</v>
      </c>
      <c r="AD137">
        <v>1</v>
      </c>
      <c r="AE137">
        <v>1</v>
      </c>
      <c r="AF137">
        <v>0</v>
      </c>
      <c r="AG137">
        <v>0</v>
      </c>
      <c r="AH137">
        <v>1</v>
      </c>
      <c r="AI137">
        <v>2</v>
      </c>
      <c r="AJ137">
        <v>0</v>
      </c>
      <c r="AK137">
        <v>0</v>
      </c>
      <c r="AL137">
        <v>0</v>
      </c>
      <c r="AM137">
        <v>2</v>
      </c>
      <c r="AN137">
        <v>0</v>
      </c>
      <c r="AO137">
        <v>6</v>
      </c>
      <c r="AY137">
        <f>SUM(Upload_Indiv[[#This Row],[Bird1]:[Bird9]])</f>
        <v>0</v>
      </c>
      <c r="BI137">
        <f>SUM(Upload_Indiv[[#This Row],[Eagle1]:[Eagle9]])</f>
        <v>0</v>
      </c>
    </row>
    <row r="138" spans="1:61" x14ac:dyDescent="0.25">
      <c r="A138" t="s">
        <v>544</v>
      </c>
      <c r="B138" t="s">
        <v>545</v>
      </c>
      <c r="C138" s="119">
        <v>45859</v>
      </c>
      <c r="D138" t="s">
        <v>20</v>
      </c>
      <c r="E138" t="s">
        <v>16</v>
      </c>
      <c r="F138" t="s">
        <v>406</v>
      </c>
      <c r="G138">
        <v>1</v>
      </c>
      <c r="H138" t="s">
        <v>283</v>
      </c>
      <c r="I138" t="s">
        <v>407</v>
      </c>
      <c r="J138">
        <v>5</v>
      </c>
      <c r="K138">
        <v>4</v>
      </c>
      <c r="L138">
        <v>5</v>
      </c>
      <c r="M138">
        <v>5</v>
      </c>
      <c r="N138">
        <v>7</v>
      </c>
      <c r="O138">
        <v>5</v>
      </c>
      <c r="P138">
        <v>3</v>
      </c>
      <c r="Q138">
        <v>5</v>
      </c>
      <c r="R138">
        <v>6</v>
      </c>
      <c r="S138">
        <v>45</v>
      </c>
      <c r="T138">
        <v>8.26</v>
      </c>
      <c r="U138">
        <v>37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2</v>
      </c>
      <c r="AF138">
        <v>1</v>
      </c>
      <c r="AG138">
        <v>1</v>
      </c>
      <c r="AH138">
        <v>0</v>
      </c>
      <c r="AI138">
        <v>0</v>
      </c>
      <c r="AJ138">
        <v>2</v>
      </c>
      <c r="AK138">
        <v>2</v>
      </c>
      <c r="AL138">
        <v>1</v>
      </c>
      <c r="AM138">
        <v>2</v>
      </c>
      <c r="AN138">
        <v>2</v>
      </c>
      <c r="AO138">
        <v>13</v>
      </c>
      <c r="AY138">
        <f>SUM(Upload_Indiv[[#This Row],[Bird1]:[Bird9]])</f>
        <v>0</v>
      </c>
      <c r="BI138">
        <f>SUM(Upload_Indiv[[#This Row],[Eagle1]:[Eagle9]])</f>
        <v>0</v>
      </c>
    </row>
    <row r="139" spans="1:61" x14ac:dyDescent="0.25">
      <c r="A139" t="s">
        <v>544</v>
      </c>
      <c r="B139" t="s">
        <v>545</v>
      </c>
      <c r="C139" s="119">
        <v>45859</v>
      </c>
      <c r="D139" t="s">
        <v>20</v>
      </c>
      <c r="E139" t="s">
        <v>16</v>
      </c>
      <c r="F139" t="s">
        <v>406</v>
      </c>
      <c r="G139">
        <v>2</v>
      </c>
      <c r="H139" t="s">
        <v>153</v>
      </c>
      <c r="I139" t="s">
        <v>407</v>
      </c>
      <c r="J139">
        <v>4</v>
      </c>
      <c r="K139">
        <v>5</v>
      </c>
      <c r="L139">
        <v>6</v>
      </c>
      <c r="M139">
        <v>5</v>
      </c>
      <c r="N139">
        <v>6</v>
      </c>
      <c r="O139">
        <v>5</v>
      </c>
      <c r="P139">
        <v>4</v>
      </c>
      <c r="Q139">
        <v>4</v>
      </c>
      <c r="R139">
        <v>5</v>
      </c>
      <c r="S139">
        <v>44</v>
      </c>
      <c r="T139">
        <v>8.4499999999999993</v>
      </c>
      <c r="U139">
        <v>36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2</v>
      </c>
      <c r="AF139">
        <v>1</v>
      </c>
      <c r="AG139">
        <v>1</v>
      </c>
      <c r="AH139">
        <v>1</v>
      </c>
      <c r="AI139">
        <v>1</v>
      </c>
      <c r="AJ139">
        <v>0</v>
      </c>
      <c r="AK139">
        <v>1</v>
      </c>
      <c r="AL139">
        <v>1</v>
      </c>
      <c r="AM139">
        <v>1</v>
      </c>
      <c r="AN139">
        <v>2</v>
      </c>
      <c r="AO139">
        <v>11</v>
      </c>
      <c r="AY139">
        <f>SUM(Upload_Indiv[[#This Row],[Bird1]:[Bird9]])</f>
        <v>0</v>
      </c>
      <c r="BI139">
        <f>SUM(Upload_Indiv[[#This Row],[Eagle1]:[Eagle9]])</f>
        <v>0</v>
      </c>
    </row>
    <row r="140" spans="1:61" x14ac:dyDescent="0.25">
      <c r="A140" t="s">
        <v>544</v>
      </c>
      <c r="B140" t="s">
        <v>545</v>
      </c>
      <c r="C140" s="119">
        <v>45859</v>
      </c>
      <c r="D140" t="s">
        <v>20</v>
      </c>
      <c r="E140" t="s">
        <v>16</v>
      </c>
      <c r="F140" t="s">
        <v>406</v>
      </c>
      <c r="G140">
        <v>3</v>
      </c>
      <c r="H140" t="s">
        <v>163</v>
      </c>
      <c r="I140" t="s">
        <v>407</v>
      </c>
      <c r="J140">
        <v>4</v>
      </c>
      <c r="K140">
        <v>3</v>
      </c>
      <c r="L140">
        <v>4</v>
      </c>
      <c r="M140">
        <v>5</v>
      </c>
      <c r="N140">
        <v>7</v>
      </c>
      <c r="O140">
        <v>5</v>
      </c>
      <c r="P140">
        <v>4</v>
      </c>
      <c r="Q140">
        <v>6</v>
      </c>
      <c r="R140">
        <v>6</v>
      </c>
      <c r="S140">
        <v>44</v>
      </c>
      <c r="T140">
        <v>9.41</v>
      </c>
      <c r="U140">
        <v>35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2</v>
      </c>
      <c r="AF140">
        <v>2</v>
      </c>
      <c r="AG140">
        <v>2</v>
      </c>
      <c r="AH140">
        <v>2</v>
      </c>
      <c r="AI140">
        <v>0</v>
      </c>
      <c r="AJ140">
        <v>2</v>
      </c>
      <c r="AK140">
        <v>2</v>
      </c>
      <c r="AL140">
        <v>0</v>
      </c>
      <c r="AM140">
        <v>2</v>
      </c>
      <c r="AN140">
        <v>2</v>
      </c>
      <c r="AO140">
        <v>16</v>
      </c>
      <c r="AY140">
        <f>SUM(Upload_Indiv[[#This Row],[Bird1]:[Bird9]])</f>
        <v>0</v>
      </c>
      <c r="BI140">
        <f>SUM(Upload_Indiv[[#This Row],[Eagle1]:[Eagle9]])</f>
        <v>0</v>
      </c>
    </row>
    <row r="141" spans="1:61" x14ac:dyDescent="0.25">
      <c r="A141" t="s">
        <v>544</v>
      </c>
      <c r="B141" t="s">
        <v>545</v>
      </c>
      <c r="C141" s="119">
        <v>45859</v>
      </c>
      <c r="D141" t="s">
        <v>20</v>
      </c>
      <c r="E141" t="s">
        <v>16</v>
      </c>
      <c r="F141" t="s">
        <v>406</v>
      </c>
      <c r="G141">
        <v>4</v>
      </c>
      <c r="H141" t="s">
        <v>513</v>
      </c>
      <c r="I141" t="s">
        <v>407</v>
      </c>
      <c r="J141">
        <v>5</v>
      </c>
      <c r="K141">
        <v>7</v>
      </c>
      <c r="L141">
        <v>6</v>
      </c>
      <c r="M141">
        <v>8</v>
      </c>
      <c r="N141">
        <v>5</v>
      </c>
      <c r="O141">
        <v>7</v>
      </c>
      <c r="P141">
        <v>3</v>
      </c>
      <c r="Q141">
        <v>6</v>
      </c>
      <c r="R141">
        <v>6</v>
      </c>
      <c r="S141">
        <v>53</v>
      </c>
      <c r="T141">
        <v>10.56</v>
      </c>
      <c r="U141">
        <v>42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2</v>
      </c>
      <c r="AF141">
        <v>0</v>
      </c>
      <c r="AG141">
        <v>1</v>
      </c>
      <c r="AH141">
        <v>0</v>
      </c>
      <c r="AI141">
        <v>1</v>
      </c>
      <c r="AJ141">
        <v>0</v>
      </c>
      <c r="AK141">
        <v>2</v>
      </c>
      <c r="AL141">
        <v>0</v>
      </c>
      <c r="AM141">
        <v>1</v>
      </c>
      <c r="AN141">
        <v>0</v>
      </c>
      <c r="AO141">
        <v>7</v>
      </c>
      <c r="AY141">
        <f>SUM(Upload_Indiv[[#This Row],[Bird1]:[Bird9]])</f>
        <v>0</v>
      </c>
      <c r="BI141">
        <f>SUM(Upload_Indiv[[#This Row],[Eagle1]:[Eagle9]])</f>
        <v>0</v>
      </c>
    </row>
    <row r="142" spans="1:61" x14ac:dyDescent="0.25">
      <c r="A142" t="s">
        <v>544</v>
      </c>
      <c r="B142" t="s">
        <v>545</v>
      </c>
      <c r="C142" s="119">
        <v>45859</v>
      </c>
      <c r="D142" t="s">
        <v>16</v>
      </c>
      <c r="E142" t="s">
        <v>20</v>
      </c>
      <c r="F142" t="s">
        <v>406</v>
      </c>
      <c r="G142">
        <v>1</v>
      </c>
      <c r="H142" t="s">
        <v>485</v>
      </c>
      <c r="I142" t="s">
        <v>407</v>
      </c>
      <c r="J142">
        <v>6</v>
      </c>
      <c r="K142">
        <v>4</v>
      </c>
      <c r="L142">
        <v>5</v>
      </c>
      <c r="M142">
        <v>4</v>
      </c>
      <c r="N142">
        <v>6</v>
      </c>
      <c r="O142">
        <v>8</v>
      </c>
      <c r="P142">
        <v>8</v>
      </c>
      <c r="Q142">
        <v>6</v>
      </c>
      <c r="R142">
        <v>8</v>
      </c>
      <c r="S142">
        <v>55</v>
      </c>
      <c r="T142">
        <v>9.84</v>
      </c>
      <c r="U142">
        <v>45</v>
      </c>
      <c r="V142">
        <v>0</v>
      </c>
      <c r="W142">
        <v>0</v>
      </c>
      <c r="X142">
        <v>0</v>
      </c>
      <c r="Y142">
        <v>1</v>
      </c>
      <c r="Z142">
        <v>0</v>
      </c>
      <c r="AA142">
        <v>0</v>
      </c>
      <c r="AB142">
        <v>0</v>
      </c>
      <c r="AC142">
        <v>1</v>
      </c>
      <c r="AD142">
        <v>0</v>
      </c>
      <c r="AE142">
        <v>0</v>
      </c>
      <c r="AF142">
        <v>1</v>
      </c>
      <c r="AG142">
        <v>1</v>
      </c>
      <c r="AH142">
        <v>2</v>
      </c>
      <c r="AI142">
        <v>2</v>
      </c>
      <c r="AJ142">
        <v>0</v>
      </c>
      <c r="AK142">
        <v>0</v>
      </c>
      <c r="AL142">
        <v>1</v>
      </c>
      <c r="AM142">
        <v>0</v>
      </c>
      <c r="AN142">
        <v>0</v>
      </c>
      <c r="AO142">
        <v>7</v>
      </c>
      <c r="AY142">
        <f>SUM(Upload_Indiv[[#This Row],[Bird1]:[Bird9]])</f>
        <v>0</v>
      </c>
      <c r="BI142">
        <f>SUM(Upload_Indiv[[#This Row],[Eagle1]:[Eagle9]])</f>
        <v>0</v>
      </c>
    </row>
    <row r="143" spans="1:61" x14ac:dyDescent="0.25">
      <c r="A143" t="s">
        <v>544</v>
      </c>
      <c r="B143" t="s">
        <v>545</v>
      </c>
      <c r="C143" s="119">
        <v>45859</v>
      </c>
      <c r="D143" t="s">
        <v>16</v>
      </c>
      <c r="E143" t="s">
        <v>20</v>
      </c>
      <c r="F143" t="s">
        <v>406</v>
      </c>
      <c r="G143">
        <v>2</v>
      </c>
      <c r="H143" t="s">
        <v>267</v>
      </c>
      <c r="I143" t="s">
        <v>407</v>
      </c>
      <c r="J143">
        <v>7</v>
      </c>
      <c r="K143">
        <v>5</v>
      </c>
      <c r="L143">
        <v>6</v>
      </c>
      <c r="M143">
        <v>6</v>
      </c>
      <c r="N143">
        <v>7</v>
      </c>
      <c r="O143">
        <v>5</v>
      </c>
      <c r="P143">
        <v>4</v>
      </c>
      <c r="Q143">
        <v>5</v>
      </c>
      <c r="R143">
        <v>6</v>
      </c>
      <c r="S143">
        <v>51</v>
      </c>
      <c r="T143">
        <v>13.63</v>
      </c>
      <c r="U143">
        <v>37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0</v>
      </c>
      <c r="AC143">
        <v>1</v>
      </c>
      <c r="AD143">
        <v>1</v>
      </c>
      <c r="AE143">
        <v>0</v>
      </c>
      <c r="AF143">
        <v>1</v>
      </c>
      <c r="AG143">
        <v>1</v>
      </c>
      <c r="AH143">
        <v>1</v>
      </c>
      <c r="AI143">
        <v>1</v>
      </c>
      <c r="AJ143">
        <v>2</v>
      </c>
      <c r="AK143">
        <v>1</v>
      </c>
      <c r="AL143">
        <v>1</v>
      </c>
      <c r="AM143">
        <v>1</v>
      </c>
      <c r="AN143">
        <v>0</v>
      </c>
      <c r="AO143">
        <v>9</v>
      </c>
      <c r="AY143">
        <f>SUM(Upload_Indiv[[#This Row],[Bird1]:[Bird9]])</f>
        <v>0</v>
      </c>
      <c r="BI143">
        <f>SUM(Upload_Indiv[[#This Row],[Eagle1]:[Eagle9]])</f>
        <v>0</v>
      </c>
    </row>
    <row r="144" spans="1:61" x14ac:dyDescent="0.25">
      <c r="A144" t="s">
        <v>544</v>
      </c>
      <c r="B144" t="s">
        <v>545</v>
      </c>
      <c r="C144" s="119">
        <v>45859</v>
      </c>
      <c r="D144" t="s">
        <v>16</v>
      </c>
      <c r="E144" t="s">
        <v>20</v>
      </c>
      <c r="F144" t="s">
        <v>406</v>
      </c>
      <c r="G144">
        <v>3</v>
      </c>
      <c r="H144" t="s">
        <v>484</v>
      </c>
      <c r="I144" t="s">
        <v>407</v>
      </c>
      <c r="J144">
        <v>8</v>
      </c>
      <c r="K144">
        <v>8</v>
      </c>
      <c r="L144">
        <v>5</v>
      </c>
      <c r="M144">
        <v>7</v>
      </c>
      <c r="N144">
        <v>6</v>
      </c>
      <c r="O144">
        <v>7</v>
      </c>
      <c r="P144">
        <v>5</v>
      </c>
      <c r="Q144">
        <v>5</v>
      </c>
      <c r="R144">
        <v>10</v>
      </c>
      <c r="S144">
        <v>61</v>
      </c>
      <c r="T144">
        <v>16.13</v>
      </c>
      <c r="U144">
        <v>45</v>
      </c>
      <c r="V144">
        <v>1</v>
      </c>
      <c r="W144">
        <v>1</v>
      </c>
      <c r="X144">
        <v>0</v>
      </c>
      <c r="Y144">
        <v>1</v>
      </c>
      <c r="Z144">
        <v>1</v>
      </c>
      <c r="AA144">
        <v>1</v>
      </c>
      <c r="AB144">
        <v>0</v>
      </c>
      <c r="AC144">
        <v>1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2</v>
      </c>
      <c r="AJ144">
        <v>0</v>
      </c>
      <c r="AK144">
        <v>0</v>
      </c>
      <c r="AL144">
        <v>2</v>
      </c>
      <c r="AM144">
        <v>0</v>
      </c>
      <c r="AN144">
        <v>0</v>
      </c>
      <c r="AO144">
        <v>4</v>
      </c>
      <c r="AY144">
        <f>SUM(Upload_Indiv[[#This Row],[Bird1]:[Bird9]])</f>
        <v>0</v>
      </c>
      <c r="BI144">
        <f>SUM(Upload_Indiv[[#This Row],[Eagle1]:[Eagle9]])</f>
        <v>0</v>
      </c>
    </row>
    <row r="145" spans="1:61" x14ac:dyDescent="0.25">
      <c r="A145" t="s">
        <v>544</v>
      </c>
      <c r="B145" t="s">
        <v>545</v>
      </c>
      <c r="C145" s="119">
        <v>45859</v>
      </c>
      <c r="D145" t="s">
        <v>16</v>
      </c>
      <c r="E145" t="s">
        <v>20</v>
      </c>
      <c r="F145" t="s">
        <v>406</v>
      </c>
      <c r="G145">
        <v>4</v>
      </c>
      <c r="H145" t="s">
        <v>265</v>
      </c>
      <c r="I145" t="s">
        <v>407</v>
      </c>
      <c r="J145">
        <v>7</v>
      </c>
      <c r="K145">
        <v>4</v>
      </c>
      <c r="L145">
        <v>7</v>
      </c>
      <c r="M145">
        <v>7</v>
      </c>
      <c r="N145">
        <v>6</v>
      </c>
      <c r="O145">
        <v>7</v>
      </c>
      <c r="P145">
        <v>8</v>
      </c>
      <c r="Q145">
        <v>6</v>
      </c>
      <c r="R145">
        <v>7</v>
      </c>
      <c r="S145">
        <v>59</v>
      </c>
      <c r="T145">
        <v>20</v>
      </c>
      <c r="U145">
        <v>39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0</v>
      </c>
      <c r="AF145">
        <v>2</v>
      </c>
      <c r="AG145">
        <v>1</v>
      </c>
      <c r="AH145">
        <v>2</v>
      </c>
      <c r="AI145">
        <v>1</v>
      </c>
      <c r="AJ145">
        <v>2</v>
      </c>
      <c r="AK145">
        <v>0</v>
      </c>
      <c r="AL145">
        <v>2</v>
      </c>
      <c r="AM145">
        <v>1</v>
      </c>
      <c r="AN145">
        <v>2</v>
      </c>
      <c r="AO145">
        <v>13</v>
      </c>
      <c r="AY145">
        <f>SUM(Upload_Indiv[[#This Row],[Bird1]:[Bird9]])</f>
        <v>0</v>
      </c>
      <c r="BI145">
        <f>SUM(Upload_Indiv[[#This Row],[Eagle1]:[Eagle9]])</f>
        <v>0</v>
      </c>
    </row>
    <row r="146" spans="1:61" x14ac:dyDescent="0.25">
      <c r="A146" t="s">
        <v>548</v>
      </c>
      <c r="B146" t="s">
        <v>545</v>
      </c>
      <c r="C146" s="119">
        <v>45859</v>
      </c>
      <c r="D146" t="s">
        <v>18</v>
      </c>
      <c r="E146" t="s">
        <v>30</v>
      </c>
      <c r="F146" t="s">
        <v>408</v>
      </c>
      <c r="G146">
        <v>1</v>
      </c>
      <c r="H146" t="s">
        <v>272</v>
      </c>
      <c r="I146" t="s">
        <v>407</v>
      </c>
      <c r="J146">
        <v>6</v>
      </c>
      <c r="K146">
        <v>6</v>
      </c>
      <c r="L146">
        <v>5</v>
      </c>
      <c r="M146">
        <v>4</v>
      </c>
      <c r="N146">
        <v>4</v>
      </c>
      <c r="O146">
        <v>5</v>
      </c>
      <c r="P146">
        <v>6</v>
      </c>
      <c r="Q146">
        <v>5</v>
      </c>
      <c r="R146">
        <v>6</v>
      </c>
      <c r="S146">
        <v>47</v>
      </c>
      <c r="T146">
        <v>8.26</v>
      </c>
      <c r="U146">
        <v>39</v>
      </c>
      <c r="V146">
        <v>1</v>
      </c>
      <c r="W146">
        <v>1</v>
      </c>
      <c r="X146">
        <v>1</v>
      </c>
      <c r="Y146">
        <v>1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2</v>
      </c>
      <c r="AK146">
        <v>1</v>
      </c>
      <c r="AL146">
        <v>0</v>
      </c>
      <c r="AM146">
        <v>0</v>
      </c>
      <c r="AN146">
        <v>0</v>
      </c>
      <c r="AO146">
        <v>8</v>
      </c>
      <c r="AY146">
        <f>SUM(Upload_Indiv[[#This Row],[Bird1]:[Bird9]])</f>
        <v>0</v>
      </c>
      <c r="BI146">
        <f>SUM(Upload_Indiv[[#This Row],[Eagle1]:[Eagle9]])</f>
        <v>0</v>
      </c>
    </row>
    <row r="147" spans="1:61" x14ac:dyDescent="0.25">
      <c r="A147" t="s">
        <v>548</v>
      </c>
      <c r="B147" t="s">
        <v>545</v>
      </c>
      <c r="C147" s="119">
        <v>45859</v>
      </c>
      <c r="D147" t="s">
        <v>18</v>
      </c>
      <c r="E147" t="s">
        <v>30</v>
      </c>
      <c r="F147" t="s">
        <v>408</v>
      </c>
      <c r="G147">
        <v>2</v>
      </c>
      <c r="H147" t="s">
        <v>274</v>
      </c>
      <c r="I147" t="s">
        <v>407</v>
      </c>
      <c r="J147">
        <v>6</v>
      </c>
      <c r="K147">
        <v>6</v>
      </c>
      <c r="L147">
        <v>6</v>
      </c>
      <c r="M147">
        <v>4</v>
      </c>
      <c r="N147">
        <v>5</v>
      </c>
      <c r="O147">
        <v>4</v>
      </c>
      <c r="P147">
        <v>6</v>
      </c>
      <c r="Q147">
        <v>3</v>
      </c>
      <c r="R147">
        <v>5</v>
      </c>
      <c r="S147">
        <v>45</v>
      </c>
      <c r="T147">
        <v>8.4499999999999993</v>
      </c>
      <c r="U147">
        <v>37</v>
      </c>
      <c r="V147">
        <v>1</v>
      </c>
      <c r="W147">
        <v>1</v>
      </c>
      <c r="X147">
        <v>1</v>
      </c>
      <c r="Y147">
        <v>1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0</v>
      </c>
      <c r="AH147">
        <v>1</v>
      </c>
      <c r="AI147">
        <v>0</v>
      </c>
      <c r="AJ147">
        <v>2</v>
      </c>
      <c r="AK147">
        <v>1</v>
      </c>
      <c r="AL147">
        <v>2</v>
      </c>
      <c r="AM147">
        <v>1</v>
      </c>
      <c r="AN147">
        <v>2</v>
      </c>
      <c r="AO147">
        <v>11</v>
      </c>
      <c r="AY147">
        <f>SUM(Upload_Indiv[[#This Row],[Bird1]:[Bird9]])</f>
        <v>0</v>
      </c>
      <c r="BI147">
        <f>SUM(Upload_Indiv[[#This Row],[Eagle1]:[Eagle9]])</f>
        <v>0</v>
      </c>
    </row>
    <row r="148" spans="1:61" x14ac:dyDescent="0.25">
      <c r="A148" t="s">
        <v>548</v>
      </c>
      <c r="B148" t="s">
        <v>545</v>
      </c>
      <c r="C148" s="119">
        <v>45859</v>
      </c>
      <c r="D148" t="s">
        <v>18</v>
      </c>
      <c r="E148" t="s">
        <v>30</v>
      </c>
      <c r="F148" t="s">
        <v>408</v>
      </c>
      <c r="G148">
        <v>3</v>
      </c>
      <c r="H148" t="s">
        <v>276</v>
      </c>
      <c r="I148" t="s">
        <v>407</v>
      </c>
      <c r="J148">
        <v>8</v>
      </c>
      <c r="K148">
        <v>7</v>
      </c>
      <c r="L148">
        <v>5</v>
      </c>
      <c r="M148">
        <v>5</v>
      </c>
      <c r="N148">
        <v>9</v>
      </c>
      <c r="O148">
        <v>6</v>
      </c>
      <c r="P148">
        <v>5</v>
      </c>
      <c r="Q148">
        <v>5</v>
      </c>
      <c r="R148">
        <v>7</v>
      </c>
      <c r="S148">
        <v>57</v>
      </c>
      <c r="T148">
        <v>16.13</v>
      </c>
      <c r="U148">
        <v>41</v>
      </c>
      <c r="V148">
        <v>2</v>
      </c>
      <c r="W148">
        <v>2</v>
      </c>
      <c r="X148">
        <v>2</v>
      </c>
      <c r="Y148">
        <v>1</v>
      </c>
      <c r="Z148">
        <v>1</v>
      </c>
      <c r="AA148">
        <v>2</v>
      </c>
      <c r="AB148">
        <v>2</v>
      </c>
      <c r="AC148">
        <v>2</v>
      </c>
      <c r="AD148">
        <v>2</v>
      </c>
      <c r="AE148">
        <v>0</v>
      </c>
      <c r="AF148">
        <v>1</v>
      </c>
      <c r="AG148">
        <v>2</v>
      </c>
      <c r="AH148">
        <v>0</v>
      </c>
      <c r="AI148">
        <v>0</v>
      </c>
      <c r="AJ148">
        <v>2</v>
      </c>
      <c r="AK148">
        <v>2</v>
      </c>
      <c r="AL148">
        <v>1</v>
      </c>
      <c r="AM148">
        <v>0</v>
      </c>
      <c r="AN148">
        <v>0</v>
      </c>
      <c r="AO148">
        <v>8</v>
      </c>
      <c r="AY148">
        <f>SUM(Upload_Indiv[[#This Row],[Bird1]:[Bird9]])</f>
        <v>0</v>
      </c>
      <c r="BI148">
        <f>SUM(Upload_Indiv[[#This Row],[Eagle1]:[Eagle9]])</f>
        <v>0</v>
      </c>
    </row>
    <row r="149" spans="1:61" x14ac:dyDescent="0.25">
      <c r="A149" t="s">
        <v>548</v>
      </c>
      <c r="B149" t="s">
        <v>545</v>
      </c>
      <c r="C149" s="119">
        <v>45859</v>
      </c>
      <c r="D149" t="s">
        <v>18</v>
      </c>
      <c r="E149" t="s">
        <v>30</v>
      </c>
      <c r="F149" t="s">
        <v>408</v>
      </c>
      <c r="G149">
        <v>4</v>
      </c>
      <c r="H149" t="s">
        <v>278</v>
      </c>
      <c r="I149" t="s">
        <v>407</v>
      </c>
      <c r="J149">
        <v>7</v>
      </c>
      <c r="K149">
        <v>7</v>
      </c>
      <c r="L149">
        <v>7</v>
      </c>
      <c r="M149">
        <v>3</v>
      </c>
      <c r="N149">
        <v>6</v>
      </c>
      <c r="O149">
        <v>6</v>
      </c>
      <c r="P149">
        <v>7</v>
      </c>
      <c r="Q149">
        <v>6</v>
      </c>
      <c r="R149">
        <v>6</v>
      </c>
      <c r="S149">
        <v>55</v>
      </c>
      <c r="T149">
        <v>17.86</v>
      </c>
      <c r="U149">
        <v>37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1</v>
      </c>
      <c r="AF149">
        <v>1</v>
      </c>
      <c r="AG149">
        <v>0</v>
      </c>
      <c r="AH149">
        <v>2</v>
      </c>
      <c r="AI149">
        <v>1</v>
      </c>
      <c r="AJ149">
        <v>2</v>
      </c>
      <c r="AK149">
        <v>1</v>
      </c>
      <c r="AL149">
        <v>0</v>
      </c>
      <c r="AM149">
        <v>1</v>
      </c>
      <c r="AN149">
        <v>2</v>
      </c>
      <c r="AO149">
        <v>11</v>
      </c>
      <c r="AY149">
        <f>SUM(Upload_Indiv[[#This Row],[Bird1]:[Bird9]])</f>
        <v>0</v>
      </c>
      <c r="BI149">
        <f>SUM(Upload_Indiv[[#This Row],[Eagle1]:[Eagle9]])</f>
        <v>0</v>
      </c>
    </row>
    <row r="150" spans="1:61" x14ac:dyDescent="0.25">
      <c r="A150" t="s">
        <v>548</v>
      </c>
      <c r="B150" t="s">
        <v>545</v>
      </c>
      <c r="C150" s="119">
        <v>45859</v>
      </c>
      <c r="D150" t="s">
        <v>30</v>
      </c>
      <c r="E150" t="s">
        <v>18</v>
      </c>
      <c r="F150" t="s">
        <v>408</v>
      </c>
      <c r="G150">
        <v>1</v>
      </c>
      <c r="H150" t="s">
        <v>323</v>
      </c>
      <c r="I150" t="s">
        <v>407</v>
      </c>
      <c r="J150">
        <v>5</v>
      </c>
      <c r="K150">
        <v>5</v>
      </c>
      <c r="L150">
        <v>4</v>
      </c>
      <c r="M150">
        <v>3</v>
      </c>
      <c r="N150">
        <v>4</v>
      </c>
      <c r="O150">
        <v>5</v>
      </c>
      <c r="P150">
        <v>5</v>
      </c>
      <c r="Q150">
        <v>3</v>
      </c>
      <c r="R150">
        <v>4</v>
      </c>
      <c r="S150">
        <v>38</v>
      </c>
      <c r="T150">
        <v>0</v>
      </c>
      <c r="U150">
        <v>38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0</v>
      </c>
      <c r="AK150">
        <v>1</v>
      </c>
      <c r="AL150">
        <v>2</v>
      </c>
      <c r="AM150">
        <v>2</v>
      </c>
      <c r="AN150">
        <v>2</v>
      </c>
      <c r="AO150">
        <v>12</v>
      </c>
      <c r="AY150">
        <f>SUM(Upload_Indiv[[#This Row],[Bird1]:[Bird9]])</f>
        <v>0</v>
      </c>
      <c r="BI150">
        <f>SUM(Upload_Indiv[[#This Row],[Eagle1]:[Eagle9]])</f>
        <v>0</v>
      </c>
    </row>
    <row r="151" spans="1:61" x14ac:dyDescent="0.25">
      <c r="A151" t="s">
        <v>548</v>
      </c>
      <c r="B151" t="s">
        <v>545</v>
      </c>
      <c r="C151" s="119">
        <v>45859</v>
      </c>
      <c r="D151" t="s">
        <v>30</v>
      </c>
      <c r="E151" t="s">
        <v>18</v>
      </c>
      <c r="F151" t="s">
        <v>408</v>
      </c>
      <c r="G151">
        <v>2</v>
      </c>
      <c r="H151" t="s">
        <v>324</v>
      </c>
      <c r="I151" t="s">
        <v>407</v>
      </c>
      <c r="J151">
        <v>5</v>
      </c>
      <c r="K151">
        <v>5</v>
      </c>
      <c r="L151">
        <v>4</v>
      </c>
      <c r="M151">
        <v>3</v>
      </c>
      <c r="N151">
        <v>4</v>
      </c>
      <c r="O151">
        <v>5</v>
      </c>
      <c r="P151">
        <v>5</v>
      </c>
      <c r="Q151">
        <v>3</v>
      </c>
      <c r="R151">
        <v>4</v>
      </c>
      <c r="S151">
        <v>38</v>
      </c>
      <c r="T151">
        <v>0</v>
      </c>
      <c r="U151">
        <v>38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1</v>
      </c>
      <c r="AF151">
        <v>1</v>
      </c>
      <c r="AG151">
        <v>2</v>
      </c>
      <c r="AH151">
        <v>1</v>
      </c>
      <c r="AI151">
        <v>2</v>
      </c>
      <c r="AJ151">
        <v>0</v>
      </c>
      <c r="AK151">
        <v>1</v>
      </c>
      <c r="AL151">
        <v>0</v>
      </c>
      <c r="AM151">
        <v>1</v>
      </c>
      <c r="AN151">
        <v>0</v>
      </c>
      <c r="AO151">
        <v>9</v>
      </c>
      <c r="AY151">
        <f>SUM(Upload_Indiv[[#This Row],[Bird1]:[Bird9]])</f>
        <v>0</v>
      </c>
      <c r="BI151">
        <f>SUM(Upload_Indiv[[#This Row],[Eagle1]:[Eagle9]])</f>
        <v>0</v>
      </c>
    </row>
    <row r="152" spans="1:61" x14ac:dyDescent="0.25">
      <c r="A152" t="s">
        <v>548</v>
      </c>
      <c r="B152" t="s">
        <v>545</v>
      </c>
      <c r="C152" s="119">
        <v>45859</v>
      </c>
      <c r="D152" t="s">
        <v>30</v>
      </c>
      <c r="E152" t="s">
        <v>18</v>
      </c>
      <c r="F152" t="s">
        <v>408</v>
      </c>
      <c r="G152">
        <v>3</v>
      </c>
      <c r="H152" t="s">
        <v>325</v>
      </c>
      <c r="I152" t="s">
        <v>407</v>
      </c>
      <c r="J152">
        <v>5</v>
      </c>
      <c r="K152">
        <v>5</v>
      </c>
      <c r="L152">
        <v>4</v>
      </c>
      <c r="M152">
        <v>3</v>
      </c>
      <c r="N152">
        <v>4</v>
      </c>
      <c r="O152">
        <v>5</v>
      </c>
      <c r="P152">
        <v>5</v>
      </c>
      <c r="Q152">
        <v>3</v>
      </c>
      <c r="R152">
        <v>4</v>
      </c>
      <c r="S152">
        <v>38</v>
      </c>
      <c r="T152">
        <v>0</v>
      </c>
      <c r="U152">
        <v>38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2</v>
      </c>
      <c r="AF152">
        <v>1</v>
      </c>
      <c r="AG152">
        <v>0</v>
      </c>
      <c r="AH152">
        <v>2</v>
      </c>
      <c r="AI152">
        <v>2</v>
      </c>
      <c r="AJ152">
        <v>0</v>
      </c>
      <c r="AK152">
        <v>0</v>
      </c>
      <c r="AL152">
        <v>1</v>
      </c>
      <c r="AM152">
        <v>2</v>
      </c>
      <c r="AN152">
        <v>2</v>
      </c>
      <c r="AO152">
        <v>12</v>
      </c>
      <c r="AY152">
        <f>SUM(Upload_Indiv[[#This Row],[Bird1]:[Bird9]])</f>
        <v>0</v>
      </c>
      <c r="BI152">
        <f>SUM(Upload_Indiv[[#This Row],[Eagle1]:[Eagle9]])</f>
        <v>0</v>
      </c>
    </row>
    <row r="153" spans="1:61" x14ac:dyDescent="0.25">
      <c r="A153" t="s">
        <v>548</v>
      </c>
      <c r="B153" t="s">
        <v>545</v>
      </c>
      <c r="C153" s="119">
        <v>45859</v>
      </c>
      <c r="D153" t="s">
        <v>30</v>
      </c>
      <c r="E153" t="s">
        <v>18</v>
      </c>
      <c r="F153" t="s">
        <v>408</v>
      </c>
      <c r="G153">
        <v>4</v>
      </c>
      <c r="H153" t="s">
        <v>326</v>
      </c>
      <c r="I153" t="s">
        <v>407</v>
      </c>
      <c r="J153">
        <v>5</v>
      </c>
      <c r="K153">
        <v>5</v>
      </c>
      <c r="L153">
        <v>4</v>
      </c>
      <c r="M153">
        <v>3</v>
      </c>
      <c r="N153">
        <v>4</v>
      </c>
      <c r="O153">
        <v>5</v>
      </c>
      <c r="P153">
        <v>5</v>
      </c>
      <c r="Q153">
        <v>3</v>
      </c>
      <c r="R153">
        <v>4</v>
      </c>
      <c r="S153">
        <v>38</v>
      </c>
      <c r="T153">
        <v>0</v>
      </c>
      <c r="U153">
        <v>38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1</v>
      </c>
      <c r="AF153">
        <v>1</v>
      </c>
      <c r="AG153">
        <v>2</v>
      </c>
      <c r="AH153">
        <v>0</v>
      </c>
      <c r="AI153">
        <v>1</v>
      </c>
      <c r="AJ153">
        <v>0</v>
      </c>
      <c r="AK153">
        <v>1</v>
      </c>
      <c r="AL153">
        <v>2</v>
      </c>
      <c r="AM153">
        <v>1</v>
      </c>
      <c r="AN153">
        <v>0</v>
      </c>
      <c r="AO153">
        <v>9</v>
      </c>
      <c r="AY153">
        <f>SUM(Upload_Indiv[[#This Row],[Bird1]:[Bird9]])</f>
        <v>0</v>
      </c>
      <c r="BI153">
        <f>SUM(Upload_Indiv[[#This Row],[Eagle1]:[Eagle9]])</f>
        <v>0</v>
      </c>
    </row>
    <row r="154" spans="1:61" x14ac:dyDescent="0.25">
      <c r="A154" t="s">
        <v>546</v>
      </c>
      <c r="B154" t="s">
        <v>545</v>
      </c>
      <c r="C154" s="119">
        <v>45859</v>
      </c>
      <c r="D154" t="s">
        <v>24</v>
      </c>
      <c r="E154" t="s">
        <v>26</v>
      </c>
      <c r="F154" t="s">
        <v>408</v>
      </c>
      <c r="G154">
        <v>1</v>
      </c>
      <c r="H154" t="s">
        <v>298</v>
      </c>
      <c r="I154" t="s">
        <v>407</v>
      </c>
      <c r="J154">
        <v>6</v>
      </c>
      <c r="K154">
        <v>5</v>
      </c>
      <c r="L154">
        <v>6</v>
      </c>
      <c r="M154">
        <v>4</v>
      </c>
      <c r="N154">
        <v>4</v>
      </c>
      <c r="O154">
        <v>4</v>
      </c>
      <c r="P154">
        <v>10</v>
      </c>
      <c r="Q154">
        <v>4</v>
      </c>
      <c r="R154">
        <v>5</v>
      </c>
      <c r="S154">
        <v>48</v>
      </c>
      <c r="T154">
        <v>8.83</v>
      </c>
      <c r="U154">
        <v>39</v>
      </c>
      <c r="V154">
        <v>1</v>
      </c>
      <c r="W154">
        <v>0</v>
      </c>
      <c r="X154">
        <v>1</v>
      </c>
      <c r="Y154">
        <v>0</v>
      </c>
      <c r="Z154">
        <v>0</v>
      </c>
      <c r="AA154">
        <v>1</v>
      </c>
      <c r="AB154">
        <v>1</v>
      </c>
      <c r="AC154">
        <v>0</v>
      </c>
      <c r="AD154">
        <v>1</v>
      </c>
      <c r="AE154">
        <v>1</v>
      </c>
      <c r="AF154">
        <v>1</v>
      </c>
      <c r="AG154">
        <v>0</v>
      </c>
      <c r="AH154">
        <v>0</v>
      </c>
      <c r="AI154">
        <v>2</v>
      </c>
      <c r="AJ154">
        <v>2</v>
      </c>
      <c r="AK154">
        <v>0</v>
      </c>
      <c r="AL154">
        <v>0</v>
      </c>
      <c r="AM154">
        <v>1</v>
      </c>
      <c r="AN154">
        <v>0</v>
      </c>
      <c r="AO154">
        <v>7</v>
      </c>
      <c r="AY154">
        <f>SUM(Upload_Indiv[[#This Row],[Bird1]:[Bird9]])</f>
        <v>0</v>
      </c>
      <c r="BI154">
        <f>SUM(Upload_Indiv[[#This Row],[Eagle1]:[Eagle9]])</f>
        <v>0</v>
      </c>
    </row>
    <row r="155" spans="1:61" x14ac:dyDescent="0.25">
      <c r="A155" t="s">
        <v>546</v>
      </c>
      <c r="B155" t="s">
        <v>545</v>
      </c>
      <c r="C155" s="119">
        <v>45859</v>
      </c>
      <c r="D155" t="s">
        <v>24</v>
      </c>
      <c r="E155" t="s">
        <v>26</v>
      </c>
      <c r="F155" t="s">
        <v>408</v>
      </c>
      <c r="G155">
        <v>2</v>
      </c>
      <c r="H155" t="s">
        <v>258</v>
      </c>
      <c r="I155" t="s">
        <v>407</v>
      </c>
      <c r="J155">
        <v>6</v>
      </c>
      <c r="K155">
        <v>7</v>
      </c>
      <c r="L155">
        <v>5</v>
      </c>
      <c r="M155">
        <v>3</v>
      </c>
      <c r="N155">
        <v>6</v>
      </c>
      <c r="O155">
        <v>4</v>
      </c>
      <c r="P155">
        <v>5</v>
      </c>
      <c r="Q155">
        <v>5</v>
      </c>
      <c r="R155">
        <v>4</v>
      </c>
      <c r="S155">
        <v>45</v>
      </c>
      <c r="T155">
        <v>9.41</v>
      </c>
      <c r="U155">
        <v>36</v>
      </c>
      <c r="V155">
        <v>1</v>
      </c>
      <c r="W155">
        <v>0</v>
      </c>
      <c r="X155">
        <v>1</v>
      </c>
      <c r="Y155">
        <v>0</v>
      </c>
      <c r="Z155">
        <v>0</v>
      </c>
      <c r="AA155">
        <v>1</v>
      </c>
      <c r="AB155">
        <v>1</v>
      </c>
      <c r="AC155">
        <v>0</v>
      </c>
      <c r="AD155">
        <v>1</v>
      </c>
      <c r="AE155">
        <v>0</v>
      </c>
      <c r="AF155">
        <v>0</v>
      </c>
      <c r="AG155">
        <v>2</v>
      </c>
      <c r="AH155">
        <v>2</v>
      </c>
      <c r="AI155">
        <v>0</v>
      </c>
      <c r="AJ155">
        <v>2</v>
      </c>
      <c r="AK155">
        <v>2</v>
      </c>
      <c r="AL155">
        <v>0</v>
      </c>
      <c r="AM155">
        <v>2</v>
      </c>
      <c r="AN155">
        <v>2</v>
      </c>
      <c r="AO155">
        <v>12</v>
      </c>
      <c r="AY155">
        <f>SUM(Upload_Indiv[[#This Row],[Bird1]:[Bird9]])</f>
        <v>0</v>
      </c>
      <c r="BI155">
        <f>SUM(Upload_Indiv[[#This Row],[Eagle1]:[Eagle9]])</f>
        <v>0</v>
      </c>
    </row>
    <row r="156" spans="1:61" x14ac:dyDescent="0.25">
      <c r="A156" t="s">
        <v>546</v>
      </c>
      <c r="B156" t="s">
        <v>545</v>
      </c>
      <c r="C156" s="119">
        <v>45859</v>
      </c>
      <c r="D156" t="s">
        <v>24</v>
      </c>
      <c r="E156" t="s">
        <v>26</v>
      </c>
      <c r="F156" t="s">
        <v>408</v>
      </c>
      <c r="G156">
        <v>3</v>
      </c>
      <c r="H156" t="s">
        <v>300</v>
      </c>
      <c r="I156" t="s">
        <v>407</v>
      </c>
      <c r="J156">
        <v>5</v>
      </c>
      <c r="K156">
        <v>6</v>
      </c>
      <c r="L156">
        <v>4</v>
      </c>
      <c r="M156">
        <v>5</v>
      </c>
      <c r="N156">
        <v>4</v>
      </c>
      <c r="O156">
        <v>6</v>
      </c>
      <c r="P156">
        <v>5</v>
      </c>
      <c r="Q156">
        <v>3</v>
      </c>
      <c r="R156">
        <v>6</v>
      </c>
      <c r="S156">
        <v>44</v>
      </c>
      <c r="T156">
        <v>10.75</v>
      </c>
      <c r="U156">
        <v>33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2</v>
      </c>
      <c r="AF156">
        <v>2</v>
      </c>
      <c r="AG156">
        <v>2</v>
      </c>
      <c r="AH156">
        <v>1</v>
      </c>
      <c r="AI156">
        <v>2</v>
      </c>
      <c r="AJ156">
        <v>0</v>
      </c>
      <c r="AK156">
        <v>2</v>
      </c>
      <c r="AL156">
        <v>2</v>
      </c>
      <c r="AM156">
        <v>0</v>
      </c>
      <c r="AN156">
        <v>2</v>
      </c>
      <c r="AO156">
        <v>15</v>
      </c>
      <c r="AY156">
        <f>SUM(Upload_Indiv[[#This Row],[Bird1]:[Bird9]])</f>
        <v>0</v>
      </c>
      <c r="BI156">
        <f>SUM(Upload_Indiv[[#This Row],[Eagle1]:[Eagle9]])</f>
        <v>0</v>
      </c>
    </row>
    <row r="157" spans="1:61" x14ac:dyDescent="0.25">
      <c r="A157" t="s">
        <v>546</v>
      </c>
      <c r="B157" t="s">
        <v>545</v>
      </c>
      <c r="C157" s="119">
        <v>45859</v>
      </c>
      <c r="D157" t="s">
        <v>24</v>
      </c>
      <c r="E157" t="s">
        <v>26</v>
      </c>
      <c r="F157" t="s">
        <v>408</v>
      </c>
      <c r="G157">
        <v>4</v>
      </c>
      <c r="H157" t="s">
        <v>106</v>
      </c>
      <c r="I157" t="s">
        <v>407</v>
      </c>
      <c r="J157">
        <v>9</v>
      </c>
      <c r="K157">
        <v>6</v>
      </c>
      <c r="L157">
        <v>7</v>
      </c>
      <c r="M157">
        <v>5</v>
      </c>
      <c r="N157">
        <v>5</v>
      </c>
      <c r="O157">
        <v>5</v>
      </c>
      <c r="P157">
        <v>8</v>
      </c>
      <c r="Q157">
        <v>3</v>
      </c>
      <c r="R157">
        <v>6</v>
      </c>
      <c r="S157">
        <v>54</v>
      </c>
      <c r="T157">
        <v>15.55</v>
      </c>
      <c r="U157">
        <v>38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1</v>
      </c>
      <c r="AG157">
        <v>0</v>
      </c>
      <c r="AH157">
        <v>0</v>
      </c>
      <c r="AI157">
        <v>2</v>
      </c>
      <c r="AJ157">
        <v>1</v>
      </c>
      <c r="AK157">
        <v>1</v>
      </c>
      <c r="AL157">
        <v>2</v>
      </c>
      <c r="AM157">
        <v>0</v>
      </c>
      <c r="AN157">
        <v>2</v>
      </c>
      <c r="AO157">
        <v>9</v>
      </c>
      <c r="AY157">
        <f>SUM(Upload_Indiv[[#This Row],[Bird1]:[Bird9]])</f>
        <v>0</v>
      </c>
      <c r="BI157">
        <f>SUM(Upload_Indiv[[#This Row],[Eagle1]:[Eagle9]])</f>
        <v>0</v>
      </c>
    </row>
    <row r="158" spans="1:61" x14ac:dyDescent="0.25">
      <c r="A158" t="s">
        <v>546</v>
      </c>
      <c r="B158" t="s">
        <v>545</v>
      </c>
      <c r="C158" s="119">
        <v>45859</v>
      </c>
      <c r="D158" t="s">
        <v>26</v>
      </c>
      <c r="E158" t="s">
        <v>24</v>
      </c>
      <c r="F158" t="s">
        <v>408</v>
      </c>
      <c r="G158">
        <v>1</v>
      </c>
      <c r="H158" t="s">
        <v>146</v>
      </c>
      <c r="I158" t="s">
        <v>407</v>
      </c>
      <c r="J158">
        <v>5</v>
      </c>
      <c r="K158">
        <v>5</v>
      </c>
      <c r="L158">
        <v>4</v>
      </c>
      <c r="M158">
        <v>3</v>
      </c>
      <c r="N158">
        <v>5</v>
      </c>
      <c r="O158">
        <v>6</v>
      </c>
      <c r="P158">
        <v>7</v>
      </c>
      <c r="Q158">
        <v>3</v>
      </c>
      <c r="R158">
        <v>4</v>
      </c>
      <c r="S158">
        <v>42</v>
      </c>
      <c r="T158">
        <v>3.65</v>
      </c>
      <c r="U158">
        <v>38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1</v>
      </c>
      <c r="AF158">
        <v>1</v>
      </c>
      <c r="AG158">
        <v>2</v>
      </c>
      <c r="AH158">
        <v>2</v>
      </c>
      <c r="AI158">
        <v>0</v>
      </c>
      <c r="AJ158">
        <v>0</v>
      </c>
      <c r="AK158">
        <v>2</v>
      </c>
      <c r="AL158">
        <v>2</v>
      </c>
      <c r="AM158">
        <v>1</v>
      </c>
      <c r="AN158">
        <v>2</v>
      </c>
      <c r="AO158">
        <v>13</v>
      </c>
      <c r="AY158">
        <f>SUM(Upload_Indiv[[#This Row],[Bird1]:[Bird9]])</f>
        <v>0</v>
      </c>
      <c r="BI158">
        <f>SUM(Upload_Indiv[[#This Row],[Eagle1]:[Eagle9]])</f>
        <v>0</v>
      </c>
    </row>
    <row r="159" spans="1:61" x14ac:dyDescent="0.25">
      <c r="A159" t="s">
        <v>546</v>
      </c>
      <c r="B159" t="s">
        <v>545</v>
      </c>
      <c r="C159" s="119">
        <v>45859</v>
      </c>
      <c r="D159" t="s">
        <v>26</v>
      </c>
      <c r="E159" t="s">
        <v>24</v>
      </c>
      <c r="F159" t="s">
        <v>408</v>
      </c>
      <c r="G159">
        <v>2</v>
      </c>
      <c r="H159" t="s">
        <v>311</v>
      </c>
      <c r="I159" t="s">
        <v>407</v>
      </c>
      <c r="J159">
        <v>4</v>
      </c>
      <c r="K159">
        <v>5</v>
      </c>
      <c r="L159">
        <v>5</v>
      </c>
      <c r="M159">
        <v>4</v>
      </c>
      <c r="N159">
        <v>5</v>
      </c>
      <c r="O159">
        <v>4</v>
      </c>
      <c r="P159">
        <v>6</v>
      </c>
      <c r="Q159">
        <v>4</v>
      </c>
      <c r="R159">
        <v>5</v>
      </c>
      <c r="S159">
        <v>42</v>
      </c>
      <c r="T159">
        <v>4.03</v>
      </c>
      <c r="U159">
        <v>38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2</v>
      </c>
      <c r="AF159">
        <v>2</v>
      </c>
      <c r="AG159">
        <v>0</v>
      </c>
      <c r="AH159">
        <v>0</v>
      </c>
      <c r="AI159">
        <v>2</v>
      </c>
      <c r="AJ159">
        <v>0</v>
      </c>
      <c r="AK159">
        <v>0</v>
      </c>
      <c r="AL159">
        <v>2</v>
      </c>
      <c r="AM159">
        <v>0</v>
      </c>
      <c r="AN159">
        <v>0</v>
      </c>
      <c r="AO159">
        <v>8</v>
      </c>
      <c r="AY159">
        <f>SUM(Upload_Indiv[[#This Row],[Bird1]:[Bird9]])</f>
        <v>0</v>
      </c>
      <c r="BI159">
        <f>SUM(Upload_Indiv[[#This Row],[Eagle1]:[Eagle9]])</f>
        <v>0</v>
      </c>
    </row>
    <row r="160" spans="1:61" x14ac:dyDescent="0.25">
      <c r="A160" t="s">
        <v>546</v>
      </c>
      <c r="B160" t="s">
        <v>545</v>
      </c>
      <c r="C160" s="119">
        <v>45859</v>
      </c>
      <c r="D160" t="s">
        <v>26</v>
      </c>
      <c r="E160" t="s">
        <v>24</v>
      </c>
      <c r="F160" t="s">
        <v>408</v>
      </c>
      <c r="G160">
        <v>3</v>
      </c>
      <c r="H160" t="s">
        <v>309</v>
      </c>
      <c r="I160" t="s">
        <v>407</v>
      </c>
      <c r="J160">
        <v>7</v>
      </c>
      <c r="K160">
        <v>7</v>
      </c>
      <c r="L160">
        <v>7</v>
      </c>
      <c r="M160">
        <v>5</v>
      </c>
      <c r="N160">
        <v>5</v>
      </c>
      <c r="O160">
        <v>5</v>
      </c>
      <c r="P160">
        <v>8</v>
      </c>
      <c r="Q160">
        <v>4</v>
      </c>
      <c r="R160">
        <v>6</v>
      </c>
      <c r="S160">
        <v>54</v>
      </c>
      <c r="T160">
        <v>14.78</v>
      </c>
      <c r="U160">
        <v>39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1</v>
      </c>
      <c r="AB160">
        <v>0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1</v>
      </c>
      <c r="AI160">
        <v>0</v>
      </c>
      <c r="AJ160">
        <v>2</v>
      </c>
      <c r="AK160">
        <v>0</v>
      </c>
      <c r="AL160">
        <v>0</v>
      </c>
      <c r="AM160">
        <v>2</v>
      </c>
      <c r="AN160">
        <v>0</v>
      </c>
      <c r="AO160">
        <v>5</v>
      </c>
      <c r="AY160">
        <f>SUM(Upload_Indiv[[#This Row],[Bird1]:[Bird9]])</f>
        <v>0</v>
      </c>
      <c r="BI160">
        <f>SUM(Upload_Indiv[[#This Row],[Eagle1]:[Eagle9]])</f>
        <v>0</v>
      </c>
    </row>
    <row r="161" spans="1:61" x14ac:dyDescent="0.25">
      <c r="A161" t="s">
        <v>546</v>
      </c>
      <c r="B161" t="s">
        <v>545</v>
      </c>
      <c r="C161" s="119">
        <v>45859</v>
      </c>
      <c r="D161" t="s">
        <v>26</v>
      </c>
      <c r="E161" t="s">
        <v>24</v>
      </c>
      <c r="F161" t="s">
        <v>408</v>
      </c>
      <c r="G161">
        <v>4</v>
      </c>
      <c r="H161" t="s">
        <v>165</v>
      </c>
      <c r="I161" t="s">
        <v>407</v>
      </c>
      <c r="J161">
        <v>6</v>
      </c>
      <c r="K161">
        <v>6</v>
      </c>
      <c r="L161">
        <v>7</v>
      </c>
      <c r="M161">
        <v>4</v>
      </c>
      <c r="N161">
        <v>8</v>
      </c>
      <c r="O161">
        <v>6</v>
      </c>
      <c r="P161">
        <v>8</v>
      </c>
      <c r="Q161">
        <v>7</v>
      </c>
      <c r="R161">
        <v>5</v>
      </c>
      <c r="S161">
        <v>57</v>
      </c>
      <c r="T161">
        <v>18.239999999999998</v>
      </c>
      <c r="U161">
        <v>39</v>
      </c>
      <c r="V161">
        <v>1</v>
      </c>
      <c r="W161">
        <v>0</v>
      </c>
      <c r="X161">
        <v>1</v>
      </c>
      <c r="Y161">
        <v>0</v>
      </c>
      <c r="Z161">
        <v>0</v>
      </c>
      <c r="AA161">
        <v>1</v>
      </c>
      <c r="AB161">
        <v>0</v>
      </c>
      <c r="AC161">
        <v>0</v>
      </c>
      <c r="AD161">
        <v>0</v>
      </c>
      <c r="AE161">
        <v>2</v>
      </c>
      <c r="AF161">
        <v>1</v>
      </c>
      <c r="AG161">
        <v>2</v>
      </c>
      <c r="AH161">
        <v>2</v>
      </c>
      <c r="AI161">
        <v>0</v>
      </c>
      <c r="AJ161">
        <v>1</v>
      </c>
      <c r="AK161">
        <v>1</v>
      </c>
      <c r="AL161">
        <v>0</v>
      </c>
      <c r="AM161">
        <v>2</v>
      </c>
      <c r="AN161">
        <v>0</v>
      </c>
      <c r="AO161">
        <v>11</v>
      </c>
      <c r="AY161">
        <f>SUM(Upload_Indiv[[#This Row],[Bird1]:[Bird9]])</f>
        <v>0</v>
      </c>
      <c r="BI161">
        <f>SUM(Upload_Indiv[[#This Row],[Eagle1]:[Eagle9]])</f>
        <v>0</v>
      </c>
    </row>
    <row r="162" spans="1:61" x14ac:dyDescent="0.25">
      <c r="A162" t="s">
        <v>549</v>
      </c>
      <c r="B162" t="s">
        <v>550</v>
      </c>
      <c r="C162" s="119">
        <v>45866</v>
      </c>
      <c r="D162" t="s">
        <v>26</v>
      </c>
      <c r="E162" t="s">
        <v>30</v>
      </c>
      <c r="F162" t="s">
        <v>406</v>
      </c>
      <c r="G162">
        <v>1</v>
      </c>
      <c r="H162" t="s">
        <v>146</v>
      </c>
      <c r="I162" t="s">
        <v>405</v>
      </c>
      <c r="J162">
        <v>4</v>
      </c>
      <c r="K162">
        <v>3</v>
      </c>
      <c r="L162">
        <v>4</v>
      </c>
      <c r="M162">
        <v>4</v>
      </c>
      <c r="N162">
        <v>4</v>
      </c>
      <c r="O162">
        <v>5</v>
      </c>
      <c r="P162">
        <v>3</v>
      </c>
      <c r="Q162">
        <v>4</v>
      </c>
      <c r="R162">
        <v>0</v>
      </c>
      <c r="S162">
        <v>31</v>
      </c>
      <c r="T162">
        <v>3.84</v>
      </c>
      <c r="U162">
        <v>27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0</v>
      </c>
      <c r="AB162">
        <v>0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2</v>
      </c>
      <c r="AI162">
        <v>2</v>
      </c>
      <c r="AJ162">
        <v>1</v>
      </c>
      <c r="AK162">
        <v>1</v>
      </c>
      <c r="AL162">
        <v>2</v>
      </c>
      <c r="AM162">
        <v>1</v>
      </c>
      <c r="AN162">
        <v>2</v>
      </c>
      <c r="AO162">
        <v>14</v>
      </c>
      <c r="AY162">
        <f>SUM(Upload_Indiv[[#This Row],[Bird1]:[Bird9]])</f>
        <v>0</v>
      </c>
      <c r="BI162">
        <f>SUM(Upload_Indiv[[#This Row],[Eagle1]:[Eagle9]])</f>
        <v>0</v>
      </c>
    </row>
    <row r="163" spans="1:61" x14ac:dyDescent="0.25">
      <c r="A163" t="s">
        <v>549</v>
      </c>
      <c r="B163" t="s">
        <v>550</v>
      </c>
      <c r="C163" s="119">
        <v>45866</v>
      </c>
      <c r="D163" t="s">
        <v>26</v>
      </c>
      <c r="E163" t="s">
        <v>30</v>
      </c>
      <c r="F163" t="s">
        <v>406</v>
      </c>
      <c r="G163">
        <v>2</v>
      </c>
      <c r="H163" t="s">
        <v>100</v>
      </c>
      <c r="I163" t="s">
        <v>405</v>
      </c>
      <c r="J163">
        <v>4</v>
      </c>
      <c r="K163">
        <v>3</v>
      </c>
      <c r="L163">
        <v>4</v>
      </c>
      <c r="M163">
        <v>5</v>
      </c>
      <c r="N163">
        <v>6</v>
      </c>
      <c r="O163">
        <v>4</v>
      </c>
      <c r="P163">
        <v>3</v>
      </c>
      <c r="Q163">
        <v>5</v>
      </c>
      <c r="R163">
        <v>0</v>
      </c>
      <c r="S163">
        <v>34</v>
      </c>
      <c r="T163">
        <v>4.6100000000000003</v>
      </c>
      <c r="U163">
        <v>29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0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2</v>
      </c>
      <c r="AI163">
        <v>0</v>
      </c>
      <c r="AJ163">
        <v>2</v>
      </c>
      <c r="AK163">
        <v>1</v>
      </c>
      <c r="AL163">
        <v>2</v>
      </c>
      <c r="AM163">
        <v>1</v>
      </c>
      <c r="AN163">
        <v>2</v>
      </c>
      <c r="AO163">
        <v>13</v>
      </c>
      <c r="AU163">
        <v>1</v>
      </c>
      <c r="AY163">
        <f>SUM(Upload_Indiv[[#This Row],[Bird1]:[Bird9]])</f>
        <v>1</v>
      </c>
      <c r="BI163">
        <f>SUM(Upload_Indiv[[#This Row],[Eagle1]:[Eagle9]])</f>
        <v>0</v>
      </c>
    </row>
    <row r="164" spans="1:61" x14ac:dyDescent="0.25">
      <c r="A164" t="s">
        <v>549</v>
      </c>
      <c r="B164" t="s">
        <v>550</v>
      </c>
      <c r="C164" s="119">
        <v>45866</v>
      </c>
      <c r="D164" t="s">
        <v>26</v>
      </c>
      <c r="E164" t="s">
        <v>30</v>
      </c>
      <c r="F164" t="s">
        <v>406</v>
      </c>
      <c r="G164">
        <v>3</v>
      </c>
      <c r="H164" t="s">
        <v>309</v>
      </c>
      <c r="I164" t="s">
        <v>405</v>
      </c>
      <c r="J164">
        <v>4</v>
      </c>
      <c r="K164">
        <v>4</v>
      </c>
      <c r="L164">
        <v>5</v>
      </c>
      <c r="M164">
        <v>8</v>
      </c>
      <c r="N164">
        <v>6</v>
      </c>
      <c r="O164">
        <v>7</v>
      </c>
      <c r="P164">
        <v>3</v>
      </c>
      <c r="Q164">
        <v>6</v>
      </c>
      <c r="R164">
        <v>0</v>
      </c>
      <c r="S164">
        <v>43</v>
      </c>
      <c r="T164">
        <v>14.59</v>
      </c>
      <c r="U164">
        <v>28</v>
      </c>
      <c r="V164">
        <v>1</v>
      </c>
      <c r="W164">
        <v>2</v>
      </c>
      <c r="X164">
        <v>1</v>
      </c>
      <c r="Y164">
        <v>2</v>
      </c>
      <c r="Z164">
        <v>2</v>
      </c>
      <c r="AA164">
        <v>2</v>
      </c>
      <c r="AB164">
        <v>1</v>
      </c>
      <c r="AC164">
        <v>2</v>
      </c>
      <c r="AD164">
        <v>2</v>
      </c>
      <c r="AE164">
        <v>2</v>
      </c>
      <c r="AF164">
        <v>2</v>
      </c>
      <c r="AG164">
        <v>1</v>
      </c>
      <c r="AH164">
        <v>0</v>
      </c>
      <c r="AI164">
        <v>1</v>
      </c>
      <c r="AJ164">
        <v>1</v>
      </c>
      <c r="AK164">
        <v>2</v>
      </c>
      <c r="AL164">
        <v>2</v>
      </c>
      <c r="AM164">
        <v>1</v>
      </c>
      <c r="AN164">
        <v>2</v>
      </c>
      <c r="AO164">
        <v>14</v>
      </c>
      <c r="AY164">
        <f>SUM(Upload_Indiv[[#This Row],[Bird1]:[Bird9]])</f>
        <v>0</v>
      </c>
      <c r="BI164">
        <f>SUM(Upload_Indiv[[#This Row],[Eagle1]:[Eagle9]])</f>
        <v>0</v>
      </c>
    </row>
    <row r="165" spans="1:61" x14ac:dyDescent="0.25">
      <c r="A165" t="s">
        <v>549</v>
      </c>
      <c r="B165" t="s">
        <v>550</v>
      </c>
      <c r="C165" s="119">
        <v>45866</v>
      </c>
      <c r="D165" t="s">
        <v>26</v>
      </c>
      <c r="E165" t="s">
        <v>30</v>
      </c>
      <c r="F165" t="s">
        <v>406</v>
      </c>
      <c r="G165">
        <v>4</v>
      </c>
      <c r="H165" t="s">
        <v>165</v>
      </c>
      <c r="I165" t="s">
        <v>405</v>
      </c>
      <c r="J165">
        <v>6</v>
      </c>
      <c r="K165">
        <v>5</v>
      </c>
      <c r="L165">
        <v>5</v>
      </c>
      <c r="M165">
        <v>8</v>
      </c>
      <c r="N165">
        <v>4</v>
      </c>
      <c r="O165">
        <v>6</v>
      </c>
      <c r="P165">
        <v>4</v>
      </c>
      <c r="Q165">
        <v>6</v>
      </c>
      <c r="R165">
        <v>0</v>
      </c>
      <c r="S165">
        <v>44</v>
      </c>
      <c r="T165">
        <v>18.62</v>
      </c>
      <c r="U165">
        <v>25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3</v>
      </c>
      <c r="AD165">
        <v>2</v>
      </c>
      <c r="AE165">
        <v>1</v>
      </c>
      <c r="AF165">
        <v>1</v>
      </c>
      <c r="AG165">
        <v>2</v>
      </c>
      <c r="AH165">
        <v>0</v>
      </c>
      <c r="AI165">
        <v>2</v>
      </c>
      <c r="AJ165">
        <v>2</v>
      </c>
      <c r="AK165">
        <v>2</v>
      </c>
      <c r="AL165">
        <v>2</v>
      </c>
      <c r="AM165">
        <v>1</v>
      </c>
      <c r="AN165">
        <v>2</v>
      </c>
      <c r="AO165">
        <v>15</v>
      </c>
      <c r="AY165">
        <f>SUM(Upload_Indiv[[#This Row],[Bird1]:[Bird9]])</f>
        <v>0</v>
      </c>
      <c r="BI165">
        <f>SUM(Upload_Indiv[[#This Row],[Eagle1]:[Eagle9]])</f>
        <v>0</v>
      </c>
    </row>
    <row r="166" spans="1:61" x14ac:dyDescent="0.25">
      <c r="A166" t="s">
        <v>549</v>
      </c>
      <c r="B166" t="s">
        <v>550</v>
      </c>
      <c r="C166" s="119">
        <v>45866</v>
      </c>
      <c r="D166" t="s">
        <v>30</v>
      </c>
      <c r="E166" t="s">
        <v>26</v>
      </c>
      <c r="F166" t="s">
        <v>406</v>
      </c>
      <c r="G166">
        <v>1</v>
      </c>
      <c r="H166" t="s">
        <v>323</v>
      </c>
      <c r="I166" t="s">
        <v>405</v>
      </c>
      <c r="J166">
        <v>4</v>
      </c>
      <c r="K166">
        <v>3</v>
      </c>
      <c r="L166">
        <v>4</v>
      </c>
      <c r="M166">
        <v>5</v>
      </c>
      <c r="N166">
        <v>4</v>
      </c>
      <c r="O166">
        <v>5</v>
      </c>
      <c r="P166">
        <v>3</v>
      </c>
      <c r="Q166">
        <v>5</v>
      </c>
      <c r="R166">
        <v>0</v>
      </c>
      <c r="S166">
        <v>33</v>
      </c>
      <c r="T166">
        <v>0</v>
      </c>
      <c r="U166">
        <v>33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1</v>
      </c>
      <c r="AF166">
        <v>1</v>
      </c>
      <c r="AG166">
        <v>1</v>
      </c>
      <c r="AH166">
        <v>0</v>
      </c>
      <c r="AI166">
        <v>0</v>
      </c>
      <c r="AJ166">
        <v>1</v>
      </c>
      <c r="AK166">
        <v>1</v>
      </c>
      <c r="AL166">
        <v>0</v>
      </c>
      <c r="AM166">
        <v>1</v>
      </c>
      <c r="AN166">
        <v>0</v>
      </c>
      <c r="AO166">
        <v>6</v>
      </c>
      <c r="AY166">
        <f>SUM(Upload_Indiv[[#This Row],[Bird1]:[Bird9]])</f>
        <v>0</v>
      </c>
      <c r="BI166">
        <f>SUM(Upload_Indiv[[#This Row],[Eagle1]:[Eagle9]])</f>
        <v>0</v>
      </c>
    </row>
    <row r="167" spans="1:61" x14ac:dyDescent="0.25">
      <c r="A167" t="s">
        <v>549</v>
      </c>
      <c r="B167" t="s">
        <v>550</v>
      </c>
      <c r="C167" s="119">
        <v>45866</v>
      </c>
      <c r="D167" t="s">
        <v>30</v>
      </c>
      <c r="E167" t="s">
        <v>26</v>
      </c>
      <c r="F167" t="s">
        <v>406</v>
      </c>
      <c r="G167">
        <v>2</v>
      </c>
      <c r="H167" t="s">
        <v>324</v>
      </c>
      <c r="I167" t="s">
        <v>405</v>
      </c>
      <c r="J167">
        <v>4</v>
      </c>
      <c r="K167">
        <v>3</v>
      </c>
      <c r="L167">
        <v>4</v>
      </c>
      <c r="M167">
        <v>5</v>
      </c>
      <c r="N167">
        <v>4</v>
      </c>
      <c r="O167">
        <v>5</v>
      </c>
      <c r="P167">
        <v>3</v>
      </c>
      <c r="Q167">
        <v>5</v>
      </c>
      <c r="R167">
        <v>0</v>
      </c>
      <c r="S167">
        <v>33</v>
      </c>
      <c r="T167">
        <v>0</v>
      </c>
      <c r="U167">
        <v>33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1</v>
      </c>
      <c r="AF167">
        <v>1</v>
      </c>
      <c r="AG167">
        <v>1</v>
      </c>
      <c r="AH167">
        <v>0</v>
      </c>
      <c r="AI167">
        <v>2</v>
      </c>
      <c r="AJ167">
        <v>0</v>
      </c>
      <c r="AK167">
        <v>1</v>
      </c>
      <c r="AL167">
        <v>0</v>
      </c>
      <c r="AM167">
        <v>1</v>
      </c>
      <c r="AN167">
        <v>0</v>
      </c>
      <c r="AO167">
        <v>7</v>
      </c>
      <c r="AY167">
        <f>SUM(Upload_Indiv[[#This Row],[Bird1]:[Bird9]])</f>
        <v>0</v>
      </c>
      <c r="BI167">
        <f>SUM(Upload_Indiv[[#This Row],[Eagle1]:[Eagle9]])</f>
        <v>0</v>
      </c>
    </row>
    <row r="168" spans="1:61" x14ac:dyDescent="0.25">
      <c r="A168" t="s">
        <v>549</v>
      </c>
      <c r="B168" t="s">
        <v>550</v>
      </c>
      <c r="C168" s="119">
        <v>45866</v>
      </c>
      <c r="D168" t="s">
        <v>30</v>
      </c>
      <c r="E168" t="s">
        <v>26</v>
      </c>
      <c r="F168" t="s">
        <v>406</v>
      </c>
      <c r="G168">
        <v>3</v>
      </c>
      <c r="H168" t="s">
        <v>325</v>
      </c>
      <c r="I168" t="s">
        <v>405</v>
      </c>
      <c r="J168">
        <v>4</v>
      </c>
      <c r="K168">
        <v>3</v>
      </c>
      <c r="L168">
        <v>4</v>
      </c>
      <c r="M168">
        <v>5</v>
      </c>
      <c r="N168">
        <v>4</v>
      </c>
      <c r="O168">
        <v>5</v>
      </c>
      <c r="P168">
        <v>3</v>
      </c>
      <c r="Q168">
        <v>5</v>
      </c>
      <c r="R168">
        <v>0</v>
      </c>
      <c r="S168">
        <v>33</v>
      </c>
      <c r="T168">
        <v>0</v>
      </c>
      <c r="U168">
        <v>33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1</v>
      </c>
      <c r="AH168">
        <v>2</v>
      </c>
      <c r="AI168">
        <v>1</v>
      </c>
      <c r="AJ168">
        <v>1</v>
      </c>
      <c r="AK168">
        <v>0</v>
      </c>
      <c r="AL168">
        <v>0</v>
      </c>
      <c r="AM168">
        <v>1</v>
      </c>
      <c r="AN168">
        <v>0</v>
      </c>
      <c r="AO168">
        <v>6</v>
      </c>
      <c r="AY168">
        <f>SUM(Upload_Indiv[[#This Row],[Bird1]:[Bird9]])</f>
        <v>0</v>
      </c>
      <c r="BI168">
        <f>SUM(Upload_Indiv[[#This Row],[Eagle1]:[Eagle9]])</f>
        <v>0</v>
      </c>
    </row>
    <row r="169" spans="1:61" x14ac:dyDescent="0.25">
      <c r="A169" t="s">
        <v>549</v>
      </c>
      <c r="B169" t="s">
        <v>550</v>
      </c>
      <c r="C169" s="119">
        <v>45866</v>
      </c>
      <c r="D169" t="s">
        <v>30</v>
      </c>
      <c r="E169" t="s">
        <v>26</v>
      </c>
      <c r="F169" t="s">
        <v>406</v>
      </c>
      <c r="G169">
        <v>4</v>
      </c>
      <c r="H169" t="s">
        <v>326</v>
      </c>
      <c r="I169" t="s">
        <v>405</v>
      </c>
      <c r="J169">
        <v>4</v>
      </c>
      <c r="K169">
        <v>3</v>
      </c>
      <c r="L169">
        <v>4</v>
      </c>
      <c r="M169">
        <v>5</v>
      </c>
      <c r="N169">
        <v>4</v>
      </c>
      <c r="O169">
        <v>5</v>
      </c>
      <c r="P169">
        <v>3</v>
      </c>
      <c r="Q169">
        <v>5</v>
      </c>
      <c r="R169">
        <v>0</v>
      </c>
      <c r="S169">
        <v>33</v>
      </c>
      <c r="T169">
        <v>0</v>
      </c>
      <c r="U169">
        <v>33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1</v>
      </c>
      <c r="AF169">
        <v>1</v>
      </c>
      <c r="AG169">
        <v>0</v>
      </c>
      <c r="AH169">
        <v>2</v>
      </c>
      <c r="AI169">
        <v>0</v>
      </c>
      <c r="AJ169">
        <v>0</v>
      </c>
      <c r="AK169">
        <v>0</v>
      </c>
      <c r="AL169">
        <v>0</v>
      </c>
      <c r="AM169">
        <v>1</v>
      </c>
      <c r="AN169">
        <v>0</v>
      </c>
      <c r="AO169">
        <v>5</v>
      </c>
      <c r="AY169">
        <f>SUM(Upload_Indiv[[#This Row],[Bird1]:[Bird9]])</f>
        <v>0</v>
      </c>
      <c r="BI169">
        <f>SUM(Upload_Indiv[[#This Row],[Eagle1]:[Eagle9]])</f>
        <v>0</v>
      </c>
    </row>
    <row r="170" spans="1:61" x14ac:dyDescent="0.25">
      <c r="A170" t="s">
        <v>551</v>
      </c>
      <c r="B170" t="s">
        <v>550</v>
      </c>
      <c r="C170" s="119">
        <v>45866</v>
      </c>
      <c r="D170" t="s">
        <v>20</v>
      </c>
      <c r="E170" t="s">
        <v>18</v>
      </c>
      <c r="F170" t="s">
        <v>408</v>
      </c>
      <c r="G170">
        <v>1</v>
      </c>
      <c r="H170" t="s">
        <v>153</v>
      </c>
      <c r="I170" t="s">
        <v>405</v>
      </c>
      <c r="J170">
        <v>5</v>
      </c>
      <c r="K170">
        <v>5</v>
      </c>
      <c r="L170">
        <v>5</v>
      </c>
      <c r="M170">
        <v>3</v>
      </c>
      <c r="N170">
        <v>4</v>
      </c>
      <c r="O170">
        <v>7</v>
      </c>
      <c r="P170">
        <v>0</v>
      </c>
      <c r="Q170">
        <v>0</v>
      </c>
      <c r="R170">
        <v>0</v>
      </c>
      <c r="S170">
        <v>29</v>
      </c>
      <c r="T170">
        <v>8.06</v>
      </c>
      <c r="U170">
        <v>21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1</v>
      </c>
      <c r="AF170">
        <v>1</v>
      </c>
      <c r="AG170">
        <v>1</v>
      </c>
      <c r="AH170">
        <v>0</v>
      </c>
      <c r="AI170">
        <v>2</v>
      </c>
      <c r="AJ170">
        <v>0</v>
      </c>
      <c r="AK170">
        <v>1</v>
      </c>
      <c r="AL170">
        <v>1</v>
      </c>
      <c r="AM170">
        <v>1</v>
      </c>
      <c r="AN170">
        <v>0</v>
      </c>
      <c r="AO170">
        <v>8</v>
      </c>
      <c r="AY170">
        <f>SUM(Upload_Indiv[[#This Row],[Bird1]:[Bird9]])</f>
        <v>0</v>
      </c>
      <c r="BI170">
        <f>SUM(Upload_Indiv[[#This Row],[Eagle1]:[Eagle9]])</f>
        <v>0</v>
      </c>
    </row>
    <row r="171" spans="1:61" x14ac:dyDescent="0.25">
      <c r="A171" t="s">
        <v>551</v>
      </c>
      <c r="B171" t="s">
        <v>550</v>
      </c>
      <c r="C171" s="119">
        <v>45866</v>
      </c>
      <c r="D171" t="s">
        <v>20</v>
      </c>
      <c r="E171" t="s">
        <v>18</v>
      </c>
      <c r="F171" t="s">
        <v>408</v>
      </c>
      <c r="G171">
        <v>2</v>
      </c>
      <c r="H171" t="s">
        <v>283</v>
      </c>
      <c r="I171" t="s">
        <v>405</v>
      </c>
      <c r="J171">
        <v>5</v>
      </c>
      <c r="K171">
        <v>5</v>
      </c>
      <c r="L171">
        <v>6</v>
      </c>
      <c r="M171">
        <v>4</v>
      </c>
      <c r="N171">
        <v>6</v>
      </c>
      <c r="O171">
        <v>5</v>
      </c>
      <c r="P171">
        <v>5</v>
      </c>
      <c r="Q171">
        <v>0</v>
      </c>
      <c r="R171">
        <v>0</v>
      </c>
      <c r="S171">
        <v>36</v>
      </c>
      <c r="T171">
        <v>8.06</v>
      </c>
      <c r="U171">
        <v>28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1</v>
      </c>
      <c r="AG171">
        <v>0</v>
      </c>
      <c r="AH171">
        <v>0</v>
      </c>
      <c r="AI171">
        <v>1</v>
      </c>
      <c r="AJ171">
        <v>0</v>
      </c>
      <c r="AK171">
        <v>2</v>
      </c>
      <c r="AL171">
        <v>1</v>
      </c>
      <c r="AM171">
        <v>1</v>
      </c>
      <c r="AN171">
        <v>0</v>
      </c>
      <c r="AO171">
        <v>6</v>
      </c>
      <c r="AY171">
        <f>SUM(Upload_Indiv[[#This Row],[Bird1]:[Bird9]])</f>
        <v>0</v>
      </c>
      <c r="BI171">
        <f>SUM(Upload_Indiv[[#This Row],[Eagle1]:[Eagle9]])</f>
        <v>0</v>
      </c>
    </row>
    <row r="172" spans="1:61" x14ac:dyDescent="0.25">
      <c r="A172" t="s">
        <v>551</v>
      </c>
      <c r="B172" t="s">
        <v>550</v>
      </c>
      <c r="C172" s="119">
        <v>45866</v>
      </c>
      <c r="D172" t="s">
        <v>20</v>
      </c>
      <c r="E172" t="s">
        <v>18</v>
      </c>
      <c r="F172" t="s">
        <v>408</v>
      </c>
      <c r="G172">
        <v>3</v>
      </c>
      <c r="H172" t="s">
        <v>163</v>
      </c>
      <c r="I172" t="s">
        <v>405</v>
      </c>
      <c r="J172">
        <v>6</v>
      </c>
      <c r="K172">
        <v>4</v>
      </c>
      <c r="L172">
        <v>6</v>
      </c>
      <c r="M172">
        <v>4</v>
      </c>
      <c r="N172">
        <v>4</v>
      </c>
      <c r="O172">
        <v>6</v>
      </c>
      <c r="P172">
        <v>0</v>
      </c>
      <c r="Q172">
        <v>0</v>
      </c>
      <c r="R172">
        <v>0</v>
      </c>
      <c r="S172">
        <v>30</v>
      </c>
      <c r="T172">
        <v>9.02</v>
      </c>
      <c r="U172">
        <v>21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2</v>
      </c>
      <c r="AG172">
        <v>0</v>
      </c>
      <c r="AH172">
        <v>0</v>
      </c>
      <c r="AI172">
        <v>2</v>
      </c>
      <c r="AJ172">
        <v>0</v>
      </c>
      <c r="AK172">
        <v>1</v>
      </c>
      <c r="AL172">
        <v>1</v>
      </c>
      <c r="AM172">
        <v>1</v>
      </c>
      <c r="AN172">
        <v>0</v>
      </c>
      <c r="AO172">
        <v>7</v>
      </c>
      <c r="AQ172">
        <v>1</v>
      </c>
      <c r="AY172">
        <f>SUM(Upload_Indiv[[#This Row],[Bird1]:[Bird9]])</f>
        <v>1</v>
      </c>
      <c r="BI172">
        <f>SUM(Upload_Indiv[[#This Row],[Eagle1]:[Eagle9]])</f>
        <v>0</v>
      </c>
    </row>
    <row r="173" spans="1:61" x14ac:dyDescent="0.25">
      <c r="A173" t="s">
        <v>551</v>
      </c>
      <c r="B173" t="s">
        <v>550</v>
      </c>
      <c r="C173" s="119">
        <v>45866</v>
      </c>
      <c r="D173" t="s">
        <v>20</v>
      </c>
      <c r="E173" t="s">
        <v>18</v>
      </c>
      <c r="F173" t="s">
        <v>408</v>
      </c>
      <c r="G173">
        <v>4</v>
      </c>
      <c r="H173" t="s">
        <v>233</v>
      </c>
      <c r="I173" t="s">
        <v>405</v>
      </c>
      <c r="J173">
        <v>9</v>
      </c>
      <c r="K173">
        <v>6</v>
      </c>
      <c r="L173">
        <v>5</v>
      </c>
      <c r="M173">
        <v>7</v>
      </c>
      <c r="N173">
        <v>7</v>
      </c>
      <c r="O173">
        <v>8</v>
      </c>
      <c r="P173">
        <v>0</v>
      </c>
      <c r="Q173">
        <v>0</v>
      </c>
      <c r="R173">
        <v>0</v>
      </c>
      <c r="S173">
        <v>42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10</v>
      </c>
      <c r="AY173">
        <f>SUM(Upload_Indiv[[#This Row],[Bird1]:[Bird9]])</f>
        <v>0</v>
      </c>
      <c r="BI173">
        <f>SUM(Upload_Indiv[[#This Row],[Eagle1]:[Eagle9]])</f>
        <v>0</v>
      </c>
    </row>
    <row r="174" spans="1:61" x14ac:dyDescent="0.25">
      <c r="A174" t="s">
        <v>551</v>
      </c>
      <c r="B174" t="s">
        <v>550</v>
      </c>
      <c r="C174" s="119">
        <v>45866</v>
      </c>
      <c r="D174" t="s">
        <v>18</v>
      </c>
      <c r="E174" t="s">
        <v>20</v>
      </c>
      <c r="F174" t="s">
        <v>408</v>
      </c>
      <c r="G174">
        <v>1</v>
      </c>
      <c r="H174" t="s">
        <v>258</v>
      </c>
      <c r="I174" t="s">
        <v>405</v>
      </c>
      <c r="J174">
        <v>5</v>
      </c>
      <c r="K174">
        <v>5</v>
      </c>
      <c r="L174">
        <v>5</v>
      </c>
      <c r="M174">
        <v>2</v>
      </c>
      <c r="N174">
        <v>7</v>
      </c>
      <c r="O174">
        <v>4</v>
      </c>
      <c r="P174">
        <v>0</v>
      </c>
      <c r="Q174">
        <v>0</v>
      </c>
      <c r="R174">
        <v>0</v>
      </c>
      <c r="S174">
        <v>28</v>
      </c>
      <c r="T174">
        <v>9.41</v>
      </c>
      <c r="U174">
        <v>19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0</v>
      </c>
      <c r="AC174">
        <v>0</v>
      </c>
      <c r="AD174">
        <v>0</v>
      </c>
      <c r="AE174">
        <v>1</v>
      </c>
      <c r="AF174">
        <v>1</v>
      </c>
      <c r="AG174">
        <v>1</v>
      </c>
      <c r="AH174">
        <v>2</v>
      </c>
      <c r="AI174">
        <v>0</v>
      </c>
      <c r="AJ174">
        <v>2</v>
      </c>
      <c r="AK174">
        <v>1</v>
      </c>
      <c r="AL174">
        <v>1</v>
      </c>
      <c r="AM174">
        <v>1</v>
      </c>
      <c r="AN174">
        <v>2</v>
      </c>
      <c r="AO174">
        <v>12</v>
      </c>
      <c r="AS174">
        <v>1</v>
      </c>
      <c r="AY174">
        <f>SUM(Upload_Indiv[[#This Row],[Bird1]:[Bird9]])</f>
        <v>1</v>
      </c>
      <c r="BI174">
        <f>SUM(Upload_Indiv[[#This Row],[Eagle1]:[Eagle9]])</f>
        <v>0</v>
      </c>
    </row>
    <row r="175" spans="1:61" x14ac:dyDescent="0.25">
      <c r="A175" t="s">
        <v>551</v>
      </c>
      <c r="B175" t="s">
        <v>550</v>
      </c>
      <c r="C175" s="119">
        <v>45866</v>
      </c>
      <c r="D175" t="s">
        <v>18</v>
      </c>
      <c r="E175" t="s">
        <v>20</v>
      </c>
      <c r="F175" t="s">
        <v>408</v>
      </c>
      <c r="G175">
        <v>2</v>
      </c>
      <c r="H175" t="s">
        <v>276</v>
      </c>
      <c r="I175" t="s">
        <v>405</v>
      </c>
      <c r="J175">
        <v>5</v>
      </c>
      <c r="K175">
        <v>6</v>
      </c>
      <c r="L175">
        <v>6</v>
      </c>
      <c r="M175">
        <v>4</v>
      </c>
      <c r="N175">
        <v>6</v>
      </c>
      <c r="O175">
        <v>5</v>
      </c>
      <c r="P175">
        <v>7</v>
      </c>
      <c r="Q175">
        <v>0</v>
      </c>
      <c r="R175">
        <v>0</v>
      </c>
      <c r="S175">
        <v>39</v>
      </c>
      <c r="T175">
        <v>16.13</v>
      </c>
      <c r="U175">
        <v>23</v>
      </c>
      <c r="V175">
        <v>1</v>
      </c>
      <c r="W175">
        <v>1</v>
      </c>
      <c r="X175">
        <v>1</v>
      </c>
      <c r="Y175">
        <v>1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2</v>
      </c>
      <c r="AF175">
        <v>1</v>
      </c>
      <c r="AG175">
        <v>2</v>
      </c>
      <c r="AH175">
        <v>2</v>
      </c>
      <c r="AI175">
        <v>1</v>
      </c>
      <c r="AJ175">
        <v>2</v>
      </c>
      <c r="AK175">
        <v>0</v>
      </c>
      <c r="AL175">
        <v>1</v>
      </c>
      <c r="AM175">
        <v>1</v>
      </c>
      <c r="AN175">
        <v>2</v>
      </c>
      <c r="AO175">
        <v>14</v>
      </c>
      <c r="AY175">
        <f>SUM(Upload_Indiv[[#This Row],[Bird1]:[Bird9]])</f>
        <v>0</v>
      </c>
      <c r="BI175">
        <f>SUM(Upload_Indiv[[#This Row],[Eagle1]:[Eagle9]])</f>
        <v>0</v>
      </c>
    </row>
    <row r="176" spans="1:61" x14ac:dyDescent="0.25">
      <c r="A176" t="s">
        <v>551</v>
      </c>
      <c r="B176" t="s">
        <v>550</v>
      </c>
      <c r="C176" s="119">
        <v>45866</v>
      </c>
      <c r="D176" t="s">
        <v>18</v>
      </c>
      <c r="E176" t="s">
        <v>20</v>
      </c>
      <c r="F176" t="s">
        <v>408</v>
      </c>
      <c r="G176">
        <v>3</v>
      </c>
      <c r="H176" t="s">
        <v>278</v>
      </c>
      <c r="I176" t="s">
        <v>405</v>
      </c>
      <c r="J176">
        <v>6</v>
      </c>
      <c r="K176">
        <v>7</v>
      </c>
      <c r="L176">
        <v>6</v>
      </c>
      <c r="M176">
        <v>4</v>
      </c>
      <c r="N176">
        <v>6</v>
      </c>
      <c r="O176">
        <v>6</v>
      </c>
      <c r="P176">
        <v>0</v>
      </c>
      <c r="Q176">
        <v>0</v>
      </c>
      <c r="R176">
        <v>0</v>
      </c>
      <c r="S176">
        <v>35</v>
      </c>
      <c r="T176">
        <v>17.66</v>
      </c>
      <c r="U176">
        <v>17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2</v>
      </c>
      <c r="AF176">
        <v>0</v>
      </c>
      <c r="AG176">
        <v>2</v>
      </c>
      <c r="AH176">
        <v>2</v>
      </c>
      <c r="AI176">
        <v>0</v>
      </c>
      <c r="AJ176">
        <v>2</v>
      </c>
      <c r="AK176">
        <v>1</v>
      </c>
      <c r="AL176">
        <v>1</v>
      </c>
      <c r="AM176">
        <v>1</v>
      </c>
      <c r="AN176">
        <v>2</v>
      </c>
      <c r="AO176">
        <v>13</v>
      </c>
      <c r="AY176">
        <f>SUM(Upload_Indiv[[#This Row],[Bird1]:[Bird9]])</f>
        <v>0</v>
      </c>
      <c r="BI176">
        <f>SUM(Upload_Indiv[[#This Row],[Eagle1]:[Eagle9]])</f>
        <v>0</v>
      </c>
    </row>
    <row r="177" spans="1:61" x14ac:dyDescent="0.25">
      <c r="A177" t="s">
        <v>551</v>
      </c>
      <c r="B177" t="s">
        <v>550</v>
      </c>
      <c r="C177" s="119">
        <v>45866</v>
      </c>
      <c r="D177" t="s">
        <v>18</v>
      </c>
      <c r="E177" t="s">
        <v>20</v>
      </c>
      <c r="F177" t="s">
        <v>408</v>
      </c>
      <c r="G177">
        <v>4</v>
      </c>
      <c r="H177" t="s">
        <v>246</v>
      </c>
      <c r="I177" t="s">
        <v>405</v>
      </c>
      <c r="J177">
        <v>6</v>
      </c>
      <c r="K177">
        <v>6</v>
      </c>
      <c r="L177">
        <v>9</v>
      </c>
      <c r="M177">
        <v>4</v>
      </c>
      <c r="N177">
        <v>9</v>
      </c>
      <c r="O177">
        <v>7</v>
      </c>
      <c r="P177">
        <v>0</v>
      </c>
      <c r="Q177">
        <v>0</v>
      </c>
      <c r="R177">
        <v>0</v>
      </c>
      <c r="S177">
        <v>41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10</v>
      </c>
      <c r="AY177">
        <f>SUM(Upload_Indiv[[#This Row],[Bird1]:[Bird9]])</f>
        <v>0</v>
      </c>
      <c r="BI177">
        <f>SUM(Upload_Indiv[[#This Row],[Eagle1]:[Eagle9]])</f>
        <v>0</v>
      </c>
    </row>
    <row r="178" spans="1:61" x14ac:dyDescent="0.25">
      <c r="A178" t="s">
        <v>552</v>
      </c>
      <c r="B178" t="s">
        <v>550</v>
      </c>
      <c r="C178" s="119">
        <v>45866</v>
      </c>
      <c r="D178" t="s">
        <v>16</v>
      </c>
      <c r="E178" t="s">
        <v>22</v>
      </c>
      <c r="F178" t="s">
        <v>408</v>
      </c>
      <c r="G178">
        <v>1</v>
      </c>
      <c r="H178" t="s">
        <v>485</v>
      </c>
      <c r="I178" t="s">
        <v>407</v>
      </c>
      <c r="J178">
        <v>6</v>
      </c>
      <c r="K178">
        <v>7</v>
      </c>
      <c r="L178">
        <v>5</v>
      </c>
      <c r="M178">
        <v>4</v>
      </c>
      <c r="N178">
        <v>9</v>
      </c>
      <c r="O178">
        <v>6</v>
      </c>
      <c r="P178">
        <v>5</v>
      </c>
      <c r="Q178">
        <v>4</v>
      </c>
      <c r="R178">
        <v>7</v>
      </c>
      <c r="S178">
        <v>53</v>
      </c>
      <c r="T178">
        <v>9.84</v>
      </c>
      <c r="U178">
        <v>43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1</v>
      </c>
      <c r="AB178">
        <v>1</v>
      </c>
      <c r="AC178">
        <v>0</v>
      </c>
      <c r="AD178">
        <v>1</v>
      </c>
      <c r="AE178">
        <v>0</v>
      </c>
      <c r="AF178">
        <v>0</v>
      </c>
      <c r="AG178">
        <v>2</v>
      </c>
      <c r="AH178">
        <v>1</v>
      </c>
      <c r="AI178">
        <v>0</v>
      </c>
      <c r="AJ178">
        <v>1</v>
      </c>
      <c r="AK178">
        <v>2</v>
      </c>
      <c r="AL178">
        <v>1</v>
      </c>
      <c r="AM178">
        <v>2</v>
      </c>
      <c r="AN178">
        <v>0</v>
      </c>
      <c r="AO178">
        <v>9</v>
      </c>
      <c r="AY178">
        <f>SUM(Upload_Indiv[[#This Row],[Bird1]:[Bird9]])</f>
        <v>0</v>
      </c>
      <c r="BI178">
        <f>SUM(Upload_Indiv[[#This Row],[Eagle1]:[Eagle9]])</f>
        <v>0</v>
      </c>
    </row>
    <row r="179" spans="1:61" x14ac:dyDescent="0.25">
      <c r="A179" t="s">
        <v>552</v>
      </c>
      <c r="B179" t="s">
        <v>550</v>
      </c>
      <c r="C179" s="119">
        <v>45866</v>
      </c>
      <c r="D179" t="s">
        <v>16</v>
      </c>
      <c r="E179" t="s">
        <v>22</v>
      </c>
      <c r="F179" t="s">
        <v>408</v>
      </c>
      <c r="G179">
        <v>2</v>
      </c>
      <c r="H179" t="s">
        <v>267</v>
      </c>
      <c r="I179" t="s">
        <v>407</v>
      </c>
      <c r="J179">
        <v>4</v>
      </c>
      <c r="K179">
        <v>8</v>
      </c>
      <c r="L179">
        <v>7</v>
      </c>
      <c r="M179">
        <v>3</v>
      </c>
      <c r="N179">
        <v>6</v>
      </c>
      <c r="O179">
        <v>6</v>
      </c>
      <c r="P179">
        <v>6</v>
      </c>
      <c r="Q179">
        <v>6</v>
      </c>
      <c r="R179">
        <v>6</v>
      </c>
      <c r="S179">
        <v>52</v>
      </c>
      <c r="T179">
        <v>13.44</v>
      </c>
      <c r="U179">
        <v>39</v>
      </c>
      <c r="V179">
        <v>1</v>
      </c>
      <c r="W179">
        <v>0</v>
      </c>
      <c r="X179">
        <v>1</v>
      </c>
      <c r="Y179">
        <v>0</v>
      </c>
      <c r="Z179">
        <v>0</v>
      </c>
      <c r="AA179">
        <v>1</v>
      </c>
      <c r="AB179">
        <v>0</v>
      </c>
      <c r="AC179">
        <v>0</v>
      </c>
      <c r="AD179">
        <v>0</v>
      </c>
      <c r="AE179">
        <v>2</v>
      </c>
      <c r="AF179">
        <v>0</v>
      </c>
      <c r="AG179">
        <v>0</v>
      </c>
      <c r="AH179">
        <v>2</v>
      </c>
      <c r="AI179">
        <v>0</v>
      </c>
      <c r="AJ179">
        <v>1</v>
      </c>
      <c r="AK179">
        <v>1</v>
      </c>
      <c r="AL179">
        <v>0</v>
      </c>
      <c r="AM179">
        <v>0</v>
      </c>
      <c r="AN179">
        <v>0</v>
      </c>
      <c r="AO179">
        <v>6</v>
      </c>
      <c r="AY179">
        <f>SUM(Upload_Indiv[[#This Row],[Bird1]:[Bird9]])</f>
        <v>0</v>
      </c>
      <c r="BI179">
        <f>SUM(Upload_Indiv[[#This Row],[Eagle1]:[Eagle9]])</f>
        <v>0</v>
      </c>
    </row>
    <row r="180" spans="1:61" x14ac:dyDescent="0.25">
      <c r="A180" t="s">
        <v>552</v>
      </c>
      <c r="B180" t="s">
        <v>550</v>
      </c>
      <c r="C180" s="119">
        <v>45866</v>
      </c>
      <c r="D180" t="s">
        <v>16</v>
      </c>
      <c r="E180" t="s">
        <v>22</v>
      </c>
      <c r="F180" t="s">
        <v>408</v>
      </c>
      <c r="G180">
        <v>3</v>
      </c>
      <c r="H180" t="s">
        <v>484</v>
      </c>
      <c r="I180" t="s">
        <v>405</v>
      </c>
      <c r="J180">
        <v>4</v>
      </c>
      <c r="K180">
        <v>6</v>
      </c>
      <c r="L180">
        <v>6</v>
      </c>
      <c r="M180">
        <v>5</v>
      </c>
      <c r="N180">
        <v>7</v>
      </c>
      <c r="O180">
        <v>6</v>
      </c>
      <c r="P180">
        <v>6</v>
      </c>
      <c r="Q180">
        <v>6</v>
      </c>
      <c r="R180">
        <v>0</v>
      </c>
      <c r="S180">
        <v>46</v>
      </c>
      <c r="T180">
        <v>16.13</v>
      </c>
      <c r="U180">
        <v>30</v>
      </c>
      <c r="V180">
        <v>1</v>
      </c>
      <c r="W180">
        <v>0</v>
      </c>
      <c r="X180">
        <v>1</v>
      </c>
      <c r="Y180">
        <v>0</v>
      </c>
      <c r="Z180">
        <v>0</v>
      </c>
      <c r="AA180">
        <v>1</v>
      </c>
      <c r="AB180">
        <v>0</v>
      </c>
      <c r="AC180">
        <v>0</v>
      </c>
      <c r="AD180">
        <v>0</v>
      </c>
      <c r="AE180">
        <v>2</v>
      </c>
      <c r="AF180">
        <v>0</v>
      </c>
      <c r="AG180">
        <v>2</v>
      </c>
      <c r="AH180">
        <v>1</v>
      </c>
      <c r="AI180">
        <v>0</v>
      </c>
      <c r="AJ180">
        <v>2</v>
      </c>
      <c r="AK180">
        <v>2</v>
      </c>
      <c r="AL180">
        <v>0</v>
      </c>
      <c r="AM180">
        <v>1</v>
      </c>
      <c r="AN180">
        <v>2</v>
      </c>
      <c r="AO180">
        <v>12</v>
      </c>
      <c r="AY180">
        <f>SUM(Upload_Indiv[[#This Row],[Bird1]:[Bird9]])</f>
        <v>0</v>
      </c>
      <c r="BI180">
        <f>SUM(Upload_Indiv[[#This Row],[Eagle1]:[Eagle9]])</f>
        <v>0</v>
      </c>
    </row>
    <row r="181" spans="1:61" x14ac:dyDescent="0.25">
      <c r="A181" t="s">
        <v>552</v>
      </c>
      <c r="B181" t="s">
        <v>550</v>
      </c>
      <c r="C181" s="119">
        <v>45866</v>
      </c>
      <c r="D181" t="s">
        <v>16</v>
      </c>
      <c r="E181" t="s">
        <v>22</v>
      </c>
      <c r="F181" t="s">
        <v>408</v>
      </c>
      <c r="G181">
        <v>4</v>
      </c>
      <c r="H181" t="s">
        <v>265</v>
      </c>
      <c r="I181" t="s">
        <v>405</v>
      </c>
      <c r="J181">
        <v>8</v>
      </c>
      <c r="K181">
        <v>6</v>
      </c>
      <c r="L181">
        <v>6</v>
      </c>
      <c r="M181">
        <v>5</v>
      </c>
      <c r="N181">
        <v>6</v>
      </c>
      <c r="O181">
        <v>5</v>
      </c>
      <c r="P181">
        <v>7</v>
      </c>
      <c r="Q181">
        <v>3</v>
      </c>
      <c r="R181">
        <v>0</v>
      </c>
      <c r="S181">
        <v>46</v>
      </c>
      <c r="T181">
        <v>20</v>
      </c>
      <c r="U181">
        <v>26</v>
      </c>
      <c r="V181">
        <v>1</v>
      </c>
      <c r="W181">
        <v>0</v>
      </c>
      <c r="X181">
        <v>1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0</v>
      </c>
      <c r="AF181">
        <v>2</v>
      </c>
      <c r="AG181">
        <v>1</v>
      </c>
      <c r="AH181">
        <v>0</v>
      </c>
      <c r="AI181">
        <v>0</v>
      </c>
      <c r="AJ181">
        <v>2</v>
      </c>
      <c r="AK181">
        <v>1</v>
      </c>
      <c r="AL181">
        <v>2</v>
      </c>
      <c r="AM181">
        <v>1</v>
      </c>
      <c r="AN181">
        <v>1</v>
      </c>
      <c r="AO181">
        <v>10</v>
      </c>
      <c r="AY181">
        <f>SUM(Upload_Indiv[[#This Row],[Bird1]:[Bird9]])</f>
        <v>0</v>
      </c>
      <c r="BI181">
        <f>SUM(Upload_Indiv[[#This Row],[Eagle1]:[Eagle9]])</f>
        <v>0</v>
      </c>
    </row>
    <row r="182" spans="1:61" x14ac:dyDescent="0.25">
      <c r="A182" t="s">
        <v>552</v>
      </c>
      <c r="B182" t="s">
        <v>550</v>
      </c>
      <c r="C182" s="119">
        <v>45866</v>
      </c>
      <c r="D182" t="s">
        <v>22</v>
      </c>
      <c r="E182" t="s">
        <v>16</v>
      </c>
      <c r="F182" t="s">
        <v>408</v>
      </c>
      <c r="G182">
        <v>1</v>
      </c>
      <c r="H182" t="s">
        <v>294</v>
      </c>
      <c r="I182" t="s">
        <v>407</v>
      </c>
      <c r="J182">
        <v>4</v>
      </c>
      <c r="K182">
        <v>6</v>
      </c>
      <c r="L182">
        <v>5</v>
      </c>
      <c r="M182">
        <v>4</v>
      </c>
      <c r="N182">
        <v>6</v>
      </c>
      <c r="O182">
        <v>5</v>
      </c>
      <c r="P182">
        <v>6</v>
      </c>
      <c r="Q182">
        <v>4</v>
      </c>
      <c r="R182">
        <v>7</v>
      </c>
      <c r="S182">
        <v>47</v>
      </c>
      <c r="T182">
        <v>5.18</v>
      </c>
      <c r="U182">
        <v>42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2</v>
      </c>
      <c r="AF182">
        <v>2</v>
      </c>
      <c r="AG182">
        <v>0</v>
      </c>
      <c r="AH182">
        <v>1</v>
      </c>
      <c r="AI182">
        <v>2</v>
      </c>
      <c r="AJ182">
        <v>1</v>
      </c>
      <c r="AK182">
        <v>0</v>
      </c>
      <c r="AL182">
        <v>1</v>
      </c>
      <c r="AM182">
        <v>0</v>
      </c>
      <c r="AN182">
        <v>2</v>
      </c>
      <c r="AO182">
        <v>11</v>
      </c>
      <c r="AY182">
        <f>SUM(Upload_Indiv[[#This Row],[Bird1]:[Bird9]])</f>
        <v>0</v>
      </c>
      <c r="BI182">
        <f>SUM(Upload_Indiv[[#This Row],[Eagle1]:[Eagle9]])</f>
        <v>0</v>
      </c>
    </row>
    <row r="183" spans="1:61" x14ac:dyDescent="0.25">
      <c r="A183" t="s">
        <v>552</v>
      </c>
      <c r="B183" t="s">
        <v>550</v>
      </c>
      <c r="C183" s="119">
        <v>45866</v>
      </c>
      <c r="D183" t="s">
        <v>22</v>
      </c>
      <c r="E183" t="s">
        <v>16</v>
      </c>
      <c r="F183" t="s">
        <v>408</v>
      </c>
      <c r="G183">
        <v>2</v>
      </c>
      <c r="H183" t="s">
        <v>155</v>
      </c>
      <c r="I183" t="s">
        <v>407</v>
      </c>
      <c r="J183">
        <v>5</v>
      </c>
      <c r="K183">
        <v>6</v>
      </c>
      <c r="L183">
        <v>4</v>
      </c>
      <c r="M183">
        <v>4</v>
      </c>
      <c r="N183">
        <v>4</v>
      </c>
      <c r="O183">
        <v>5</v>
      </c>
      <c r="P183">
        <v>6</v>
      </c>
      <c r="Q183">
        <v>4</v>
      </c>
      <c r="R183">
        <v>5</v>
      </c>
      <c r="S183">
        <v>43</v>
      </c>
      <c r="T183">
        <v>10.18</v>
      </c>
      <c r="U183">
        <v>33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2</v>
      </c>
      <c r="AG183">
        <v>2</v>
      </c>
      <c r="AH183">
        <v>0</v>
      </c>
      <c r="AI183">
        <v>2</v>
      </c>
      <c r="AJ183">
        <v>1</v>
      </c>
      <c r="AK183">
        <v>1</v>
      </c>
      <c r="AL183">
        <v>2</v>
      </c>
      <c r="AM183">
        <v>2</v>
      </c>
      <c r="AN183">
        <v>2</v>
      </c>
      <c r="AO183">
        <v>14</v>
      </c>
      <c r="AY183">
        <f>SUM(Upload_Indiv[[#This Row],[Bird1]:[Bird9]])</f>
        <v>0</v>
      </c>
      <c r="BI183">
        <f>SUM(Upload_Indiv[[#This Row],[Eagle1]:[Eagle9]])</f>
        <v>0</v>
      </c>
    </row>
    <row r="184" spans="1:61" x14ac:dyDescent="0.25">
      <c r="A184" t="s">
        <v>552</v>
      </c>
      <c r="B184" t="s">
        <v>550</v>
      </c>
      <c r="C184" s="119">
        <v>45866</v>
      </c>
      <c r="D184" t="s">
        <v>22</v>
      </c>
      <c r="E184" t="s">
        <v>16</v>
      </c>
      <c r="F184" t="s">
        <v>408</v>
      </c>
      <c r="G184">
        <v>3</v>
      </c>
      <c r="H184" t="s">
        <v>148</v>
      </c>
      <c r="I184" t="s">
        <v>405</v>
      </c>
      <c r="J184">
        <v>7</v>
      </c>
      <c r="K184">
        <v>5</v>
      </c>
      <c r="L184">
        <v>7</v>
      </c>
      <c r="M184">
        <v>5</v>
      </c>
      <c r="N184">
        <v>4</v>
      </c>
      <c r="O184">
        <v>7</v>
      </c>
      <c r="P184">
        <v>8</v>
      </c>
      <c r="Q184">
        <v>3</v>
      </c>
      <c r="R184">
        <v>0</v>
      </c>
      <c r="S184">
        <v>46</v>
      </c>
      <c r="T184">
        <v>13.44</v>
      </c>
      <c r="U184">
        <v>33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2</v>
      </c>
      <c r="AG184">
        <v>0</v>
      </c>
      <c r="AH184">
        <v>1</v>
      </c>
      <c r="AI184">
        <v>2</v>
      </c>
      <c r="AJ184">
        <v>0</v>
      </c>
      <c r="AK184">
        <v>0</v>
      </c>
      <c r="AL184">
        <v>2</v>
      </c>
      <c r="AM184">
        <v>1</v>
      </c>
      <c r="AN184">
        <v>0</v>
      </c>
      <c r="AO184">
        <v>8</v>
      </c>
      <c r="AY184">
        <f>SUM(Upload_Indiv[[#This Row],[Bird1]:[Bird9]])</f>
        <v>0</v>
      </c>
      <c r="BI184">
        <f>SUM(Upload_Indiv[[#This Row],[Eagle1]:[Eagle9]])</f>
        <v>0</v>
      </c>
    </row>
    <row r="185" spans="1:61" x14ac:dyDescent="0.25">
      <c r="A185" t="s">
        <v>552</v>
      </c>
      <c r="B185" t="s">
        <v>550</v>
      </c>
      <c r="C185" s="119">
        <v>45866</v>
      </c>
      <c r="D185" t="s">
        <v>22</v>
      </c>
      <c r="E185" t="s">
        <v>16</v>
      </c>
      <c r="F185" t="s">
        <v>408</v>
      </c>
      <c r="G185">
        <v>4</v>
      </c>
      <c r="H185" t="s">
        <v>158</v>
      </c>
      <c r="I185" t="s">
        <v>405</v>
      </c>
      <c r="J185">
        <v>5</v>
      </c>
      <c r="K185">
        <v>7</v>
      </c>
      <c r="L185">
        <v>5</v>
      </c>
      <c r="M185">
        <v>4</v>
      </c>
      <c r="N185">
        <v>5</v>
      </c>
      <c r="O185">
        <v>5</v>
      </c>
      <c r="P185">
        <v>6</v>
      </c>
      <c r="Q185">
        <v>3</v>
      </c>
      <c r="R185">
        <v>0</v>
      </c>
      <c r="S185">
        <v>40</v>
      </c>
      <c r="T185">
        <v>13.63</v>
      </c>
      <c r="U185">
        <v>26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2</v>
      </c>
      <c r="AF185">
        <v>0</v>
      </c>
      <c r="AG185">
        <v>1</v>
      </c>
      <c r="AH185">
        <v>2</v>
      </c>
      <c r="AI185">
        <v>2</v>
      </c>
      <c r="AJ185">
        <v>0</v>
      </c>
      <c r="AK185">
        <v>1</v>
      </c>
      <c r="AL185">
        <v>0</v>
      </c>
      <c r="AM185">
        <v>1</v>
      </c>
      <c r="AN185">
        <v>1</v>
      </c>
      <c r="AO185">
        <v>10</v>
      </c>
      <c r="AY185">
        <f>SUM(Upload_Indiv[[#This Row],[Bird1]:[Bird9]])</f>
        <v>0</v>
      </c>
      <c r="BI185">
        <f>SUM(Upload_Indiv[[#This Row],[Eagle1]:[Eagle9]])</f>
        <v>0</v>
      </c>
    </row>
    <row r="186" spans="1:61" x14ac:dyDescent="0.25">
      <c r="A186" t="s">
        <v>553</v>
      </c>
      <c r="B186" t="s">
        <v>550</v>
      </c>
      <c r="C186" s="119">
        <v>45866</v>
      </c>
      <c r="D186" t="s">
        <v>24</v>
      </c>
      <c r="E186" t="s">
        <v>28</v>
      </c>
      <c r="F186" t="s">
        <v>406</v>
      </c>
      <c r="G186">
        <v>1</v>
      </c>
      <c r="H186" t="s">
        <v>298</v>
      </c>
      <c r="I186" t="s">
        <v>407</v>
      </c>
      <c r="J186">
        <v>4</v>
      </c>
      <c r="K186">
        <v>4</v>
      </c>
      <c r="L186">
        <v>4</v>
      </c>
      <c r="M186">
        <v>5</v>
      </c>
      <c r="N186">
        <v>6</v>
      </c>
      <c r="O186">
        <v>5</v>
      </c>
      <c r="P186">
        <v>4</v>
      </c>
      <c r="Q186">
        <v>4</v>
      </c>
      <c r="R186">
        <v>7</v>
      </c>
      <c r="S186">
        <v>43</v>
      </c>
      <c r="T186">
        <v>8.83</v>
      </c>
      <c r="U186">
        <v>34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2</v>
      </c>
      <c r="AF186">
        <v>1</v>
      </c>
      <c r="AG186">
        <v>2</v>
      </c>
      <c r="AH186">
        <v>2</v>
      </c>
      <c r="AI186">
        <v>1</v>
      </c>
      <c r="AJ186">
        <v>2</v>
      </c>
      <c r="AK186">
        <v>1</v>
      </c>
      <c r="AL186">
        <v>2</v>
      </c>
      <c r="AM186">
        <v>1</v>
      </c>
      <c r="AN186">
        <v>2</v>
      </c>
      <c r="AO186">
        <v>16</v>
      </c>
      <c r="AY186">
        <f>SUM(Upload_Indiv[[#This Row],[Bird1]:[Bird9]])</f>
        <v>0</v>
      </c>
      <c r="BI186">
        <f>SUM(Upload_Indiv[[#This Row],[Eagle1]:[Eagle9]])</f>
        <v>0</v>
      </c>
    </row>
    <row r="187" spans="1:61" x14ac:dyDescent="0.25">
      <c r="A187" t="s">
        <v>553</v>
      </c>
      <c r="B187" t="s">
        <v>550</v>
      </c>
      <c r="C187" s="119">
        <v>45866</v>
      </c>
      <c r="D187" t="s">
        <v>24</v>
      </c>
      <c r="E187" t="s">
        <v>28</v>
      </c>
      <c r="F187" t="s">
        <v>406</v>
      </c>
      <c r="G187">
        <v>2</v>
      </c>
      <c r="H187" t="s">
        <v>300</v>
      </c>
      <c r="I187" t="s">
        <v>407</v>
      </c>
      <c r="J187">
        <v>6</v>
      </c>
      <c r="K187">
        <v>4</v>
      </c>
      <c r="L187">
        <v>5</v>
      </c>
      <c r="M187">
        <v>6</v>
      </c>
      <c r="N187">
        <v>5</v>
      </c>
      <c r="O187">
        <v>6</v>
      </c>
      <c r="P187">
        <v>4</v>
      </c>
      <c r="Q187">
        <v>5</v>
      </c>
      <c r="R187">
        <v>7</v>
      </c>
      <c r="S187">
        <v>48</v>
      </c>
      <c r="T187">
        <v>9.98</v>
      </c>
      <c r="U187">
        <v>38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</v>
      </c>
      <c r="AH187">
        <v>0</v>
      </c>
      <c r="AI187">
        <v>0</v>
      </c>
      <c r="AJ187">
        <v>0</v>
      </c>
      <c r="AK187">
        <v>2</v>
      </c>
      <c r="AL187">
        <v>1</v>
      </c>
      <c r="AM187">
        <v>0</v>
      </c>
      <c r="AN187">
        <v>0</v>
      </c>
      <c r="AO187">
        <v>5</v>
      </c>
      <c r="AY187">
        <f>SUM(Upload_Indiv[[#This Row],[Bird1]:[Bird9]])</f>
        <v>0</v>
      </c>
      <c r="BI187">
        <f>SUM(Upload_Indiv[[#This Row],[Eagle1]:[Eagle9]])</f>
        <v>0</v>
      </c>
    </row>
    <row r="188" spans="1:61" x14ac:dyDescent="0.25">
      <c r="A188" t="s">
        <v>553</v>
      </c>
      <c r="B188" t="s">
        <v>550</v>
      </c>
      <c r="C188" s="119">
        <v>45866</v>
      </c>
      <c r="D188" t="s">
        <v>24</v>
      </c>
      <c r="E188" t="s">
        <v>28</v>
      </c>
      <c r="F188" t="s">
        <v>406</v>
      </c>
      <c r="G188">
        <v>3</v>
      </c>
      <c r="H188" t="s">
        <v>304</v>
      </c>
      <c r="I188" t="s">
        <v>405</v>
      </c>
      <c r="J188">
        <v>5</v>
      </c>
      <c r="K188">
        <v>8</v>
      </c>
      <c r="L188">
        <v>4</v>
      </c>
      <c r="M188">
        <v>7</v>
      </c>
      <c r="N188">
        <v>6</v>
      </c>
      <c r="O188">
        <v>8</v>
      </c>
      <c r="P188">
        <v>3</v>
      </c>
      <c r="Q188">
        <v>7</v>
      </c>
      <c r="R188">
        <v>0</v>
      </c>
      <c r="S188">
        <v>48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1</v>
      </c>
      <c r="AO188">
        <v>10</v>
      </c>
      <c r="AY188">
        <f>SUM(Upload_Indiv[[#This Row],[Bird1]:[Bird9]])</f>
        <v>0</v>
      </c>
      <c r="BI188">
        <f>SUM(Upload_Indiv[[#This Row],[Eagle1]:[Eagle9]])</f>
        <v>0</v>
      </c>
    </row>
    <row r="189" spans="1:61" x14ac:dyDescent="0.25">
      <c r="A189" t="s">
        <v>553</v>
      </c>
      <c r="B189" t="s">
        <v>550</v>
      </c>
      <c r="C189" s="119">
        <v>45866</v>
      </c>
      <c r="D189" t="s">
        <v>24</v>
      </c>
      <c r="E189" t="s">
        <v>28</v>
      </c>
      <c r="F189" t="s">
        <v>406</v>
      </c>
      <c r="G189">
        <v>4</v>
      </c>
      <c r="H189" t="s">
        <v>106</v>
      </c>
      <c r="I189" t="s">
        <v>405</v>
      </c>
      <c r="J189">
        <v>4</v>
      </c>
      <c r="K189">
        <v>3</v>
      </c>
      <c r="L189">
        <v>5</v>
      </c>
      <c r="M189">
        <v>6</v>
      </c>
      <c r="N189">
        <v>6</v>
      </c>
      <c r="O189">
        <v>6</v>
      </c>
      <c r="P189">
        <v>3</v>
      </c>
      <c r="Q189">
        <v>5</v>
      </c>
      <c r="R189">
        <v>0</v>
      </c>
      <c r="S189">
        <v>38</v>
      </c>
      <c r="T189">
        <v>15.55</v>
      </c>
      <c r="U189">
        <v>22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2</v>
      </c>
      <c r="AF189">
        <v>2</v>
      </c>
      <c r="AG189">
        <v>2</v>
      </c>
      <c r="AH189">
        <v>0</v>
      </c>
      <c r="AI189">
        <v>0</v>
      </c>
      <c r="AJ189">
        <v>1</v>
      </c>
      <c r="AK189">
        <v>1</v>
      </c>
      <c r="AL189">
        <v>1</v>
      </c>
      <c r="AM189">
        <v>1</v>
      </c>
      <c r="AN189">
        <v>2</v>
      </c>
      <c r="AO189">
        <v>12</v>
      </c>
      <c r="AY189">
        <f>SUM(Upload_Indiv[[#This Row],[Bird1]:[Bird9]])</f>
        <v>0</v>
      </c>
      <c r="BI189">
        <f>SUM(Upload_Indiv[[#This Row],[Eagle1]:[Eagle9]])</f>
        <v>0</v>
      </c>
    </row>
    <row r="190" spans="1:61" x14ac:dyDescent="0.25">
      <c r="A190" t="s">
        <v>553</v>
      </c>
      <c r="B190" t="s">
        <v>550</v>
      </c>
      <c r="C190" s="119">
        <v>45866</v>
      </c>
      <c r="D190" t="s">
        <v>28</v>
      </c>
      <c r="E190" t="s">
        <v>24</v>
      </c>
      <c r="F190" t="s">
        <v>406</v>
      </c>
      <c r="G190">
        <v>1</v>
      </c>
      <c r="H190" t="s">
        <v>322</v>
      </c>
      <c r="I190" t="s">
        <v>407</v>
      </c>
      <c r="J190">
        <v>4</v>
      </c>
      <c r="K190">
        <v>3</v>
      </c>
      <c r="L190">
        <v>4</v>
      </c>
      <c r="M190">
        <v>5</v>
      </c>
      <c r="N190">
        <v>5</v>
      </c>
      <c r="O190">
        <v>5</v>
      </c>
      <c r="P190">
        <v>3</v>
      </c>
      <c r="Q190">
        <v>5</v>
      </c>
      <c r="R190">
        <v>6</v>
      </c>
      <c r="S190">
        <v>40</v>
      </c>
      <c r="T190">
        <v>0</v>
      </c>
      <c r="U190">
        <v>40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1</v>
      </c>
      <c r="AG190">
        <v>0</v>
      </c>
      <c r="AH190">
        <v>0</v>
      </c>
      <c r="AI190">
        <v>1</v>
      </c>
      <c r="AJ190">
        <v>0</v>
      </c>
      <c r="AK190">
        <v>1</v>
      </c>
      <c r="AL190">
        <v>0</v>
      </c>
      <c r="AM190">
        <v>1</v>
      </c>
      <c r="AN190">
        <v>0</v>
      </c>
      <c r="AO190">
        <v>4</v>
      </c>
      <c r="AY190">
        <f>SUM(Upload_Indiv[[#This Row],[Bird1]:[Bird9]])</f>
        <v>0</v>
      </c>
      <c r="BI190">
        <f>SUM(Upload_Indiv[[#This Row],[Eagle1]:[Eagle9]])</f>
        <v>0</v>
      </c>
    </row>
    <row r="191" spans="1:61" x14ac:dyDescent="0.25">
      <c r="A191" t="s">
        <v>553</v>
      </c>
      <c r="B191" t="s">
        <v>550</v>
      </c>
      <c r="C191" s="119">
        <v>45866</v>
      </c>
      <c r="D191" t="s">
        <v>28</v>
      </c>
      <c r="E191" t="s">
        <v>24</v>
      </c>
      <c r="F191" t="s">
        <v>406</v>
      </c>
      <c r="G191">
        <v>2</v>
      </c>
      <c r="H191" t="s">
        <v>320</v>
      </c>
      <c r="I191" t="s">
        <v>407</v>
      </c>
      <c r="J191">
        <v>6</v>
      </c>
      <c r="K191">
        <v>3</v>
      </c>
      <c r="L191">
        <v>6</v>
      </c>
      <c r="M191">
        <v>6</v>
      </c>
      <c r="N191">
        <v>5</v>
      </c>
      <c r="O191">
        <v>6</v>
      </c>
      <c r="P191">
        <v>5</v>
      </c>
      <c r="Q191">
        <v>6</v>
      </c>
      <c r="R191">
        <v>7</v>
      </c>
      <c r="S191">
        <v>50</v>
      </c>
      <c r="T191">
        <v>16.7</v>
      </c>
      <c r="U191">
        <v>33</v>
      </c>
      <c r="V191">
        <v>1</v>
      </c>
      <c r="W191">
        <v>1</v>
      </c>
      <c r="X191">
        <v>0</v>
      </c>
      <c r="Y191">
        <v>1</v>
      </c>
      <c r="Z191">
        <v>1</v>
      </c>
      <c r="AA191">
        <v>1</v>
      </c>
      <c r="AB191">
        <v>0</v>
      </c>
      <c r="AC191">
        <v>1</v>
      </c>
      <c r="AD191">
        <v>1</v>
      </c>
      <c r="AE191">
        <v>2</v>
      </c>
      <c r="AF191">
        <v>2</v>
      </c>
      <c r="AG191">
        <v>0</v>
      </c>
      <c r="AH191">
        <v>2</v>
      </c>
      <c r="AI191">
        <v>2</v>
      </c>
      <c r="AJ191">
        <v>2</v>
      </c>
      <c r="AK191">
        <v>0</v>
      </c>
      <c r="AL191">
        <v>1</v>
      </c>
      <c r="AM191">
        <v>2</v>
      </c>
      <c r="AN191">
        <v>2</v>
      </c>
      <c r="AO191">
        <v>15</v>
      </c>
      <c r="AY191">
        <f>SUM(Upload_Indiv[[#This Row],[Bird1]:[Bird9]])</f>
        <v>0</v>
      </c>
      <c r="BI191">
        <f>SUM(Upload_Indiv[[#This Row],[Eagle1]:[Eagle9]])</f>
        <v>0</v>
      </c>
    </row>
    <row r="192" spans="1:61" x14ac:dyDescent="0.25">
      <c r="A192" t="s">
        <v>553</v>
      </c>
      <c r="B192" t="s">
        <v>550</v>
      </c>
      <c r="C192" s="119">
        <v>45866</v>
      </c>
      <c r="D192" t="s">
        <v>28</v>
      </c>
      <c r="E192" t="s">
        <v>24</v>
      </c>
      <c r="F192" t="s">
        <v>406</v>
      </c>
      <c r="G192">
        <v>3</v>
      </c>
      <c r="H192" t="s">
        <v>317</v>
      </c>
      <c r="I192" t="s">
        <v>405</v>
      </c>
      <c r="J192">
        <v>5</v>
      </c>
      <c r="K192">
        <v>6</v>
      </c>
      <c r="L192">
        <v>5</v>
      </c>
      <c r="M192">
        <v>6</v>
      </c>
      <c r="N192">
        <v>3</v>
      </c>
      <c r="O192">
        <v>6</v>
      </c>
      <c r="P192">
        <v>5</v>
      </c>
      <c r="Q192">
        <v>8</v>
      </c>
      <c r="R192">
        <v>0</v>
      </c>
      <c r="S192">
        <v>44</v>
      </c>
      <c r="T192">
        <v>18.05</v>
      </c>
      <c r="U192">
        <v>26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10</v>
      </c>
      <c r="AT192">
        <v>1</v>
      </c>
      <c r="AY192">
        <f>SUM(Upload_Indiv[[#This Row],[Bird1]:[Bird9]])</f>
        <v>1</v>
      </c>
      <c r="BI192">
        <f>SUM(Upload_Indiv[[#This Row],[Eagle1]:[Eagle9]])</f>
        <v>0</v>
      </c>
    </row>
    <row r="193" spans="1:61" x14ac:dyDescent="0.25">
      <c r="A193" t="s">
        <v>553</v>
      </c>
      <c r="B193" t="s">
        <v>550</v>
      </c>
      <c r="C193" s="119">
        <v>45866</v>
      </c>
      <c r="D193" t="s">
        <v>28</v>
      </c>
      <c r="E193" t="s">
        <v>24</v>
      </c>
      <c r="F193" t="s">
        <v>406</v>
      </c>
      <c r="G193">
        <v>4</v>
      </c>
      <c r="H193" t="s">
        <v>101</v>
      </c>
      <c r="I193" t="s">
        <v>405</v>
      </c>
      <c r="J193">
        <v>6</v>
      </c>
      <c r="K193">
        <v>7</v>
      </c>
      <c r="L193">
        <v>6</v>
      </c>
      <c r="M193">
        <v>6</v>
      </c>
      <c r="N193">
        <v>5</v>
      </c>
      <c r="O193">
        <v>6</v>
      </c>
      <c r="P193">
        <v>3</v>
      </c>
      <c r="Q193">
        <v>6</v>
      </c>
      <c r="R193">
        <v>0</v>
      </c>
      <c r="S193">
        <v>45</v>
      </c>
      <c r="T193">
        <v>20</v>
      </c>
      <c r="U193">
        <v>25</v>
      </c>
      <c r="V193">
        <v>0</v>
      </c>
      <c r="W193">
        <v>0</v>
      </c>
      <c r="X193">
        <v>0</v>
      </c>
      <c r="Y193">
        <v>1</v>
      </c>
      <c r="Z193">
        <v>1</v>
      </c>
      <c r="AA193">
        <v>0</v>
      </c>
      <c r="AB193">
        <v>0</v>
      </c>
      <c r="AC193">
        <v>1</v>
      </c>
      <c r="AD193">
        <v>1</v>
      </c>
      <c r="AE193">
        <v>0</v>
      </c>
      <c r="AF193">
        <v>0</v>
      </c>
      <c r="AG193">
        <v>0</v>
      </c>
      <c r="AH193">
        <v>2</v>
      </c>
      <c r="AI193">
        <v>2</v>
      </c>
      <c r="AJ193">
        <v>1</v>
      </c>
      <c r="AK193">
        <v>1</v>
      </c>
      <c r="AL193">
        <v>1</v>
      </c>
      <c r="AM193">
        <v>1</v>
      </c>
      <c r="AN193">
        <v>0</v>
      </c>
      <c r="AO193">
        <v>8</v>
      </c>
      <c r="AY193">
        <f>SUM(Upload_Indiv[[#This Row],[Bird1]:[Bird9]])</f>
        <v>0</v>
      </c>
      <c r="BI193">
        <f>SUM(Upload_Indiv[[#This Row],[Eagle1]:[Eagle9]])</f>
        <v>0</v>
      </c>
    </row>
    <row r="194" spans="1:61" x14ac:dyDescent="0.25">
      <c r="A194" t="s">
        <v>560</v>
      </c>
      <c r="B194" t="s">
        <v>558</v>
      </c>
      <c r="C194" s="119">
        <v>45873</v>
      </c>
      <c r="D194" t="s">
        <v>22</v>
      </c>
      <c r="E194" t="s">
        <v>24</v>
      </c>
      <c r="F194" t="s">
        <v>408</v>
      </c>
      <c r="G194">
        <v>1</v>
      </c>
      <c r="H194" t="s">
        <v>433</v>
      </c>
      <c r="I194" t="s">
        <v>407</v>
      </c>
      <c r="J194">
        <v>5</v>
      </c>
      <c r="K194">
        <v>5</v>
      </c>
      <c r="L194">
        <v>6</v>
      </c>
      <c r="M194">
        <v>4</v>
      </c>
      <c r="N194">
        <v>5</v>
      </c>
      <c r="O194">
        <v>5</v>
      </c>
      <c r="P194">
        <v>7</v>
      </c>
      <c r="Q194">
        <v>5</v>
      </c>
      <c r="R194">
        <v>5</v>
      </c>
      <c r="S194">
        <v>47</v>
      </c>
      <c r="T194">
        <v>4.8</v>
      </c>
      <c r="U194">
        <v>42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2</v>
      </c>
      <c r="AG194">
        <v>0</v>
      </c>
      <c r="AH194">
        <v>1</v>
      </c>
      <c r="AI194">
        <v>2</v>
      </c>
      <c r="AJ194">
        <v>0</v>
      </c>
      <c r="AK194">
        <v>1</v>
      </c>
      <c r="AL194">
        <v>0</v>
      </c>
      <c r="AM194">
        <v>2</v>
      </c>
      <c r="AN194">
        <v>0</v>
      </c>
      <c r="AO194">
        <v>8</v>
      </c>
      <c r="AY194">
        <f>SUM(Upload_Indiv[[#This Row],[Bird1]:[Bird9]])</f>
        <v>0</v>
      </c>
      <c r="BI194">
        <f>SUM(Upload_Indiv[[#This Row],[Eagle1]:[Eagle9]])</f>
        <v>0</v>
      </c>
    </row>
    <row r="195" spans="1:61" x14ac:dyDescent="0.25">
      <c r="A195" t="s">
        <v>560</v>
      </c>
      <c r="B195" t="s">
        <v>558</v>
      </c>
      <c r="C195" s="119">
        <v>45873</v>
      </c>
      <c r="D195" t="s">
        <v>22</v>
      </c>
      <c r="E195" t="s">
        <v>24</v>
      </c>
      <c r="F195" t="s">
        <v>408</v>
      </c>
      <c r="G195">
        <v>2</v>
      </c>
      <c r="H195" t="s">
        <v>156</v>
      </c>
      <c r="I195" t="s">
        <v>407</v>
      </c>
      <c r="J195">
        <v>4</v>
      </c>
      <c r="K195">
        <v>6</v>
      </c>
      <c r="L195">
        <v>5</v>
      </c>
      <c r="M195">
        <v>3</v>
      </c>
      <c r="N195">
        <v>5</v>
      </c>
      <c r="O195">
        <v>4</v>
      </c>
      <c r="P195">
        <v>5</v>
      </c>
      <c r="Q195">
        <v>4</v>
      </c>
      <c r="R195">
        <v>5</v>
      </c>
      <c r="S195">
        <v>41</v>
      </c>
      <c r="T195">
        <v>5.38</v>
      </c>
      <c r="U195">
        <v>36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2</v>
      </c>
      <c r="AF195">
        <v>0</v>
      </c>
      <c r="AG195">
        <v>0</v>
      </c>
      <c r="AH195">
        <v>1</v>
      </c>
      <c r="AI195">
        <v>1</v>
      </c>
      <c r="AJ195">
        <v>1</v>
      </c>
      <c r="AK195">
        <v>2</v>
      </c>
      <c r="AL195">
        <v>1</v>
      </c>
      <c r="AM195">
        <v>2</v>
      </c>
      <c r="AN195">
        <v>2</v>
      </c>
      <c r="AO195">
        <v>12</v>
      </c>
      <c r="AY195">
        <f>SUM(Upload_Indiv[[#This Row],[Bird1]:[Bird9]])</f>
        <v>0</v>
      </c>
      <c r="BI195">
        <f>SUM(Upload_Indiv[[#This Row],[Eagle1]:[Eagle9]])</f>
        <v>0</v>
      </c>
    </row>
    <row r="196" spans="1:61" x14ac:dyDescent="0.25">
      <c r="A196" t="s">
        <v>560</v>
      </c>
      <c r="B196" t="s">
        <v>558</v>
      </c>
      <c r="C196" s="119">
        <v>45873</v>
      </c>
      <c r="D196" t="s">
        <v>22</v>
      </c>
      <c r="E196" t="s">
        <v>24</v>
      </c>
      <c r="F196" t="s">
        <v>408</v>
      </c>
      <c r="G196">
        <v>3</v>
      </c>
      <c r="H196" t="s">
        <v>155</v>
      </c>
      <c r="I196" t="s">
        <v>407</v>
      </c>
      <c r="J196">
        <v>6</v>
      </c>
      <c r="K196">
        <v>8</v>
      </c>
      <c r="L196">
        <v>9</v>
      </c>
      <c r="M196">
        <v>4</v>
      </c>
      <c r="N196">
        <v>6</v>
      </c>
      <c r="O196">
        <v>4</v>
      </c>
      <c r="P196">
        <v>8</v>
      </c>
      <c r="Q196">
        <v>5</v>
      </c>
      <c r="R196">
        <v>5</v>
      </c>
      <c r="S196">
        <v>55</v>
      </c>
      <c r="T196">
        <v>8.83</v>
      </c>
      <c r="U196">
        <v>46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2</v>
      </c>
      <c r="AI196">
        <v>1</v>
      </c>
      <c r="AJ196">
        <v>1</v>
      </c>
      <c r="AK196">
        <v>0</v>
      </c>
      <c r="AL196">
        <v>0</v>
      </c>
      <c r="AM196">
        <v>2</v>
      </c>
      <c r="AN196">
        <v>0</v>
      </c>
      <c r="AO196">
        <v>6</v>
      </c>
      <c r="AY196">
        <f>SUM(Upload_Indiv[[#This Row],[Bird1]:[Bird9]])</f>
        <v>0</v>
      </c>
      <c r="BI196">
        <f>SUM(Upload_Indiv[[#This Row],[Eagle1]:[Eagle9]])</f>
        <v>0</v>
      </c>
    </row>
    <row r="197" spans="1:61" x14ac:dyDescent="0.25">
      <c r="A197" t="s">
        <v>560</v>
      </c>
      <c r="B197" t="s">
        <v>558</v>
      </c>
      <c r="C197" s="119">
        <v>45873</v>
      </c>
      <c r="D197" t="s">
        <v>22</v>
      </c>
      <c r="E197" t="s">
        <v>24</v>
      </c>
      <c r="F197" t="s">
        <v>408</v>
      </c>
      <c r="G197">
        <v>4</v>
      </c>
      <c r="H197" t="s">
        <v>148</v>
      </c>
      <c r="I197" t="s">
        <v>407</v>
      </c>
      <c r="J197">
        <v>9</v>
      </c>
      <c r="K197">
        <v>5</v>
      </c>
      <c r="L197">
        <v>8</v>
      </c>
      <c r="M197">
        <v>4</v>
      </c>
      <c r="N197">
        <v>4</v>
      </c>
      <c r="O197">
        <v>6</v>
      </c>
      <c r="P197">
        <v>5</v>
      </c>
      <c r="Q197">
        <v>3</v>
      </c>
      <c r="R197">
        <v>5</v>
      </c>
      <c r="S197">
        <v>49</v>
      </c>
      <c r="T197">
        <v>13.44</v>
      </c>
      <c r="U197">
        <v>36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2</v>
      </c>
      <c r="AG197">
        <v>0</v>
      </c>
      <c r="AH197">
        <v>0</v>
      </c>
      <c r="AI197">
        <v>2</v>
      </c>
      <c r="AJ197">
        <v>0</v>
      </c>
      <c r="AK197">
        <v>2</v>
      </c>
      <c r="AL197">
        <v>2</v>
      </c>
      <c r="AM197">
        <v>2</v>
      </c>
      <c r="AN197">
        <v>2</v>
      </c>
      <c r="AO197">
        <v>12</v>
      </c>
      <c r="AY197">
        <f>SUM(Upload_Indiv[[#This Row],[Bird1]:[Bird9]])</f>
        <v>0</v>
      </c>
      <c r="BI197">
        <f>SUM(Upload_Indiv[[#This Row],[Eagle1]:[Eagle9]])</f>
        <v>0</v>
      </c>
    </row>
    <row r="198" spans="1:61" x14ac:dyDescent="0.25">
      <c r="A198" t="s">
        <v>560</v>
      </c>
      <c r="B198" t="s">
        <v>558</v>
      </c>
      <c r="C198" s="119">
        <v>45873</v>
      </c>
      <c r="D198" t="s">
        <v>24</v>
      </c>
      <c r="E198" t="s">
        <v>22</v>
      </c>
      <c r="F198" t="s">
        <v>408</v>
      </c>
      <c r="G198">
        <v>1</v>
      </c>
      <c r="H198" t="s">
        <v>298</v>
      </c>
      <c r="I198" t="s">
        <v>407</v>
      </c>
      <c r="J198">
        <v>5</v>
      </c>
      <c r="K198">
        <v>8</v>
      </c>
      <c r="L198">
        <v>5</v>
      </c>
      <c r="M198">
        <v>4</v>
      </c>
      <c r="N198">
        <v>6</v>
      </c>
      <c r="O198">
        <v>4</v>
      </c>
      <c r="P198">
        <v>7</v>
      </c>
      <c r="Q198">
        <v>4</v>
      </c>
      <c r="R198">
        <v>6</v>
      </c>
      <c r="S198">
        <v>49</v>
      </c>
      <c r="T198">
        <v>8.06</v>
      </c>
      <c r="U198">
        <v>41</v>
      </c>
      <c r="V198">
        <v>1</v>
      </c>
      <c r="W198">
        <v>0</v>
      </c>
      <c r="X198">
        <v>1</v>
      </c>
      <c r="Y198">
        <v>0</v>
      </c>
      <c r="Z198">
        <v>0</v>
      </c>
      <c r="AA198">
        <v>1</v>
      </c>
      <c r="AB198">
        <v>0</v>
      </c>
      <c r="AC198">
        <v>0</v>
      </c>
      <c r="AD198">
        <v>0</v>
      </c>
      <c r="AE198">
        <v>2</v>
      </c>
      <c r="AF198">
        <v>0</v>
      </c>
      <c r="AG198">
        <v>2</v>
      </c>
      <c r="AH198">
        <v>1</v>
      </c>
      <c r="AI198">
        <v>0</v>
      </c>
      <c r="AJ198">
        <v>2</v>
      </c>
      <c r="AK198">
        <v>1</v>
      </c>
      <c r="AL198">
        <v>2</v>
      </c>
      <c r="AM198">
        <v>0</v>
      </c>
      <c r="AN198">
        <v>2</v>
      </c>
      <c r="AO198">
        <v>12</v>
      </c>
      <c r="AY198">
        <f>SUM(Upload_Indiv[[#This Row],[Bird1]:[Bird9]])</f>
        <v>0</v>
      </c>
      <c r="BI198">
        <f>SUM(Upload_Indiv[[#This Row],[Eagle1]:[Eagle9]])</f>
        <v>0</v>
      </c>
    </row>
    <row r="199" spans="1:61" x14ac:dyDescent="0.25">
      <c r="A199" t="s">
        <v>560</v>
      </c>
      <c r="B199" t="s">
        <v>558</v>
      </c>
      <c r="C199" s="119">
        <v>45873</v>
      </c>
      <c r="D199" t="s">
        <v>24</v>
      </c>
      <c r="E199" t="s">
        <v>22</v>
      </c>
      <c r="F199" t="s">
        <v>408</v>
      </c>
      <c r="G199">
        <v>2</v>
      </c>
      <c r="H199" t="s">
        <v>300</v>
      </c>
      <c r="I199" t="s">
        <v>407</v>
      </c>
      <c r="J199">
        <v>6</v>
      </c>
      <c r="K199">
        <v>5</v>
      </c>
      <c r="L199">
        <v>4</v>
      </c>
      <c r="M199">
        <v>3</v>
      </c>
      <c r="N199">
        <v>5</v>
      </c>
      <c r="O199">
        <v>5</v>
      </c>
      <c r="P199">
        <v>10</v>
      </c>
      <c r="Q199">
        <v>4</v>
      </c>
      <c r="R199">
        <v>7</v>
      </c>
      <c r="S199">
        <v>49</v>
      </c>
      <c r="T199">
        <v>10.56</v>
      </c>
      <c r="U199">
        <v>38</v>
      </c>
      <c r="V199">
        <v>1</v>
      </c>
      <c r="W199">
        <v>0</v>
      </c>
      <c r="X199">
        <v>1</v>
      </c>
      <c r="Y199">
        <v>0</v>
      </c>
      <c r="Z199">
        <v>0</v>
      </c>
      <c r="AA199">
        <v>1</v>
      </c>
      <c r="AB199">
        <v>1</v>
      </c>
      <c r="AC199">
        <v>0</v>
      </c>
      <c r="AD199">
        <v>1</v>
      </c>
      <c r="AE199">
        <v>0</v>
      </c>
      <c r="AF199">
        <v>2</v>
      </c>
      <c r="AG199">
        <v>2</v>
      </c>
      <c r="AH199">
        <v>1</v>
      </c>
      <c r="AI199">
        <v>1</v>
      </c>
      <c r="AJ199">
        <v>1</v>
      </c>
      <c r="AK199">
        <v>0</v>
      </c>
      <c r="AL199">
        <v>1</v>
      </c>
      <c r="AM199">
        <v>0</v>
      </c>
      <c r="AN199">
        <v>0</v>
      </c>
      <c r="AO199">
        <v>8</v>
      </c>
      <c r="AY199">
        <f>SUM(Upload_Indiv[[#This Row],[Bird1]:[Bird9]])</f>
        <v>0</v>
      </c>
      <c r="BI199">
        <f>SUM(Upload_Indiv[[#This Row],[Eagle1]:[Eagle9]])</f>
        <v>0</v>
      </c>
    </row>
    <row r="200" spans="1:61" x14ac:dyDescent="0.25">
      <c r="A200" t="s">
        <v>560</v>
      </c>
      <c r="B200" t="s">
        <v>558</v>
      </c>
      <c r="C200" s="119">
        <v>45873</v>
      </c>
      <c r="D200" t="s">
        <v>24</v>
      </c>
      <c r="E200" t="s">
        <v>22</v>
      </c>
      <c r="F200" t="s">
        <v>408</v>
      </c>
      <c r="G200">
        <v>3</v>
      </c>
      <c r="H200" t="s">
        <v>106</v>
      </c>
      <c r="I200" t="s">
        <v>407</v>
      </c>
      <c r="J200">
        <v>6</v>
      </c>
      <c r="K200">
        <v>6</v>
      </c>
      <c r="L200">
        <v>6</v>
      </c>
      <c r="M200">
        <v>5</v>
      </c>
      <c r="N200">
        <v>6</v>
      </c>
      <c r="O200">
        <v>5</v>
      </c>
      <c r="P200">
        <v>7</v>
      </c>
      <c r="Q200">
        <v>4</v>
      </c>
      <c r="R200">
        <v>7</v>
      </c>
      <c r="S200">
        <v>52</v>
      </c>
      <c r="T200">
        <v>15.55</v>
      </c>
      <c r="U200">
        <v>36</v>
      </c>
      <c r="V200">
        <v>1</v>
      </c>
      <c r="W200">
        <v>1</v>
      </c>
      <c r="X200">
        <v>1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2</v>
      </c>
      <c r="AF200">
        <v>2</v>
      </c>
      <c r="AG200">
        <v>2</v>
      </c>
      <c r="AH200">
        <v>0</v>
      </c>
      <c r="AI200">
        <v>1</v>
      </c>
      <c r="AJ200">
        <v>1</v>
      </c>
      <c r="AK200">
        <v>2</v>
      </c>
      <c r="AL200">
        <v>2</v>
      </c>
      <c r="AM200">
        <v>0</v>
      </c>
      <c r="AN200">
        <v>2</v>
      </c>
      <c r="AO200">
        <v>14</v>
      </c>
      <c r="AY200">
        <f>SUM(Upload_Indiv[[#This Row],[Bird1]:[Bird9]])</f>
        <v>0</v>
      </c>
      <c r="BI200">
        <f>SUM(Upload_Indiv[[#This Row],[Eagle1]:[Eagle9]])</f>
        <v>0</v>
      </c>
    </row>
    <row r="201" spans="1:61" x14ac:dyDescent="0.25">
      <c r="A201" t="s">
        <v>560</v>
      </c>
      <c r="B201" t="s">
        <v>558</v>
      </c>
      <c r="C201" s="119">
        <v>45873</v>
      </c>
      <c r="D201" t="s">
        <v>24</v>
      </c>
      <c r="E201" t="s">
        <v>22</v>
      </c>
      <c r="F201" t="s">
        <v>408</v>
      </c>
      <c r="G201">
        <v>4</v>
      </c>
      <c r="H201" t="s">
        <v>425</v>
      </c>
      <c r="I201" t="s">
        <v>407</v>
      </c>
      <c r="J201">
        <v>8</v>
      </c>
      <c r="K201">
        <v>7</v>
      </c>
      <c r="L201">
        <v>8</v>
      </c>
      <c r="M201">
        <v>3</v>
      </c>
      <c r="N201">
        <v>5</v>
      </c>
      <c r="O201">
        <v>6</v>
      </c>
      <c r="P201">
        <v>7</v>
      </c>
      <c r="Q201">
        <v>6</v>
      </c>
      <c r="R201">
        <v>9</v>
      </c>
      <c r="S201">
        <v>59</v>
      </c>
      <c r="T201">
        <v>16.7</v>
      </c>
      <c r="U201">
        <v>42</v>
      </c>
      <c r="V201">
        <v>1</v>
      </c>
      <c r="W201">
        <v>0</v>
      </c>
      <c r="X201">
        <v>1</v>
      </c>
      <c r="Y201">
        <v>0</v>
      </c>
      <c r="Z201">
        <v>0</v>
      </c>
      <c r="AA201">
        <v>1</v>
      </c>
      <c r="AB201">
        <v>0</v>
      </c>
      <c r="AC201">
        <v>0</v>
      </c>
      <c r="AD201">
        <v>0</v>
      </c>
      <c r="AE201">
        <v>2</v>
      </c>
      <c r="AF201">
        <v>0</v>
      </c>
      <c r="AG201">
        <v>2</v>
      </c>
      <c r="AH201">
        <v>2</v>
      </c>
      <c r="AI201">
        <v>0</v>
      </c>
      <c r="AJ201">
        <v>2</v>
      </c>
      <c r="AK201">
        <v>0</v>
      </c>
      <c r="AL201">
        <v>0</v>
      </c>
      <c r="AM201">
        <v>0</v>
      </c>
      <c r="AN201">
        <v>0</v>
      </c>
      <c r="AO201">
        <v>8</v>
      </c>
      <c r="AY201">
        <f>SUM(Upload_Indiv[[#This Row],[Bird1]:[Bird9]])</f>
        <v>0</v>
      </c>
      <c r="BI201">
        <f>SUM(Upload_Indiv[[#This Row],[Eagle1]:[Eagle9]])</f>
        <v>0</v>
      </c>
    </row>
    <row r="202" spans="1:61" x14ac:dyDescent="0.25">
      <c r="A202" t="s">
        <v>557</v>
      </c>
      <c r="B202" t="s">
        <v>558</v>
      </c>
      <c r="C202" s="119">
        <v>45873</v>
      </c>
      <c r="D202" t="s">
        <v>18</v>
      </c>
      <c r="E202" t="s">
        <v>28</v>
      </c>
      <c r="F202" t="s">
        <v>408</v>
      </c>
      <c r="G202">
        <v>1</v>
      </c>
      <c r="H202" t="s">
        <v>274</v>
      </c>
      <c r="I202" t="s">
        <v>407</v>
      </c>
      <c r="J202">
        <v>7</v>
      </c>
      <c r="K202">
        <v>5</v>
      </c>
      <c r="L202">
        <v>5</v>
      </c>
      <c r="M202">
        <v>3</v>
      </c>
      <c r="N202">
        <v>7</v>
      </c>
      <c r="O202">
        <v>6</v>
      </c>
      <c r="P202">
        <v>5</v>
      </c>
      <c r="Q202">
        <v>5</v>
      </c>
      <c r="R202">
        <v>5</v>
      </c>
      <c r="S202">
        <v>48</v>
      </c>
      <c r="T202">
        <v>8.06</v>
      </c>
      <c r="U202">
        <v>40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1</v>
      </c>
      <c r="AG202">
        <v>2</v>
      </c>
      <c r="AH202">
        <v>2</v>
      </c>
      <c r="AI202">
        <v>1</v>
      </c>
      <c r="AJ202">
        <v>1</v>
      </c>
      <c r="AK202">
        <v>2</v>
      </c>
      <c r="AL202">
        <v>0</v>
      </c>
      <c r="AM202">
        <v>2</v>
      </c>
      <c r="AN202">
        <v>0</v>
      </c>
      <c r="AO202">
        <v>11</v>
      </c>
      <c r="AY202">
        <f>SUM(Upload_Indiv[[#This Row],[Bird1]:[Bird9]])</f>
        <v>0</v>
      </c>
      <c r="BI202">
        <f>SUM(Upload_Indiv[[#This Row],[Eagle1]:[Eagle9]])</f>
        <v>0</v>
      </c>
    </row>
    <row r="203" spans="1:61" x14ac:dyDescent="0.25">
      <c r="A203" t="s">
        <v>557</v>
      </c>
      <c r="B203" t="s">
        <v>558</v>
      </c>
      <c r="C203" s="119">
        <v>45873</v>
      </c>
      <c r="D203" t="s">
        <v>18</v>
      </c>
      <c r="E203" t="s">
        <v>28</v>
      </c>
      <c r="F203" t="s">
        <v>408</v>
      </c>
      <c r="G203">
        <v>2</v>
      </c>
      <c r="H203" t="s">
        <v>258</v>
      </c>
      <c r="I203" t="s">
        <v>407</v>
      </c>
      <c r="J203">
        <v>7</v>
      </c>
      <c r="K203">
        <v>5</v>
      </c>
      <c r="L203">
        <v>5</v>
      </c>
      <c r="M203">
        <v>5</v>
      </c>
      <c r="N203">
        <v>5</v>
      </c>
      <c r="O203">
        <v>6</v>
      </c>
      <c r="P203">
        <v>7</v>
      </c>
      <c r="Q203">
        <v>4</v>
      </c>
      <c r="R203">
        <v>7</v>
      </c>
      <c r="S203">
        <v>51</v>
      </c>
      <c r="T203">
        <v>9.41</v>
      </c>
      <c r="U203">
        <v>42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2</v>
      </c>
      <c r="AF203">
        <v>2</v>
      </c>
      <c r="AG203">
        <v>2</v>
      </c>
      <c r="AH203">
        <v>1</v>
      </c>
      <c r="AI203">
        <v>1</v>
      </c>
      <c r="AJ203">
        <v>1</v>
      </c>
      <c r="AK203">
        <v>1</v>
      </c>
      <c r="AL203">
        <v>1</v>
      </c>
      <c r="AM203">
        <v>0</v>
      </c>
      <c r="AN203">
        <v>2</v>
      </c>
      <c r="AO203">
        <v>13</v>
      </c>
      <c r="AY203">
        <f>SUM(Upload_Indiv[[#This Row],[Bird1]:[Bird9]])</f>
        <v>0</v>
      </c>
      <c r="BI203">
        <f>SUM(Upload_Indiv[[#This Row],[Eagle1]:[Eagle9]])</f>
        <v>0</v>
      </c>
    </row>
    <row r="204" spans="1:61" x14ac:dyDescent="0.25">
      <c r="A204" t="s">
        <v>557</v>
      </c>
      <c r="B204" t="s">
        <v>558</v>
      </c>
      <c r="C204" s="119">
        <v>45873</v>
      </c>
      <c r="D204" t="s">
        <v>18</v>
      </c>
      <c r="E204" t="s">
        <v>28</v>
      </c>
      <c r="F204" t="s">
        <v>408</v>
      </c>
      <c r="G204">
        <v>3</v>
      </c>
      <c r="H204" t="s">
        <v>276</v>
      </c>
      <c r="I204" t="s">
        <v>407</v>
      </c>
      <c r="J204">
        <v>5</v>
      </c>
      <c r="K204">
        <v>9</v>
      </c>
      <c r="L204">
        <v>7</v>
      </c>
      <c r="M204">
        <v>4</v>
      </c>
      <c r="N204">
        <v>5</v>
      </c>
      <c r="O204">
        <v>5</v>
      </c>
      <c r="P204">
        <v>8</v>
      </c>
      <c r="Q204">
        <v>4</v>
      </c>
      <c r="R204">
        <v>7</v>
      </c>
      <c r="S204">
        <v>54</v>
      </c>
      <c r="T204">
        <v>16.13</v>
      </c>
      <c r="U204">
        <v>38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2</v>
      </c>
      <c r="AF204">
        <v>0</v>
      </c>
      <c r="AG204">
        <v>0</v>
      </c>
      <c r="AH204">
        <v>2</v>
      </c>
      <c r="AI204">
        <v>2</v>
      </c>
      <c r="AJ204">
        <v>0</v>
      </c>
      <c r="AK204">
        <v>0</v>
      </c>
      <c r="AL204">
        <v>1</v>
      </c>
      <c r="AM204">
        <v>1</v>
      </c>
      <c r="AN204">
        <v>1</v>
      </c>
      <c r="AO204">
        <v>9</v>
      </c>
      <c r="AY204">
        <f>SUM(Upload_Indiv[[#This Row],[Bird1]:[Bird9]])</f>
        <v>0</v>
      </c>
      <c r="BI204">
        <f>SUM(Upload_Indiv[[#This Row],[Eagle1]:[Eagle9]])</f>
        <v>0</v>
      </c>
    </row>
    <row r="205" spans="1:61" x14ac:dyDescent="0.25">
      <c r="A205" t="s">
        <v>557</v>
      </c>
      <c r="B205" t="s">
        <v>558</v>
      </c>
      <c r="C205" s="119">
        <v>45873</v>
      </c>
      <c r="D205" t="s">
        <v>18</v>
      </c>
      <c r="E205" t="s">
        <v>28</v>
      </c>
      <c r="F205" t="s">
        <v>408</v>
      </c>
      <c r="G205">
        <v>4</v>
      </c>
      <c r="H205" t="s">
        <v>246</v>
      </c>
      <c r="I205" t="s">
        <v>407</v>
      </c>
      <c r="J205">
        <v>8</v>
      </c>
      <c r="K205">
        <v>5</v>
      </c>
      <c r="L205">
        <v>7</v>
      </c>
      <c r="M205">
        <v>3</v>
      </c>
      <c r="N205">
        <v>8</v>
      </c>
      <c r="O205">
        <v>7</v>
      </c>
      <c r="P205">
        <v>8</v>
      </c>
      <c r="Q205">
        <v>5</v>
      </c>
      <c r="R205">
        <v>9</v>
      </c>
      <c r="S205">
        <v>60</v>
      </c>
      <c r="T205">
        <v>20</v>
      </c>
      <c r="U205">
        <v>40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2</v>
      </c>
      <c r="AF205">
        <v>2</v>
      </c>
      <c r="AG205">
        <v>2</v>
      </c>
      <c r="AH205">
        <v>2</v>
      </c>
      <c r="AI205">
        <v>0</v>
      </c>
      <c r="AJ205">
        <v>0</v>
      </c>
      <c r="AK205">
        <v>2</v>
      </c>
      <c r="AL205">
        <v>0</v>
      </c>
      <c r="AM205">
        <v>0</v>
      </c>
      <c r="AN205">
        <v>2</v>
      </c>
      <c r="AO205">
        <v>12</v>
      </c>
      <c r="AY205">
        <f>SUM(Upload_Indiv[[#This Row],[Bird1]:[Bird9]])</f>
        <v>0</v>
      </c>
      <c r="BI205">
        <f>SUM(Upload_Indiv[[#This Row],[Eagle1]:[Eagle9]])</f>
        <v>0</v>
      </c>
    </row>
    <row r="206" spans="1:61" x14ac:dyDescent="0.25">
      <c r="A206" t="s">
        <v>557</v>
      </c>
      <c r="B206" t="s">
        <v>558</v>
      </c>
      <c r="C206" s="119">
        <v>45873</v>
      </c>
      <c r="D206" t="s">
        <v>28</v>
      </c>
      <c r="E206" t="s">
        <v>18</v>
      </c>
      <c r="F206" t="s">
        <v>408</v>
      </c>
      <c r="G206">
        <v>1</v>
      </c>
      <c r="H206" t="s">
        <v>320</v>
      </c>
      <c r="I206" t="s">
        <v>407</v>
      </c>
      <c r="J206">
        <v>5</v>
      </c>
      <c r="K206">
        <v>6</v>
      </c>
      <c r="L206">
        <v>7</v>
      </c>
      <c r="M206">
        <v>5</v>
      </c>
      <c r="N206">
        <v>7</v>
      </c>
      <c r="O206">
        <v>7</v>
      </c>
      <c r="P206">
        <v>7</v>
      </c>
      <c r="Q206">
        <v>2</v>
      </c>
      <c r="R206">
        <v>7</v>
      </c>
      <c r="S206">
        <v>53</v>
      </c>
      <c r="T206">
        <v>15.74</v>
      </c>
      <c r="U206">
        <v>37</v>
      </c>
      <c r="V206">
        <v>1</v>
      </c>
      <c r="W206">
        <v>1</v>
      </c>
      <c r="X206">
        <v>1</v>
      </c>
      <c r="Y206">
        <v>1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2</v>
      </c>
      <c r="AF206">
        <v>1</v>
      </c>
      <c r="AG206">
        <v>0</v>
      </c>
      <c r="AH206">
        <v>0</v>
      </c>
      <c r="AI206">
        <v>1</v>
      </c>
      <c r="AJ206">
        <v>1</v>
      </c>
      <c r="AK206">
        <v>0</v>
      </c>
      <c r="AL206">
        <v>2</v>
      </c>
      <c r="AM206">
        <v>0</v>
      </c>
      <c r="AN206">
        <v>2</v>
      </c>
      <c r="AO206">
        <v>9</v>
      </c>
      <c r="AW206">
        <v>1</v>
      </c>
      <c r="AY206">
        <f>SUM(Upload_Indiv[[#This Row],[Bird1]:[Bird9]])</f>
        <v>1</v>
      </c>
      <c r="BI206">
        <f>SUM(Upload_Indiv[[#This Row],[Eagle1]:[Eagle9]])</f>
        <v>0</v>
      </c>
    </row>
    <row r="207" spans="1:61" x14ac:dyDescent="0.25">
      <c r="A207" t="s">
        <v>557</v>
      </c>
      <c r="B207" t="s">
        <v>558</v>
      </c>
      <c r="C207" s="119">
        <v>45873</v>
      </c>
      <c r="D207" t="s">
        <v>28</v>
      </c>
      <c r="E207" t="s">
        <v>18</v>
      </c>
      <c r="F207" t="s">
        <v>408</v>
      </c>
      <c r="G207">
        <v>2</v>
      </c>
      <c r="H207" t="s">
        <v>317</v>
      </c>
      <c r="I207" t="s">
        <v>407</v>
      </c>
      <c r="J207">
        <v>9</v>
      </c>
      <c r="K207">
        <v>8</v>
      </c>
      <c r="L207">
        <v>8</v>
      </c>
      <c r="M207">
        <v>6</v>
      </c>
      <c r="N207">
        <v>6</v>
      </c>
      <c r="O207">
        <v>7</v>
      </c>
      <c r="P207">
        <v>8</v>
      </c>
      <c r="Q207">
        <v>5</v>
      </c>
      <c r="R207">
        <v>5</v>
      </c>
      <c r="S207">
        <v>62</v>
      </c>
      <c r="T207">
        <v>18.05</v>
      </c>
      <c r="U207">
        <v>44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0</v>
      </c>
      <c r="AF207">
        <v>0</v>
      </c>
      <c r="AG207">
        <v>0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2</v>
      </c>
      <c r="AN207">
        <v>0</v>
      </c>
      <c r="AO207">
        <v>7</v>
      </c>
      <c r="AY207">
        <f>SUM(Upload_Indiv[[#This Row],[Bird1]:[Bird9]])</f>
        <v>0</v>
      </c>
      <c r="BI207">
        <f>SUM(Upload_Indiv[[#This Row],[Eagle1]:[Eagle9]])</f>
        <v>0</v>
      </c>
    </row>
    <row r="208" spans="1:61" x14ac:dyDescent="0.25">
      <c r="A208" t="s">
        <v>557</v>
      </c>
      <c r="B208" t="s">
        <v>558</v>
      </c>
      <c r="C208" s="119">
        <v>45873</v>
      </c>
      <c r="D208" t="s">
        <v>28</v>
      </c>
      <c r="E208" t="s">
        <v>18</v>
      </c>
      <c r="F208" t="s">
        <v>408</v>
      </c>
      <c r="G208">
        <v>3</v>
      </c>
      <c r="H208" t="s">
        <v>315</v>
      </c>
      <c r="I208" t="s">
        <v>407</v>
      </c>
      <c r="J208">
        <v>9</v>
      </c>
      <c r="K208">
        <v>6</v>
      </c>
      <c r="L208">
        <v>6</v>
      </c>
      <c r="M208">
        <v>5</v>
      </c>
      <c r="N208">
        <v>7</v>
      </c>
      <c r="O208">
        <v>5</v>
      </c>
      <c r="P208">
        <v>7</v>
      </c>
      <c r="Q208">
        <v>4</v>
      </c>
      <c r="R208">
        <v>7</v>
      </c>
      <c r="S208">
        <v>56</v>
      </c>
      <c r="T208">
        <v>18.239999999999998</v>
      </c>
      <c r="U208">
        <v>38</v>
      </c>
      <c r="V208">
        <v>1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0</v>
      </c>
      <c r="AC208">
        <v>0</v>
      </c>
      <c r="AD208">
        <v>0</v>
      </c>
      <c r="AE208">
        <v>0</v>
      </c>
      <c r="AF208">
        <v>2</v>
      </c>
      <c r="AG208">
        <v>2</v>
      </c>
      <c r="AH208">
        <v>0</v>
      </c>
      <c r="AI208">
        <v>0</v>
      </c>
      <c r="AJ208">
        <v>2</v>
      </c>
      <c r="AK208">
        <v>2</v>
      </c>
      <c r="AL208">
        <v>1</v>
      </c>
      <c r="AM208">
        <v>1</v>
      </c>
      <c r="AN208">
        <v>1</v>
      </c>
      <c r="AO208">
        <v>11</v>
      </c>
      <c r="AY208">
        <f>SUM(Upload_Indiv[[#This Row],[Bird1]:[Bird9]])</f>
        <v>0</v>
      </c>
      <c r="BI208">
        <f>SUM(Upload_Indiv[[#This Row],[Eagle1]:[Eagle9]])</f>
        <v>0</v>
      </c>
    </row>
    <row r="209" spans="1:61" x14ac:dyDescent="0.25">
      <c r="A209" t="s">
        <v>557</v>
      </c>
      <c r="B209" t="s">
        <v>558</v>
      </c>
      <c r="C209" s="119">
        <v>45873</v>
      </c>
      <c r="D209" t="s">
        <v>28</v>
      </c>
      <c r="E209" t="s">
        <v>18</v>
      </c>
      <c r="F209" t="s">
        <v>408</v>
      </c>
      <c r="G209">
        <v>4</v>
      </c>
      <c r="H209" t="s">
        <v>101</v>
      </c>
      <c r="I209" t="s">
        <v>407</v>
      </c>
      <c r="J209">
        <v>9</v>
      </c>
      <c r="K209">
        <v>8</v>
      </c>
      <c r="L209">
        <v>8</v>
      </c>
      <c r="M209">
        <v>4</v>
      </c>
      <c r="N209">
        <v>6</v>
      </c>
      <c r="O209">
        <v>6</v>
      </c>
      <c r="P209">
        <v>10</v>
      </c>
      <c r="Q209">
        <v>4</v>
      </c>
      <c r="R209">
        <v>6</v>
      </c>
      <c r="S209">
        <v>61</v>
      </c>
      <c r="T209">
        <v>20</v>
      </c>
      <c r="U209">
        <v>41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2</v>
      </c>
      <c r="AJ209">
        <v>2</v>
      </c>
      <c r="AK209">
        <v>0</v>
      </c>
      <c r="AL209">
        <v>2</v>
      </c>
      <c r="AM209">
        <v>2</v>
      </c>
      <c r="AN209">
        <v>0</v>
      </c>
      <c r="AO209">
        <v>8</v>
      </c>
      <c r="AY209">
        <f>SUM(Upload_Indiv[[#This Row],[Bird1]:[Bird9]])</f>
        <v>0</v>
      </c>
      <c r="BI209">
        <f>SUM(Upload_Indiv[[#This Row],[Eagle1]:[Eagle9]])</f>
        <v>0</v>
      </c>
    </row>
    <row r="210" spans="1:61" x14ac:dyDescent="0.25">
      <c r="A210" t="s">
        <v>559</v>
      </c>
      <c r="B210" t="s">
        <v>558</v>
      </c>
      <c r="C210" s="119">
        <v>45873</v>
      </c>
      <c r="D210" t="s">
        <v>20</v>
      </c>
      <c r="E210" t="s">
        <v>26</v>
      </c>
      <c r="F210" t="s">
        <v>406</v>
      </c>
      <c r="G210">
        <v>1</v>
      </c>
      <c r="H210" t="s">
        <v>153</v>
      </c>
      <c r="I210" t="s">
        <v>407</v>
      </c>
      <c r="J210">
        <v>4</v>
      </c>
      <c r="K210">
        <v>3</v>
      </c>
      <c r="L210">
        <v>6</v>
      </c>
      <c r="M210">
        <v>7</v>
      </c>
      <c r="N210">
        <v>5</v>
      </c>
      <c r="O210">
        <v>6</v>
      </c>
      <c r="P210">
        <v>4</v>
      </c>
      <c r="Q210">
        <v>4</v>
      </c>
      <c r="R210">
        <v>5</v>
      </c>
      <c r="S210">
        <v>44</v>
      </c>
      <c r="T210">
        <v>8.06</v>
      </c>
      <c r="U210">
        <v>36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0</v>
      </c>
      <c r="AB210">
        <v>0</v>
      </c>
      <c r="AC210">
        <v>1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2</v>
      </c>
      <c r="AJ210">
        <v>1</v>
      </c>
      <c r="AK210">
        <v>1</v>
      </c>
      <c r="AL210">
        <v>2</v>
      </c>
      <c r="AM210">
        <v>2</v>
      </c>
      <c r="AN210">
        <v>1</v>
      </c>
      <c r="AO210">
        <v>9</v>
      </c>
      <c r="AY210">
        <f>SUM(Upload_Indiv[[#This Row],[Bird1]:[Bird9]])</f>
        <v>0</v>
      </c>
      <c r="BI210">
        <f>SUM(Upload_Indiv[[#This Row],[Eagle1]:[Eagle9]])</f>
        <v>0</v>
      </c>
    </row>
    <row r="211" spans="1:61" x14ac:dyDescent="0.25">
      <c r="A211" t="s">
        <v>559</v>
      </c>
      <c r="B211" t="s">
        <v>558</v>
      </c>
      <c r="C211" s="119">
        <v>45873</v>
      </c>
      <c r="D211" t="s">
        <v>20</v>
      </c>
      <c r="E211" t="s">
        <v>26</v>
      </c>
      <c r="F211" t="s">
        <v>406</v>
      </c>
      <c r="G211">
        <v>2</v>
      </c>
      <c r="H211" t="s">
        <v>283</v>
      </c>
      <c r="I211" t="s">
        <v>407</v>
      </c>
      <c r="J211">
        <v>4</v>
      </c>
      <c r="K211">
        <v>3</v>
      </c>
      <c r="L211">
        <v>4</v>
      </c>
      <c r="M211">
        <v>6</v>
      </c>
      <c r="N211">
        <v>5</v>
      </c>
      <c r="O211">
        <v>6</v>
      </c>
      <c r="P211">
        <v>3</v>
      </c>
      <c r="Q211">
        <v>5</v>
      </c>
      <c r="R211">
        <v>7</v>
      </c>
      <c r="S211">
        <v>43</v>
      </c>
      <c r="T211">
        <v>8.06</v>
      </c>
      <c r="U211">
        <v>35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0</v>
      </c>
      <c r="AB211">
        <v>0</v>
      </c>
      <c r="AC211">
        <v>1</v>
      </c>
      <c r="AD211">
        <v>1</v>
      </c>
      <c r="AE211">
        <v>1</v>
      </c>
      <c r="AF211">
        <v>2</v>
      </c>
      <c r="AG211">
        <v>1</v>
      </c>
      <c r="AH211">
        <v>1</v>
      </c>
      <c r="AI211">
        <v>1</v>
      </c>
      <c r="AJ211">
        <v>1</v>
      </c>
      <c r="AK211">
        <v>2</v>
      </c>
      <c r="AL211">
        <v>2</v>
      </c>
      <c r="AM211">
        <v>1</v>
      </c>
      <c r="AN211">
        <v>2</v>
      </c>
      <c r="AO211">
        <v>14</v>
      </c>
      <c r="AY211">
        <f>SUM(Upload_Indiv[[#This Row],[Bird1]:[Bird9]])</f>
        <v>0</v>
      </c>
      <c r="BI211">
        <f>SUM(Upload_Indiv[[#This Row],[Eagle1]:[Eagle9]])</f>
        <v>0</v>
      </c>
    </row>
    <row r="212" spans="1:61" x14ac:dyDescent="0.25">
      <c r="A212" t="s">
        <v>559</v>
      </c>
      <c r="B212" t="s">
        <v>558</v>
      </c>
      <c r="C212" s="119">
        <v>45873</v>
      </c>
      <c r="D212" t="s">
        <v>20</v>
      </c>
      <c r="E212" t="s">
        <v>26</v>
      </c>
      <c r="F212" t="s">
        <v>406</v>
      </c>
      <c r="G212">
        <v>3</v>
      </c>
      <c r="H212" t="s">
        <v>163</v>
      </c>
      <c r="I212" t="s">
        <v>407</v>
      </c>
      <c r="J212">
        <v>4</v>
      </c>
      <c r="K212">
        <v>5</v>
      </c>
      <c r="L212">
        <v>4</v>
      </c>
      <c r="M212">
        <v>4</v>
      </c>
      <c r="N212">
        <v>5</v>
      </c>
      <c r="O212">
        <v>5</v>
      </c>
      <c r="P212">
        <v>4</v>
      </c>
      <c r="Q212">
        <v>4</v>
      </c>
      <c r="R212">
        <v>6</v>
      </c>
      <c r="S212">
        <v>41</v>
      </c>
      <c r="T212">
        <v>9.02</v>
      </c>
      <c r="U212">
        <v>32</v>
      </c>
      <c r="V212">
        <v>0</v>
      </c>
      <c r="W212">
        <v>0</v>
      </c>
      <c r="X212">
        <v>0</v>
      </c>
      <c r="Y212">
        <v>1</v>
      </c>
      <c r="Z212">
        <v>1</v>
      </c>
      <c r="AA212">
        <v>0</v>
      </c>
      <c r="AB212">
        <v>0</v>
      </c>
      <c r="AC212">
        <v>1</v>
      </c>
      <c r="AD212">
        <v>1</v>
      </c>
      <c r="AE212">
        <v>2</v>
      </c>
      <c r="AF212">
        <v>2</v>
      </c>
      <c r="AG212">
        <v>2</v>
      </c>
      <c r="AH212">
        <v>2</v>
      </c>
      <c r="AI212">
        <v>2</v>
      </c>
      <c r="AJ212">
        <v>2</v>
      </c>
      <c r="AK212">
        <v>0</v>
      </c>
      <c r="AL212">
        <v>2</v>
      </c>
      <c r="AM212">
        <v>2</v>
      </c>
      <c r="AN212">
        <v>2</v>
      </c>
      <c r="AO212">
        <v>18</v>
      </c>
      <c r="AY212">
        <f>SUM(Upload_Indiv[[#This Row],[Bird1]:[Bird9]])</f>
        <v>0</v>
      </c>
      <c r="BI212">
        <f>SUM(Upload_Indiv[[#This Row],[Eagle1]:[Eagle9]])</f>
        <v>0</v>
      </c>
    </row>
    <row r="213" spans="1:61" x14ac:dyDescent="0.25">
      <c r="A213" t="s">
        <v>559</v>
      </c>
      <c r="B213" t="s">
        <v>558</v>
      </c>
      <c r="C213" s="119">
        <v>45873</v>
      </c>
      <c r="D213" t="s">
        <v>20</v>
      </c>
      <c r="E213" t="s">
        <v>26</v>
      </c>
      <c r="F213" t="s">
        <v>406</v>
      </c>
      <c r="G213">
        <v>4</v>
      </c>
      <c r="H213" t="s">
        <v>513</v>
      </c>
      <c r="I213" t="s">
        <v>407</v>
      </c>
      <c r="J213">
        <v>4</v>
      </c>
      <c r="K213">
        <v>4</v>
      </c>
      <c r="L213">
        <v>4</v>
      </c>
      <c r="M213">
        <v>7</v>
      </c>
      <c r="N213">
        <v>5</v>
      </c>
      <c r="O213">
        <v>7</v>
      </c>
      <c r="P213">
        <v>3</v>
      </c>
      <c r="Q213">
        <v>5</v>
      </c>
      <c r="R213">
        <v>8</v>
      </c>
      <c r="S213">
        <v>47</v>
      </c>
      <c r="T213">
        <v>11.04</v>
      </c>
      <c r="U213">
        <v>36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2</v>
      </c>
      <c r="AF213">
        <v>1</v>
      </c>
      <c r="AG213">
        <v>2</v>
      </c>
      <c r="AH213">
        <v>0</v>
      </c>
      <c r="AI213">
        <v>0</v>
      </c>
      <c r="AJ213">
        <v>0</v>
      </c>
      <c r="AK213">
        <v>2</v>
      </c>
      <c r="AL213">
        <v>1</v>
      </c>
      <c r="AM213">
        <v>0</v>
      </c>
      <c r="AN213">
        <v>0</v>
      </c>
      <c r="AO213">
        <v>8</v>
      </c>
      <c r="AY213">
        <f>SUM(Upload_Indiv[[#This Row],[Bird1]:[Bird9]])</f>
        <v>0</v>
      </c>
      <c r="BI213">
        <f>SUM(Upload_Indiv[[#This Row],[Eagle1]:[Eagle9]])</f>
        <v>0</v>
      </c>
    </row>
    <row r="214" spans="1:61" x14ac:dyDescent="0.25">
      <c r="A214" t="s">
        <v>559</v>
      </c>
      <c r="B214" t="s">
        <v>558</v>
      </c>
      <c r="C214" s="119">
        <v>45873</v>
      </c>
      <c r="D214" t="s">
        <v>26</v>
      </c>
      <c r="E214" t="s">
        <v>20</v>
      </c>
      <c r="F214" t="s">
        <v>406</v>
      </c>
      <c r="G214">
        <v>1</v>
      </c>
      <c r="H214" t="s">
        <v>146</v>
      </c>
      <c r="I214" t="s">
        <v>407</v>
      </c>
      <c r="J214">
        <v>3</v>
      </c>
      <c r="K214">
        <v>2</v>
      </c>
      <c r="L214">
        <v>4</v>
      </c>
      <c r="M214">
        <v>5</v>
      </c>
      <c r="N214">
        <v>5</v>
      </c>
      <c r="O214">
        <v>6</v>
      </c>
      <c r="P214">
        <v>4</v>
      </c>
      <c r="Q214">
        <v>4</v>
      </c>
      <c r="R214">
        <v>7</v>
      </c>
      <c r="S214">
        <v>40</v>
      </c>
      <c r="T214">
        <v>3.84</v>
      </c>
      <c r="U214">
        <v>36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2</v>
      </c>
      <c r="AF214">
        <v>2</v>
      </c>
      <c r="AG214">
        <v>2</v>
      </c>
      <c r="AH214">
        <v>2</v>
      </c>
      <c r="AI214">
        <v>0</v>
      </c>
      <c r="AJ214">
        <v>1</v>
      </c>
      <c r="AK214">
        <v>1</v>
      </c>
      <c r="AL214">
        <v>0</v>
      </c>
      <c r="AM214">
        <v>0</v>
      </c>
      <c r="AN214">
        <v>1</v>
      </c>
      <c r="AO214">
        <v>11</v>
      </c>
      <c r="AP214">
        <v>1</v>
      </c>
      <c r="AQ214">
        <v>1</v>
      </c>
      <c r="AY214">
        <f>SUM(Upload_Indiv[[#This Row],[Bird1]:[Bird9]])</f>
        <v>2</v>
      </c>
      <c r="BI214">
        <f>SUM(Upload_Indiv[[#This Row],[Eagle1]:[Eagle9]])</f>
        <v>0</v>
      </c>
    </row>
    <row r="215" spans="1:61" x14ac:dyDescent="0.25">
      <c r="A215" t="s">
        <v>559</v>
      </c>
      <c r="B215" t="s">
        <v>558</v>
      </c>
      <c r="C215" s="119">
        <v>45873</v>
      </c>
      <c r="D215" t="s">
        <v>26</v>
      </c>
      <c r="E215" t="s">
        <v>20</v>
      </c>
      <c r="F215" t="s">
        <v>406</v>
      </c>
      <c r="G215">
        <v>2</v>
      </c>
      <c r="H215" t="s">
        <v>311</v>
      </c>
      <c r="I215" t="s">
        <v>407</v>
      </c>
      <c r="J215">
        <v>4</v>
      </c>
      <c r="K215">
        <v>4</v>
      </c>
      <c r="L215">
        <v>4</v>
      </c>
      <c r="M215">
        <v>5</v>
      </c>
      <c r="N215">
        <v>4</v>
      </c>
      <c r="O215">
        <v>6</v>
      </c>
      <c r="P215">
        <v>4</v>
      </c>
      <c r="Q215">
        <v>5</v>
      </c>
      <c r="R215">
        <v>6</v>
      </c>
      <c r="S215">
        <v>42</v>
      </c>
      <c r="T215">
        <v>4.03</v>
      </c>
      <c r="U215">
        <v>38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1</v>
      </c>
      <c r="AF215">
        <v>0</v>
      </c>
      <c r="AG215">
        <v>1</v>
      </c>
      <c r="AH215">
        <v>1</v>
      </c>
      <c r="AI215">
        <v>1</v>
      </c>
      <c r="AJ215">
        <v>1</v>
      </c>
      <c r="AK215">
        <v>0</v>
      </c>
      <c r="AL215">
        <v>0</v>
      </c>
      <c r="AM215">
        <v>1</v>
      </c>
      <c r="AN215">
        <v>0</v>
      </c>
      <c r="AO215">
        <v>6</v>
      </c>
      <c r="AY215">
        <f>SUM(Upload_Indiv[[#This Row],[Bird1]:[Bird9]])</f>
        <v>0</v>
      </c>
      <c r="BI215">
        <f>SUM(Upload_Indiv[[#This Row],[Eagle1]:[Eagle9]])</f>
        <v>0</v>
      </c>
    </row>
    <row r="216" spans="1:61" x14ac:dyDescent="0.25">
      <c r="A216" t="s">
        <v>559</v>
      </c>
      <c r="B216" t="s">
        <v>558</v>
      </c>
      <c r="C216" s="119">
        <v>45873</v>
      </c>
      <c r="D216" t="s">
        <v>26</v>
      </c>
      <c r="E216" t="s">
        <v>20</v>
      </c>
      <c r="F216" t="s">
        <v>406</v>
      </c>
      <c r="G216">
        <v>3</v>
      </c>
      <c r="H216" t="s">
        <v>100</v>
      </c>
      <c r="I216" t="s">
        <v>407</v>
      </c>
      <c r="J216">
        <v>5</v>
      </c>
      <c r="K216">
        <v>7</v>
      </c>
      <c r="L216">
        <v>5</v>
      </c>
      <c r="M216">
        <v>6</v>
      </c>
      <c r="N216">
        <v>5</v>
      </c>
      <c r="O216">
        <v>6</v>
      </c>
      <c r="P216">
        <v>3</v>
      </c>
      <c r="Q216">
        <v>5</v>
      </c>
      <c r="R216">
        <v>6</v>
      </c>
      <c r="S216">
        <v>48</v>
      </c>
      <c r="T216">
        <v>4.6100000000000003</v>
      </c>
      <c r="U216">
        <v>43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2</v>
      </c>
      <c r="AL216">
        <v>0</v>
      </c>
      <c r="AM216">
        <v>0</v>
      </c>
      <c r="AN216">
        <v>0</v>
      </c>
      <c r="AO216">
        <v>2</v>
      </c>
      <c r="AY216">
        <f>SUM(Upload_Indiv[[#This Row],[Bird1]:[Bird9]])</f>
        <v>0</v>
      </c>
      <c r="BI216">
        <f>SUM(Upload_Indiv[[#This Row],[Eagle1]:[Eagle9]])</f>
        <v>0</v>
      </c>
    </row>
    <row r="217" spans="1:61" x14ac:dyDescent="0.25">
      <c r="A217" t="s">
        <v>559</v>
      </c>
      <c r="B217" t="s">
        <v>558</v>
      </c>
      <c r="C217" s="119">
        <v>45873</v>
      </c>
      <c r="D217" t="s">
        <v>26</v>
      </c>
      <c r="E217" t="s">
        <v>20</v>
      </c>
      <c r="F217" t="s">
        <v>406</v>
      </c>
      <c r="G217">
        <v>4</v>
      </c>
      <c r="H217" t="s">
        <v>309</v>
      </c>
      <c r="I217" t="s">
        <v>407</v>
      </c>
      <c r="J217">
        <v>6</v>
      </c>
      <c r="K217">
        <v>4</v>
      </c>
      <c r="L217">
        <v>5</v>
      </c>
      <c r="M217">
        <v>6</v>
      </c>
      <c r="N217">
        <v>5</v>
      </c>
      <c r="O217">
        <v>6</v>
      </c>
      <c r="P217">
        <v>6</v>
      </c>
      <c r="Q217">
        <v>6</v>
      </c>
      <c r="R217">
        <v>6</v>
      </c>
      <c r="S217">
        <v>50</v>
      </c>
      <c r="T217">
        <v>14.59</v>
      </c>
      <c r="U217">
        <v>35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0</v>
      </c>
      <c r="AB217">
        <v>0</v>
      </c>
      <c r="AC217">
        <v>1</v>
      </c>
      <c r="AD217">
        <v>1</v>
      </c>
      <c r="AE217">
        <v>0</v>
      </c>
      <c r="AF217">
        <v>1</v>
      </c>
      <c r="AG217">
        <v>0</v>
      </c>
      <c r="AH217">
        <v>2</v>
      </c>
      <c r="AI217">
        <v>2</v>
      </c>
      <c r="AJ217">
        <v>2</v>
      </c>
      <c r="AK217">
        <v>0</v>
      </c>
      <c r="AL217">
        <v>1</v>
      </c>
      <c r="AM217">
        <v>2</v>
      </c>
      <c r="AN217">
        <v>2</v>
      </c>
      <c r="AO217">
        <v>12</v>
      </c>
      <c r="AY217">
        <f>SUM(Upload_Indiv[[#This Row],[Bird1]:[Bird9]])</f>
        <v>0</v>
      </c>
      <c r="BI217">
        <f>SUM(Upload_Indiv[[#This Row],[Eagle1]:[Eagle9]])</f>
        <v>0</v>
      </c>
    </row>
    <row r="218" spans="1:61" x14ac:dyDescent="0.25">
      <c r="A218" t="s">
        <v>561</v>
      </c>
      <c r="B218" t="s">
        <v>558</v>
      </c>
      <c r="C218" s="119">
        <v>45873</v>
      </c>
      <c r="D218" t="s">
        <v>16</v>
      </c>
      <c r="E218" t="s">
        <v>30</v>
      </c>
      <c r="F218" t="s">
        <v>406</v>
      </c>
      <c r="G218">
        <v>1</v>
      </c>
      <c r="H218" t="s">
        <v>485</v>
      </c>
      <c r="I218" t="s">
        <v>407</v>
      </c>
      <c r="J218">
        <v>5</v>
      </c>
      <c r="K218">
        <v>5</v>
      </c>
      <c r="L218">
        <v>4</v>
      </c>
      <c r="M218">
        <v>5</v>
      </c>
      <c r="N218">
        <v>6</v>
      </c>
      <c r="O218">
        <v>5</v>
      </c>
      <c r="P218">
        <v>6</v>
      </c>
      <c r="Q218">
        <v>6</v>
      </c>
      <c r="R218">
        <v>6</v>
      </c>
      <c r="S218">
        <v>48</v>
      </c>
      <c r="T218">
        <v>10.18</v>
      </c>
      <c r="U218">
        <v>38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2</v>
      </c>
      <c r="AD218">
        <v>1</v>
      </c>
      <c r="AE218">
        <v>1</v>
      </c>
      <c r="AF218">
        <v>0</v>
      </c>
      <c r="AG218">
        <v>2</v>
      </c>
      <c r="AH218">
        <v>2</v>
      </c>
      <c r="AI218">
        <v>0</v>
      </c>
      <c r="AJ218">
        <v>2</v>
      </c>
      <c r="AK218">
        <v>0</v>
      </c>
      <c r="AL218">
        <v>2</v>
      </c>
      <c r="AM218">
        <v>1</v>
      </c>
      <c r="AN218">
        <v>1</v>
      </c>
      <c r="AO218">
        <v>11</v>
      </c>
      <c r="AY218">
        <f>SUM(Upload_Indiv[[#This Row],[Bird1]:[Bird9]])</f>
        <v>0</v>
      </c>
      <c r="BI218">
        <f>SUM(Upload_Indiv[[#This Row],[Eagle1]:[Eagle9]])</f>
        <v>0</v>
      </c>
    </row>
    <row r="219" spans="1:61" x14ac:dyDescent="0.25">
      <c r="A219" t="s">
        <v>561</v>
      </c>
      <c r="B219" t="s">
        <v>558</v>
      </c>
      <c r="C219" s="119">
        <v>45873</v>
      </c>
      <c r="D219" t="s">
        <v>16</v>
      </c>
      <c r="E219" t="s">
        <v>30</v>
      </c>
      <c r="F219" t="s">
        <v>406</v>
      </c>
      <c r="G219">
        <v>2</v>
      </c>
      <c r="H219" t="s">
        <v>102</v>
      </c>
      <c r="I219" t="s">
        <v>407</v>
      </c>
      <c r="J219">
        <v>5</v>
      </c>
      <c r="K219">
        <v>4</v>
      </c>
      <c r="L219">
        <v>6</v>
      </c>
      <c r="M219">
        <v>4</v>
      </c>
      <c r="N219">
        <v>5</v>
      </c>
      <c r="O219">
        <v>7</v>
      </c>
      <c r="P219">
        <v>3</v>
      </c>
      <c r="Q219">
        <v>4</v>
      </c>
      <c r="R219">
        <v>6</v>
      </c>
      <c r="S219">
        <v>44</v>
      </c>
      <c r="T219">
        <v>11.33</v>
      </c>
      <c r="U219">
        <v>33</v>
      </c>
      <c r="V219">
        <v>1</v>
      </c>
      <c r="W219">
        <v>1</v>
      </c>
      <c r="X219">
        <v>1</v>
      </c>
      <c r="Y219">
        <v>2</v>
      </c>
      <c r="Z219">
        <v>1</v>
      </c>
      <c r="AA219">
        <v>1</v>
      </c>
      <c r="AB219">
        <v>1</v>
      </c>
      <c r="AC219">
        <v>2</v>
      </c>
      <c r="AD219">
        <v>1</v>
      </c>
      <c r="AE219">
        <v>1</v>
      </c>
      <c r="AF219">
        <v>1</v>
      </c>
      <c r="AG219">
        <v>0</v>
      </c>
      <c r="AH219">
        <v>2</v>
      </c>
      <c r="AI219">
        <v>1</v>
      </c>
      <c r="AJ219">
        <v>0</v>
      </c>
      <c r="AK219">
        <v>2</v>
      </c>
      <c r="AL219">
        <v>2</v>
      </c>
      <c r="AM219">
        <v>1</v>
      </c>
      <c r="AN219">
        <v>2</v>
      </c>
      <c r="AO219">
        <v>12</v>
      </c>
      <c r="AY219">
        <f>SUM(Upload_Indiv[[#This Row],[Bird1]:[Bird9]])</f>
        <v>0</v>
      </c>
      <c r="BI219">
        <f>SUM(Upload_Indiv[[#This Row],[Eagle1]:[Eagle9]])</f>
        <v>0</v>
      </c>
    </row>
    <row r="220" spans="1:61" x14ac:dyDescent="0.25">
      <c r="A220" t="s">
        <v>561</v>
      </c>
      <c r="B220" t="s">
        <v>558</v>
      </c>
      <c r="C220" s="119">
        <v>45873</v>
      </c>
      <c r="D220" t="s">
        <v>16</v>
      </c>
      <c r="E220" t="s">
        <v>30</v>
      </c>
      <c r="F220" t="s">
        <v>406</v>
      </c>
      <c r="G220">
        <v>3</v>
      </c>
      <c r="H220" t="s">
        <v>484</v>
      </c>
      <c r="I220" t="s">
        <v>407</v>
      </c>
      <c r="J220">
        <v>5</v>
      </c>
      <c r="K220">
        <v>4</v>
      </c>
      <c r="L220">
        <v>6</v>
      </c>
      <c r="M220">
        <v>7</v>
      </c>
      <c r="N220">
        <v>5</v>
      </c>
      <c r="O220">
        <v>7</v>
      </c>
      <c r="P220">
        <v>4</v>
      </c>
      <c r="Q220">
        <v>9</v>
      </c>
      <c r="R220">
        <v>7</v>
      </c>
      <c r="S220">
        <v>54</v>
      </c>
      <c r="T220">
        <v>16.13</v>
      </c>
      <c r="U220">
        <v>38</v>
      </c>
      <c r="V220">
        <v>2</v>
      </c>
      <c r="W220">
        <v>2</v>
      </c>
      <c r="X220">
        <v>1</v>
      </c>
      <c r="Y220">
        <v>2</v>
      </c>
      <c r="Z220">
        <v>2</v>
      </c>
      <c r="AA220">
        <v>2</v>
      </c>
      <c r="AB220">
        <v>1</v>
      </c>
      <c r="AC220">
        <v>2</v>
      </c>
      <c r="AD220">
        <v>2</v>
      </c>
      <c r="AE220">
        <v>2</v>
      </c>
      <c r="AF220">
        <v>2</v>
      </c>
      <c r="AG220">
        <v>0</v>
      </c>
      <c r="AH220">
        <v>1</v>
      </c>
      <c r="AI220">
        <v>2</v>
      </c>
      <c r="AJ220">
        <v>1</v>
      </c>
      <c r="AK220">
        <v>1</v>
      </c>
      <c r="AL220">
        <v>0</v>
      </c>
      <c r="AM220">
        <v>1</v>
      </c>
      <c r="AN220">
        <v>1</v>
      </c>
      <c r="AO220">
        <v>11</v>
      </c>
      <c r="AY220">
        <f>SUM(Upload_Indiv[[#This Row],[Bird1]:[Bird9]])</f>
        <v>0</v>
      </c>
      <c r="BI220">
        <f>SUM(Upload_Indiv[[#This Row],[Eagle1]:[Eagle9]])</f>
        <v>0</v>
      </c>
    </row>
    <row r="221" spans="1:61" x14ac:dyDescent="0.25">
      <c r="A221" t="s">
        <v>561</v>
      </c>
      <c r="B221" t="s">
        <v>558</v>
      </c>
      <c r="C221" s="119">
        <v>45873</v>
      </c>
      <c r="D221" t="s">
        <v>16</v>
      </c>
      <c r="E221" t="s">
        <v>30</v>
      </c>
      <c r="F221" t="s">
        <v>406</v>
      </c>
      <c r="G221">
        <v>4</v>
      </c>
      <c r="H221" t="s">
        <v>265</v>
      </c>
      <c r="I221" t="s">
        <v>407</v>
      </c>
      <c r="J221">
        <v>6</v>
      </c>
      <c r="K221">
        <v>5</v>
      </c>
      <c r="L221">
        <v>8</v>
      </c>
      <c r="M221">
        <v>7</v>
      </c>
      <c r="N221">
        <v>4</v>
      </c>
      <c r="O221">
        <v>6</v>
      </c>
      <c r="P221">
        <v>4</v>
      </c>
      <c r="Q221">
        <v>5</v>
      </c>
      <c r="R221">
        <v>7</v>
      </c>
      <c r="S221">
        <v>52</v>
      </c>
      <c r="T221">
        <v>20</v>
      </c>
      <c r="U221">
        <v>32</v>
      </c>
      <c r="V221">
        <v>2</v>
      </c>
      <c r="W221">
        <v>2</v>
      </c>
      <c r="X221">
        <v>2</v>
      </c>
      <c r="Y221">
        <v>3</v>
      </c>
      <c r="Z221">
        <v>2</v>
      </c>
      <c r="AA221">
        <v>2</v>
      </c>
      <c r="AB221">
        <v>2</v>
      </c>
      <c r="AC221">
        <v>3</v>
      </c>
      <c r="AD221">
        <v>2</v>
      </c>
      <c r="AE221">
        <v>1</v>
      </c>
      <c r="AF221">
        <v>1</v>
      </c>
      <c r="AG221">
        <v>0</v>
      </c>
      <c r="AH221">
        <v>2</v>
      </c>
      <c r="AI221">
        <v>2</v>
      </c>
      <c r="AJ221">
        <v>2</v>
      </c>
      <c r="AK221">
        <v>2</v>
      </c>
      <c r="AL221">
        <v>2</v>
      </c>
      <c r="AM221">
        <v>1</v>
      </c>
      <c r="AN221">
        <v>2</v>
      </c>
      <c r="AO221">
        <v>15</v>
      </c>
      <c r="AY221">
        <f>SUM(Upload_Indiv[[#This Row],[Bird1]:[Bird9]])</f>
        <v>0</v>
      </c>
      <c r="BI221">
        <f>SUM(Upload_Indiv[[#This Row],[Eagle1]:[Eagle9]])</f>
        <v>0</v>
      </c>
    </row>
    <row r="222" spans="1:61" x14ac:dyDescent="0.25">
      <c r="A222" t="s">
        <v>561</v>
      </c>
      <c r="B222" t="s">
        <v>558</v>
      </c>
      <c r="C222" s="119">
        <v>45873</v>
      </c>
      <c r="D222" t="s">
        <v>30</v>
      </c>
      <c r="E222" t="s">
        <v>16</v>
      </c>
      <c r="F222" t="s">
        <v>406</v>
      </c>
      <c r="G222">
        <v>1</v>
      </c>
      <c r="H222" t="s">
        <v>323</v>
      </c>
      <c r="I222" t="s">
        <v>407</v>
      </c>
      <c r="J222">
        <v>4</v>
      </c>
      <c r="K222">
        <v>3</v>
      </c>
      <c r="L222">
        <v>4</v>
      </c>
      <c r="M222">
        <v>5</v>
      </c>
      <c r="N222">
        <v>4</v>
      </c>
      <c r="O222">
        <v>5</v>
      </c>
      <c r="P222">
        <v>3</v>
      </c>
      <c r="Q222">
        <v>5</v>
      </c>
      <c r="R222">
        <v>5</v>
      </c>
      <c r="S222">
        <v>38</v>
      </c>
      <c r="T222">
        <v>0</v>
      </c>
      <c r="U222">
        <v>38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1</v>
      </c>
      <c r="AF222">
        <v>2</v>
      </c>
      <c r="AG222">
        <v>0</v>
      </c>
      <c r="AH222">
        <v>0</v>
      </c>
      <c r="AI222">
        <v>2</v>
      </c>
      <c r="AJ222">
        <v>0</v>
      </c>
      <c r="AK222">
        <v>2</v>
      </c>
      <c r="AL222">
        <v>0</v>
      </c>
      <c r="AM222">
        <v>1</v>
      </c>
      <c r="AN222">
        <v>1</v>
      </c>
      <c r="AO222">
        <v>9</v>
      </c>
      <c r="AY222">
        <f>SUM(Upload_Indiv[[#This Row],[Bird1]:[Bird9]])</f>
        <v>0</v>
      </c>
      <c r="BI222">
        <f>SUM(Upload_Indiv[[#This Row],[Eagle1]:[Eagle9]])</f>
        <v>0</v>
      </c>
    </row>
    <row r="223" spans="1:61" x14ac:dyDescent="0.25">
      <c r="A223" t="s">
        <v>561</v>
      </c>
      <c r="B223" t="s">
        <v>558</v>
      </c>
      <c r="C223" s="119">
        <v>45873</v>
      </c>
      <c r="D223" t="s">
        <v>30</v>
      </c>
      <c r="E223" t="s">
        <v>16</v>
      </c>
      <c r="F223" t="s">
        <v>406</v>
      </c>
      <c r="G223">
        <v>2</v>
      </c>
      <c r="H223" t="s">
        <v>324</v>
      </c>
      <c r="I223" t="s">
        <v>407</v>
      </c>
      <c r="J223">
        <v>4</v>
      </c>
      <c r="K223">
        <v>3</v>
      </c>
      <c r="L223">
        <v>4</v>
      </c>
      <c r="M223">
        <v>5</v>
      </c>
      <c r="N223">
        <v>4</v>
      </c>
      <c r="O223">
        <v>5</v>
      </c>
      <c r="P223">
        <v>3</v>
      </c>
      <c r="Q223">
        <v>5</v>
      </c>
      <c r="R223">
        <v>5</v>
      </c>
      <c r="S223">
        <v>38</v>
      </c>
      <c r="T223">
        <v>0</v>
      </c>
      <c r="U223">
        <v>38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1</v>
      </c>
      <c r="AF223">
        <v>1</v>
      </c>
      <c r="AG223">
        <v>2</v>
      </c>
      <c r="AH223">
        <v>0</v>
      </c>
      <c r="AI223">
        <v>1</v>
      </c>
      <c r="AJ223">
        <v>2</v>
      </c>
      <c r="AK223">
        <v>0</v>
      </c>
      <c r="AL223">
        <v>0</v>
      </c>
      <c r="AM223">
        <v>1</v>
      </c>
      <c r="AN223">
        <v>0</v>
      </c>
      <c r="AO223">
        <v>8</v>
      </c>
      <c r="AY223">
        <f>SUM(Upload_Indiv[[#This Row],[Bird1]:[Bird9]])</f>
        <v>0</v>
      </c>
      <c r="BI223">
        <f>SUM(Upload_Indiv[[#This Row],[Eagle1]:[Eagle9]])</f>
        <v>0</v>
      </c>
    </row>
    <row r="224" spans="1:61" x14ac:dyDescent="0.25">
      <c r="A224" t="s">
        <v>561</v>
      </c>
      <c r="B224" t="s">
        <v>558</v>
      </c>
      <c r="C224" s="119">
        <v>45873</v>
      </c>
      <c r="D224" t="s">
        <v>30</v>
      </c>
      <c r="E224" t="s">
        <v>16</v>
      </c>
      <c r="F224" t="s">
        <v>406</v>
      </c>
      <c r="G224">
        <v>3</v>
      </c>
      <c r="H224" t="s">
        <v>325</v>
      </c>
      <c r="I224" t="s">
        <v>407</v>
      </c>
      <c r="J224">
        <v>4</v>
      </c>
      <c r="K224">
        <v>3</v>
      </c>
      <c r="L224">
        <v>4</v>
      </c>
      <c r="M224">
        <v>5</v>
      </c>
      <c r="N224">
        <v>4</v>
      </c>
      <c r="O224">
        <v>5</v>
      </c>
      <c r="P224">
        <v>3</v>
      </c>
      <c r="Q224">
        <v>5</v>
      </c>
      <c r="R224">
        <v>5</v>
      </c>
      <c r="S224">
        <v>38</v>
      </c>
      <c r="T224">
        <v>0</v>
      </c>
      <c r="U224">
        <v>38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2</v>
      </c>
      <c r="AH224">
        <v>1</v>
      </c>
      <c r="AI224">
        <v>0</v>
      </c>
      <c r="AJ224">
        <v>1</v>
      </c>
      <c r="AK224">
        <v>1</v>
      </c>
      <c r="AL224">
        <v>2</v>
      </c>
      <c r="AM224">
        <v>1</v>
      </c>
      <c r="AN224">
        <v>1</v>
      </c>
      <c r="AO224">
        <v>9</v>
      </c>
      <c r="AY224">
        <f>SUM(Upload_Indiv[[#This Row],[Bird1]:[Bird9]])</f>
        <v>0</v>
      </c>
      <c r="BI224">
        <f>SUM(Upload_Indiv[[#This Row],[Eagle1]:[Eagle9]])</f>
        <v>0</v>
      </c>
    </row>
    <row r="225" spans="1:61" x14ac:dyDescent="0.25">
      <c r="A225" t="s">
        <v>561</v>
      </c>
      <c r="B225" t="s">
        <v>558</v>
      </c>
      <c r="C225" s="119">
        <v>45873</v>
      </c>
      <c r="D225" t="s">
        <v>30</v>
      </c>
      <c r="E225" t="s">
        <v>16</v>
      </c>
      <c r="F225" t="s">
        <v>406</v>
      </c>
      <c r="G225">
        <v>4</v>
      </c>
      <c r="H225" t="s">
        <v>326</v>
      </c>
      <c r="I225" t="s">
        <v>407</v>
      </c>
      <c r="J225">
        <v>4</v>
      </c>
      <c r="K225">
        <v>3</v>
      </c>
      <c r="L225">
        <v>4</v>
      </c>
      <c r="M225">
        <v>5</v>
      </c>
      <c r="N225">
        <v>4</v>
      </c>
      <c r="O225">
        <v>5</v>
      </c>
      <c r="P225">
        <v>3</v>
      </c>
      <c r="Q225">
        <v>5</v>
      </c>
      <c r="R225">
        <v>5</v>
      </c>
      <c r="S225">
        <v>38</v>
      </c>
      <c r="T225">
        <v>0</v>
      </c>
      <c r="U225">
        <v>38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1</v>
      </c>
      <c r="AF225">
        <v>1</v>
      </c>
      <c r="AG225">
        <v>2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>
        <v>0</v>
      </c>
      <c r="AO225">
        <v>5</v>
      </c>
      <c r="AY225">
        <f>SUM(Upload_Indiv[[#This Row],[Bird1]:[Bird9]])</f>
        <v>0</v>
      </c>
      <c r="BI225">
        <f>SUM(Upload_Indiv[[#This Row],[Eagle1]:[Eagle9]])</f>
        <v>0</v>
      </c>
    </row>
    <row r="226" spans="1:61" x14ac:dyDescent="0.25">
      <c r="A226" t="s">
        <v>566</v>
      </c>
      <c r="B226" t="s">
        <v>563</v>
      </c>
      <c r="C226" s="119">
        <v>45880</v>
      </c>
      <c r="D226" t="s">
        <v>22</v>
      </c>
      <c r="E226" t="s">
        <v>28</v>
      </c>
      <c r="F226" t="s">
        <v>408</v>
      </c>
      <c r="G226">
        <v>1</v>
      </c>
      <c r="H226" t="s">
        <v>156</v>
      </c>
      <c r="I226" t="s">
        <v>407</v>
      </c>
      <c r="J226">
        <v>5</v>
      </c>
      <c r="K226">
        <v>4</v>
      </c>
      <c r="L226">
        <v>7</v>
      </c>
      <c r="M226">
        <v>4</v>
      </c>
      <c r="N226">
        <v>5</v>
      </c>
      <c r="O226">
        <v>6</v>
      </c>
      <c r="P226">
        <v>5</v>
      </c>
      <c r="Q226">
        <v>3</v>
      </c>
      <c r="R226">
        <v>6</v>
      </c>
      <c r="S226">
        <v>45</v>
      </c>
      <c r="T226">
        <v>4.99</v>
      </c>
      <c r="U226">
        <v>40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1</v>
      </c>
      <c r="AF226">
        <v>2</v>
      </c>
      <c r="AG226">
        <v>0</v>
      </c>
      <c r="AH226">
        <v>0</v>
      </c>
      <c r="AI226">
        <v>0</v>
      </c>
      <c r="AJ226">
        <v>0</v>
      </c>
      <c r="AK226">
        <v>2</v>
      </c>
      <c r="AL226">
        <v>2</v>
      </c>
      <c r="AM226">
        <v>1</v>
      </c>
      <c r="AN226">
        <v>1</v>
      </c>
      <c r="AO226">
        <v>9</v>
      </c>
      <c r="AQ226">
        <v>1</v>
      </c>
      <c r="AY226">
        <f>SUM(Upload_Indiv[[#This Row],[Bird1]:[Bird9]])</f>
        <v>1</v>
      </c>
      <c r="BI226">
        <f>SUM(Upload_Indiv[[#This Row],[Eagle1]:[Eagle9]])</f>
        <v>0</v>
      </c>
    </row>
    <row r="227" spans="1:61" x14ac:dyDescent="0.25">
      <c r="A227" t="s">
        <v>566</v>
      </c>
      <c r="B227" t="s">
        <v>563</v>
      </c>
      <c r="C227" s="119">
        <v>45880</v>
      </c>
      <c r="D227" t="s">
        <v>22</v>
      </c>
      <c r="E227" t="s">
        <v>28</v>
      </c>
      <c r="F227" t="s">
        <v>408</v>
      </c>
      <c r="G227">
        <v>2</v>
      </c>
      <c r="H227" t="s">
        <v>294</v>
      </c>
      <c r="I227" t="s">
        <v>407</v>
      </c>
      <c r="J227">
        <v>4</v>
      </c>
      <c r="K227">
        <v>6</v>
      </c>
      <c r="L227">
        <v>5</v>
      </c>
      <c r="M227">
        <v>4</v>
      </c>
      <c r="N227">
        <v>5</v>
      </c>
      <c r="O227">
        <v>6</v>
      </c>
      <c r="P227">
        <v>6</v>
      </c>
      <c r="Q227">
        <v>4</v>
      </c>
      <c r="R227">
        <v>5</v>
      </c>
      <c r="S227">
        <v>45</v>
      </c>
      <c r="T227">
        <v>5.18</v>
      </c>
      <c r="U227">
        <v>40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1</v>
      </c>
      <c r="AI227">
        <v>0</v>
      </c>
      <c r="AJ227">
        <v>0</v>
      </c>
      <c r="AK227">
        <v>1</v>
      </c>
      <c r="AL227">
        <v>1</v>
      </c>
      <c r="AM227">
        <v>1</v>
      </c>
      <c r="AN227">
        <v>0</v>
      </c>
      <c r="AO227">
        <v>4</v>
      </c>
      <c r="AY227">
        <f>SUM(Upload_Indiv[[#This Row],[Bird1]:[Bird9]])</f>
        <v>0</v>
      </c>
      <c r="BI227">
        <f>SUM(Upload_Indiv[[#This Row],[Eagle1]:[Eagle9]])</f>
        <v>0</v>
      </c>
    </row>
    <row r="228" spans="1:61" x14ac:dyDescent="0.25">
      <c r="A228" t="s">
        <v>566</v>
      </c>
      <c r="B228" t="s">
        <v>563</v>
      </c>
      <c r="C228" s="119">
        <v>45880</v>
      </c>
      <c r="D228" t="s">
        <v>22</v>
      </c>
      <c r="E228" t="s">
        <v>28</v>
      </c>
      <c r="F228" t="s">
        <v>408</v>
      </c>
      <c r="G228">
        <v>3</v>
      </c>
      <c r="H228" t="s">
        <v>148</v>
      </c>
      <c r="I228" t="s">
        <v>407</v>
      </c>
      <c r="J228">
        <v>6</v>
      </c>
      <c r="K228">
        <v>6</v>
      </c>
      <c r="L228">
        <v>6</v>
      </c>
      <c r="M228">
        <v>3</v>
      </c>
      <c r="N228">
        <v>9</v>
      </c>
      <c r="O228">
        <v>9</v>
      </c>
      <c r="P228">
        <v>7</v>
      </c>
      <c r="Q228">
        <v>4</v>
      </c>
      <c r="R228">
        <v>5</v>
      </c>
      <c r="S228">
        <v>55</v>
      </c>
      <c r="T228">
        <v>12.86</v>
      </c>
      <c r="U228">
        <v>42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2</v>
      </c>
      <c r="AF228">
        <v>2</v>
      </c>
      <c r="AG228">
        <v>2</v>
      </c>
      <c r="AH228">
        <v>2</v>
      </c>
      <c r="AI228">
        <v>0</v>
      </c>
      <c r="AJ228">
        <v>0</v>
      </c>
      <c r="AK228">
        <v>2</v>
      </c>
      <c r="AL228">
        <v>0</v>
      </c>
      <c r="AM228">
        <v>1</v>
      </c>
      <c r="AN228">
        <v>2</v>
      </c>
      <c r="AO228">
        <v>13</v>
      </c>
      <c r="AY228">
        <f>SUM(Upload_Indiv[[#This Row],[Bird1]:[Bird9]])</f>
        <v>0</v>
      </c>
      <c r="BI228">
        <f>SUM(Upload_Indiv[[#This Row],[Eagle1]:[Eagle9]])</f>
        <v>0</v>
      </c>
    </row>
    <row r="229" spans="1:61" x14ac:dyDescent="0.25">
      <c r="A229" t="s">
        <v>566</v>
      </c>
      <c r="B229" t="s">
        <v>563</v>
      </c>
      <c r="C229" s="119">
        <v>45880</v>
      </c>
      <c r="D229" t="s">
        <v>22</v>
      </c>
      <c r="E229" t="s">
        <v>28</v>
      </c>
      <c r="F229" t="s">
        <v>408</v>
      </c>
      <c r="G229">
        <v>4</v>
      </c>
      <c r="H229" t="s">
        <v>158</v>
      </c>
      <c r="I229" t="s">
        <v>407</v>
      </c>
      <c r="J229">
        <v>6</v>
      </c>
      <c r="K229">
        <v>5</v>
      </c>
      <c r="L229">
        <v>5</v>
      </c>
      <c r="M229">
        <v>4</v>
      </c>
      <c r="N229">
        <v>4</v>
      </c>
      <c r="O229">
        <v>6</v>
      </c>
      <c r="P229">
        <v>8</v>
      </c>
      <c r="Q229">
        <v>5</v>
      </c>
      <c r="R229">
        <v>6</v>
      </c>
      <c r="S229">
        <v>49</v>
      </c>
      <c r="T229">
        <v>13.63</v>
      </c>
      <c r="U229">
        <v>35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2</v>
      </c>
      <c r="AG229">
        <v>1</v>
      </c>
      <c r="AH229">
        <v>2</v>
      </c>
      <c r="AI229">
        <v>2</v>
      </c>
      <c r="AJ229">
        <v>0</v>
      </c>
      <c r="AK229">
        <v>1</v>
      </c>
      <c r="AL229">
        <v>0</v>
      </c>
      <c r="AM229">
        <v>2</v>
      </c>
      <c r="AN229">
        <v>2</v>
      </c>
      <c r="AO229">
        <v>12</v>
      </c>
      <c r="AY229">
        <f>SUM(Upload_Indiv[[#This Row],[Bird1]:[Bird9]])</f>
        <v>0</v>
      </c>
      <c r="BI229">
        <f>SUM(Upload_Indiv[[#This Row],[Eagle1]:[Eagle9]])</f>
        <v>0</v>
      </c>
    </row>
    <row r="230" spans="1:61" x14ac:dyDescent="0.25">
      <c r="A230" t="s">
        <v>566</v>
      </c>
      <c r="B230" t="s">
        <v>563</v>
      </c>
      <c r="C230" s="119">
        <v>45880</v>
      </c>
      <c r="D230" t="s">
        <v>28</v>
      </c>
      <c r="E230" t="s">
        <v>22</v>
      </c>
      <c r="F230" t="s">
        <v>408</v>
      </c>
      <c r="G230">
        <v>1</v>
      </c>
      <c r="H230" t="s">
        <v>320</v>
      </c>
      <c r="I230" t="s">
        <v>407</v>
      </c>
      <c r="J230">
        <v>6</v>
      </c>
      <c r="K230">
        <v>8</v>
      </c>
      <c r="L230">
        <v>6</v>
      </c>
      <c r="M230">
        <v>4</v>
      </c>
      <c r="N230">
        <v>5</v>
      </c>
      <c r="O230">
        <v>5</v>
      </c>
      <c r="P230">
        <v>9</v>
      </c>
      <c r="Q230">
        <v>5</v>
      </c>
      <c r="R230">
        <v>7</v>
      </c>
      <c r="S230">
        <v>55</v>
      </c>
      <c r="T230">
        <v>15.36</v>
      </c>
      <c r="U230">
        <v>40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2</v>
      </c>
      <c r="AB230">
        <v>1</v>
      </c>
      <c r="AC230">
        <v>1</v>
      </c>
      <c r="AD230">
        <v>1</v>
      </c>
      <c r="AE230">
        <v>1</v>
      </c>
      <c r="AF230">
        <v>0</v>
      </c>
      <c r="AG230">
        <v>2</v>
      </c>
      <c r="AH230">
        <v>2</v>
      </c>
      <c r="AI230">
        <v>2</v>
      </c>
      <c r="AJ230">
        <v>2</v>
      </c>
      <c r="AK230">
        <v>0</v>
      </c>
      <c r="AL230">
        <v>0</v>
      </c>
      <c r="AM230">
        <v>1</v>
      </c>
      <c r="AN230">
        <v>1</v>
      </c>
      <c r="AO230">
        <v>11</v>
      </c>
      <c r="AY230">
        <f>SUM(Upload_Indiv[[#This Row],[Bird1]:[Bird9]])</f>
        <v>0</v>
      </c>
      <c r="BI230">
        <f>SUM(Upload_Indiv[[#This Row],[Eagle1]:[Eagle9]])</f>
        <v>0</v>
      </c>
    </row>
    <row r="231" spans="1:61" x14ac:dyDescent="0.25">
      <c r="A231" t="s">
        <v>566</v>
      </c>
      <c r="B231" t="s">
        <v>563</v>
      </c>
      <c r="C231" s="119">
        <v>45880</v>
      </c>
      <c r="D231" t="s">
        <v>28</v>
      </c>
      <c r="E231" t="s">
        <v>22</v>
      </c>
      <c r="F231" t="s">
        <v>408</v>
      </c>
      <c r="G231">
        <v>2</v>
      </c>
      <c r="H231" t="s">
        <v>315</v>
      </c>
      <c r="I231" t="s">
        <v>407</v>
      </c>
      <c r="J231">
        <v>5</v>
      </c>
      <c r="K231">
        <v>6</v>
      </c>
      <c r="L231">
        <v>5</v>
      </c>
      <c r="M231">
        <v>5</v>
      </c>
      <c r="N231">
        <v>5</v>
      </c>
      <c r="O231">
        <v>7</v>
      </c>
      <c r="P231">
        <v>7</v>
      </c>
      <c r="Q231">
        <v>5</v>
      </c>
      <c r="R231">
        <v>7</v>
      </c>
      <c r="S231">
        <v>52</v>
      </c>
      <c r="T231">
        <v>18.239999999999998</v>
      </c>
      <c r="U231">
        <v>34</v>
      </c>
      <c r="V231">
        <v>2</v>
      </c>
      <c r="W231">
        <v>1</v>
      </c>
      <c r="X231">
        <v>2</v>
      </c>
      <c r="Y231">
        <v>1</v>
      </c>
      <c r="Z231">
        <v>1</v>
      </c>
      <c r="AA231">
        <v>2</v>
      </c>
      <c r="AB231">
        <v>1</v>
      </c>
      <c r="AC231">
        <v>1</v>
      </c>
      <c r="AD231">
        <v>2</v>
      </c>
      <c r="AE231">
        <v>2</v>
      </c>
      <c r="AF231">
        <v>2</v>
      </c>
      <c r="AG231">
        <v>2</v>
      </c>
      <c r="AH231">
        <v>1</v>
      </c>
      <c r="AI231">
        <v>2</v>
      </c>
      <c r="AJ231">
        <v>2</v>
      </c>
      <c r="AK231">
        <v>1</v>
      </c>
      <c r="AL231">
        <v>1</v>
      </c>
      <c r="AM231">
        <v>1</v>
      </c>
      <c r="AN231">
        <v>2</v>
      </c>
      <c r="AO231">
        <v>16</v>
      </c>
      <c r="AY231">
        <f>SUM(Upload_Indiv[[#This Row],[Bird1]:[Bird9]])</f>
        <v>0</v>
      </c>
      <c r="BI231">
        <f>SUM(Upload_Indiv[[#This Row],[Eagle1]:[Eagle9]])</f>
        <v>0</v>
      </c>
    </row>
    <row r="232" spans="1:61" x14ac:dyDescent="0.25">
      <c r="A232" t="s">
        <v>566</v>
      </c>
      <c r="B232" t="s">
        <v>563</v>
      </c>
      <c r="C232" s="119">
        <v>45880</v>
      </c>
      <c r="D232" t="s">
        <v>28</v>
      </c>
      <c r="E232" t="s">
        <v>22</v>
      </c>
      <c r="F232" t="s">
        <v>408</v>
      </c>
      <c r="G232">
        <v>3</v>
      </c>
      <c r="H232" t="s">
        <v>317</v>
      </c>
      <c r="I232" t="s">
        <v>407</v>
      </c>
      <c r="J232">
        <v>9</v>
      </c>
      <c r="K232">
        <v>7</v>
      </c>
      <c r="L232">
        <v>8</v>
      </c>
      <c r="M232">
        <v>4</v>
      </c>
      <c r="N232">
        <v>7</v>
      </c>
      <c r="O232">
        <v>7</v>
      </c>
      <c r="P232">
        <v>10</v>
      </c>
      <c r="Q232">
        <v>4</v>
      </c>
      <c r="R232">
        <v>6</v>
      </c>
      <c r="S232">
        <v>62</v>
      </c>
      <c r="T232">
        <v>18.82</v>
      </c>
      <c r="U232">
        <v>43</v>
      </c>
      <c r="V232">
        <v>1</v>
      </c>
      <c r="W232">
        <v>0</v>
      </c>
      <c r="X232">
        <v>1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2</v>
      </c>
      <c r="AJ232">
        <v>2</v>
      </c>
      <c r="AK232">
        <v>0</v>
      </c>
      <c r="AL232">
        <v>2</v>
      </c>
      <c r="AM232">
        <v>1</v>
      </c>
      <c r="AN232">
        <v>0</v>
      </c>
      <c r="AO232">
        <v>7</v>
      </c>
      <c r="AY232">
        <f>SUM(Upload_Indiv[[#This Row],[Bird1]:[Bird9]])</f>
        <v>0</v>
      </c>
      <c r="BI232">
        <f>SUM(Upload_Indiv[[#This Row],[Eagle1]:[Eagle9]])</f>
        <v>0</v>
      </c>
    </row>
    <row r="233" spans="1:61" x14ac:dyDescent="0.25">
      <c r="A233" t="s">
        <v>566</v>
      </c>
      <c r="B233" t="s">
        <v>563</v>
      </c>
      <c r="C233" s="119">
        <v>45880</v>
      </c>
      <c r="D233" t="s">
        <v>28</v>
      </c>
      <c r="E233" t="s">
        <v>22</v>
      </c>
      <c r="F233" t="s">
        <v>408</v>
      </c>
      <c r="G233">
        <v>4</v>
      </c>
      <c r="H233" t="s">
        <v>101</v>
      </c>
      <c r="I233" t="s">
        <v>407</v>
      </c>
      <c r="J233">
        <v>6</v>
      </c>
      <c r="K233">
        <v>7</v>
      </c>
      <c r="L233">
        <v>6</v>
      </c>
      <c r="M233">
        <v>6</v>
      </c>
      <c r="N233">
        <v>5</v>
      </c>
      <c r="O233">
        <v>6</v>
      </c>
      <c r="P233">
        <v>9</v>
      </c>
      <c r="Q233">
        <v>4</v>
      </c>
      <c r="R233">
        <v>9</v>
      </c>
      <c r="S233">
        <v>58</v>
      </c>
      <c r="T233">
        <v>20</v>
      </c>
      <c r="U233">
        <v>38</v>
      </c>
      <c r="V233">
        <v>1</v>
      </c>
      <c r="W233">
        <v>0</v>
      </c>
      <c r="X233">
        <v>1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2</v>
      </c>
      <c r="AF233">
        <v>0</v>
      </c>
      <c r="AG233">
        <v>1</v>
      </c>
      <c r="AH233">
        <v>0</v>
      </c>
      <c r="AI233">
        <v>0</v>
      </c>
      <c r="AJ233">
        <v>2</v>
      </c>
      <c r="AK233">
        <v>1</v>
      </c>
      <c r="AL233">
        <v>2</v>
      </c>
      <c r="AM233">
        <v>0</v>
      </c>
      <c r="AN233">
        <v>0</v>
      </c>
      <c r="AO233">
        <v>8</v>
      </c>
      <c r="AY233">
        <f>SUM(Upload_Indiv[[#This Row],[Bird1]:[Bird9]])</f>
        <v>0</v>
      </c>
      <c r="BI233">
        <f>SUM(Upload_Indiv[[#This Row],[Eagle1]:[Eagle9]])</f>
        <v>0</v>
      </c>
    </row>
    <row r="234" spans="1:61" x14ac:dyDescent="0.25">
      <c r="A234" t="s">
        <v>565</v>
      </c>
      <c r="B234" t="s">
        <v>563</v>
      </c>
      <c r="C234" s="119">
        <v>45880</v>
      </c>
      <c r="D234" t="s">
        <v>20</v>
      </c>
      <c r="E234" t="s">
        <v>16</v>
      </c>
      <c r="F234" t="s">
        <v>406</v>
      </c>
      <c r="G234">
        <v>1</v>
      </c>
      <c r="H234" t="s">
        <v>283</v>
      </c>
      <c r="I234" t="s">
        <v>407</v>
      </c>
      <c r="J234">
        <v>5</v>
      </c>
      <c r="K234">
        <v>4</v>
      </c>
      <c r="L234">
        <v>4</v>
      </c>
      <c r="M234">
        <v>4</v>
      </c>
      <c r="N234">
        <v>9</v>
      </c>
      <c r="O234">
        <v>8</v>
      </c>
      <c r="P234">
        <v>3</v>
      </c>
      <c r="Q234">
        <v>5</v>
      </c>
      <c r="R234">
        <v>5</v>
      </c>
      <c r="S234">
        <v>47</v>
      </c>
      <c r="T234">
        <v>7.49</v>
      </c>
      <c r="U234">
        <v>40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2</v>
      </c>
      <c r="AG234">
        <v>2</v>
      </c>
      <c r="AH234">
        <v>0</v>
      </c>
      <c r="AI234">
        <v>0</v>
      </c>
      <c r="AJ234">
        <v>1</v>
      </c>
      <c r="AK234">
        <v>1</v>
      </c>
      <c r="AL234">
        <v>1</v>
      </c>
      <c r="AM234">
        <v>2</v>
      </c>
      <c r="AN234">
        <v>1</v>
      </c>
      <c r="AO234">
        <v>10</v>
      </c>
      <c r="AY234">
        <f>SUM(Upload_Indiv[[#This Row],[Bird1]:[Bird9]])</f>
        <v>0</v>
      </c>
      <c r="BI234">
        <f>SUM(Upload_Indiv[[#This Row],[Eagle1]:[Eagle9]])</f>
        <v>0</v>
      </c>
    </row>
    <row r="235" spans="1:61" x14ac:dyDescent="0.25">
      <c r="A235" t="s">
        <v>565</v>
      </c>
      <c r="B235" t="s">
        <v>563</v>
      </c>
      <c r="C235" s="119">
        <v>45880</v>
      </c>
      <c r="D235" t="s">
        <v>20</v>
      </c>
      <c r="E235" t="s">
        <v>16</v>
      </c>
      <c r="F235" t="s">
        <v>406</v>
      </c>
      <c r="G235">
        <v>2</v>
      </c>
      <c r="H235" t="s">
        <v>153</v>
      </c>
      <c r="I235" t="s">
        <v>407</v>
      </c>
      <c r="J235">
        <v>4</v>
      </c>
      <c r="K235">
        <v>3</v>
      </c>
      <c r="L235">
        <v>4</v>
      </c>
      <c r="M235">
        <v>4</v>
      </c>
      <c r="N235">
        <v>4</v>
      </c>
      <c r="O235">
        <v>3</v>
      </c>
      <c r="P235">
        <v>3</v>
      </c>
      <c r="Q235">
        <v>5</v>
      </c>
      <c r="R235">
        <v>8</v>
      </c>
      <c r="S235">
        <v>38</v>
      </c>
      <c r="T235">
        <v>7.68</v>
      </c>
      <c r="U235">
        <v>30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1</v>
      </c>
      <c r="AF235">
        <v>1</v>
      </c>
      <c r="AG235">
        <v>2</v>
      </c>
      <c r="AH235">
        <v>2</v>
      </c>
      <c r="AI235">
        <v>2</v>
      </c>
      <c r="AJ235">
        <v>2</v>
      </c>
      <c r="AK235">
        <v>2</v>
      </c>
      <c r="AL235">
        <v>0</v>
      </c>
      <c r="AM235">
        <v>0</v>
      </c>
      <c r="AN235">
        <v>2</v>
      </c>
      <c r="AO235">
        <v>14</v>
      </c>
      <c r="AY235">
        <f>SUM(Upload_Indiv[[#This Row],[Bird1]:[Bird9]])</f>
        <v>0</v>
      </c>
      <c r="BE235">
        <v>1</v>
      </c>
      <c r="BI235">
        <f>SUM(Upload_Indiv[[#This Row],[Eagle1]:[Eagle9]])</f>
        <v>1</v>
      </c>
    </row>
    <row r="236" spans="1:61" x14ac:dyDescent="0.25">
      <c r="A236" t="s">
        <v>565</v>
      </c>
      <c r="B236" t="s">
        <v>563</v>
      </c>
      <c r="C236" s="119">
        <v>45880</v>
      </c>
      <c r="D236" t="s">
        <v>20</v>
      </c>
      <c r="E236" t="s">
        <v>16</v>
      </c>
      <c r="F236" t="s">
        <v>406</v>
      </c>
      <c r="G236">
        <v>3</v>
      </c>
      <c r="H236" t="s">
        <v>163</v>
      </c>
      <c r="I236" t="s">
        <v>407</v>
      </c>
      <c r="J236">
        <v>5</v>
      </c>
      <c r="K236">
        <v>4</v>
      </c>
      <c r="L236">
        <v>4</v>
      </c>
      <c r="M236">
        <v>5</v>
      </c>
      <c r="N236">
        <v>6</v>
      </c>
      <c r="O236">
        <v>8</v>
      </c>
      <c r="P236">
        <v>4</v>
      </c>
      <c r="Q236">
        <v>5</v>
      </c>
      <c r="R236">
        <v>7</v>
      </c>
      <c r="S236">
        <v>48</v>
      </c>
      <c r="T236">
        <v>8.06</v>
      </c>
      <c r="U236">
        <v>40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</v>
      </c>
      <c r="AH236">
        <v>0</v>
      </c>
      <c r="AI236">
        <v>0</v>
      </c>
      <c r="AJ236">
        <v>0</v>
      </c>
      <c r="AK236">
        <v>1</v>
      </c>
      <c r="AL236">
        <v>0</v>
      </c>
      <c r="AM236">
        <v>1</v>
      </c>
      <c r="AN236">
        <v>0</v>
      </c>
      <c r="AO236">
        <v>4</v>
      </c>
      <c r="AY236">
        <f>SUM(Upload_Indiv[[#This Row],[Bird1]:[Bird9]])</f>
        <v>0</v>
      </c>
      <c r="BI236">
        <f>SUM(Upload_Indiv[[#This Row],[Eagle1]:[Eagle9]])</f>
        <v>0</v>
      </c>
    </row>
    <row r="237" spans="1:61" x14ac:dyDescent="0.25">
      <c r="A237" t="s">
        <v>565</v>
      </c>
      <c r="B237" t="s">
        <v>563</v>
      </c>
      <c r="C237" s="119">
        <v>45880</v>
      </c>
      <c r="D237" t="s">
        <v>20</v>
      </c>
      <c r="E237" t="s">
        <v>16</v>
      </c>
      <c r="F237" t="s">
        <v>406</v>
      </c>
      <c r="G237">
        <v>4</v>
      </c>
      <c r="H237" t="s">
        <v>513</v>
      </c>
      <c r="I237" t="s">
        <v>407</v>
      </c>
      <c r="J237">
        <v>5</v>
      </c>
      <c r="K237">
        <v>4</v>
      </c>
      <c r="L237">
        <v>6</v>
      </c>
      <c r="M237">
        <v>8</v>
      </c>
      <c r="N237">
        <v>7</v>
      </c>
      <c r="O237">
        <v>7</v>
      </c>
      <c r="P237">
        <v>4</v>
      </c>
      <c r="Q237">
        <v>7</v>
      </c>
      <c r="R237">
        <v>10</v>
      </c>
      <c r="S237">
        <v>58</v>
      </c>
      <c r="T237">
        <v>10.88</v>
      </c>
      <c r="U237">
        <v>47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2</v>
      </c>
      <c r="AF237">
        <v>2</v>
      </c>
      <c r="AG237">
        <v>2</v>
      </c>
      <c r="AH237">
        <v>0</v>
      </c>
      <c r="AI237">
        <v>0</v>
      </c>
      <c r="AJ237">
        <v>1</v>
      </c>
      <c r="AK237">
        <v>0</v>
      </c>
      <c r="AL237">
        <v>0</v>
      </c>
      <c r="AM237">
        <v>0</v>
      </c>
      <c r="AN237">
        <v>0</v>
      </c>
      <c r="AO237">
        <v>7</v>
      </c>
      <c r="AY237">
        <f>SUM(Upload_Indiv[[#This Row],[Bird1]:[Bird9]])</f>
        <v>0</v>
      </c>
      <c r="BI237">
        <f>SUM(Upload_Indiv[[#This Row],[Eagle1]:[Eagle9]])</f>
        <v>0</v>
      </c>
    </row>
    <row r="238" spans="1:61" x14ac:dyDescent="0.25">
      <c r="A238" t="s">
        <v>565</v>
      </c>
      <c r="B238" t="s">
        <v>563</v>
      </c>
      <c r="C238" s="119">
        <v>45880</v>
      </c>
      <c r="D238" t="s">
        <v>16</v>
      </c>
      <c r="E238" t="s">
        <v>20</v>
      </c>
      <c r="F238" t="s">
        <v>406</v>
      </c>
      <c r="G238">
        <v>1</v>
      </c>
      <c r="H238" t="s">
        <v>485</v>
      </c>
      <c r="I238" t="s">
        <v>407</v>
      </c>
      <c r="J238">
        <v>4</v>
      </c>
      <c r="K238">
        <v>5</v>
      </c>
      <c r="L238">
        <v>6</v>
      </c>
      <c r="M238">
        <v>4</v>
      </c>
      <c r="N238">
        <v>7</v>
      </c>
      <c r="O238">
        <v>8</v>
      </c>
      <c r="P238">
        <v>3</v>
      </c>
      <c r="Q238">
        <v>6</v>
      </c>
      <c r="R238">
        <v>7</v>
      </c>
      <c r="S238">
        <v>50</v>
      </c>
      <c r="T238">
        <v>10.18</v>
      </c>
      <c r="U238">
        <v>40</v>
      </c>
      <c r="V238">
        <v>0</v>
      </c>
      <c r="W238">
        <v>0</v>
      </c>
      <c r="X238">
        <v>0</v>
      </c>
      <c r="Y238">
        <v>1</v>
      </c>
      <c r="Z238">
        <v>1</v>
      </c>
      <c r="AA238">
        <v>0</v>
      </c>
      <c r="AB238">
        <v>0</v>
      </c>
      <c r="AC238">
        <v>1</v>
      </c>
      <c r="AD238">
        <v>0</v>
      </c>
      <c r="AE238">
        <v>2</v>
      </c>
      <c r="AF238">
        <v>0</v>
      </c>
      <c r="AG238">
        <v>0</v>
      </c>
      <c r="AH238">
        <v>2</v>
      </c>
      <c r="AI238">
        <v>2</v>
      </c>
      <c r="AJ238">
        <v>1</v>
      </c>
      <c r="AK238">
        <v>1</v>
      </c>
      <c r="AL238">
        <v>1</v>
      </c>
      <c r="AM238">
        <v>0</v>
      </c>
      <c r="AN238">
        <v>1</v>
      </c>
      <c r="AO238">
        <v>10</v>
      </c>
      <c r="AY238">
        <f>SUM(Upload_Indiv[[#This Row],[Bird1]:[Bird9]])</f>
        <v>0</v>
      </c>
      <c r="BI238">
        <f>SUM(Upload_Indiv[[#This Row],[Eagle1]:[Eagle9]])</f>
        <v>0</v>
      </c>
    </row>
    <row r="239" spans="1:61" x14ac:dyDescent="0.25">
      <c r="A239" t="s">
        <v>565</v>
      </c>
      <c r="B239" t="s">
        <v>563</v>
      </c>
      <c r="C239" s="119">
        <v>45880</v>
      </c>
      <c r="D239" t="s">
        <v>16</v>
      </c>
      <c r="E239" t="s">
        <v>20</v>
      </c>
      <c r="F239" t="s">
        <v>406</v>
      </c>
      <c r="G239">
        <v>2</v>
      </c>
      <c r="H239" t="s">
        <v>267</v>
      </c>
      <c r="I239" t="s">
        <v>407</v>
      </c>
      <c r="J239">
        <v>4</v>
      </c>
      <c r="K239">
        <v>4</v>
      </c>
      <c r="L239">
        <v>6</v>
      </c>
      <c r="M239">
        <v>7</v>
      </c>
      <c r="N239">
        <v>7</v>
      </c>
      <c r="O239">
        <v>5</v>
      </c>
      <c r="P239">
        <v>5</v>
      </c>
      <c r="Q239">
        <v>5</v>
      </c>
      <c r="R239">
        <v>7</v>
      </c>
      <c r="S239">
        <v>50</v>
      </c>
      <c r="T239">
        <v>13.44</v>
      </c>
      <c r="U239">
        <v>37</v>
      </c>
      <c r="V239">
        <v>0</v>
      </c>
      <c r="W239">
        <v>1</v>
      </c>
      <c r="X239">
        <v>0</v>
      </c>
      <c r="Y239">
        <v>1</v>
      </c>
      <c r="Z239">
        <v>1</v>
      </c>
      <c r="AA239">
        <v>1</v>
      </c>
      <c r="AB239">
        <v>0</v>
      </c>
      <c r="AC239">
        <v>1</v>
      </c>
      <c r="AD239">
        <v>1</v>
      </c>
      <c r="AE239">
        <v>1</v>
      </c>
      <c r="AF239">
        <v>1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2</v>
      </c>
      <c r="AM239">
        <v>2</v>
      </c>
      <c r="AN239">
        <v>0</v>
      </c>
      <c r="AO239">
        <v>6</v>
      </c>
      <c r="AY239">
        <f>SUM(Upload_Indiv[[#This Row],[Bird1]:[Bird9]])</f>
        <v>0</v>
      </c>
      <c r="BI239">
        <f>SUM(Upload_Indiv[[#This Row],[Eagle1]:[Eagle9]])</f>
        <v>0</v>
      </c>
    </row>
    <row r="240" spans="1:61" x14ac:dyDescent="0.25">
      <c r="A240" t="s">
        <v>565</v>
      </c>
      <c r="B240" t="s">
        <v>563</v>
      </c>
      <c r="C240" s="119">
        <v>45880</v>
      </c>
      <c r="D240" t="s">
        <v>16</v>
      </c>
      <c r="E240" t="s">
        <v>20</v>
      </c>
      <c r="F240" t="s">
        <v>406</v>
      </c>
      <c r="G240">
        <v>3</v>
      </c>
      <c r="H240" t="s">
        <v>484</v>
      </c>
      <c r="I240" t="s">
        <v>407</v>
      </c>
      <c r="J240">
        <v>5</v>
      </c>
      <c r="K240">
        <v>4</v>
      </c>
      <c r="L240">
        <v>6</v>
      </c>
      <c r="M240">
        <v>4</v>
      </c>
      <c r="N240">
        <v>6</v>
      </c>
      <c r="O240">
        <v>7</v>
      </c>
      <c r="P240">
        <v>4</v>
      </c>
      <c r="Q240">
        <v>5</v>
      </c>
      <c r="R240">
        <v>8</v>
      </c>
      <c r="S240">
        <v>49</v>
      </c>
      <c r="T240">
        <v>15.94</v>
      </c>
      <c r="U240">
        <v>33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0</v>
      </c>
      <c r="AC240">
        <v>1</v>
      </c>
      <c r="AD240">
        <v>1</v>
      </c>
      <c r="AE240">
        <v>2</v>
      </c>
      <c r="AF240">
        <v>2</v>
      </c>
      <c r="AG240">
        <v>0</v>
      </c>
      <c r="AH240">
        <v>2</v>
      </c>
      <c r="AI240">
        <v>2</v>
      </c>
      <c r="AJ240">
        <v>2</v>
      </c>
      <c r="AK240">
        <v>1</v>
      </c>
      <c r="AL240">
        <v>2</v>
      </c>
      <c r="AM240">
        <v>1</v>
      </c>
      <c r="AN240">
        <v>2</v>
      </c>
      <c r="AO240">
        <v>16</v>
      </c>
      <c r="AY240">
        <f>SUM(Upload_Indiv[[#This Row],[Bird1]:[Bird9]])</f>
        <v>0</v>
      </c>
      <c r="BI240">
        <f>SUM(Upload_Indiv[[#This Row],[Eagle1]:[Eagle9]])</f>
        <v>0</v>
      </c>
    </row>
    <row r="241" spans="1:61" x14ac:dyDescent="0.25">
      <c r="A241" t="s">
        <v>565</v>
      </c>
      <c r="B241" t="s">
        <v>563</v>
      </c>
      <c r="C241" s="119">
        <v>45880</v>
      </c>
      <c r="D241" t="s">
        <v>16</v>
      </c>
      <c r="E241" t="s">
        <v>20</v>
      </c>
      <c r="F241" t="s">
        <v>406</v>
      </c>
      <c r="G241">
        <v>4</v>
      </c>
      <c r="H241" t="s">
        <v>265</v>
      </c>
      <c r="I241" t="s">
        <v>407</v>
      </c>
      <c r="J241">
        <v>7</v>
      </c>
      <c r="K241">
        <v>6</v>
      </c>
      <c r="L241">
        <v>8</v>
      </c>
      <c r="M241">
        <v>6</v>
      </c>
      <c r="N241">
        <v>7</v>
      </c>
      <c r="O241">
        <v>8</v>
      </c>
      <c r="P241">
        <v>4</v>
      </c>
      <c r="Q241">
        <v>6</v>
      </c>
      <c r="R241">
        <v>9</v>
      </c>
      <c r="S241">
        <v>61</v>
      </c>
      <c r="T241">
        <v>19.579999999999998</v>
      </c>
      <c r="U241">
        <v>41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0</v>
      </c>
      <c r="AF241">
        <v>0</v>
      </c>
      <c r="AG241">
        <v>0</v>
      </c>
      <c r="AH241">
        <v>2</v>
      </c>
      <c r="AI241">
        <v>2</v>
      </c>
      <c r="AJ241">
        <v>1</v>
      </c>
      <c r="AK241">
        <v>2</v>
      </c>
      <c r="AL241">
        <v>2</v>
      </c>
      <c r="AM241">
        <v>2</v>
      </c>
      <c r="AN241">
        <v>2</v>
      </c>
      <c r="AO241">
        <v>13</v>
      </c>
      <c r="AY241">
        <f>SUM(Upload_Indiv[[#This Row],[Bird1]:[Bird9]])</f>
        <v>0</v>
      </c>
      <c r="BI241">
        <f>SUM(Upload_Indiv[[#This Row],[Eagle1]:[Eagle9]])</f>
        <v>0</v>
      </c>
    </row>
    <row r="242" spans="1:61" x14ac:dyDescent="0.25">
      <c r="A242" t="s">
        <v>562</v>
      </c>
      <c r="B242" t="s">
        <v>563</v>
      </c>
      <c r="C242" s="119">
        <v>45880</v>
      </c>
      <c r="D242" t="s">
        <v>18</v>
      </c>
      <c r="E242" t="s">
        <v>26</v>
      </c>
      <c r="F242" t="s">
        <v>408</v>
      </c>
      <c r="G242">
        <v>1</v>
      </c>
      <c r="H242" t="s">
        <v>274</v>
      </c>
      <c r="I242" t="s">
        <v>407</v>
      </c>
      <c r="J242">
        <v>5</v>
      </c>
      <c r="K242">
        <v>4</v>
      </c>
      <c r="L242">
        <v>5</v>
      </c>
      <c r="M242">
        <v>3</v>
      </c>
      <c r="N242">
        <v>4</v>
      </c>
      <c r="O242">
        <v>6</v>
      </c>
      <c r="P242">
        <v>6</v>
      </c>
      <c r="Q242">
        <v>4</v>
      </c>
      <c r="R242">
        <v>4</v>
      </c>
      <c r="S242">
        <v>41</v>
      </c>
      <c r="T242">
        <v>8.06</v>
      </c>
      <c r="U242">
        <v>33</v>
      </c>
      <c r="V242">
        <v>1</v>
      </c>
      <c r="W242">
        <v>0</v>
      </c>
      <c r="X242">
        <v>1</v>
      </c>
      <c r="Y242">
        <v>0</v>
      </c>
      <c r="Z242">
        <v>0</v>
      </c>
      <c r="AA242">
        <v>1</v>
      </c>
      <c r="AB242">
        <v>0</v>
      </c>
      <c r="AC242">
        <v>0</v>
      </c>
      <c r="AD242">
        <v>1</v>
      </c>
      <c r="AE242">
        <v>1</v>
      </c>
      <c r="AF242">
        <v>2</v>
      </c>
      <c r="AG242">
        <v>1</v>
      </c>
      <c r="AH242">
        <v>1</v>
      </c>
      <c r="AI242">
        <v>1</v>
      </c>
      <c r="AJ242">
        <v>1</v>
      </c>
      <c r="AK242">
        <v>0</v>
      </c>
      <c r="AL242">
        <v>0</v>
      </c>
      <c r="AM242">
        <v>2</v>
      </c>
      <c r="AN242">
        <v>1</v>
      </c>
      <c r="AO242">
        <v>10</v>
      </c>
      <c r="AQ242">
        <v>1</v>
      </c>
      <c r="AY242">
        <f>SUM(Upload_Indiv[[#This Row],[Bird1]:[Bird9]])</f>
        <v>1</v>
      </c>
      <c r="BI242">
        <f>SUM(Upload_Indiv[[#This Row],[Eagle1]:[Eagle9]])</f>
        <v>0</v>
      </c>
    </row>
    <row r="243" spans="1:61" x14ac:dyDescent="0.25">
      <c r="A243" t="s">
        <v>562</v>
      </c>
      <c r="B243" t="s">
        <v>563</v>
      </c>
      <c r="C243" s="119">
        <v>45880</v>
      </c>
      <c r="D243" t="s">
        <v>18</v>
      </c>
      <c r="E243" t="s">
        <v>26</v>
      </c>
      <c r="F243" t="s">
        <v>408</v>
      </c>
      <c r="G243">
        <v>2</v>
      </c>
      <c r="H243" t="s">
        <v>258</v>
      </c>
      <c r="I243" t="s">
        <v>407</v>
      </c>
      <c r="J243">
        <v>4</v>
      </c>
      <c r="K243">
        <v>5</v>
      </c>
      <c r="L243">
        <v>7</v>
      </c>
      <c r="M243">
        <v>3</v>
      </c>
      <c r="N243">
        <v>5</v>
      </c>
      <c r="O243">
        <v>5</v>
      </c>
      <c r="P243">
        <v>8</v>
      </c>
      <c r="Q243">
        <v>5</v>
      </c>
      <c r="R243">
        <v>6</v>
      </c>
      <c r="S243">
        <v>48</v>
      </c>
      <c r="T243">
        <v>9.6</v>
      </c>
      <c r="U243">
        <v>38</v>
      </c>
      <c r="V243">
        <v>1</v>
      </c>
      <c r="W243">
        <v>0</v>
      </c>
      <c r="X243">
        <v>1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2</v>
      </c>
      <c r="AF243">
        <v>1</v>
      </c>
      <c r="AG243">
        <v>0</v>
      </c>
      <c r="AH243">
        <v>0</v>
      </c>
      <c r="AI243">
        <v>1</v>
      </c>
      <c r="AJ243">
        <v>2</v>
      </c>
      <c r="AK243">
        <v>0</v>
      </c>
      <c r="AL243">
        <v>1</v>
      </c>
      <c r="AM243">
        <v>1</v>
      </c>
      <c r="AN243">
        <v>2</v>
      </c>
      <c r="AO243">
        <v>10</v>
      </c>
      <c r="AY243">
        <f>SUM(Upload_Indiv[[#This Row],[Bird1]:[Bird9]])</f>
        <v>0</v>
      </c>
      <c r="BI243">
        <f>SUM(Upload_Indiv[[#This Row],[Eagle1]:[Eagle9]])</f>
        <v>0</v>
      </c>
    </row>
    <row r="244" spans="1:61" x14ac:dyDescent="0.25">
      <c r="A244" t="s">
        <v>562</v>
      </c>
      <c r="B244" t="s">
        <v>563</v>
      </c>
      <c r="C244" s="119">
        <v>45880</v>
      </c>
      <c r="D244" t="s">
        <v>18</v>
      </c>
      <c r="E244" t="s">
        <v>26</v>
      </c>
      <c r="F244" t="s">
        <v>408</v>
      </c>
      <c r="G244">
        <v>3</v>
      </c>
      <c r="H244" t="s">
        <v>276</v>
      </c>
      <c r="I244" t="s">
        <v>407</v>
      </c>
      <c r="J244">
        <v>5</v>
      </c>
      <c r="K244">
        <v>6</v>
      </c>
      <c r="L244">
        <v>4</v>
      </c>
      <c r="M244">
        <v>4</v>
      </c>
      <c r="N244">
        <v>6</v>
      </c>
      <c r="O244">
        <v>5</v>
      </c>
      <c r="P244">
        <v>10</v>
      </c>
      <c r="Q244">
        <v>4</v>
      </c>
      <c r="R244">
        <v>5</v>
      </c>
      <c r="S244">
        <v>49</v>
      </c>
      <c r="T244">
        <v>16.32</v>
      </c>
      <c r="U244">
        <v>33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2</v>
      </c>
      <c r="AB244">
        <v>1</v>
      </c>
      <c r="AC244">
        <v>1</v>
      </c>
      <c r="AD244">
        <v>1</v>
      </c>
      <c r="AE244">
        <v>2</v>
      </c>
      <c r="AF244">
        <v>0</v>
      </c>
      <c r="AG244">
        <v>2</v>
      </c>
      <c r="AH244">
        <v>2</v>
      </c>
      <c r="AI244">
        <v>0</v>
      </c>
      <c r="AJ244">
        <v>2</v>
      </c>
      <c r="AK244">
        <v>0</v>
      </c>
      <c r="AL244">
        <v>1</v>
      </c>
      <c r="AM244">
        <v>1</v>
      </c>
      <c r="AN244">
        <v>2</v>
      </c>
      <c r="AO244">
        <v>12</v>
      </c>
      <c r="AY244">
        <f>SUM(Upload_Indiv[[#This Row],[Bird1]:[Bird9]])</f>
        <v>0</v>
      </c>
      <c r="BI244">
        <f>SUM(Upload_Indiv[[#This Row],[Eagle1]:[Eagle9]])</f>
        <v>0</v>
      </c>
    </row>
    <row r="245" spans="1:61" x14ac:dyDescent="0.25">
      <c r="A245" t="s">
        <v>562</v>
      </c>
      <c r="B245" t="s">
        <v>563</v>
      </c>
      <c r="C245" s="119">
        <v>45880</v>
      </c>
      <c r="D245" t="s">
        <v>18</v>
      </c>
      <c r="E245" t="s">
        <v>26</v>
      </c>
      <c r="F245" t="s">
        <v>408</v>
      </c>
      <c r="G245">
        <v>4</v>
      </c>
      <c r="H245" t="s">
        <v>278</v>
      </c>
      <c r="I245" t="s">
        <v>407</v>
      </c>
      <c r="J245">
        <v>7</v>
      </c>
      <c r="K245">
        <v>7</v>
      </c>
      <c r="L245">
        <v>9</v>
      </c>
      <c r="M245">
        <v>6</v>
      </c>
      <c r="N245">
        <v>7</v>
      </c>
      <c r="O245">
        <v>7</v>
      </c>
      <c r="P245">
        <v>7</v>
      </c>
      <c r="Q245">
        <v>6</v>
      </c>
      <c r="R245">
        <v>6</v>
      </c>
      <c r="S245">
        <v>62</v>
      </c>
      <c r="T245">
        <v>17.66</v>
      </c>
      <c r="U245">
        <v>44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1</v>
      </c>
      <c r="AB245">
        <v>0</v>
      </c>
      <c r="AC245">
        <v>0</v>
      </c>
      <c r="AD245">
        <v>1</v>
      </c>
      <c r="AE245">
        <v>0</v>
      </c>
      <c r="AF245">
        <v>2</v>
      </c>
      <c r="AG245">
        <v>0</v>
      </c>
      <c r="AH245">
        <v>0</v>
      </c>
      <c r="AI245">
        <v>0</v>
      </c>
      <c r="AJ245">
        <v>1</v>
      </c>
      <c r="AK245">
        <v>2</v>
      </c>
      <c r="AL245">
        <v>0</v>
      </c>
      <c r="AM245">
        <v>2</v>
      </c>
      <c r="AN245">
        <v>0</v>
      </c>
      <c r="AO245">
        <v>7</v>
      </c>
      <c r="AY245">
        <f>SUM(Upload_Indiv[[#This Row],[Bird1]:[Bird9]])</f>
        <v>0</v>
      </c>
      <c r="BI245">
        <f>SUM(Upload_Indiv[[#This Row],[Eagle1]:[Eagle9]])</f>
        <v>0</v>
      </c>
    </row>
    <row r="246" spans="1:61" x14ac:dyDescent="0.25">
      <c r="A246" t="s">
        <v>562</v>
      </c>
      <c r="B246" t="s">
        <v>563</v>
      </c>
      <c r="C246" s="119">
        <v>45880</v>
      </c>
      <c r="D246" t="s">
        <v>26</v>
      </c>
      <c r="E246" t="s">
        <v>18</v>
      </c>
      <c r="F246" t="s">
        <v>408</v>
      </c>
      <c r="G246">
        <v>1</v>
      </c>
      <c r="H246" t="s">
        <v>146</v>
      </c>
      <c r="I246" t="s">
        <v>407</v>
      </c>
      <c r="J246">
        <v>4</v>
      </c>
      <c r="K246">
        <v>5</v>
      </c>
      <c r="L246">
        <v>4</v>
      </c>
      <c r="M246">
        <v>3</v>
      </c>
      <c r="N246">
        <v>4</v>
      </c>
      <c r="O246">
        <v>5</v>
      </c>
      <c r="P246">
        <v>5</v>
      </c>
      <c r="Q246">
        <v>3</v>
      </c>
      <c r="R246">
        <v>4</v>
      </c>
      <c r="S246">
        <v>37</v>
      </c>
      <c r="T246">
        <v>3.65</v>
      </c>
      <c r="U246">
        <v>33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1</v>
      </c>
      <c r="AF246">
        <v>0</v>
      </c>
      <c r="AG246">
        <v>1</v>
      </c>
      <c r="AH246">
        <v>1</v>
      </c>
      <c r="AI246">
        <v>1</v>
      </c>
      <c r="AJ246">
        <v>1</v>
      </c>
      <c r="AK246">
        <v>2</v>
      </c>
      <c r="AL246">
        <v>2</v>
      </c>
      <c r="AM246">
        <v>0</v>
      </c>
      <c r="AN246">
        <v>1</v>
      </c>
      <c r="AO246">
        <v>10</v>
      </c>
      <c r="AY246">
        <f>SUM(Upload_Indiv[[#This Row],[Bird1]:[Bird9]])</f>
        <v>0</v>
      </c>
      <c r="BI246">
        <f>SUM(Upload_Indiv[[#This Row],[Eagle1]:[Eagle9]])</f>
        <v>0</v>
      </c>
    </row>
    <row r="247" spans="1:61" x14ac:dyDescent="0.25">
      <c r="A247" t="s">
        <v>562</v>
      </c>
      <c r="B247" t="s">
        <v>563</v>
      </c>
      <c r="C247" s="119">
        <v>45880</v>
      </c>
      <c r="D247" t="s">
        <v>26</v>
      </c>
      <c r="E247" t="s">
        <v>18</v>
      </c>
      <c r="F247" t="s">
        <v>408</v>
      </c>
      <c r="G247">
        <v>2</v>
      </c>
      <c r="H247" t="s">
        <v>311</v>
      </c>
      <c r="I247" t="s">
        <v>407</v>
      </c>
      <c r="J247">
        <v>5</v>
      </c>
      <c r="K247">
        <v>5</v>
      </c>
      <c r="L247">
        <v>5</v>
      </c>
      <c r="M247">
        <v>2</v>
      </c>
      <c r="N247">
        <v>5</v>
      </c>
      <c r="O247">
        <v>7</v>
      </c>
      <c r="P247">
        <v>5</v>
      </c>
      <c r="Q247">
        <v>4</v>
      </c>
      <c r="R247">
        <v>5</v>
      </c>
      <c r="S247">
        <v>43</v>
      </c>
      <c r="T247">
        <v>4.03</v>
      </c>
      <c r="U247">
        <v>39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1</v>
      </c>
      <c r="AG247">
        <v>2</v>
      </c>
      <c r="AH247">
        <v>2</v>
      </c>
      <c r="AI247">
        <v>1</v>
      </c>
      <c r="AJ247">
        <v>0</v>
      </c>
      <c r="AK247">
        <v>2</v>
      </c>
      <c r="AL247">
        <v>1</v>
      </c>
      <c r="AM247">
        <v>1</v>
      </c>
      <c r="AN247">
        <v>0</v>
      </c>
      <c r="AO247">
        <v>10</v>
      </c>
      <c r="AS247">
        <v>1</v>
      </c>
      <c r="AY247">
        <f>SUM(Upload_Indiv[[#This Row],[Bird1]:[Bird9]])</f>
        <v>1</v>
      </c>
      <c r="BI247">
        <f>SUM(Upload_Indiv[[#This Row],[Eagle1]:[Eagle9]])</f>
        <v>0</v>
      </c>
    </row>
    <row r="248" spans="1:61" x14ac:dyDescent="0.25">
      <c r="A248" t="s">
        <v>562</v>
      </c>
      <c r="B248" t="s">
        <v>563</v>
      </c>
      <c r="C248" s="119">
        <v>45880</v>
      </c>
      <c r="D248" t="s">
        <v>26</v>
      </c>
      <c r="E248" t="s">
        <v>18</v>
      </c>
      <c r="F248" t="s">
        <v>408</v>
      </c>
      <c r="G248">
        <v>3</v>
      </c>
      <c r="H248" t="s">
        <v>100</v>
      </c>
      <c r="I248" t="s">
        <v>407</v>
      </c>
      <c r="J248">
        <v>5</v>
      </c>
      <c r="K248">
        <v>4</v>
      </c>
      <c r="L248">
        <v>7</v>
      </c>
      <c r="M248">
        <v>4</v>
      </c>
      <c r="N248">
        <v>4</v>
      </c>
      <c r="O248">
        <v>4</v>
      </c>
      <c r="P248">
        <v>5</v>
      </c>
      <c r="Q248">
        <v>3</v>
      </c>
      <c r="R248">
        <v>4</v>
      </c>
      <c r="S248">
        <v>40</v>
      </c>
      <c r="T248">
        <v>5.95</v>
      </c>
      <c r="U248">
        <v>34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2</v>
      </c>
      <c r="AG248">
        <v>0</v>
      </c>
      <c r="AH248">
        <v>0</v>
      </c>
      <c r="AI248">
        <v>2</v>
      </c>
      <c r="AJ248">
        <v>0</v>
      </c>
      <c r="AK248">
        <v>2</v>
      </c>
      <c r="AL248">
        <v>1</v>
      </c>
      <c r="AM248">
        <v>1</v>
      </c>
      <c r="AN248">
        <v>0</v>
      </c>
      <c r="AO248">
        <v>8</v>
      </c>
      <c r="AQ248">
        <v>1</v>
      </c>
      <c r="AY248">
        <f>SUM(Upload_Indiv[[#This Row],[Bird1]:[Bird9]])</f>
        <v>1</v>
      </c>
      <c r="BI248">
        <f>SUM(Upload_Indiv[[#This Row],[Eagle1]:[Eagle9]])</f>
        <v>0</v>
      </c>
    </row>
    <row r="249" spans="1:61" x14ac:dyDescent="0.25">
      <c r="A249" t="s">
        <v>562</v>
      </c>
      <c r="B249" t="s">
        <v>563</v>
      </c>
      <c r="C249" s="119">
        <v>45880</v>
      </c>
      <c r="D249" t="s">
        <v>26</v>
      </c>
      <c r="E249" t="s">
        <v>18</v>
      </c>
      <c r="F249" t="s">
        <v>408</v>
      </c>
      <c r="G249">
        <v>4</v>
      </c>
      <c r="H249" t="s">
        <v>309</v>
      </c>
      <c r="I249" t="s">
        <v>407</v>
      </c>
      <c r="J249">
        <v>5</v>
      </c>
      <c r="K249">
        <v>8</v>
      </c>
      <c r="L249">
        <v>4</v>
      </c>
      <c r="M249">
        <v>4</v>
      </c>
      <c r="N249">
        <v>5</v>
      </c>
      <c r="O249">
        <v>6</v>
      </c>
      <c r="P249">
        <v>9</v>
      </c>
      <c r="Q249">
        <v>5</v>
      </c>
      <c r="R249">
        <v>6</v>
      </c>
      <c r="S249">
        <v>52</v>
      </c>
      <c r="T249">
        <v>13.82</v>
      </c>
      <c r="U249">
        <v>38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2</v>
      </c>
      <c r="AF249">
        <v>0</v>
      </c>
      <c r="AG249">
        <v>2</v>
      </c>
      <c r="AH249">
        <v>2</v>
      </c>
      <c r="AI249">
        <v>2</v>
      </c>
      <c r="AJ249">
        <v>1</v>
      </c>
      <c r="AK249">
        <v>0</v>
      </c>
      <c r="AL249">
        <v>2</v>
      </c>
      <c r="AM249">
        <v>0</v>
      </c>
      <c r="AN249">
        <v>2</v>
      </c>
      <c r="AO249">
        <v>13</v>
      </c>
      <c r="AY249">
        <f>SUM(Upload_Indiv[[#This Row],[Bird1]:[Bird9]])</f>
        <v>0</v>
      </c>
      <c r="BI249">
        <f>SUM(Upload_Indiv[[#This Row],[Eagle1]:[Eagle9]])</f>
        <v>0</v>
      </c>
    </row>
    <row r="250" spans="1:61" x14ac:dyDescent="0.25">
      <c r="A250" t="s">
        <v>564</v>
      </c>
      <c r="B250" t="s">
        <v>563</v>
      </c>
      <c r="C250" s="119">
        <v>45880</v>
      </c>
      <c r="D250" t="s">
        <v>24</v>
      </c>
      <c r="E250" t="s">
        <v>30</v>
      </c>
      <c r="F250" t="s">
        <v>406</v>
      </c>
      <c r="G250">
        <v>1</v>
      </c>
      <c r="H250" t="s">
        <v>298</v>
      </c>
      <c r="I250" t="s">
        <v>407</v>
      </c>
      <c r="J250">
        <v>4</v>
      </c>
      <c r="K250">
        <v>4</v>
      </c>
      <c r="L250">
        <v>5</v>
      </c>
      <c r="M250">
        <v>5</v>
      </c>
      <c r="N250">
        <v>6</v>
      </c>
      <c r="O250">
        <v>7</v>
      </c>
      <c r="P250">
        <v>3</v>
      </c>
      <c r="Q250">
        <v>6</v>
      </c>
      <c r="R250">
        <v>6</v>
      </c>
      <c r="S250">
        <v>46</v>
      </c>
      <c r="T250">
        <v>9.41</v>
      </c>
      <c r="U250">
        <v>37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2</v>
      </c>
      <c r="AF250">
        <v>1</v>
      </c>
      <c r="AG250">
        <v>1</v>
      </c>
      <c r="AH250">
        <v>2</v>
      </c>
      <c r="AI250">
        <v>0</v>
      </c>
      <c r="AJ250">
        <v>0</v>
      </c>
      <c r="AK250">
        <v>2</v>
      </c>
      <c r="AL250">
        <v>1</v>
      </c>
      <c r="AM250">
        <v>1</v>
      </c>
      <c r="AN250">
        <v>2</v>
      </c>
      <c r="AO250">
        <v>12</v>
      </c>
      <c r="AY250">
        <f>SUM(Upload_Indiv[[#This Row],[Bird1]:[Bird9]])</f>
        <v>0</v>
      </c>
      <c r="BI250">
        <f>SUM(Upload_Indiv[[#This Row],[Eagle1]:[Eagle9]])</f>
        <v>0</v>
      </c>
    </row>
    <row r="251" spans="1:61" x14ac:dyDescent="0.25">
      <c r="A251" t="s">
        <v>564</v>
      </c>
      <c r="B251" t="s">
        <v>563</v>
      </c>
      <c r="C251" s="119">
        <v>45880</v>
      </c>
      <c r="D251" t="s">
        <v>24</v>
      </c>
      <c r="E251" t="s">
        <v>30</v>
      </c>
      <c r="F251" t="s">
        <v>406</v>
      </c>
      <c r="G251">
        <v>2</v>
      </c>
      <c r="H251" t="s">
        <v>300</v>
      </c>
      <c r="I251" t="s">
        <v>407</v>
      </c>
      <c r="J251">
        <v>4</v>
      </c>
      <c r="K251">
        <v>2</v>
      </c>
      <c r="L251">
        <v>5</v>
      </c>
      <c r="M251">
        <v>7</v>
      </c>
      <c r="N251">
        <v>4</v>
      </c>
      <c r="O251">
        <v>6</v>
      </c>
      <c r="P251">
        <v>5</v>
      </c>
      <c r="Q251">
        <v>6</v>
      </c>
      <c r="R251">
        <v>6</v>
      </c>
      <c r="S251">
        <v>45</v>
      </c>
      <c r="T251">
        <v>10.56</v>
      </c>
      <c r="U251">
        <v>34</v>
      </c>
      <c r="V251">
        <v>1</v>
      </c>
      <c r="W251">
        <v>1</v>
      </c>
      <c r="X251">
        <v>1</v>
      </c>
      <c r="Y251">
        <v>2</v>
      </c>
      <c r="Z251">
        <v>1</v>
      </c>
      <c r="AA251">
        <v>1</v>
      </c>
      <c r="AB251">
        <v>1</v>
      </c>
      <c r="AC251">
        <v>2</v>
      </c>
      <c r="AD251">
        <v>1</v>
      </c>
      <c r="AE251">
        <v>2</v>
      </c>
      <c r="AF251">
        <v>2</v>
      </c>
      <c r="AG251">
        <v>1</v>
      </c>
      <c r="AH251">
        <v>1</v>
      </c>
      <c r="AI251">
        <v>2</v>
      </c>
      <c r="AJ251">
        <v>1</v>
      </c>
      <c r="AK251">
        <v>0</v>
      </c>
      <c r="AL251">
        <v>2</v>
      </c>
      <c r="AM251">
        <v>1</v>
      </c>
      <c r="AN251">
        <v>2</v>
      </c>
      <c r="AO251">
        <v>14</v>
      </c>
      <c r="AQ251">
        <v>1</v>
      </c>
      <c r="AY251">
        <f>SUM(Upload_Indiv[[#This Row],[Bird1]:[Bird9]])</f>
        <v>1</v>
      </c>
      <c r="BI251">
        <f>SUM(Upload_Indiv[[#This Row],[Eagle1]:[Eagle9]])</f>
        <v>0</v>
      </c>
    </row>
    <row r="252" spans="1:61" x14ac:dyDescent="0.25">
      <c r="A252" t="s">
        <v>564</v>
      </c>
      <c r="B252" t="s">
        <v>563</v>
      </c>
      <c r="C252" s="119">
        <v>45880</v>
      </c>
      <c r="D252" t="s">
        <v>24</v>
      </c>
      <c r="E252" t="s">
        <v>30</v>
      </c>
      <c r="F252" t="s">
        <v>406</v>
      </c>
      <c r="G252">
        <v>3</v>
      </c>
      <c r="H252" t="s">
        <v>106</v>
      </c>
      <c r="I252" t="s">
        <v>407</v>
      </c>
      <c r="J252">
        <v>4</v>
      </c>
      <c r="K252">
        <v>4</v>
      </c>
      <c r="L252">
        <v>5</v>
      </c>
      <c r="M252">
        <v>5</v>
      </c>
      <c r="N252">
        <v>6</v>
      </c>
      <c r="O252">
        <v>6</v>
      </c>
      <c r="P252">
        <v>5</v>
      </c>
      <c r="Q252">
        <v>5</v>
      </c>
      <c r="R252">
        <v>8</v>
      </c>
      <c r="S252">
        <v>48</v>
      </c>
      <c r="T252">
        <v>14.78</v>
      </c>
      <c r="U252">
        <v>33</v>
      </c>
      <c r="V252">
        <v>1</v>
      </c>
      <c r="W252">
        <v>2</v>
      </c>
      <c r="X252">
        <v>1</v>
      </c>
      <c r="Y252">
        <v>2</v>
      </c>
      <c r="Z252">
        <v>2</v>
      </c>
      <c r="AA252">
        <v>2</v>
      </c>
      <c r="AB252">
        <v>1</v>
      </c>
      <c r="AC252">
        <v>2</v>
      </c>
      <c r="AD252">
        <v>2</v>
      </c>
      <c r="AE252">
        <v>2</v>
      </c>
      <c r="AF252">
        <v>2</v>
      </c>
      <c r="AG252">
        <v>1</v>
      </c>
      <c r="AH252">
        <v>2</v>
      </c>
      <c r="AI252">
        <v>1</v>
      </c>
      <c r="AJ252">
        <v>2</v>
      </c>
      <c r="AK252">
        <v>0</v>
      </c>
      <c r="AL252">
        <v>2</v>
      </c>
      <c r="AM252">
        <v>0</v>
      </c>
      <c r="AN252">
        <v>2</v>
      </c>
      <c r="AO252">
        <v>14</v>
      </c>
      <c r="AY252">
        <f>SUM(Upload_Indiv[[#This Row],[Bird1]:[Bird9]])</f>
        <v>0</v>
      </c>
      <c r="BI252">
        <f>SUM(Upload_Indiv[[#This Row],[Eagle1]:[Eagle9]])</f>
        <v>0</v>
      </c>
    </row>
    <row r="253" spans="1:61" x14ac:dyDescent="0.25">
      <c r="A253" t="s">
        <v>564</v>
      </c>
      <c r="B253" t="s">
        <v>563</v>
      </c>
      <c r="C253" s="119">
        <v>45880</v>
      </c>
      <c r="D253" t="s">
        <v>24</v>
      </c>
      <c r="E253" t="s">
        <v>30</v>
      </c>
      <c r="F253" t="s">
        <v>406</v>
      </c>
      <c r="G253">
        <v>4</v>
      </c>
      <c r="H253" t="s">
        <v>425</v>
      </c>
      <c r="I253" t="s">
        <v>407</v>
      </c>
      <c r="J253">
        <v>5</v>
      </c>
      <c r="K253">
        <v>6</v>
      </c>
      <c r="L253">
        <v>8</v>
      </c>
      <c r="M253">
        <v>6</v>
      </c>
      <c r="N253">
        <v>6</v>
      </c>
      <c r="O253">
        <v>8</v>
      </c>
      <c r="P253">
        <v>4</v>
      </c>
      <c r="Q253">
        <v>5</v>
      </c>
      <c r="R253">
        <v>6</v>
      </c>
      <c r="S253">
        <v>54</v>
      </c>
      <c r="T253">
        <v>17.09</v>
      </c>
      <c r="U253">
        <v>37</v>
      </c>
      <c r="V253">
        <v>2</v>
      </c>
      <c r="W253">
        <v>2</v>
      </c>
      <c r="X253">
        <v>2</v>
      </c>
      <c r="Y253">
        <v>2</v>
      </c>
      <c r="Z253">
        <v>2</v>
      </c>
      <c r="AA253">
        <v>2</v>
      </c>
      <c r="AB253">
        <v>1</v>
      </c>
      <c r="AC253">
        <v>2</v>
      </c>
      <c r="AD253">
        <v>2</v>
      </c>
      <c r="AE253">
        <v>2</v>
      </c>
      <c r="AF253">
        <v>0</v>
      </c>
      <c r="AG253">
        <v>0</v>
      </c>
      <c r="AH253">
        <v>2</v>
      </c>
      <c r="AI253">
        <v>1</v>
      </c>
      <c r="AJ253">
        <v>0</v>
      </c>
      <c r="AK253">
        <v>1</v>
      </c>
      <c r="AL253">
        <v>2</v>
      </c>
      <c r="AM253">
        <v>2</v>
      </c>
      <c r="AN253">
        <v>2</v>
      </c>
      <c r="AO253">
        <v>12</v>
      </c>
      <c r="AY253">
        <f>SUM(Upload_Indiv[[#This Row],[Bird1]:[Bird9]])</f>
        <v>0</v>
      </c>
      <c r="BI253">
        <f>SUM(Upload_Indiv[[#This Row],[Eagle1]:[Eagle9]])</f>
        <v>0</v>
      </c>
    </row>
    <row r="254" spans="1:61" x14ac:dyDescent="0.25">
      <c r="A254" t="s">
        <v>564</v>
      </c>
      <c r="B254" t="s">
        <v>563</v>
      </c>
      <c r="C254" s="119">
        <v>45880</v>
      </c>
      <c r="D254" t="s">
        <v>30</v>
      </c>
      <c r="E254" t="s">
        <v>24</v>
      </c>
      <c r="F254" t="s">
        <v>406</v>
      </c>
      <c r="G254">
        <v>1</v>
      </c>
      <c r="H254" t="s">
        <v>323</v>
      </c>
      <c r="I254" t="s">
        <v>407</v>
      </c>
      <c r="J254">
        <v>4</v>
      </c>
      <c r="K254">
        <v>3</v>
      </c>
      <c r="L254">
        <v>4</v>
      </c>
      <c r="M254">
        <v>5</v>
      </c>
      <c r="N254">
        <v>4</v>
      </c>
      <c r="O254">
        <v>5</v>
      </c>
      <c r="P254">
        <v>3</v>
      </c>
      <c r="Q254">
        <v>5</v>
      </c>
      <c r="R254">
        <v>5</v>
      </c>
      <c r="S254">
        <v>38</v>
      </c>
      <c r="T254">
        <v>0</v>
      </c>
      <c r="U254">
        <v>38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1</v>
      </c>
      <c r="AG254">
        <v>1</v>
      </c>
      <c r="AH254">
        <v>0</v>
      </c>
      <c r="AI254">
        <v>2</v>
      </c>
      <c r="AJ254">
        <v>2</v>
      </c>
      <c r="AK254">
        <v>0</v>
      </c>
      <c r="AL254">
        <v>1</v>
      </c>
      <c r="AM254">
        <v>1</v>
      </c>
      <c r="AN254">
        <v>0</v>
      </c>
      <c r="AO254">
        <v>8</v>
      </c>
      <c r="AY254">
        <f>SUM(Upload_Indiv[[#This Row],[Bird1]:[Bird9]])</f>
        <v>0</v>
      </c>
      <c r="BI254">
        <f>SUM(Upload_Indiv[[#This Row],[Eagle1]:[Eagle9]])</f>
        <v>0</v>
      </c>
    </row>
    <row r="255" spans="1:61" x14ac:dyDescent="0.25">
      <c r="A255" t="s">
        <v>564</v>
      </c>
      <c r="B255" t="s">
        <v>563</v>
      </c>
      <c r="C255" s="119">
        <v>45880</v>
      </c>
      <c r="D255" t="s">
        <v>30</v>
      </c>
      <c r="E255" t="s">
        <v>24</v>
      </c>
      <c r="F255" t="s">
        <v>406</v>
      </c>
      <c r="G255">
        <v>2</v>
      </c>
      <c r="H255" t="s">
        <v>324</v>
      </c>
      <c r="I255" t="s">
        <v>407</v>
      </c>
      <c r="J255">
        <v>4</v>
      </c>
      <c r="K255">
        <v>3</v>
      </c>
      <c r="L255">
        <v>4</v>
      </c>
      <c r="M255">
        <v>5</v>
      </c>
      <c r="N255">
        <v>4</v>
      </c>
      <c r="O255">
        <v>5</v>
      </c>
      <c r="P255">
        <v>3</v>
      </c>
      <c r="Q255">
        <v>5</v>
      </c>
      <c r="R255">
        <v>5</v>
      </c>
      <c r="S255">
        <v>38</v>
      </c>
      <c r="T255">
        <v>0</v>
      </c>
      <c r="U255">
        <v>38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1</v>
      </c>
      <c r="AK255">
        <v>2</v>
      </c>
      <c r="AL255">
        <v>0</v>
      </c>
      <c r="AM255">
        <v>1</v>
      </c>
      <c r="AN255">
        <v>0</v>
      </c>
      <c r="AO255">
        <v>6</v>
      </c>
      <c r="AY255">
        <f>SUM(Upload_Indiv[[#This Row],[Bird1]:[Bird9]])</f>
        <v>0</v>
      </c>
      <c r="BI255">
        <f>SUM(Upload_Indiv[[#This Row],[Eagle1]:[Eagle9]])</f>
        <v>0</v>
      </c>
    </row>
    <row r="256" spans="1:61" x14ac:dyDescent="0.25">
      <c r="A256" t="s">
        <v>564</v>
      </c>
      <c r="B256" t="s">
        <v>563</v>
      </c>
      <c r="C256" s="119">
        <v>45880</v>
      </c>
      <c r="D256" t="s">
        <v>30</v>
      </c>
      <c r="E256" t="s">
        <v>24</v>
      </c>
      <c r="F256" t="s">
        <v>406</v>
      </c>
      <c r="G256">
        <v>3</v>
      </c>
      <c r="H256" t="s">
        <v>325</v>
      </c>
      <c r="I256" t="s">
        <v>407</v>
      </c>
      <c r="J256">
        <v>4</v>
      </c>
      <c r="K256">
        <v>3</v>
      </c>
      <c r="L256">
        <v>4</v>
      </c>
      <c r="M256">
        <v>5</v>
      </c>
      <c r="N256">
        <v>4</v>
      </c>
      <c r="O256">
        <v>5</v>
      </c>
      <c r="P256">
        <v>3</v>
      </c>
      <c r="Q256">
        <v>5</v>
      </c>
      <c r="R256">
        <v>5</v>
      </c>
      <c r="S256">
        <v>38</v>
      </c>
      <c r="T256">
        <v>0</v>
      </c>
      <c r="U256">
        <v>38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1</v>
      </c>
      <c r="AH256">
        <v>0</v>
      </c>
      <c r="AI256">
        <v>1</v>
      </c>
      <c r="AJ256">
        <v>0</v>
      </c>
      <c r="AK256">
        <v>2</v>
      </c>
      <c r="AL256">
        <v>0</v>
      </c>
      <c r="AM256">
        <v>2</v>
      </c>
      <c r="AN256">
        <v>0</v>
      </c>
      <c r="AO256">
        <v>6</v>
      </c>
      <c r="AY256">
        <f>SUM(Upload_Indiv[[#This Row],[Bird1]:[Bird9]])</f>
        <v>0</v>
      </c>
      <c r="BI256">
        <f>SUM(Upload_Indiv[[#This Row],[Eagle1]:[Eagle9]])</f>
        <v>0</v>
      </c>
    </row>
    <row r="257" spans="1:61" x14ac:dyDescent="0.25">
      <c r="A257" t="s">
        <v>564</v>
      </c>
      <c r="B257" t="s">
        <v>563</v>
      </c>
      <c r="C257" s="119">
        <v>45880</v>
      </c>
      <c r="D257" t="s">
        <v>30</v>
      </c>
      <c r="E257" t="s">
        <v>24</v>
      </c>
      <c r="F257" t="s">
        <v>406</v>
      </c>
      <c r="G257">
        <v>4</v>
      </c>
      <c r="H257" t="s">
        <v>326</v>
      </c>
      <c r="I257" t="s">
        <v>407</v>
      </c>
      <c r="J257">
        <v>4</v>
      </c>
      <c r="K257">
        <v>3</v>
      </c>
      <c r="L257">
        <v>4</v>
      </c>
      <c r="M257">
        <v>5</v>
      </c>
      <c r="N257">
        <v>4</v>
      </c>
      <c r="O257">
        <v>5</v>
      </c>
      <c r="P257">
        <v>3</v>
      </c>
      <c r="Q257">
        <v>5</v>
      </c>
      <c r="R257">
        <v>5</v>
      </c>
      <c r="S257">
        <v>38</v>
      </c>
      <c r="T257">
        <v>0</v>
      </c>
      <c r="U257">
        <v>38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2</v>
      </c>
      <c r="AG257">
        <v>2</v>
      </c>
      <c r="AH257">
        <v>0</v>
      </c>
      <c r="AI257">
        <v>1</v>
      </c>
      <c r="AJ257">
        <v>2</v>
      </c>
      <c r="AK257">
        <v>1</v>
      </c>
      <c r="AL257">
        <v>0</v>
      </c>
      <c r="AM257">
        <v>0</v>
      </c>
      <c r="AN257">
        <v>0</v>
      </c>
      <c r="AO257">
        <v>8</v>
      </c>
      <c r="AY257">
        <f>SUM(Upload_Indiv[[#This Row],[Bird1]:[Bird9]])</f>
        <v>0</v>
      </c>
      <c r="BI257">
        <f>SUM(Upload_Indiv[[#This Row],[Eagle1]:[Eagle9]])</f>
        <v>0</v>
      </c>
    </row>
    <row r="258" spans="1:61" x14ac:dyDescent="0.25">
      <c r="A258" t="s">
        <v>572</v>
      </c>
      <c r="B258" t="s">
        <v>570</v>
      </c>
      <c r="C258" s="119">
        <v>45887</v>
      </c>
      <c r="D258" t="s">
        <v>22</v>
      </c>
      <c r="E258" t="s">
        <v>30</v>
      </c>
      <c r="F258" t="s">
        <v>408</v>
      </c>
      <c r="G258">
        <v>1</v>
      </c>
      <c r="H258" t="s">
        <v>156</v>
      </c>
      <c r="I258" t="s">
        <v>405</v>
      </c>
      <c r="J258">
        <v>5</v>
      </c>
      <c r="K258">
        <v>5</v>
      </c>
      <c r="L258">
        <v>4</v>
      </c>
      <c r="M258">
        <v>4</v>
      </c>
      <c r="N258">
        <v>6</v>
      </c>
      <c r="O258">
        <v>3</v>
      </c>
      <c r="P258">
        <v>6</v>
      </c>
      <c r="Q258">
        <v>4</v>
      </c>
      <c r="R258">
        <v>5</v>
      </c>
      <c r="S258">
        <v>42</v>
      </c>
      <c r="T258">
        <v>4.99</v>
      </c>
      <c r="U258">
        <v>37</v>
      </c>
      <c r="V258">
        <v>1</v>
      </c>
      <c r="W258">
        <v>0</v>
      </c>
      <c r="X258">
        <v>1</v>
      </c>
      <c r="Y258">
        <v>0</v>
      </c>
      <c r="Z258">
        <v>0</v>
      </c>
      <c r="AA258">
        <v>1</v>
      </c>
      <c r="AB258">
        <v>1</v>
      </c>
      <c r="AC258">
        <v>0</v>
      </c>
      <c r="AD258">
        <v>1</v>
      </c>
      <c r="AE258">
        <v>2</v>
      </c>
      <c r="AF258">
        <v>1</v>
      </c>
      <c r="AG258">
        <v>2</v>
      </c>
      <c r="AH258">
        <v>0</v>
      </c>
      <c r="AI258">
        <v>0</v>
      </c>
      <c r="AJ258">
        <v>2</v>
      </c>
      <c r="AK258">
        <v>1</v>
      </c>
      <c r="AL258">
        <v>0</v>
      </c>
      <c r="AM258">
        <v>1</v>
      </c>
      <c r="AN258">
        <v>2</v>
      </c>
      <c r="AO258">
        <v>11</v>
      </c>
      <c r="AU258">
        <v>1</v>
      </c>
      <c r="AY258">
        <f>SUM(Upload_Indiv[[#This Row],[Bird1]:[Bird9]])</f>
        <v>1</v>
      </c>
      <c r="BI258">
        <f>SUM(Upload_Indiv[[#This Row],[Eagle1]:[Eagle9]])</f>
        <v>0</v>
      </c>
    </row>
    <row r="259" spans="1:61" x14ac:dyDescent="0.25">
      <c r="A259" t="s">
        <v>572</v>
      </c>
      <c r="B259" t="s">
        <v>570</v>
      </c>
      <c r="C259" s="119">
        <v>45887</v>
      </c>
      <c r="D259" t="s">
        <v>22</v>
      </c>
      <c r="E259" t="s">
        <v>30</v>
      </c>
      <c r="F259" t="s">
        <v>408</v>
      </c>
      <c r="G259">
        <v>2</v>
      </c>
      <c r="H259" t="s">
        <v>294</v>
      </c>
      <c r="I259" t="s">
        <v>405</v>
      </c>
      <c r="J259">
        <v>5</v>
      </c>
      <c r="K259">
        <v>6</v>
      </c>
      <c r="L259">
        <v>6</v>
      </c>
      <c r="M259">
        <v>4</v>
      </c>
      <c r="N259">
        <v>5</v>
      </c>
      <c r="O259">
        <v>5</v>
      </c>
      <c r="P259">
        <v>9</v>
      </c>
      <c r="Q259">
        <v>3</v>
      </c>
      <c r="R259">
        <v>5</v>
      </c>
      <c r="S259">
        <v>48</v>
      </c>
      <c r="T259">
        <v>5.18</v>
      </c>
      <c r="U259">
        <v>43</v>
      </c>
      <c r="V259">
        <v>1</v>
      </c>
      <c r="W259">
        <v>0</v>
      </c>
      <c r="X259">
        <v>1</v>
      </c>
      <c r="Y259">
        <v>0</v>
      </c>
      <c r="Z259">
        <v>0</v>
      </c>
      <c r="AA259">
        <v>1</v>
      </c>
      <c r="AB259">
        <v>1</v>
      </c>
      <c r="AC259">
        <v>0</v>
      </c>
      <c r="AD259">
        <v>1</v>
      </c>
      <c r="AE259">
        <v>2</v>
      </c>
      <c r="AF259">
        <v>0</v>
      </c>
      <c r="AG259">
        <v>0</v>
      </c>
      <c r="AH259">
        <v>0</v>
      </c>
      <c r="AI259">
        <v>0</v>
      </c>
      <c r="AJ259">
        <v>2</v>
      </c>
      <c r="AK259">
        <v>0</v>
      </c>
      <c r="AL259">
        <v>1</v>
      </c>
      <c r="AM259">
        <v>1</v>
      </c>
      <c r="AN259">
        <v>0</v>
      </c>
      <c r="AO259">
        <v>6</v>
      </c>
      <c r="AY259">
        <f>SUM(Upload_Indiv[[#This Row],[Bird1]:[Bird9]])</f>
        <v>0</v>
      </c>
      <c r="BI259">
        <f>SUM(Upload_Indiv[[#This Row],[Eagle1]:[Eagle9]])</f>
        <v>0</v>
      </c>
    </row>
    <row r="260" spans="1:61" x14ac:dyDescent="0.25">
      <c r="A260" t="s">
        <v>572</v>
      </c>
      <c r="B260" t="s">
        <v>570</v>
      </c>
      <c r="C260" s="119">
        <v>45887</v>
      </c>
      <c r="D260" t="s">
        <v>22</v>
      </c>
      <c r="E260" t="s">
        <v>30</v>
      </c>
      <c r="F260" t="s">
        <v>408</v>
      </c>
      <c r="G260">
        <v>3</v>
      </c>
      <c r="H260" t="s">
        <v>433</v>
      </c>
      <c r="I260" t="s">
        <v>405</v>
      </c>
      <c r="J260">
        <v>5</v>
      </c>
      <c r="K260">
        <v>7</v>
      </c>
      <c r="L260">
        <v>6</v>
      </c>
      <c r="M260">
        <v>3</v>
      </c>
      <c r="N260">
        <v>4</v>
      </c>
      <c r="O260">
        <v>4</v>
      </c>
      <c r="P260">
        <v>6</v>
      </c>
      <c r="Q260">
        <v>3</v>
      </c>
      <c r="R260">
        <v>7</v>
      </c>
      <c r="S260">
        <v>45</v>
      </c>
      <c r="T260">
        <v>5.76</v>
      </c>
      <c r="U260">
        <v>39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2</v>
      </c>
      <c r="AF260">
        <v>0</v>
      </c>
      <c r="AG260">
        <v>0</v>
      </c>
      <c r="AH260">
        <v>1</v>
      </c>
      <c r="AI260">
        <v>1</v>
      </c>
      <c r="AJ260">
        <v>2</v>
      </c>
      <c r="AK260">
        <v>1</v>
      </c>
      <c r="AL260">
        <v>2</v>
      </c>
      <c r="AM260">
        <v>0</v>
      </c>
      <c r="AN260">
        <v>0</v>
      </c>
      <c r="AO260">
        <v>9</v>
      </c>
      <c r="AY260">
        <f>SUM(Upload_Indiv[[#This Row],[Bird1]:[Bird9]])</f>
        <v>0</v>
      </c>
      <c r="BI260">
        <f>SUM(Upload_Indiv[[#This Row],[Eagle1]:[Eagle9]])</f>
        <v>0</v>
      </c>
    </row>
    <row r="261" spans="1:61" x14ac:dyDescent="0.25">
      <c r="A261" t="s">
        <v>572</v>
      </c>
      <c r="B261" t="s">
        <v>570</v>
      </c>
      <c r="C261" s="119">
        <v>45887</v>
      </c>
      <c r="D261" t="s">
        <v>22</v>
      </c>
      <c r="E261" t="s">
        <v>30</v>
      </c>
      <c r="F261" t="s">
        <v>408</v>
      </c>
      <c r="G261">
        <v>4</v>
      </c>
      <c r="H261" t="s">
        <v>148</v>
      </c>
      <c r="I261" t="s">
        <v>405</v>
      </c>
      <c r="J261">
        <v>5</v>
      </c>
      <c r="K261">
        <v>7</v>
      </c>
      <c r="L261">
        <v>4</v>
      </c>
      <c r="M261">
        <v>6</v>
      </c>
      <c r="N261">
        <v>7</v>
      </c>
      <c r="O261">
        <v>5</v>
      </c>
      <c r="P261">
        <v>6</v>
      </c>
      <c r="Q261">
        <v>3</v>
      </c>
      <c r="R261">
        <v>5</v>
      </c>
      <c r="S261">
        <v>48</v>
      </c>
      <c r="T261">
        <v>12.86</v>
      </c>
      <c r="U261">
        <v>35</v>
      </c>
      <c r="V261">
        <v>2</v>
      </c>
      <c r="W261">
        <v>1</v>
      </c>
      <c r="X261">
        <v>2</v>
      </c>
      <c r="Y261">
        <v>1</v>
      </c>
      <c r="Z261">
        <v>1</v>
      </c>
      <c r="AA261">
        <v>2</v>
      </c>
      <c r="AB261">
        <v>1</v>
      </c>
      <c r="AC261">
        <v>1</v>
      </c>
      <c r="AD261">
        <v>2</v>
      </c>
      <c r="AE261">
        <v>2</v>
      </c>
      <c r="AF261">
        <v>0</v>
      </c>
      <c r="AG261">
        <v>2</v>
      </c>
      <c r="AH261">
        <v>0</v>
      </c>
      <c r="AI261">
        <v>0</v>
      </c>
      <c r="AJ261">
        <v>2</v>
      </c>
      <c r="AK261">
        <v>1</v>
      </c>
      <c r="AL261">
        <v>2</v>
      </c>
      <c r="AM261">
        <v>2</v>
      </c>
      <c r="AN261">
        <v>2</v>
      </c>
      <c r="AO261">
        <v>13</v>
      </c>
      <c r="AY261">
        <f>SUM(Upload_Indiv[[#This Row],[Bird1]:[Bird9]])</f>
        <v>0</v>
      </c>
      <c r="BI261">
        <f>SUM(Upload_Indiv[[#This Row],[Eagle1]:[Eagle9]])</f>
        <v>0</v>
      </c>
    </row>
    <row r="262" spans="1:61" x14ac:dyDescent="0.25">
      <c r="A262" t="s">
        <v>572</v>
      </c>
      <c r="B262" t="s">
        <v>570</v>
      </c>
      <c r="C262" s="119">
        <v>45887</v>
      </c>
      <c r="D262" t="s">
        <v>30</v>
      </c>
      <c r="E262" t="s">
        <v>22</v>
      </c>
      <c r="F262" t="s">
        <v>408</v>
      </c>
      <c r="G262">
        <v>1</v>
      </c>
      <c r="H262" t="s">
        <v>323</v>
      </c>
      <c r="I262" t="s">
        <v>405</v>
      </c>
      <c r="J262">
        <v>5</v>
      </c>
      <c r="K262">
        <v>5</v>
      </c>
      <c r="L262">
        <v>4</v>
      </c>
      <c r="M262">
        <v>3</v>
      </c>
      <c r="N262">
        <v>4</v>
      </c>
      <c r="O262">
        <v>5</v>
      </c>
      <c r="P262">
        <v>5</v>
      </c>
      <c r="Q262">
        <v>3</v>
      </c>
      <c r="R262">
        <v>4</v>
      </c>
      <c r="S262">
        <v>38</v>
      </c>
      <c r="T262">
        <v>0</v>
      </c>
      <c r="U262">
        <v>38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1</v>
      </c>
      <c r="AG262">
        <v>0</v>
      </c>
      <c r="AH262">
        <v>2</v>
      </c>
      <c r="AI262">
        <v>2</v>
      </c>
      <c r="AJ262">
        <v>0</v>
      </c>
      <c r="AK262">
        <v>1</v>
      </c>
      <c r="AL262">
        <v>2</v>
      </c>
      <c r="AM262">
        <v>1</v>
      </c>
      <c r="AN262">
        <v>0</v>
      </c>
      <c r="AO262">
        <v>9</v>
      </c>
      <c r="AY262">
        <f>SUM(Upload_Indiv[[#This Row],[Bird1]:[Bird9]])</f>
        <v>0</v>
      </c>
      <c r="BI262">
        <f>SUM(Upload_Indiv[[#This Row],[Eagle1]:[Eagle9]])</f>
        <v>0</v>
      </c>
    </row>
    <row r="263" spans="1:61" x14ac:dyDescent="0.25">
      <c r="A263" t="s">
        <v>572</v>
      </c>
      <c r="B263" t="s">
        <v>570</v>
      </c>
      <c r="C263" s="119">
        <v>45887</v>
      </c>
      <c r="D263" s="374" t="s">
        <v>30</v>
      </c>
      <c r="E263" t="s">
        <v>22</v>
      </c>
      <c r="F263" t="s">
        <v>408</v>
      </c>
      <c r="G263">
        <v>2</v>
      </c>
      <c r="H263" t="s">
        <v>324</v>
      </c>
      <c r="I263" t="s">
        <v>405</v>
      </c>
      <c r="J263">
        <v>5</v>
      </c>
      <c r="K263">
        <v>5</v>
      </c>
      <c r="L263">
        <v>4</v>
      </c>
      <c r="M263">
        <v>3</v>
      </c>
      <c r="N263">
        <v>4</v>
      </c>
      <c r="O263">
        <v>5</v>
      </c>
      <c r="P263">
        <v>5</v>
      </c>
      <c r="Q263">
        <v>3</v>
      </c>
      <c r="R263">
        <v>4</v>
      </c>
      <c r="S263">
        <v>38</v>
      </c>
      <c r="T263">
        <v>0</v>
      </c>
      <c r="U263">
        <v>38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2</v>
      </c>
      <c r="AG263">
        <v>2</v>
      </c>
      <c r="AH263">
        <v>2</v>
      </c>
      <c r="AI263">
        <v>2</v>
      </c>
      <c r="AJ263">
        <v>0</v>
      </c>
      <c r="AK263">
        <v>2</v>
      </c>
      <c r="AL263">
        <v>1</v>
      </c>
      <c r="AM263">
        <v>1</v>
      </c>
      <c r="AN263">
        <v>2</v>
      </c>
      <c r="AO263">
        <v>14</v>
      </c>
      <c r="AY263">
        <f>SUM(Upload_Indiv[[#This Row],[Bird1]:[Bird9]])</f>
        <v>0</v>
      </c>
      <c r="BI263">
        <f>SUM(Upload_Indiv[[#This Row],[Eagle1]:[Eagle9]])</f>
        <v>0</v>
      </c>
    </row>
    <row r="264" spans="1:61" x14ac:dyDescent="0.25">
      <c r="A264" t="s">
        <v>572</v>
      </c>
      <c r="B264" t="s">
        <v>570</v>
      </c>
      <c r="C264" s="119">
        <v>45887</v>
      </c>
      <c r="D264" t="s">
        <v>30</v>
      </c>
      <c r="E264" t="s">
        <v>22</v>
      </c>
      <c r="F264" t="s">
        <v>408</v>
      </c>
      <c r="G264">
        <v>3</v>
      </c>
      <c r="H264" t="s">
        <v>325</v>
      </c>
      <c r="I264" t="s">
        <v>405</v>
      </c>
      <c r="J264">
        <v>5</v>
      </c>
      <c r="K264">
        <v>5</v>
      </c>
      <c r="L264">
        <v>4</v>
      </c>
      <c r="M264">
        <v>3</v>
      </c>
      <c r="N264">
        <v>4</v>
      </c>
      <c r="O264">
        <v>5</v>
      </c>
      <c r="P264">
        <v>5</v>
      </c>
      <c r="Q264">
        <v>3</v>
      </c>
      <c r="R264">
        <v>4</v>
      </c>
      <c r="S264">
        <v>38</v>
      </c>
      <c r="T264">
        <v>0</v>
      </c>
      <c r="U264">
        <v>38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2</v>
      </c>
      <c r="AG264">
        <v>2</v>
      </c>
      <c r="AH264">
        <v>1</v>
      </c>
      <c r="AI264">
        <v>1</v>
      </c>
      <c r="AJ264">
        <v>0</v>
      </c>
      <c r="AK264">
        <v>1</v>
      </c>
      <c r="AL264">
        <v>0</v>
      </c>
      <c r="AM264">
        <v>2</v>
      </c>
      <c r="AN264">
        <v>2</v>
      </c>
      <c r="AO264">
        <v>11</v>
      </c>
      <c r="AY264">
        <f>SUM(Upload_Indiv[[#This Row],[Bird1]:[Bird9]])</f>
        <v>0</v>
      </c>
      <c r="BI264">
        <f>SUM(Upload_Indiv[[#This Row],[Eagle1]:[Eagle9]])</f>
        <v>0</v>
      </c>
    </row>
    <row r="265" spans="1:61" x14ac:dyDescent="0.25">
      <c r="A265" t="s">
        <v>572</v>
      </c>
      <c r="B265" t="s">
        <v>570</v>
      </c>
      <c r="C265" s="119">
        <v>45887</v>
      </c>
      <c r="D265" t="s">
        <v>30</v>
      </c>
      <c r="E265" t="s">
        <v>22</v>
      </c>
      <c r="F265" t="s">
        <v>408</v>
      </c>
      <c r="G265">
        <v>4</v>
      </c>
      <c r="H265" t="s">
        <v>326</v>
      </c>
      <c r="I265" t="s">
        <v>405</v>
      </c>
      <c r="J265">
        <v>5</v>
      </c>
      <c r="K265">
        <v>5</v>
      </c>
      <c r="L265">
        <v>4</v>
      </c>
      <c r="M265">
        <v>3</v>
      </c>
      <c r="N265">
        <v>4</v>
      </c>
      <c r="O265">
        <v>5</v>
      </c>
      <c r="P265">
        <v>5</v>
      </c>
      <c r="Q265">
        <v>3</v>
      </c>
      <c r="R265">
        <v>4</v>
      </c>
      <c r="S265">
        <v>38</v>
      </c>
      <c r="T265">
        <v>0</v>
      </c>
      <c r="U265">
        <v>38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2</v>
      </c>
      <c r="AG265">
        <v>0</v>
      </c>
      <c r="AH265">
        <v>2</v>
      </c>
      <c r="AI265">
        <v>2</v>
      </c>
      <c r="AJ265">
        <v>0</v>
      </c>
      <c r="AK265">
        <v>1</v>
      </c>
      <c r="AL265">
        <v>0</v>
      </c>
      <c r="AM265">
        <v>0</v>
      </c>
      <c r="AN265">
        <v>0</v>
      </c>
      <c r="AO265">
        <v>7</v>
      </c>
      <c r="AY265">
        <f>SUM(Upload_Indiv[[#This Row],[Bird1]:[Bird9]])</f>
        <v>0</v>
      </c>
      <c r="BI265">
        <f>SUM(Upload_Indiv[[#This Row],[Eagle1]:[Eagle9]])</f>
        <v>0</v>
      </c>
    </row>
    <row r="266" spans="1:61" x14ac:dyDescent="0.25">
      <c r="A266" t="s">
        <v>569</v>
      </c>
      <c r="B266" t="s">
        <v>570</v>
      </c>
      <c r="C266" s="119">
        <v>45887</v>
      </c>
      <c r="D266" t="s">
        <v>26</v>
      </c>
      <c r="E266" t="s">
        <v>30</v>
      </c>
      <c r="F266" t="s">
        <v>406</v>
      </c>
      <c r="G266">
        <v>1</v>
      </c>
      <c r="H266" t="s">
        <v>100</v>
      </c>
      <c r="I266" t="s">
        <v>405</v>
      </c>
      <c r="J266">
        <v>5</v>
      </c>
      <c r="K266">
        <v>4</v>
      </c>
      <c r="L266">
        <v>5</v>
      </c>
      <c r="M266">
        <v>7</v>
      </c>
      <c r="N266">
        <v>4</v>
      </c>
      <c r="O266">
        <v>5</v>
      </c>
      <c r="P266">
        <v>3</v>
      </c>
      <c r="Q266">
        <v>5</v>
      </c>
      <c r="R266">
        <v>6</v>
      </c>
      <c r="S266">
        <v>44</v>
      </c>
      <c r="T266">
        <v>4.99</v>
      </c>
      <c r="U266">
        <v>39</v>
      </c>
      <c r="V266">
        <v>0</v>
      </c>
      <c r="W266">
        <v>0</v>
      </c>
      <c r="X266">
        <v>0</v>
      </c>
      <c r="Y266">
        <v>1</v>
      </c>
      <c r="Z266">
        <v>1</v>
      </c>
      <c r="AA266">
        <v>1</v>
      </c>
      <c r="AB266">
        <v>0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2</v>
      </c>
      <c r="AJ266">
        <v>2</v>
      </c>
      <c r="AK266">
        <v>1</v>
      </c>
      <c r="AL266">
        <v>2</v>
      </c>
      <c r="AM266">
        <v>1</v>
      </c>
      <c r="AN266">
        <v>0</v>
      </c>
      <c r="AO266">
        <v>8</v>
      </c>
      <c r="AY266">
        <f>SUM(Upload_Indiv[[#This Row],[Bird1]:[Bird9]])</f>
        <v>0</v>
      </c>
      <c r="BI266">
        <f>SUM(Upload_Indiv[[#This Row],[Eagle1]:[Eagle9]])</f>
        <v>0</v>
      </c>
    </row>
    <row r="267" spans="1:61" x14ac:dyDescent="0.25">
      <c r="A267" t="s">
        <v>569</v>
      </c>
      <c r="B267" t="s">
        <v>570</v>
      </c>
      <c r="C267" s="119">
        <v>45887</v>
      </c>
      <c r="D267" t="s">
        <v>26</v>
      </c>
      <c r="E267" t="s">
        <v>30</v>
      </c>
      <c r="F267" t="s">
        <v>406</v>
      </c>
      <c r="G267">
        <v>2</v>
      </c>
      <c r="H267" t="s">
        <v>309</v>
      </c>
      <c r="I267" t="s">
        <v>405</v>
      </c>
      <c r="J267">
        <v>7</v>
      </c>
      <c r="K267">
        <v>6</v>
      </c>
      <c r="L267">
        <v>7</v>
      </c>
      <c r="M267">
        <v>7</v>
      </c>
      <c r="N267">
        <v>6</v>
      </c>
      <c r="O267">
        <v>7</v>
      </c>
      <c r="P267">
        <v>4</v>
      </c>
      <c r="Q267">
        <v>5</v>
      </c>
      <c r="R267">
        <v>8</v>
      </c>
      <c r="S267">
        <v>57</v>
      </c>
      <c r="T267">
        <v>13.63</v>
      </c>
      <c r="U267">
        <v>43</v>
      </c>
      <c r="V267">
        <v>1</v>
      </c>
      <c r="W267">
        <v>1</v>
      </c>
      <c r="X267">
        <v>1</v>
      </c>
      <c r="Y267">
        <v>2</v>
      </c>
      <c r="Z267">
        <v>2</v>
      </c>
      <c r="AA267">
        <v>2</v>
      </c>
      <c r="AB267">
        <v>1</v>
      </c>
      <c r="AC267">
        <v>2</v>
      </c>
      <c r="AD267">
        <v>2</v>
      </c>
      <c r="AE267">
        <v>0</v>
      </c>
      <c r="AF267">
        <v>0</v>
      </c>
      <c r="AG267">
        <v>0</v>
      </c>
      <c r="AH267">
        <v>1</v>
      </c>
      <c r="AI267">
        <v>1</v>
      </c>
      <c r="AJ267">
        <v>1</v>
      </c>
      <c r="AK267">
        <v>1</v>
      </c>
      <c r="AL267">
        <v>2</v>
      </c>
      <c r="AM267">
        <v>0</v>
      </c>
      <c r="AN267">
        <v>0</v>
      </c>
      <c r="AO267">
        <v>6</v>
      </c>
      <c r="AY267">
        <f>SUM(Upload_Indiv[[#This Row],[Bird1]:[Bird9]])</f>
        <v>0</v>
      </c>
      <c r="BI267">
        <f>SUM(Upload_Indiv[[#This Row],[Eagle1]:[Eagle9]])</f>
        <v>0</v>
      </c>
    </row>
    <row r="268" spans="1:61" x14ac:dyDescent="0.25">
      <c r="A268" t="s">
        <v>569</v>
      </c>
      <c r="B268" t="s">
        <v>570</v>
      </c>
      <c r="C268" s="119">
        <v>45887</v>
      </c>
      <c r="D268" t="s">
        <v>26</v>
      </c>
      <c r="E268" t="s">
        <v>30</v>
      </c>
      <c r="F268" t="s">
        <v>406</v>
      </c>
      <c r="G268">
        <v>3</v>
      </c>
      <c r="H268" t="s">
        <v>165</v>
      </c>
      <c r="I268" t="s">
        <v>405</v>
      </c>
      <c r="J268">
        <v>6</v>
      </c>
      <c r="K268">
        <v>4</v>
      </c>
      <c r="L268">
        <v>6</v>
      </c>
      <c r="M268">
        <v>8</v>
      </c>
      <c r="N268">
        <v>5</v>
      </c>
      <c r="O268">
        <v>8</v>
      </c>
      <c r="P268">
        <v>5</v>
      </c>
      <c r="Q268">
        <v>9</v>
      </c>
      <c r="R268">
        <v>6</v>
      </c>
      <c r="S268">
        <v>57</v>
      </c>
      <c r="T268">
        <v>18.62</v>
      </c>
      <c r="U268">
        <v>38</v>
      </c>
      <c r="V268">
        <v>2</v>
      </c>
      <c r="W268">
        <v>2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3</v>
      </c>
      <c r="AD268">
        <v>2</v>
      </c>
      <c r="AE268">
        <v>1</v>
      </c>
      <c r="AF268">
        <v>2</v>
      </c>
      <c r="AG268">
        <v>1</v>
      </c>
      <c r="AH268">
        <v>0</v>
      </c>
      <c r="AI268">
        <v>2</v>
      </c>
      <c r="AJ268">
        <v>0</v>
      </c>
      <c r="AK268">
        <v>1</v>
      </c>
      <c r="AL268">
        <v>0</v>
      </c>
      <c r="AM268">
        <v>2</v>
      </c>
      <c r="AN268">
        <v>1</v>
      </c>
      <c r="AO268">
        <v>10</v>
      </c>
      <c r="AY268">
        <f>SUM(Upload_Indiv[[#This Row],[Bird1]:[Bird9]])</f>
        <v>0</v>
      </c>
      <c r="BI268">
        <f>SUM(Upload_Indiv[[#This Row],[Eagle1]:[Eagle9]])</f>
        <v>0</v>
      </c>
    </row>
    <row r="269" spans="1:61" x14ac:dyDescent="0.25">
      <c r="A269" t="s">
        <v>569</v>
      </c>
      <c r="B269" t="s">
        <v>570</v>
      </c>
      <c r="C269" s="119">
        <v>45887</v>
      </c>
      <c r="D269" t="s">
        <v>26</v>
      </c>
      <c r="E269" t="s">
        <v>30</v>
      </c>
      <c r="F269" t="s">
        <v>406</v>
      </c>
      <c r="G269">
        <v>4</v>
      </c>
      <c r="H269" t="s">
        <v>233</v>
      </c>
      <c r="I269" t="s">
        <v>405</v>
      </c>
      <c r="J269">
        <v>8</v>
      </c>
      <c r="K269">
        <v>5</v>
      </c>
      <c r="L269">
        <v>9</v>
      </c>
      <c r="M269">
        <v>7</v>
      </c>
      <c r="N269">
        <v>5</v>
      </c>
      <c r="O269">
        <v>8</v>
      </c>
      <c r="P269">
        <v>5</v>
      </c>
      <c r="Q269">
        <v>9</v>
      </c>
      <c r="R269">
        <v>10</v>
      </c>
      <c r="S269">
        <v>66</v>
      </c>
      <c r="T269">
        <v>20</v>
      </c>
      <c r="U269">
        <v>46</v>
      </c>
      <c r="V269">
        <v>2</v>
      </c>
      <c r="W269">
        <v>2</v>
      </c>
      <c r="X269">
        <v>2</v>
      </c>
      <c r="Y269">
        <v>3</v>
      </c>
      <c r="Z269">
        <v>2</v>
      </c>
      <c r="AA269">
        <v>2</v>
      </c>
      <c r="AB269">
        <v>2</v>
      </c>
      <c r="AC269">
        <v>3</v>
      </c>
      <c r="AD269">
        <v>2</v>
      </c>
      <c r="AE269">
        <v>0</v>
      </c>
      <c r="AF269">
        <v>1</v>
      </c>
      <c r="AG269">
        <v>0</v>
      </c>
      <c r="AH269">
        <v>2</v>
      </c>
      <c r="AI269">
        <v>2</v>
      </c>
      <c r="AJ269">
        <v>0</v>
      </c>
      <c r="AK269">
        <v>1</v>
      </c>
      <c r="AL269">
        <v>0</v>
      </c>
      <c r="AM269">
        <v>0</v>
      </c>
      <c r="AN269">
        <v>0</v>
      </c>
      <c r="AO269">
        <v>6</v>
      </c>
      <c r="AY269">
        <f>SUM(Upload_Indiv[[#This Row],[Bird1]:[Bird9]])</f>
        <v>0</v>
      </c>
      <c r="BI269">
        <f>SUM(Upload_Indiv[[#This Row],[Eagle1]:[Eagle9]])</f>
        <v>0</v>
      </c>
    </row>
    <row r="270" spans="1:61" x14ac:dyDescent="0.25">
      <c r="A270" t="s">
        <v>569</v>
      </c>
      <c r="B270" t="s">
        <v>570</v>
      </c>
      <c r="C270" s="119">
        <v>45887</v>
      </c>
      <c r="D270" t="s">
        <v>30</v>
      </c>
      <c r="E270" t="s">
        <v>26</v>
      </c>
      <c r="F270" t="s">
        <v>406</v>
      </c>
      <c r="G270">
        <v>1</v>
      </c>
      <c r="H270" t="s">
        <v>323</v>
      </c>
      <c r="I270" t="s">
        <v>405</v>
      </c>
      <c r="J270">
        <v>4</v>
      </c>
      <c r="K270">
        <v>3</v>
      </c>
      <c r="L270">
        <v>4</v>
      </c>
      <c r="M270">
        <v>5</v>
      </c>
      <c r="N270">
        <v>4</v>
      </c>
      <c r="O270">
        <v>5</v>
      </c>
      <c r="P270">
        <v>3</v>
      </c>
      <c r="Q270">
        <v>5</v>
      </c>
      <c r="R270">
        <v>5</v>
      </c>
      <c r="S270">
        <v>38</v>
      </c>
      <c r="T270">
        <v>0</v>
      </c>
      <c r="U270">
        <v>38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2</v>
      </c>
      <c r="AF270">
        <v>2</v>
      </c>
      <c r="AG270">
        <v>2</v>
      </c>
      <c r="AH270">
        <v>2</v>
      </c>
      <c r="AI270">
        <v>0</v>
      </c>
      <c r="AJ270">
        <v>0</v>
      </c>
      <c r="AK270">
        <v>1</v>
      </c>
      <c r="AL270">
        <v>0</v>
      </c>
      <c r="AM270">
        <v>1</v>
      </c>
      <c r="AN270">
        <v>2</v>
      </c>
      <c r="AO270">
        <v>12</v>
      </c>
      <c r="AY270">
        <f>SUM(Upload_Indiv[[#This Row],[Bird1]:[Bird9]])</f>
        <v>0</v>
      </c>
      <c r="BI270">
        <f>SUM(Upload_Indiv[[#This Row],[Eagle1]:[Eagle9]])</f>
        <v>0</v>
      </c>
    </row>
    <row r="271" spans="1:61" x14ac:dyDescent="0.25">
      <c r="A271" t="s">
        <v>569</v>
      </c>
      <c r="B271" t="s">
        <v>570</v>
      </c>
      <c r="C271" s="119">
        <v>45887</v>
      </c>
      <c r="D271" t="s">
        <v>30</v>
      </c>
      <c r="E271" t="s">
        <v>26</v>
      </c>
      <c r="F271" t="s">
        <v>406</v>
      </c>
      <c r="G271">
        <v>2</v>
      </c>
      <c r="H271" t="s">
        <v>324</v>
      </c>
      <c r="I271" t="s">
        <v>405</v>
      </c>
      <c r="J271">
        <v>4</v>
      </c>
      <c r="K271">
        <v>3</v>
      </c>
      <c r="L271">
        <v>4</v>
      </c>
      <c r="M271">
        <v>5</v>
      </c>
      <c r="N271">
        <v>4</v>
      </c>
      <c r="O271">
        <v>5</v>
      </c>
      <c r="P271">
        <v>3</v>
      </c>
      <c r="Q271">
        <v>5</v>
      </c>
      <c r="R271">
        <v>5</v>
      </c>
      <c r="S271">
        <v>38</v>
      </c>
      <c r="T271">
        <v>0</v>
      </c>
      <c r="U271">
        <v>38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2</v>
      </c>
      <c r="AF271">
        <v>2</v>
      </c>
      <c r="AG271">
        <v>2</v>
      </c>
      <c r="AH271">
        <v>1</v>
      </c>
      <c r="AI271">
        <v>1</v>
      </c>
      <c r="AJ271">
        <v>1</v>
      </c>
      <c r="AK271">
        <v>1</v>
      </c>
      <c r="AL271">
        <v>0</v>
      </c>
      <c r="AM271">
        <v>2</v>
      </c>
      <c r="AN271">
        <v>2</v>
      </c>
      <c r="AO271">
        <v>14</v>
      </c>
      <c r="AY271">
        <f>SUM(Upload_Indiv[[#This Row],[Bird1]:[Bird9]])</f>
        <v>0</v>
      </c>
      <c r="BI271">
        <f>SUM(Upload_Indiv[[#This Row],[Eagle1]:[Eagle9]])</f>
        <v>0</v>
      </c>
    </row>
    <row r="272" spans="1:61" x14ac:dyDescent="0.25">
      <c r="A272" t="s">
        <v>569</v>
      </c>
      <c r="B272" t="s">
        <v>570</v>
      </c>
      <c r="C272" s="119">
        <v>45887</v>
      </c>
      <c r="D272" t="s">
        <v>30</v>
      </c>
      <c r="E272" t="s">
        <v>26</v>
      </c>
      <c r="F272" t="s">
        <v>406</v>
      </c>
      <c r="G272">
        <v>3</v>
      </c>
      <c r="H272" t="s">
        <v>325</v>
      </c>
      <c r="I272" t="s">
        <v>405</v>
      </c>
      <c r="J272">
        <v>4</v>
      </c>
      <c r="K272">
        <v>3</v>
      </c>
      <c r="L272">
        <v>4</v>
      </c>
      <c r="M272">
        <v>5</v>
      </c>
      <c r="N272">
        <v>4</v>
      </c>
      <c r="O272">
        <v>5</v>
      </c>
      <c r="P272">
        <v>3</v>
      </c>
      <c r="Q272">
        <v>5</v>
      </c>
      <c r="R272">
        <v>5</v>
      </c>
      <c r="S272">
        <v>38</v>
      </c>
      <c r="T272">
        <v>0</v>
      </c>
      <c r="U272">
        <v>38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1</v>
      </c>
      <c r="AF272">
        <v>0</v>
      </c>
      <c r="AG272">
        <v>1</v>
      </c>
      <c r="AH272">
        <v>2</v>
      </c>
      <c r="AI272">
        <v>0</v>
      </c>
      <c r="AJ272">
        <v>2</v>
      </c>
      <c r="AK272">
        <v>1</v>
      </c>
      <c r="AL272">
        <v>2</v>
      </c>
      <c r="AM272">
        <v>0</v>
      </c>
      <c r="AN272">
        <v>1</v>
      </c>
      <c r="AO272">
        <v>10</v>
      </c>
      <c r="AY272">
        <f>SUM(Upload_Indiv[[#This Row],[Bird1]:[Bird9]])</f>
        <v>0</v>
      </c>
      <c r="BI272">
        <f>SUM(Upload_Indiv[[#This Row],[Eagle1]:[Eagle9]])</f>
        <v>0</v>
      </c>
    </row>
    <row r="273" spans="1:61" x14ac:dyDescent="0.25">
      <c r="A273" t="s">
        <v>569</v>
      </c>
      <c r="B273" t="s">
        <v>570</v>
      </c>
      <c r="C273" s="119">
        <v>45887</v>
      </c>
      <c r="D273" t="s">
        <v>30</v>
      </c>
      <c r="E273" t="s">
        <v>26</v>
      </c>
      <c r="F273" t="s">
        <v>406</v>
      </c>
      <c r="G273">
        <v>4</v>
      </c>
      <c r="H273" t="s">
        <v>326</v>
      </c>
      <c r="I273" t="s">
        <v>405</v>
      </c>
      <c r="J273">
        <v>4</v>
      </c>
      <c r="K273">
        <v>3</v>
      </c>
      <c r="L273">
        <v>4</v>
      </c>
      <c r="M273">
        <v>5</v>
      </c>
      <c r="N273">
        <v>4</v>
      </c>
      <c r="O273">
        <v>5</v>
      </c>
      <c r="P273">
        <v>3</v>
      </c>
      <c r="Q273">
        <v>5</v>
      </c>
      <c r="R273">
        <v>5</v>
      </c>
      <c r="S273">
        <v>38</v>
      </c>
      <c r="T273">
        <v>0</v>
      </c>
      <c r="U273">
        <v>38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2</v>
      </c>
      <c r="AF273">
        <v>1</v>
      </c>
      <c r="AG273">
        <v>2</v>
      </c>
      <c r="AH273">
        <v>0</v>
      </c>
      <c r="AI273">
        <v>0</v>
      </c>
      <c r="AJ273">
        <v>2</v>
      </c>
      <c r="AK273">
        <v>1</v>
      </c>
      <c r="AL273">
        <v>2</v>
      </c>
      <c r="AM273">
        <v>2</v>
      </c>
      <c r="AN273">
        <v>2</v>
      </c>
      <c r="AO273">
        <v>14</v>
      </c>
      <c r="AY273">
        <f>SUM(Upload_Indiv[[#This Row],[Bird1]:[Bird9]])</f>
        <v>0</v>
      </c>
      <c r="BI273">
        <f>SUM(Upload_Indiv[[#This Row],[Eagle1]:[Eagle9]])</f>
        <v>0</v>
      </c>
    </row>
    <row r="274" spans="1:61" x14ac:dyDescent="0.25">
      <c r="A274" t="s">
        <v>574</v>
      </c>
      <c r="B274" t="s">
        <v>570</v>
      </c>
      <c r="C274" s="119">
        <v>45887</v>
      </c>
      <c r="D274" t="s">
        <v>28</v>
      </c>
      <c r="E274" t="s">
        <v>30</v>
      </c>
      <c r="F274" t="s">
        <v>406</v>
      </c>
      <c r="G274">
        <v>1</v>
      </c>
      <c r="H274" t="s">
        <v>320</v>
      </c>
      <c r="I274" t="s">
        <v>405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15.36</v>
      </c>
      <c r="U274">
        <v>0</v>
      </c>
      <c r="V274">
        <v>1</v>
      </c>
      <c r="W274">
        <v>2</v>
      </c>
      <c r="X274">
        <v>1</v>
      </c>
      <c r="Y274">
        <v>2</v>
      </c>
      <c r="Z274">
        <v>2</v>
      </c>
      <c r="AA274">
        <v>2</v>
      </c>
      <c r="AB274">
        <v>1</v>
      </c>
      <c r="AC274">
        <v>2</v>
      </c>
      <c r="AD274">
        <v>2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Y274">
        <f>SUM(Upload_Indiv[[#This Row],[Bird1]:[Bird9]])</f>
        <v>0</v>
      </c>
      <c r="BI274">
        <f>SUM(Upload_Indiv[[#This Row],[Eagle1]:[Eagle9]])</f>
        <v>0</v>
      </c>
    </row>
    <row r="275" spans="1:61" x14ac:dyDescent="0.25">
      <c r="A275" t="s">
        <v>574</v>
      </c>
      <c r="B275" t="s">
        <v>570</v>
      </c>
      <c r="C275" s="119">
        <v>45887</v>
      </c>
      <c r="D275" t="s">
        <v>28</v>
      </c>
      <c r="E275" t="s">
        <v>30</v>
      </c>
      <c r="F275" t="s">
        <v>406</v>
      </c>
      <c r="G275">
        <v>2</v>
      </c>
      <c r="H275" t="s">
        <v>315</v>
      </c>
      <c r="I275" t="s">
        <v>405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17.47</v>
      </c>
      <c r="U275">
        <v>0</v>
      </c>
      <c r="V275">
        <v>2</v>
      </c>
      <c r="W275">
        <v>2</v>
      </c>
      <c r="X275">
        <v>2</v>
      </c>
      <c r="Y275">
        <v>2</v>
      </c>
      <c r="Z275">
        <v>2</v>
      </c>
      <c r="AA275">
        <v>2</v>
      </c>
      <c r="AB275">
        <v>1</v>
      </c>
      <c r="AC275">
        <v>2</v>
      </c>
      <c r="AD275">
        <v>2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Y275">
        <f>SUM(Upload_Indiv[[#This Row],[Bird1]:[Bird9]])</f>
        <v>0</v>
      </c>
      <c r="BI275">
        <f>SUM(Upload_Indiv[[#This Row],[Eagle1]:[Eagle9]])</f>
        <v>0</v>
      </c>
    </row>
    <row r="276" spans="1:61" x14ac:dyDescent="0.25">
      <c r="A276" t="s">
        <v>574</v>
      </c>
      <c r="B276" t="s">
        <v>570</v>
      </c>
      <c r="C276" s="119">
        <v>45887</v>
      </c>
      <c r="D276" t="s">
        <v>28</v>
      </c>
      <c r="E276" t="s">
        <v>30</v>
      </c>
      <c r="F276" t="s">
        <v>406</v>
      </c>
      <c r="G276">
        <v>3</v>
      </c>
      <c r="H276" t="s">
        <v>317</v>
      </c>
      <c r="I276" t="s">
        <v>405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18.82</v>
      </c>
      <c r="U276">
        <v>-19</v>
      </c>
      <c r="V276">
        <v>2</v>
      </c>
      <c r="W276">
        <v>2</v>
      </c>
      <c r="X276">
        <v>2</v>
      </c>
      <c r="Y276">
        <v>2</v>
      </c>
      <c r="Z276">
        <v>2</v>
      </c>
      <c r="AA276">
        <v>2</v>
      </c>
      <c r="AB276">
        <v>2</v>
      </c>
      <c r="AC276">
        <v>3</v>
      </c>
      <c r="AD276">
        <v>2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Y276">
        <f>SUM(Upload_Indiv[[#This Row],[Bird1]:[Bird9]])</f>
        <v>0</v>
      </c>
      <c r="BI276">
        <f>SUM(Upload_Indiv[[#This Row],[Eagle1]:[Eagle9]])</f>
        <v>0</v>
      </c>
    </row>
    <row r="277" spans="1:61" x14ac:dyDescent="0.25">
      <c r="A277" t="s">
        <v>574</v>
      </c>
      <c r="B277" t="s">
        <v>570</v>
      </c>
      <c r="C277" s="119">
        <v>45887</v>
      </c>
      <c r="D277" t="s">
        <v>28</v>
      </c>
      <c r="E277" t="s">
        <v>30</v>
      </c>
      <c r="F277" t="s">
        <v>406</v>
      </c>
      <c r="G277">
        <v>4</v>
      </c>
      <c r="H277" t="s">
        <v>101</v>
      </c>
      <c r="I277" t="s">
        <v>405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20</v>
      </c>
      <c r="U277">
        <v>-20</v>
      </c>
      <c r="V277">
        <v>2</v>
      </c>
      <c r="W277">
        <v>2</v>
      </c>
      <c r="X277">
        <v>2</v>
      </c>
      <c r="Y277">
        <v>3</v>
      </c>
      <c r="Z277">
        <v>2</v>
      </c>
      <c r="AA277">
        <v>2</v>
      </c>
      <c r="AB277">
        <v>2</v>
      </c>
      <c r="AC277">
        <v>3</v>
      </c>
      <c r="AD277">
        <v>2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Y277">
        <f>SUM(Upload_Indiv[[#This Row],[Bird1]:[Bird9]])</f>
        <v>0</v>
      </c>
      <c r="BI277">
        <f>SUM(Upload_Indiv[[#This Row],[Eagle1]:[Eagle9]])</f>
        <v>0</v>
      </c>
    </row>
    <row r="278" spans="1:61" x14ac:dyDescent="0.25">
      <c r="A278" t="s">
        <v>574</v>
      </c>
      <c r="B278" t="s">
        <v>570</v>
      </c>
      <c r="C278" s="119">
        <v>45887</v>
      </c>
      <c r="D278" t="s">
        <v>30</v>
      </c>
      <c r="E278" t="s">
        <v>28</v>
      </c>
      <c r="F278" t="s">
        <v>406</v>
      </c>
      <c r="G278">
        <v>1</v>
      </c>
      <c r="H278" t="s">
        <v>323</v>
      </c>
      <c r="I278" t="s">
        <v>405</v>
      </c>
      <c r="J278">
        <v>4</v>
      </c>
      <c r="K278">
        <v>3</v>
      </c>
      <c r="L278">
        <v>4</v>
      </c>
      <c r="M278">
        <v>5</v>
      </c>
      <c r="N278">
        <v>4</v>
      </c>
      <c r="O278">
        <v>5</v>
      </c>
      <c r="P278">
        <v>3</v>
      </c>
      <c r="Q278">
        <v>5</v>
      </c>
      <c r="R278">
        <v>5</v>
      </c>
      <c r="S278">
        <v>38</v>
      </c>
      <c r="T278">
        <v>0</v>
      </c>
      <c r="U278">
        <v>38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10</v>
      </c>
      <c r="AY278">
        <f>SUM(Upload_Indiv[[#This Row],[Bird1]:[Bird9]])</f>
        <v>0</v>
      </c>
      <c r="BI278">
        <f>SUM(Upload_Indiv[[#This Row],[Eagle1]:[Eagle9]])</f>
        <v>0</v>
      </c>
    </row>
    <row r="279" spans="1:61" x14ac:dyDescent="0.25">
      <c r="A279" t="s">
        <v>574</v>
      </c>
      <c r="B279" t="s">
        <v>570</v>
      </c>
      <c r="C279" s="119">
        <v>45887</v>
      </c>
      <c r="D279" t="s">
        <v>30</v>
      </c>
      <c r="E279" t="s">
        <v>28</v>
      </c>
      <c r="F279" t="s">
        <v>406</v>
      </c>
      <c r="G279">
        <v>2</v>
      </c>
      <c r="H279" t="s">
        <v>324</v>
      </c>
      <c r="I279" t="s">
        <v>405</v>
      </c>
      <c r="J279">
        <v>4</v>
      </c>
      <c r="K279">
        <v>3</v>
      </c>
      <c r="L279">
        <v>4</v>
      </c>
      <c r="M279">
        <v>5</v>
      </c>
      <c r="N279">
        <v>4</v>
      </c>
      <c r="O279">
        <v>5</v>
      </c>
      <c r="P279">
        <v>3</v>
      </c>
      <c r="Q279">
        <v>5</v>
      </c>
      <c r="R279">
        <v>5</v>
      </c>
      <c r="S279">
        <v>38</v>
      </c>
      <c r="T279">
        <v>0</v>
      </c>
      <c r="U279">
        <v>38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10</v>
      </c>
      <c r="AY279">
        <f>SUM(Upload_Indiv[[#This Row],[Bird1]:[Bird9]])</f>
        <v>0</v>
      </c>
      <c r="BI279">
        <f>SUM(Upload_Indiv[[#This Row],[Eagle1]:[Eagle9]])</f>
        <v>0</v>
      </c>
    </row>
    <row r="280" spans="1:61" x14ac:dyDescent="0.25">
      <c r="A280" t="s">
        <v>574</v>
      </c>
      <c r="B280" t="s">
        <v>570</v>
      </c>
      <c r="C280" s="119">
        <v>45887</v>
      </c>
      <c r="D280" t="s">
        <v>30</v>
      </c>
      <c r="E280" t="s">
        <v>28</v>
      </c>
      <c r="F280" t="s">
        <v>406</v>
      </c>
      <c r="G280">
        <v>3</v>
      </c>
      <c r="H280" t="s">
        <v>325</v>
      </c>
      <c r="I280" t="s">
        <v>405</v>
      </c>
      <c r="J280">
        <v>4</v>
      </c>
      <c r="K280">
        <v>3</v>
      </c>
      <c r="L280">
        <v>4</v>
      </c>
      <c r="M280">
        <v>5</v>
      </c>
      <c r="N280">
        <v>4</v>
      </c>
      <c r="O280">
        <v>5</v>
      </c>
      <c r="P280">
        <v>3</v>
      </c>
      <c r="Q280">
        <v>5</v>
      </c>
      <c r="R280">
        <v>5</v>
      </c>
      <c r="S280">
        <v>38</v>
      </c>
      <c r="T280">
        <v>0</v>
      </c>
      <c r="U280">
        <v>38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10</v>
      </c>
      <c r="AY280">
        <f>SUM(Upload_Indiv[[#This Row],[Bird1]:[Bird9]])</f>
        <v>0</v>
      </c>
      <c r="BI280">
        <f>SUM(Upload_Indiv[[#This Row],[Eagle1]:[Eagle9]])</f>
        <v>0</v>
      </c>
    </row>
    <row r="281" spans="1:61" x14ac:dyDescent="0.25">
      <c r="A281" t="s">
        <v>574</v>
      </c>
      <c r="B281" t="s">
        <v>570</v>
      </c>
      <c r="C281" s="119">
        <v>45887</v>
      </c>
      <c r="D281" t="s">
        <v>30</v>
      </c>
      <c r="E281" t="s">
        <v>28</v>
      </c>
      <c r="F281" t="s">
        <v>406</v>
      </c>
      <c r="G281">
        <v>4</v>
      </c>
      <c r="H281" t="s">
        <v>326</v>
      </c>
      <c r="I281" t="s">
        <v>405</v>
      </c>
      <c r="J281">
        <v>4</v>
      </c>
      <c r="K281">
        <v>3</v>
      </c>
      <c r="L281">
        <v>4</v>
      </c>
      <c r="M281">
        <v>5</v>
      </c>
      <c r="N281">
        <v>4</v>
      </c>
      <c r="O281">
        <v>5</v>
      </c>
      <c r="P281">
        <v>3</v>
      </c>
      <c r="Q281">
        <v>5</v>
      </c>
      <c r="R281">
        <v>5</v>
      </c>
      <c r="S281">
        <v>38</v>
      </c>
      <c r="T281">
        <v>0</v>
      </c>
      <c r="U281">
        <v>38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10</v>
      </c>
      <c r="AY281">
        <f>SUM(Upload_Indiv[[#This Row],[Bird1]:[Bird9]])</f>
        <v>0</v>
      </c>
      <c r="BI281">
        <f>SUM(Upload_Indiv[[#This Row],[Eagle1]:[Eagle9]])</f>
        <v>0</v>
      </c>
    </row>
    <row r="282" spans="1:61" x14ac:dyDescent="0.25">
      <c r="A282" t="s">
        <v>571</v>
      </c>
      <c r="B282" t="s">
        <v>570</v>
      </c>
      <c r="C282" s="119">
        <v>45887</v>
      </c>
      <c r="D282" t="s">
        <v>20</v>
      </c>
      <c r="E282" t="s">
        <v>30</v>
      </c>
      <c r="F282" t="s">
        <v>408</v>
      </c>
      <c r="G282">
        <v>1</v>
      </c>
      <c r="H282" t="s">
        <v>153</v>
      </c>
      <c r="I282" t="s">
        <v>405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6.34</v>
      </c>
      <c r="U282">
        <v>0</v>
      </c>
      <c r="V282">
        <v>1</v>
      </c>
      <c r="W282">
        <v>0</v>
      </c>
      <c r="X282">
        <v>1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Y282">
        <f>SUM(Upload_Indiv[[#This Row],[Bird1]:[Bird9]])</f>
        <v>0</v>
      </c>
      <c r="BI282">
        <f>SUM(Upload_Indiv[[#This Row],[Eagle1]:[Eagle9]])</f>
        <v>0</v>
      </c>
    </row>
    <row r="283" spans="1:61" x14ac:dyDescent="0.25">
      <c r="A283" t="s">
        <v>571</v>
      </c>
      <c r="B283" t="s">
        <v>570</v>
      </c>
      <c r="C283" s="119">
        <v>45887</v>
      </c>
      <c r="D283" t="s">
        <v>20</v>
      </c>
      <c r="E283" t="s">
        <v>30</v>
      </c>
      <c r="F283" t="s">
        <v>408</v>
      </c>
      <c r="G283">
        <v>2</v>
      </c>
      <c r="H283" t="s">
        <v>283</v>
      </c>
      <c r="I283" t="s">
        <v>405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8.06</v>
      </c>
      <c r="U283">
        <v>0</v>
      </c>
      <c r="V283">
        <v>1</v>
      </c>
      <c r="W283">
        <v>1</v>
      </c>
      <c r="X283">
        <v>1</v>
      </c>
      <c r="Y283">
        <v>1</v>
      </c>
      <c r="Z283">
        <v>0</v>
      </c>
      <c r="AA283">
        <v>1</v>
      </c>
      <c r="AB283">
        <v>1</v>
      </c>
      <c r="AC283">
        <v>1</v>
      </c>
      <c r="AD283">
        <v>1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Y283">
        <f>SUM(Upload_Indiv[[#This Row],[Bird1]:[Bird9]])</f>
        <v>0</v>
      </c>
      <c r="BI283">
        <f>SUM(Upload_Indiv[[#This Row],[Eagle1]:[Eagle9]])</f>
        <v>0</v>
      </c>
    </row>
    <row r="284" spans="1:61" x14ac:dyDescent="0.25">
      <c r="A284" t="s">
        <v>571</v>
      </c>
      <c r="B284" t="s">
        <v>570</v>
      </c>
      <c r="C284" s="119">
        <v>45887</v>
      </c>
      <c r="D284" t="s">
        <v>20</v>
      </c>
      <c r="E284" t="s">
        <v>30</v>
      </c>
      <c r="F284" t="s">
        <v>408</v>
      </c>
      <c r="G284">
        <v>3</v>
      </c>
      <c r="H284" t="s">
        <v>163</v>
      </c>
      <c r="I284" t="s">
        <v>405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8.26</v>
      </c>
      <c r="U284">
        <v>-8</v>
      </c>
      <c r="V284">
        <v>1</v>
      </c>
      <c r="W284">
        <v>1</v>
      </c>
      <c r="X284">
        <v>1</v>
      </c>
      <c r="Y284">
        <v>1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Y284">
        <f>SUM(Upload_Indiv[[#This Row],[Bird1]:[Bird9]])</f>
        <v>0</v>
      </c>
      <c r="BI284">
        <f>SUM(Upload_Indiv[[#This Row],[Eagle1]:[Eagle9]])</f>
        <v>0</v>
      </c>
    </row>
    <row r="285" spans="1:61" x14ac:dyDescent="0.25">
      <c r="A285" t="s">
        <v>571</v>
      </c>
      <c r="B285" t="s">
        <v>570</v>
      </c>
      <c r="C285" s="119">
        <v>45887</v>
      </c>
      <c r="D285" t="s">
        <v>20</v>
      </c>
      <c r="E285" t="s">
        <v>30</v>
      </c>
      <c r="F285" t="s">
        <v>408</v>
      </c>
      <c r="G285">
        <v>4</v>
      </c>
      <c r="H285" t="s">
        <v>513</v>
      </c>
      <c r="I285" t="s">
        <v>405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11.04</v>
      </c>
      <c r="U285">
        <v>-11</v>
      </c>
      <c r="V285">
        <v>2</v>
      </c>
      <c r="W285">
        <v>1</v>
      </c>
      <c r="X285">
        <v>1</v>
      </c>
      <c r="Y285">
        <v>1</v>
      </c>
      <c r="Z285">
        <v>1</v>
      </c>
      <c r="AA285">
        <v>2</v>
      </c>
      <c r="AB285">
        <v>1</v>
      </c>
      <c r="AC285">
        <v>1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Y285">
        <f>SUM(Upload_Indiv[[#This Row],[Bird1]:[Bird9]])</f>
        <v>0</v>
      </c>
      <c r="BI285">
        <f>SUM(Upload_Indiv[[#This Row],[Eagle1]:[Eagle9]])</f>
        <v>0</v>
      </c>
    </row>
    <row r="286" spans="1:61" x14ac:dyDescent="0.25">
      <c r="A286" t="s">
        <v>571</v>
      </c>
      <c r="B286" t="s">
        <v>570</v>
      </c>
      <c r="C286" s="119">
        <v>45887</v>
      </c>
      <c r="D286" t="s">
        <v>30</v>
      </c>
      <c r="E286" t="s">
        <v>20</v>
      </c>
      <c r="F286" t="s">
        <v>408</v>
      </c>
      <c r="G286">
        <v>1</v>
      </c>
      <c r="H286" t="s">
        <v>323</v>
      </c>
      <c r="I286" t="s">
        <v>405</v>
      </c>
      <c r="J286">
        <v>5</v>
      </c>
      <c r="K286">
        <v>5</v>
      </c>
      <c r="L286">
        <v>4</v>
      </c>
      <c r="M286">
        <v>3</v>
      </c>
      <c r="N286">
        <v>4</v>
      </c>
      <c r="O286">
        <v>5</v>
      </c>
      <c r="P286">
        <v>5</v>
      </c>
      <c r="Q286">
        <v>3</v>
      </c>
      <c r="R286">
        <v>4</v>
      </c>
      <c r="S286">
        <v>38</v>
      </c>
      <c r="T286">
        <v>0</v>
      </c>
      <c r="U286">
        <v>38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10</v>
      </c>
      <c r="AY286">
        <f>SUM(Upload_Indiv[[#This Row],[Bird1]:[Bird9]])</f>
        <v>0</v>
      </c>
      <c r="BI286">
        <f>SUM(Upload_Indiv[[#This Row],[Eagle1]:[Eagle9]])</f>
        <v>0</v>
      </c>
    </row>
    <row r="287" spans="1:61" x14ac:dyDescent="0.25">
      <c r="A287" t="s">
        <v>571</v>
      </c>
      <c r="B287" t="s">
        <v>570</v>
      </c>
      <c r="C287" s="119">
        <v>45887</v>
      </c>
      <c r="D287" t="s">
        <v>30</v>
      </c>
      <c r="E287" t="s">
        <v>20</v>
      </c>
      <c r="F287" t="s">
        <v>408</v>
      </c>
      <c r="G287">
        <v>2</v>
      </c>
      <c r="H287" t="s">
        <v>324</v>
      </c>
      <c r="I287" t="s">
        <v>405</v>
      </c>
      <c r="J287">
        <v>5</v>
      </c>
      <c r="K287">
        <v>5</v>
      </c>
      <c r="L287">
        <v>4</v>
      </c>
      <c r="M287">
        <v>3</v>
      </c>
      <c r="N287">
        <v>4</v>
      </c>
      <c r="O287">
        <v>5</v>
      </c>
      <c r="P287">
        <v>5</v>
      </c>
      <c r="Q287">
        <v>3</v>
      </c>
      <c r="R287">
        <v>4</v>
      </c>
      <c r="S287">
        <v>38</v>
      </c>
      <c r="T287">
        <v>0</v>
      </c>
      <c r="U287">
        <v>38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10</v>
      </c>
      <c r="AY287">
        <f>SUM(Upload_Indiv[[#This Row],[Bird1]:[Bird9]])</f>
        <v>0</v>
      </c>
      <c r="BI287">
        <f>SUM(Upload_Indiv[[#This Row],[Eagle1]:[Eagle9]])</f>
        <v>0</v>
      </c>
    </row>
    <row r="288" spans="1:61" x14ac:dyDescent="0.25">
      <c r="A288" t="s">
        <v>571</v>
      </c>
      <c r="B288" t="s">
        <v>570</v>
      </c>
      <c r="C288" s="119">
        <v>45887</v>
      </c>
      <c r="D288" t="s">
        <v>30</v>
      </c>
      <c r="E288" t="s">
        <v>20</v>
      </c>
      <c r="F288" t="s">
        <v>408</v>
      </c>
      <c r="G288">
        <v>3</v>
      </c>
      <c r="H288" t="s">
        <v>325</v>
      </c>
      <c r="I288" t="s">
        <v>405</v>
      </c>
      <c r="J288">
        <v>5</v>
      </c>
      <c r="K288">
        <v>5</v>
      </c>
      <c r="L288">
        <v>4</v>
      </c>
      <c r="M288">
        <v>3</v>
      </c>
      <c r="N288">
        <v>4</v>
      </c>
      <c r="O288">
        <v>5</v>
      </c>
      <c r="P288">
        <v>5</v>
      </c>
      <c r="Q288">
        <v>3</v>
      </c>
      <c r="R288">
        <v>4</v>
      </c>
      <c r="S288">
        <v>38</v>
      </c>
      <c r="T288">
        <v>0</v>
      </c>
      <c r="U288">
        <v>38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10</v>
      </c>
      <c r="AY288">
        <f>SUM(Upload_Indiv[[#This Row],[Bird1]:[Bird9]])</f>
        <v>0</v>
      </c>
      <c r="BI288">
        <f>SUM(Upload_Indiv[[#This Row],[Eagle1]:[Eagle9]])</f>
        <v>0</v>
      </c>
    </row>
    <row r="289" spans="1:61" x14ac:dyDescent="0.25">
      <c r="A289" t="s">
        <v>571</v>
      </c>
      <c r="B289" t="s">
        <v>570</v>
      </c>
      <c r="C289" s="119">
        <v>45887</v>
      </c>
      <c r="D289" t="s">
        <v>30</v>
      </c>
      <c r="E289" t="s">
        <v>20</v>
      </c>
      <c r="F289" t="s">
        <v>408</v>
      </c>
      <c r="G289">
        <v>4</v>
      </c>
      <c r="H289" t="s">
        <v>326</v>
      </c>
      <c r="I289" t="s">
        <v>405</v>
      </c>
      <c r="J289">
        <v>5</v>
      </c>
      <c r="K289">
        <v>5</v>
      </c>
      <c r="L289">
        <v>4</v>
      </c>
      <c r="M289">
        <v>3</v>
      </c>
      <c r="N289">
        <v>4</v>
      </c>
      <c r="O289">
        <v>5</v>
      </c>
      <c r="P289">
        <v>5</v>
      </c>
      <c r="Q289">
        <v>3</v>
      </c>
      <c r="R289">
        <v>4</v>
      </c>
      <c r="S289">
        <v>38</v>
      </c>
      <c r="T289">
        <v>0</v>
      </c>
      <c r="U289">
        <v>38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10</v>
      </c>
      <c r="AY289">
        <f>SUM(Upload_Indiv[[#This Row],[Bird1]:[Bird9]])</f>
        <v>0</v>
      </c>
      <c r="BI289">
        <f>SUM(Upload_Indiv[[#This Row],[Eagle1]:[Eagle9]])</f>
        <v>0</v>
      </c>
    </row>
    <row r="290" spans="1:61" x14ac:dyDescent="0.25">
      <c r="A290" t="s">
        <v>575</v>
      </c>
      <c r="B290" t="s">
        <v>570</v>
      </c>
      <c r="C290" s="119">
        <v>45887</v>
      </c>
      <c r="D290" t="s">
        <v>18</v>
      </c>
      <c r="E290" t="s">
        <v>30</v>
      </c>
      <c r="F290" t="s">
        <v>408</v>
      </c>
      <c r="G290">
        <v>1</v>
      </c>
      <c r="H290" t="s">
        <v>274</v>
      </c>
      <c r="I290" t="s">
        <v>405</v>
      </c>
      <c r="J290">
        <v>4</v>
      </c>
      <c r="K290">
        <v>5</v>
      </c>
      <c r="L290">
        <v>4</v>
      </c>
      <c r="M290">
        <v>3</v>
      </c>
      <c r="N290">
        <v>5</v>
      </c>
      <c r="O290">
        <v>5</v>
      </c>
      <c r="P290">
        <v>5</v>
      </c>
      <c r="Q290">
        <v>4</v>
      </c>
      <c r="R290">
        <v>7</v>
      </c>
      <c r="S290">
        <v>42</v>
      </c>
      <c r="T290">
        <v>6.91</v>
      </c>
      <c r="U290">
        <v>35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2</v>
      </c>
      <c r="AF290">
        <v>2</v>
      </c>
      <c r="AG290">
        <v>2</v>
      </c>
      <c r="AH290">
        <v>1</v>
      </c>
      <c r="AI290">
        <v>0</v>
      </c>
      <c r="AJ290">
        <v>2</v>
      </c>
      <c r="AK290">
        <v>2</v>
      </c>
      <c r="AL290">
        <v>1</v>
      </c>
      <c r="AM290">
        <v>0</v>
      </c>
      <c r="AN290">
        <v>2</v>
      </c>
      <c r="AO290">
        <v>14</v>
      </c>
      <c r="AY290">
        <f>SUM(Upload_Indiv[[#This Row],[Bird1]:[Bird9]])</f>
        <v>0</v>
      </c>
      <c r="BI290">
        <f>SUM(Upload_Indiv[[#This Row],[Eagle1]:[Eagle9]])</f>
        <v>0</v>
      </c>
    </row>
    <row r="291" spans="1:61" x14ac:dyDescent="0.25">
      <c r="A291" t="s">
        <v>575</v>
      </c>
      <c r="B291" t="s">
        <v>570</v>
      </c>
      <c r="C291" s="119">
        <v>45887</v>
      </c>
      <c r="D291" t="s">
        <v>18</v>
      </c>
      <c r="E291" t="s">
        <v>30</v>
      </c>
      <c r="F291" t="s">
        <v>408</v>
      </c>
      <c r="G291">
        <v>2</v>
      </c>
      <c r="H291" t="s">
        <v>258</v>
      </c>
      <c r="I291" t="s">
        <v>405</v>
      </c>
      <c r="J291">
        <v>6</v>
      </c>
      <c r="K291">
        <v>7</v>
      </c>
      <c r="L291">
        <v>5</v>
      </c>
      <c r="M291">
        <v>5</v>
      </c>
      <c r="N291">
        <v>5</v>
      </c>
      <c r="O291">
        <v>5</v>
      </c>
      <c r="P291">
        <v>6</v>
      </c>
      <c r="Q291">
        <v>4</v>
      </c>
      <c r="R291">
        <v>5</v>
      </c>
      <c r="S291">
        <v>48</v>
      </c>
      <c r="T291">
        <v>9.98</v>
      </c>
      <c r="U291">
        <v>38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2</v>
      </c>
      <c r="AB291">
        <v>1</v>
      </c>
      <c r="AC291">
        <v>1</v>
      </c>
      <c r="AD291">
        <v>1</v>
      </c>
      <c r="AE291">
        <v>1</v>
      </c>
      <c r="AF291">
        <v>0</v>
      </c>
      <c r="AG291">
        <v>1</v>
      </c>
      <c r="AH291">
        <v>0</v>
      </c>
      <c r="AI291">
        <v>1</v>
      </c>
      <c r="AJ291">
        <v>2</v>
      </c>
      <c r="AK291">
        <v>1</v>
      </c>
      <c r="AL291">
        <v>1</v>
      </c>
      <c r="AM291">
        <v>1</v>
      </c>
      <c r="AN291">
        <v>1</v>
      </c>
      <c r="AO291">
        <v>9</v>
      </c>
      <c r="AY291">
        <f>SUM(Upload_Indiv[[#This Row],[Bird1]:[Bird9]])</f>
        <v>0</v>
      </c>
      <c r="BI291">
        <f>SUM(Upload_Indiv[[#This Row],[Eagle1]:[Eagle9]])</f>
        <v>0</v>
      </c>
    </row>
    <row r="292" spans="1:61" x14ac:dyDescent="0.25">
      <c r="A292" t="s">
        <v>575</v>
      </c>
      <c r="B292" t="s">
        <v>570</v>
      </c>
      <c r="C292" s="119">
        <v>45887</v>
      </c>
      <c r="D292" t="s">
        <v>18</v>
      </c>
      <c r="E292" t="s">
        <v>30</v>
      </c>
      <c r="F292" t="s">
        <v>408</v>
      </c>
      <c r="G292">
        <v>3</v>
      </c>
      <c r="H292" t="s">
        <v>276</v>
      </c>
      <c r="I292" t="s">
        <v>405</v>
      </c>
      <c r="J292">
        <v>6</v>
      </c>
      <c r="K292">
        <v>5</v>
      </c>
      <c r="L292">
        <v>5</v>
      </c>
      <c r="M292">
        <v>4</v>
      </c>
      <c r="N292">
        <v>7</v>
      </c>
      <c r="O292">
        <v>6</v>
      </c>
      <c r="P292">
        <v>10</v>
      </c>
      <c r="Q292">
        <v>5</v>
      </c>
      <c r="R292">
        <v>5</v>
      </c>
      <c r="S292">
        <v>53</v>
      </c>
      <c r="T292">
        <v>15.36</v>
      </c>
      <c r="U292">
        <v>38</v>
      </c>
      <c r="V292">
        <v>2</v>
      </c>
      <c r="W292">
        <v>1</v>
      </c>
      <c r="X292">
        <v>2</v>
      </c>
      <c r="Y292">
        <v>1</v>
      </c>
      <c r="Z292">
        <v>1</v>
      </c>
      <c r="AA292">
        <v>2</v>
      </c>
      <c r="AB292">
        <v>2</v>
      </c>
      <c r="AC292">
        <v>2</v>
      </c>
      <c r="AD292">
        <v>2</v>
      </c>
      <c r="AE292">
        <v>2</v>
      </c>
      <c r="AF292">
        <v>2</v>
      </c>
      <c r="AG292">
        <v>2</v>
      </c>
      <c r="AH292">
        <v>1</v>
      </c>
      <c r="AI292">
        <v>0</v>
      </c>
      <c r="AJ292">
        <v>2</v>
      </c>
      <c r="AK292">
        <v>0</v>
      </c>
      <c r="AL292">
        <v>1</v>
      </c>
      <c r="AM292">
        <v>2</v>
      </c>
      <c r="AN292">
        <v>1</v>
      </c>
      <c r="AO292">
        <v>13</v>
      </c>
      <c r="AY292">
        <f>SUM(Upload_Indiv[[#This Row],[Bird1]:[Bird9]])</f>
        <v>0</v>
      </c>
      <c r="BI292">
        <f>SUM(Upload_Indiv[[#This Row],[Eagle1]:[Eagle9]])</f>
        <v>0</v>
      </c>
    </row>
    <row r="293" spans="1:61" x14ac:dyDescent="0.25">
      <c r="A293" t="s">
        <v>575</v>
      </c>
      <c r="B293" t="s">
        <v>570</v>
      </c>
      <c r="C293" s="119">
        <v>45887</v>
      </c>
      <c r="D293" t="s">
        <v>18</v>
      </c>
      <c r="E293" t="s">
        <v>30</v>
      </c>
      <c r="F293" t="s">
        <v>408</v>
      </c>
      <c r="G293">
        <v>4</v>
      </c>
      <c r="H293" t="s">
        <v>278</v>
      </c>
      <c r="I293" t="s">
        <v>405</v>
      </c>
      <c r="J293">
        <v>7</v>
      </c>
      <c r="K293">
        <v>5</v>
      </c>
      <c r="L293">
        <v>9</v>
      </c>
      <c r="M293">
        <v>5</v>
      </c>
      <c r="N293">
        <v>7</v>
      </c>
      <c r="O293">
        <v>7</v>
      </c>
      <c r="P293">
        <v>10</v>
      </c>
      <c r="Q293">
        <v>6</v>
      </c>
      <c r="R293">
        <v>4</v>
      </c>
      <c r="S293">
        <v>60</v>
      </c>
      <c r="T293">
        <v>17.66</v>
      </c>
      <c r="U293">
        <v>42</v>
      </c>
      <c r="V293">
        <v>2</v>
      </c>
      <c r="W293">
        <v>2</v>
      </c>
      <c r="X293">
        <v>2</v>
      </c>
      <c r="Y293">
        <v>2</v>
      </c>
      <c r="Z293">
        <v>2</v>
      </c>
      <c r="AA293">
        <v>2</v>
      </c>
      <c r="AB293">
        <v>2</v>
      </c>
      <c r="AC293">
        <v>2</v>
      </c>
      <c r="AD293">
        <v>2</v>
      </c>
      <c r="AE293">
        <v>1</v>
      </c>
      <c r="AF293">
        <v>2</v>
      </c>
      <c r="AG293">
        <v>0</v>
      </c>
      <c r="AH293">
        <v>1</v>
      </c>
      <c r="AI293">
        <v>0</v>
      </c>
      <c r="AJ293">
        <v>1</v>
      </c>
      <c r="AK293">
        <v>0</v>
      </c>
      <c r="AL293">
        <v>0</v>
      </c>
      <c r="AM293">
        <v>2</v>
      </c>
      <c r="AN293">
        <v>0</v>
      </c>
      <c r="AO293">
        <v>7</v>
      </c>
      <c r="AY293">
        <f>SUM(Upload_Indiv[[#This Row],[Bird1]:[Bird9]])</f>
        <v>0</v>
      </c>
      <c r="BI293">
        <f>SUM(Upload_Indiv[[#This Row],[Eagle1]:[Eagle9]])</f>
        <v>0</v>
      </c>
    </row>
    <row r="294" spans="1:61" x14ac:dyDescent="0.25">
      <c r="A294" t="s">
        <v>575</v>
      </c>
      <c r="B294" t="s">
        <v>570</v>
      </c>
      <c r="C294" s="119">
        <v>45887</v>
      </c>
      <c r="D294" t="s">
        <v>30</v>
      </c>
      <c r="E294" t="s">
        <v>18</v>
      </c>
      <c r="F294" t="s">
        <v>408</v>
      </c>
      <c r="G294">
        <v>1</v>
      </c>
      <c r="H294" t="s">
        <v>323</v>
      </c>
      <c r="I294" t="s">
        <v>405</v>
      </c>
      <c r="J294">
        <v>5</v>
      </c>
      <c r="K294">
        <v>5</v>
      </c>
      <c r="L294">
        <v>4</v>
      </c>
      <c r="M294">
        <v>3</v>
      </c>
      <c r="N294">
        <v>4</v>
      </c>
      <c r="O294">
        <v>5</v>
      </c>
      <c r="P294">
        <v>5</v>
      </c>
      <c r="Q294">
        <v>3</v>
      </c>
      <c r="R294">
        <v>4</v>
      </c>
      <c r="S294">
        <v>38</v>
      </c>
      <c r="T294">
        <v>0</v>
      </c>
      <c r="U294">
        <v>38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1</v>
      </c>
      <c r="AI294">
        <v>2</v>
      </c>
      <c r="AJ294">
        <v>0</v>
      </c>
      <c r="AK294">
        <v>0</v>
      </c>
      <c r="AL294">
        <v>1</v>
      </c>
      <c r="AM294">
        <v>2</v>
      </c>
      <c r="AN294">
        <v>0</v>
      </c>
      <c r="AO294">
        <v>6</v>
      </c>
      <c r="AY294">
        <f>SUM(Upload_Indiv[[#This Row],[Bird1]:[Bird9]])</f>
        <v>0</v>
      </c>
      <c r="BI294">
        <f>SUM(Upload_Indiv[[#This Row],[Eagle1]:[Eagle9]])</f>
        <v>0</v>
      </c>
    </row>
    <row r="295" spans="1:61" x14ac:dyDescent="0.25">
      <c r="A295" t="s">
        <v>575</v>
      </c>
      <c r="B295" t="s">
        <v>570</v>
      </c>
      <c r="C295" s="119">
        <v>45887</v>
      </c>
      <c r="D295" t="s">
        <v>30</v>
      </c>
      <c r="E295" t="s">
        <v>18</v>
      </c>
      <c r="F295" t="s">
        <v>408</v>
      </c>
      <c r="G295">
        <v>2</v>
      </c>
      <c r="H295" t="s">
        <v>324</v>
      </c>
      <c r="I295" t="s">
        <v>405</v>
      </c>
      <c r="J295">
        <v>5</v>
      </c>
      <c r="K295">
        <v>5</v>
      </c>
      <c r="L295">
        <v>4</v>
      </c>
      <c r="M295">
        <v>3</v>
      </c>
      <c r="N295">
        <v>4</v>
      </c>
      <c r="O295">
        <v>5</v>
      </c>
      <c r="P295">
        <v>5</v>
      </c>
      <c r="Q295">
        <v>3</v>
      </c>
      <c r="R295">
        <v>4</v>
      </c>
      <c r="S295">
        <v>38</v>
      </c>
      <c r="T295">
        <v>0</v>
      </c>
      <c r="U295">
        <v>38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1</v>
      </c>
      <c r="AF295">
        <v>2</v>
      </c>
      <c r="AG295">
        <v>1</v>
      </c>
      <c r="AH295">
        <v>2</v>
      </c>
      <c r="AI295">
        <v>1</v>
      </c>
      <c r="AJ295">
        <v>0</v>
      </c>
      <c r="AK295">
        <v>1</v>
      </c>
      <c r="AL295">
        <v>1</v>
      </c>
      <c r="AM295">
        <v>1</v>
      </c>
      <c r="AN295">
        <v>1</v>
      </c>
      <c r="AO295">
        <v>11</v>
      </c>
      <c r="AY295">
        <f>SUM(Upload_Indiv[[#This Row],[Bird1]:[Bird9]])</f>
        <v>0</v>
      </c>
      <c r="BI295">
        <f>SUM(Upload_Indiv[[#This Row],[Eagle1]:[Eagle9]])</f>
        <v>0</v>
      </c>
    </row>
    <row r="296" spans="1:61" x14ac:dyDescent="0.25">
      <c r="A296" t="s">
        <v>575</v>
      </c>
      <c r="B296" t="s">
        <v>570</v>
      </c>
      <c r="C296" s="119">
        <v>45887</v>
      </c>
      <c r="D296" t="s">
        <v>30</v>
      </c>
      <c r="E296" t="s">
        <v>18</v>
      </c>
      <c r="F296" t="s">
        <v>408</v>
      </c>
      <c r="G296">
        <v>3</v>
      </c>
      <c r="H296" t="s">
        <v>325</v>
      </c>
      <c r="I296" t="s">
        <v>405</v>
      </c>
      <c r="J296">
        <v>5</v>
      </c>
      <c r="K296">
        <v>5</v>
      </c>
      <c r="L296">
        <v>4</v>
      </c>
      <c r="M296">
        <v>3</v>
      </c>
      <c r="N296">
        <v>4</v>
      </c>
      <c r="O296">
        <v>5</v>
      </c>
      <c r="P296">
        <v>5</v>
      </c>
      <c r="Q296">
        <v>3</v>
      </c>
      <c r="R296">
        <v>4</v>
      </c>
      <c r="S296">
        <v>38</v>
      </c>
      <c r="T296">
        <v>0</v>
      </c>
      <c r="U296">
        <v>38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1</v>
      </c>
      <c r="AI296">
        <v>2</v>
      </c>
      <c r="AJ296">
        <v>0</v>
      </c>
      <c r="AK296">
        <v>2</v>
      </c>
      <c r="AL296">
        <v>1</v>
      </c>
      <c r="AM296">
        <v>0</v>
      </c>
      <c r="AN296">
        <v>1</v>
      </c>
      <c r="AO296">
        <v>7</v>
      </c>
      <c r="AY296">
        <f>SUM(Upload_Indiv[[#This Row],[Bird1]:[Bird9]])</f>
        <v>0</v>
      </c>
      <c r="BI296">
        <f>SUM(Upload_Indiv[[#This Row],[Eagle1]:[Eagle9]])</f>
        <v>0</v>
      </c>
    </row>
    <row r="297" spans="1:61" x14ac:dyDescent="0.25">
      <c r="A297" t="s">
        <v>575</v>
      </c>
      <c r="B297" t="s">
        <v>570</v>
      </c>
      <c r="C297" s="119">
        <v>45887</v>
      </c>
      <c r="D297" t="s">
        <v>30</v>
      </c>
      <c r="E297" t="s">
        <v>18</v>
      </c>
      <c r="F297" t="s">
        <v>408</v>
      </c>
      <c r="G297">
        <v>4</v>
      </c>
      <c r="H297" t="s">
        <v>326</v>
      </c>
      <c r="I297" t="s">
        <v>405</v>
      </c>
      <c r="J297">
        <v>5</v>
      </c>
      <c r="K297">
        <v>5</v>
      </c>
      <c r="L297">
        <v>4</v>
      </c>
      <c r="M297">
        <v>3</v>
      </c>
      <c r="N297">
        <v>4</v>
      </c>
      <c r="O297">
        <v>5</v>
      </c>
      <c r="P297">
        <v>5</v>
      </c>
      <c r="Q297">
        <v>3</v>
      </c>
      <c r="R297">
        <v>4</v>
      </c>
      <c r="S297">
        <v>38</v>
      </c>
      <c r="T297">
        <v>0</v>
      </c>
      <c r="U297">
        <v>38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1</v>
      </c>
      <c r="AF297">
        <v>0</v>
      </c>
      <c r="AG297">
        <v>2</v>
      </c>
      <c r="AH297">
        <v>1</v>
      </c>
      <c r="AI297">
        <v>2</v>
      </c>
      <c r="AJ297">
        <v>1</v>
      </c>
      <c r="AK297">
        <v>2</v>
      </c>
      <c r="AL297">
        <v>2</v>
      </c>
      <c r="AM297">
        <v>0</v>
      </c>
      <c r="AN297">
        <v>2</v>
      </c>
      <c r="AO297">
        <v>13</v>
      </c>
      <c r="AY297">
        <f>SUM(Upload_Indiv[[#This Row],[Bird1]:[Bird9]])</f>
        <v>0</v>
      </c>
      <c r="BI297">
        <f>SUM(Upload_Indiv[[#This Row],[Eagle1]:[Eagle9]])</f>
        <v>0</v>
      </c>
    </row>
    <row r="298" spans="1:61" x14ac:dyDescent="0.25">
      <c r="A298" t="s">
        <v>573</v>
      </c>
      <c r="B298" t="s">
        <v>570</v>
      </c>
      <c r="C298" s="119">
        <v>45887</v>
      </c>
      <c r="D298" t="s">
        <v>24</v>
      </c>
      <c r="E298" t="s">
        <v>30</v>
      </c>
      <c r="F298" t="s">
        <v>408</v>
      </c>
      <c r="G298">
        <v>1</v>
      </c>
      <c r="H298" t="s">
        <v>298</v>
      </c>
      <c r="I298" t="s">
        <v>405</v>
      </c>
      <c r="J298">
        <v>7</v>
      </c>
      <c r="K298">
        <v>7</v>
      </c>
      <c r="L298">
        <v>5</v>
      </c>
      <c r="M298">
        <v>5</v>
      </c>
      <c r="N298">
        <v>4</v>
      </c>
      <c r="O298">
        <v>5</v>
      </c>
      <c r="P298">
        <v>6</v>
      </c>
      <c r="Q298">
        <v>3</v>
      </c>
      <c r="R298">
        <v>4</v>
      </c>
      <c r="S298">
        <v>46</v>
      </c>
      <c r="T298">
        <v>9.02</v>
      </c>
      <c r="U298">
        <v>37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0</v>
      </c>
      <c r="AF298">
        <v>0</v>
      </c>
      <c r="AG298">
        <v>1</v>
      </c>
      <c r="AH298">
        <v>0</v>
      </c>
      <c r="AI298">
        <v>2</v>
      </c>
      <c r="AJ298">
        <v>2</v>
      </c>
      <c r="AK298">
        <v>1</v>
      </c>
      <c r="AL298">
        <v>2</v>
      </c>
      <c r="AM298">
        <v>2</v>
      </c>
      <c r="AN298">
        <v>2</v>
      </c>
      <c r="AO298">
        <v>12</v>
      </c>
      <c r="AY298">
        <f>SUM(Upload_Indiv[[#This Row],[Bird1]:[Bird9]])</f>
        <v>0</v>
      </c>
      <c r="BI298">
        <f>SUM(Upload_Indiv[[#This Row],[Eagle1]:[Eagle9]])</f>
        <v>0</v>
      </c>
    </row>
    <row r="299" spans="1:61" x14ac:dyDescent="0.25">
      <c r="A299" t="s">
        <v>573</v>
      </c>
      <c r="B299" t="s">
        <v>570</v>
      </c>
      <c r="C299" s="119">
        <v>45887</v>
      </c>
      <c r="D299" t="s">
        <v>24</v>
      </c>
      <c r="E299" t="s">
        <v>30</v>
      </c>
      <c r="F299" t="s">
        <v>408</v>
      </c>
      <c r="G299">
        <v>2</v>
      </c>
      <c r="H299" t="s">
        <v>300</v>
      </c>
      <c r="I299" t="s">
        <v>405</v>
      </c>
      <c r="J299">
        <v>5</v>
      </c>
      <c r="K299">
        <v>6</v>
      </c>
      <c r="L299">
        <v>5</v>
      </c>
      <c r="M299">
        <v>5</v>
      </c>
      <c r="N299">
        <v>5</v>
      </c>
      <c r="O299">
        <v>6</v>
      </c>
      <c r="P299">
        <v>6</v>
      </c>
      <c r="Q299">
        <v>5</v>
      </c>
      <c r="R299">
        <v>5</v>
      </c>
      <c r="S299">
        <v>48</v>
      </c>
      <c r="T299">
        <v>9.98</v>
      </c>
      <c r="U299">
        <v>38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2</v>
      </c>
      <c r="AB299">
        <v>1</v>
      </c>
      <c r="AC299">
        <v>1</v>
      </c>
      <c r="AD299">
        <v>1</v>
      </c>
      <c r="AE299">
        <v>2</v>
      </c>
      <c r="AF299">
        <v>1</v>
      </c>
      <c r="AG299">
        <v>1</v>
      </c>
      <c r="AH299">
        <v>0</v>
      </c>
      <c r="AI299">
        <v>1</v>
      </c>
      <c r="AJ299">
        <v>2</v>
      </c>
      <c r="AK299">
        <v>1</v>
      </c>
      <c r="AL299">
        <v>0</v>
      </c>
      <c r="AM299">
        <v>1</v>
      </c>
      <c r="AN299">
        <v>1</v>
      </c>
      <c r="AO299">
        <v>10</v>
      </c>
      <c r="AY299">
        <f>SUM(Upload_Indiv[[#This Row],[Bird1]:[Bird9]])</f>
        <v>0</v>
      </c>
      <c r="BI299">
        <f>SUM(Upload_Indiv[[#This Row],[Eagle1]:[Eagle9]])</f>
        <v>0</v>
      </c>
    </row>
    <row r="300" spans="1:61" x14ac:dyDescent="0.25">
      <c r="A300" t="s">
        <v>573</v>
      </c>
      <c r="B300" t="s">
        <v>570</v>
      </c>
      <c r="C300" s="119">
        <v>45887</v>
      </c>
      <c r="D300" t="s">
        <v>24</v>
      </c>
      <c r="E300" t="s">
        <v>30</v>
      </c>
      <c r="F300" t="s">
        <v>408</v>
      </c>
      <c r="G300">
        <v>3</v>
      </c>
      <c r="H300" t="s">
        <v>106</v>
      </c>
      <c r="I300" t="s">
        <v>405</v>
      </c>
      <c r="J300">
        <v>6</v>
      </c>
      <c r="K300">
        <v>7</v>
      </c>
      <c r="L300">
        <v>6</v>
      </c>
      <c r="M300">
        <v>4</v>
      </c>
      <c r="N300">
        <v>5</v>
      </c>
      <c r="O300">
        <v>4</v>
      </c>
      <c r="P300">
        <v>8</v>
      </c>
      <c r="Q300">
        <v>3</v>
      </c>
      <c r="R300">
        <v>6</v>
      </c>
      <c r="S300">
        <v>49</v>
      </c>
      <c r="T300">
        <v>14.02</v>
      </c>
      <c r="U300">
        <v>35</v>
      </c>
      <c r="V300">
        <v>2</v>
      </c>
      <c r="W300">
        <v>1</v>
      </c>
      <c r="X300">
        <v>2</v>
      </c>
      <c r="Y300">
        <v>1</v>
      </c>
      <c r="Z300">
        <v>1</v>
      </c>
      <c r="AA300">
        <v>2</v>
      </c>
      <c r="AB300">
        <v>2</v>
      </c>
      <c r="AC300">
        <v>1</v>
      </c>
      <c r="AD300">
        <v>2</v>
      </c>
      <c r="AE300">
        <v>2</v>
      </c>
      <c r="AF300">
        <v>0</v>
      </c>
      <c r="AG300">
        <v>1</v>
      </c>
      <c r="AH300">
        <v>1</v>
      </c>
      <c r="AI300">
        <v>1</v>
      </c>
      <c r="AJ300">
        <v>2</v>
      </c>
      <c r="AK300">
        <v>0</v>
      </c>
      <c r="AL300">
        <v>2</v>
      </c>
      <c r="AM300">
        <v>1</v>
      </c>
      <c r="AN300">
        <v>2</v>
      </c>
      <c r="AO300">
        <v>12</v>
      </c>
      <c r="AY300">
        <f>SUM(Upload_Indiv[[#This Row],[Bird1]:[Bird9]])</f>
        <v>0</v>
      </c>
      <c r="BI300">
        <f>SUM(Upload_Indiv[[#This Row],[Eagle1]:[Eagle9]])</f>
        <v>0</v>
      </c>
    </row>
    <row r="301" spans="1:61" x14ac:dyDescent="0.25">
      <c r="A301" t="s">
        <v>573</v>
      </c>
      <c r="B301" t="s">
        <v>570</v>
      </c>
      <c r="C301" s="119">
        <v>45887</v>
      </c>
      <c r="D301" t="s">
        <v>24</v>
      </c>
      <c r="E301" t="s">
        <v>30</v>
      </c>
      <c r="F301" t="s">
        <v>408</v>
      </c>
      <c r="G301">
        <v>4</v>
      </c>
      <c r="H301" t="s">
        <v>425</v>
      </c>
      <c r="I301" t="s">
        <v>405</v>
      </c>
      <c r="J301">
        <v>7</v>
      </c>
      <c r="K301">
        <v>7</v>
      </c>
      <c r="L301">
        <v>4</v>
      </c>
      <c r="M301">
        <v>4</v>
      </c>
      <c r="N301">
        <v>4</v>
      </c>
      <c r="O301">
        <v>8</v>
      </c>
      <c r="P301">
        <v>8</v>
      </c>
      <c r="Q301">
        <v>4</v>
      </c>
      <c r="R301">
        <v>7</v>
      </c>
      <c r="S301">
        <v>53</v>
      </c>
      <c r="T301">
        <v>16.510000000000002</v>
      </c>
      <c r="U301">
        <v>36</v>
      </c>
      <c r="V301">
        <v>2</v>
      </c>
      <c r="W301">
        <v>2</v>
      </c>
      <c r="X301">
        <v>2</v>
      </c>
      <c r="Y301">
        <v>2</v>
      </c>
      <c r="Z301">
        <v>1</v>
      </c>
      <c r="AA301">
        <v>2</v>
      </c>
      <c r="AB301">
        <v>2</v>
      </c>
      <c r="AC301">
        <v>2</v>
      </c>
      <c r="AD301">
        <v>2</v>
      </c>
      <c r="AE301">
        <v>1</v>
      </c>
      <c r="AF301">
        <v>1</v>
      </c>
      <c r="AG301">
        <v>2</v>
      </c>
      <c r="AH301">
        <v>2</v>
      </c>
      <c r="AI301">
        <v>2</v>
      </c>
      <c r="AJ301">
        <v>0</v>
      </c>
      <c r="AK301">
        <v>0</v>
      </c>
      <c r="AL301">
        <v>2</v>
      </c>
      <c r="AM301">
        <v>0</v>
      </c>
      <c r="AN301">
        <v>2</v>
      </c>
      <c r="AO301">
        <v>12</v>
      </c>
      <c r="AY301">
        <f>SUM(Upload_Indiv[[#This Row],[Bird1]:[Bird9]])</f>
        <v>0</v>
      </c>
      <c r="BI301">
        <f>SUM(Upload_Indiv[[#This Row],[Eagle1]:[Eagle9]])</f>
        <v>0</v>
      </c>
    </row>
    <row r="302" spans="1:61" x14ac:dyDescent="0.25">
      <c r="A302" t="s">
        <v>573</v>
      </c>
      <c r="B302" t="s">
        <v>570</v>
      </c>
      <c r="C302" s="119">
        <v>45887</v>
      </c>
      <c r="D302" t="s">
        <v>30</v>
      </c>
      <c r="E302" t="s">
        <v>24</v>
      </c>
      <c r="F302" t="s">
        <v>408</v>
      </c>
      <c r="G302">
        <v>1</v>
      </c>
      <c r="H302" t="s">
        <v>323</v>
      </c>
      <c r="I302" t="s">
        <v>405</v>
      </c>
      <c r="J302">
        <v>5</v>
      </c>
      <c r="K302">
        <v>5</v>
      </c>
      <c r="L302">
        <v>4</v>
      </c>
      <c r="M302">
        <v>3</v>
      </c>
      <c r="N302">
        <v>4</v>
      </c>
      <c r="O302">
        <v>5</v>
      </c>
      <c r="P302">
        <v>5</v>
      </c>
      <c r="Q302">
        <v>3</v>
      </c>
      <c r="R302">
        <v>4</v>
      </c>
      <c r="S302">
        <v>38</v>
      </c>
      <c r="T302">
        <v>0</v>
      </c>
      <c r="U302">
        <v>38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2</v>
      </c>
      <c r="AF302">
        <v>2</v>
      </c>
      <c r="AG302">
        <v>1</v>
      </c>
      <c r="AH302">
        <v>2</v>
      </c>
      <c r="AI302">
        <v>0</v>
      </c>
      <c r="AJ302">
        <v>0</v>
      </c>
      <c r="AK302">
        <v>1</v>
      </c>
      <c r="AL302">
        <v>0</v>
      </c>
      <c r="AM302">
        <v>0</v>
      </c>
      <c r="AN302">
        <v>0</v>
      </c>
      <c r="AO302">
        <v>8</v>
      </c>
      <c r="AY302">
        <f>SUM(Upload_Indiv[[#This Row],[Bird1]:[Bird9]])</f>
        <v>0</v>
      </c>
      <c r="BI302">
        <f>SUM(Upload_Indiv[[#This Row],[Eagle1]:[Eagle9]])</f>
        <v>0</v>
      </c>
    </row>
    <row r="303" spans="1:61" x14ac:dyDescent="0.25">
      <c r="A303" t="s">
        <v>573</v>
      </c>
      <c r="B303" t="s">
        <v>570</v>
      </c>
      <c r="C303" s="119">
        <v>45887</v>
      </c>
      <c r="D303" t="s">
        <v>30</v>
      </c>
      <c r="E303" t="s">
        <v>24</v>
      </c>
      <c r="F303" t="s">
        <v>408</v>
      </c>
      <c r="G303">
        <v>2</v>
      </c>
      <c r="H303" t="s">
        <v>324</v>
      </c>
      <c r="I303" t="s">
        <v>405</v>
      </c>
      <c r="J303">
        <v>5</v>
      </c>
      <c r="K303">
        <v>5</v>
      </c>
      <c r="L303">
        <v>4</v>
      </c>
      <c r="M303">
        <v>3</v>
      </c>
      <c r="N303">
        <v>4</v>
      </c>
      <c r="O303">
        <v>5</v>
      </c>
      <c r="P303">
        <v>5</v>
      </c>
      <c r="Q303">
        <v>3</v>
      </c>
      <c r="R303">
        <v>4</v>
      </c>
      <c r="S303">
        <v>38</v>
      </c>
      <c r="T303">
        <v>0</v>
      </c>
      <c r="U303">
        <v>38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1</v>
      </c>
      <c r="AG303">
        <v>1</v>
      </c>
      <c r="AH303">
        <v>2</v>
      </c>
      <c r="AI303">
        <v>1</v>
      </c>
      <c r="AJ303">
        <v>0</v>
      </c>
      <c r="AK303">
        <v>1</v>
      </c>
      <c r="AL303">
        <v>2</v>
      </c>
      <c r="AM303">
        <v>1</v>
      </c>
      <c r="AN303">
        <v>1</v>
      </c>
      <c r="AO303">
        <v>10</v>
      </c>
      <c r="AY303">
        <f>SUM(Upload_Indiv[[#This Row],[Bird1]:[Bird9]])</f>
        <v>0</v>
      </c>
      <c r="BI303">
        <f>SUM(Upload_Indiv[[#This Row],[Eagle1]:[Eagle9]])</f>
        <v>0</v>
      </c>
    </row>
    <row r="304" spans="1:61" x14ac:dyDescent="0.25">
      <c r="A304" t="s">
        <v>573</v>
      </c>
      <c r="B304" t="s">
        <v>570</v>
      </c>
      <c r="C304" s="119">
        <v>45887</v>
      </c>
      <c r="D304" t="s">
        <v>30</v>
      </c>
      <c r="E304" t="s">
        <v>24</v>
      </c>
      <c r="F304" t="s">
        <v>408</v>
      </c>
      <c r="G304">
        <v>3</v>
      </c>
      <c r="H304" t="s">
        <v>325</v>
      </c>
      <c r="I304" t="s">
        <v>405</v>
      </c>
      <c r="J304">
        <v>5</v>
      </c>
      <c r="K304">
        <v>5</v>
      </c>
      <c r="L304">
        <v>4</v>
      </c>
      <c r="M304">
        <v>3</v>
      </c>
      <c r="N304">
        <v>4</v>
      </c>
      <c r="O304">
        <v>5</v>
      </c>
      <c r="P304">
        <v>5</v>
      </c>
      <c r="Q304">
        <v>3</v>
      </c>
      <c r="R304">
        <v>4</v>
      </c>
      <c r="S304">
        <v>38</v>
      </c>
      <c r="T304">
        <v>0</v>
      </c>
      <c r="U304">
        <v>38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2</v>
      </c>
      <c r="AG304">
        <v>1</v>
      </c>
      <c r="AH304">
        <v>1</v>
      </c>
      <c r="AI304">
        <v>1</v>
      </c>
      <c r="AJ304">
        <v>0</v>
      </c>
      <c r="AK304">
        <v>2</v>
      </c>
      <c r="AL304">
        <v>0</v>
      </c>
      <c r="AM304">
        <v>1</v>
      </c>
      <c r="AN304">
        <v>0</v>
      </c>
      <c r="AO304">
        <v>8</v>
      </c>
      <c r="AY304">
        <f>SUM(Upload_Indiv[[#This Row],[Bird1]:[Bird9]])</f>
        <v>0</v>
      </c>
      <c r="BI304">
        <f>SUM(Upload_Indiv[[#This Row],[Eagle1]:[Eagle9]])</f>
        <v>0</v>
      </c>
    </row>
    <row r="305" spans="1:61" x14ac:dyDescent="0.25">
      <c r="A305" t="s">
        <v>573</v>
      </c>
      <c r="B305" t="s">
        <v>570</v>
      </c>
      <c r="C305" s="119">
        <v>45887</v>
      </c>
      <c r="D305" t="s">
        <v>30</v>
      </c>
      <c r="E305" t="s">
        <v>24</v>
      </c>
      <c r="F305" t="s">
        <v>408</v>
      </c>
      <c r="G305">
        <v>4</v>
      </c>
      <c r="H305" t="s">
        <v>326</v>
      </c>
      <c r="I305" t="s">
        <v>405</v>
      </c>
      <c r="J305">
        <v>5</v>
      </c>
      <c r="K305">
        <v>5</v>
      </c>
      <c r="L305">
        <v>4</v>
      </c>
      <c r="M305">
        <v>3</v>
      </c>
      <c r="N305">
        <v>4</v>
      </c>
      <c r="O305">
        <v>5</v>
      </c>
      <c r="P305">
        <v>5</v>
      </c>
      <c r="Q305">
        <v>3</v>
      </c>
      <c r="R305">
        <v>4</v>
      </c>
      <c r="S305">
        <v>38</v>
      </c>
      <c r="T305">
        <v>0</v>
      </c>
      <c r="U305">
        <v>38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1</v>
      </c>
      <c r="AF305">
        <v>1</v>
      </c>
      <c r="AG305">
        <v>0</v>
      </c>
      <c r="AH305">
        <v>0</v>
      </c>
      <c r="AI305">
        <v>0</v>
      </c>
      <c r="AJ305">
        <v>2</v>
      </c>
      <c r="AK305">
        <v>2</v>
      </c>
      <c r="AL305">
        <v>0</v>
      </c>
      <c r="AM305">
        <v>2</v>
      </c>
      <c r="AN305">
        <v>0</v>
      </c>
      <c r="AO305">
        <v>8</v>
      </c>
      <c r="AY305">
        <f>SUM(Upload_Indiv[[#This Row],[Bird1]:[Bird9]])</f>
        <v>0</v>
      </c>
      <c r="BI305">
        <f>SUM(Upload_Indiv[[#This Row],[Eagle1]:[Eagle9]])</f>
        <v>0</v>
      </c>
    </row>
    <row r="306" spans="1:61" x14ac:dyDescent="0.25">
      <c r="A306" t="s">
        <v>487</v>
      </c>
      <c r="B306" t="s">
        <v>463</v>
      </c>
      <c r="C306" s="119">
        <v>45768</v>
      </c>
      <c r="D306" t="s">
        <v>26</v>
      </c>
      <c r="E306" t="s">
        <v>22</v>
      </c>
      <c r="F306" t="s">
        <v>406</v>
      </c>
      <c r="G306">
        <v>1</v>
      </c>
      <c r="H306" t="s">
        <v>311</v>
      </c>
      <c r="I306" t="s">
        <v>407</v>
      </c>
      <c r="J306">
        <v>4</v>
      </c>
      <c r="K306">
        <v>3</v>
      </c>
      <c r="L306">
        <v>5</v>
      </c>
      <c r="M306">
        <v>4</v>
      </c>
      <c r="N306">
        <v>5</v>
      </c>
      <c r="O306">
        <v>6</v>
      </c>
      <c r="P306">
        <v>5</v>
      </c>
      <c r="Q306">
        <v>5</v>
      </c>
      <c r="R306">
        <v>6</v>
      </c>
      <c r="S306">
        <v>43</v>
      </c>
      <c r="T306">
        <v>4.99</v>
      </c>
      <c r="U306">
        <v>38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  <c r="AE306">
        <v>2</v>
      </c>
      <c r="AF306">
        <v>2</v>
      </c>
      <c r="AG306">
        <v>2</v>
      </c>
      <c r="AH306">
        <v>2</v>
      </c>
      <c r="AI306">
        <v>1</v>
      </c>
      <c r="AJ306">
        <v>1</v>
      </c>
      <c r="AK306">
        <v>0</v>
      </c>
      <c r="AL306">
        <v>2</v>
      </c>
      <c r="AM306">
        <v>0</v>
      </c>
      <c r="AN306">
        <v>2</v>
      </c>
      <c r="AO306">
        <v>14</v>
      </c>
      <c r="AY306">
        <f>SUM(Upload_Indiv[[#This Row],[Bird1]:[Bird9]])</f>
        <v>0</v>
      </c>
      <c r="BI306">
        <f>SUM(Upload_Indiv[[#This Row],[Eagle1]:[Eagle9]])</f>
        <v>0</v>
      </c>
    </row>
    <row r="307" spans="1:61" x14ac:dyDescent="0.25">
      <c r="A307" t="s">
        <v>487</v>
      </c>
      <c r="B307" t="s">
        <v>463</v>
      </c>
      <c r="C307" s="119">
        <v>45768</v>
      </c>
      <c r="D307" t="s">
        <v>26</v>
      </c>
      <c r="E307" t="s">
        <v>22</v>
      </c>
      <c r="F307" t="s">
        <v>406</v>
      </c>
      <c r="G307">
        <v>2</v>
      </c>
      <c r="H307" t="s">
        <v>258</v>
      </c>
      <c r="I307" t="s">
        <v>407</v>
      </c>
      <c r="J307">
        <v>4</v>
      </c>
      <c r="K307">
        <v>3</v>
      </c>
      <c r="L307">
        <v>8</v>
      </c>
      <c r="M307">
        <v>6</v>
      </c>
      <c r="N307">
        <v>6</v>
      </c>
      <c r="O307">
        <v>5</v>
      </c>
      <c r="P307">
        <v>6</v>
      </c>
      <c r="Q307">
        <v>5</v>
      </c>
      <c r="R307">
        <v>6</v>
      </c>
      <c r="S307">
        <v>49</v>
      </c>
      <c r="T307">
        <v>7.49</v>
      </c>
      <c r="U307">
        <v>42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0</v>
      </c>
      <c r="AE307">
        <v>2</v>
      </c>
      <c r="AF307">
        <v>1</v>
      </c>
      <c r="AG307">
        <v>0</v>
      </c>
      <c r="AH307">
        <v>2</v>
      </c>
      <c r="AI307">
        <v>0</v>
      </c>
      <c r="AJ307">
        <v>2</v>
      </c>
      <c r="AK307">
        <v>0</v>
      </c>
      <c r="AL307">
        <v>2</v>
      </c>
      <c r="AM307">
        <v>2</v>
      </c>
      <c r="AN307">
        <v>1</v>
      </c>
      <c r="AO307">
        <v>12</v>
      </c>
      <c r="AY307">
        <f>SUM(Upload_Indiv[[#This Row],[Bird1]:[Bird9]])</f>
        <v>0</v>
      </c>
      <c r="BI307">
        <f>SUM(Upload_Indiv[[#This Row],[Eagle1]:[Eagle9]])</f>
        <v>0</v>
      </c>
    </row>
    <row r="308" spans="1:61" x14ac:dyDescent="0.25">
      <c r="A308" t="s">
        <v>487</v>
      </c>
      <c r="B308" t="s">
        <v>463</v>
      </c>
      <c r="C308" s="119">
        <v>45768</v>
      </c>
      <c r="D308" t="s">
        <v>26</v>
      </c>
      <c r="E308" t="s">
        <v>22</v>
      </c>
      <c r="F308" t="s">
        <v>406</v>
      </c>
      <c r="G308">
        <v>3</v>
      </c>
      <c r="H308" t="s">
        <v>309</v>
      </c>
      <c r="I308" t="s">
        <v>407</v>
      </c>
      <c r="J308">
        <v>8</v>
      </c>
      <c r="K308">
        <v>4</v>
      </c>
      <c r="L308">
        <v>7</v>
      </c>
      <c r="M308">
        <v>7</v>
      </c>
      <c r="N308">
        <v>8</v>
      </c>
      <c r="O308">
        <v>7</v>
      </c>
      <c r="P308">
        <v>4</v>
      </c>
      <c r="Q308">
        <v>8</v>
      </c>
      <c r="R308">
        <v>9</v>
      </c>
      <c r="S308">
        <v>62</v>
      </c>
      <c r="T308">
        <v>13.25</v>
      </c>
      <c r="U308">
        <v>49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v>0</v>
      </c>
      <c r="AF308">
        <v>1</v>
      </c>
      <c r="AG308">
        <v>2</v>
      </c>
      <c r="AH308">
        <v>2</v>
      </c>
      <c r="AI308">
        <v>0</v>
      </c>
      <c r="AJ308">
        <v>2</v>
      </c>
      <c r="AK308">
        <v>2</v>
      </c>
      <c r="AL308">
        <v>1</v>
      </c>
      <c r="AM308">
        <v>0</v>
      </c>
      <c r="AN308">
        <v>2</v>
      </c>
      <c r="AO308">
        <v>12</v>
      </c>
      <c r="AY308">
        <f>SUM(Upload_Indiv[[#This Row],[Bird1]:[Bird9]])</f>
        <v>0</v>
      </c>
      <c r="BI308">
        <f>SUM(Upload_Indiv[[#This Row],[Eagle1]:[Eagle9]])</f>
        <v>0</v>
      </c>
    </row>
    <row r="309" spans="1:61" x14ac:dyDescent="0.25">
      <c r="A309" t="s">
        <v>487</v>
      </c>
      <c r="B309" t="s">
        <v>463</v>
      </c>
      <c r="C309" s="119">
        <v>45768</v>
      </c>
      <c r="D309" t="s">
        <v>26</v>
      </c>
      <c r="E309" t="s">
        <v>22</v>
      </c>
      <c r="F309" t="s">
        <v>406</v>
      </c>
      <c r="G309">
        <v>4</v>
      </c>
      <c r="H309" t="s">
        <v>165</v>
      </c>
      <c r="I309" t="s">
        <v>407</v>
      </c>
      <c r="J309">
        <v>5</v>
      </c>
      <c r="K309">
        <v>6</v>
      </c>
      <c r="L309">
        <v>9</v>
      </c>
      <c r="M309">
        <v>7</v>
      </c>
      <c r="N309">
        <v>7</v>
      </c>
      <c r="O309">
        <v>6</v>
      </c>
      <c r="P309">
        <v>3</v>
      </c>
      <c r="Q309">
        <v>6</v>
      </c>
      <c r="R309">
        <v>8</v>
      </c>
      <c r="S309">
        <v>57</v>
      </c>
      <c r="T309">
        <v>15.36</v>
      </c>
      <c r="U309">
        <v>42</v>
      </c>
      <c r="V309">
        <v>0</v>
      </c>
      <c r="W309">
        <v>0</v>
      </c>
      <c r="X309">
        <v>0</v>
      </c>
      <c r="Y309">
        <v>1</v>
      </c>
      <c r="Z309">
        <v>0</v>
      </c>
      <c r="AA309">
        <v>0</v>
      </c>
      <c r="AB309">
        <v>0</v>
      </c>
      <c r="AC309">
        <v>1</v>
      </c>
      <c r="AD309">
        <v>0</v>
      </c>
      <c r="AE309">
        <v>2</v>
      </c>
      <c r="AF309">
        <v>0</v>
      </c>
      <c r="AG309">
        <v>0</v>
      </c>
      <c r="AH309">
        <v>2</v>
      </c>
      <c r="AI309">
        <v>0</v>
      </c>
      <c r="AJ309">
        <v>0</v>
      </c>
      <c r="AK309">
        <v>2</v>
      </c>
      <c r="AL309">
        <v>2</v>
      </c>
      <c r="AM309">
        <v>1</v>
      </c>
      <c r="AN309">
        <v>0</v>
      </c>
      <c r="AO309">
        <v>9</v>
      </c>
      <c r="AY309">
        <f>SUM(Upload_Indiv[[#This Row],[Bird1]:[Bird9]])</f>
        <v>0</v>
      </c>
      <c r="BI309">
        <f>SUM(Upload_Indiv[[#This Row],[Eagle1]:[Eagle9]])</f>
        <v>0</v>
      </c>
    </row>
    <row r="310" spans="1:61" x14ac:dyDescent="0.25">
      <c r="A310" t="s">
        <v>487</v>
      </c>
      <c r="B310" t="s">
        <v>463</v>
      </c>
      <c r="C310" s="119">
        <v>45768</v>
      </c>
      <c r="D310" t="s">
        <v>22</v>
      </c>
      <c r="E310" t="s">
        <v>26</v>
      </c>
      <c r="F310" t="s">
        <v>406</v>
      </c>
      <c r="G310">
        <v>1</v>
      </c>
      <c r="H310" t="s">
        <v>156</v>
      </c>
      <c r="I310" t="s">
        <v>407</v>
      </c>
      <c r="J310">
        <v>5</v>
      </c>
      <c r="K310">
        <v>5</v>
      </c>
      <c r="L310">
        <v>6</v>
      </c>
      <c r="M310">
        <v>5</v>
      </c>
      <c r="N310">
        <v>5</v>
      </c>
      <c r="O310">
        <v>6</v>
      </c>
      <c r="P310">
        <v>3</v>
      </c>
      <c r="Q310">
        <v>7</v>
      </c>
      <c r="R310">
        <v>5</v>
      </c>
      <c r="S310">
        <v>47</v>
      </c>
      <c r="T310">
        <v>4.42</v>
      </c>
      <c r="U310">
        <v>43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1</v>
      </c>
      <c r="AK310">
        <v>2</v>
      </c>
      <c r="AL310">
        <v>0</v>
      </c>
      <c r="AM310">
        <v>2</v>
      </c>
      <c r="AN310">
        <v>0</v>
      </c>
      <c r="AO310">
        <v>6</v>
      </c>
      <c r="AY310">
        <f>SUM(Upload_Indiv[[#This Row],[Bird1]:[Bird9]])</f>
        <v>0</v>
      </c>
      <c r="BI310">
        <f>SUM(Upload_Indiv[[#This Row],[Eagle1]:[Eagle9]])</f>
        <v>0</v>
      </c>
    </row>
    <row r="311" spans="1:61" x14ac:dyDescent="0.25">
      <c r="A311" t="s">
        <v>487</v>
      </c>
      <c r="B311" t="s">
        <v>463</v>
      </c>
      <c r="C311" s="119">
        <v>45768</v>
      </c>
      <c r="D311" t="s">
        <v>22</v>
      </c>
      <c r="E311" t="s">
        <v>26</v>
      </c>
      <c r="F311" t="s">
        <v>406</v>
      </c>
      <c r="G311">
        <v>2</v>
      </c>
      <c r="H311" t="s">
        <v>155</v>
      </c>
      <c r="I311" t="s">
        <v>407</v>
      </c>
      <c r="J311">
        <v>6</v>
      </c>
      <c r="K311">
        <v>3</v>
      </c>
      <c r="L311">
        <v>5</v>
      </c>
      <c r="M311">
        <v>7</v>
      </c>
      <c r="N311">
        <v>4</v>
      </c>
      <c r="O311">
        <v>6</v>
      </c>
      <c r="P311">
        <v>4</v>
      </c>
      <c r="Q311">
        <v>6</v>
      </c>
      <c r="R311">
        <v>8</v>
      </c>
      <c r="S311">
        <v>49</v>
      </c>
      <c r="T311">
        <v>6.72</v>
      </c>
      <c r="U311">
        <v>42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1</v>
      </c>
      <c r="AG311">
        <v>2</v>
      </c>
      <c r="AH311">
        <v>0</v>
      </c>
      <c r="AI311">
        <v>2</v>
      </c>
      <c r="AJ311">
        <v>0</v>
      </c>
      <c r="AK311">
        <v>2</v>
      </c>
      <c r="AL311">
        <v>0</v>
      </c>
      <c r="AM311">
        <v>0</v>
      </c>
      <c r="AN311">
        <v>1</v>
      </c>
      <c r="AO311">
        <v>8</v>
      </c>
      <c r="AY311">
        <f>SUM(Upload_Indiv[[#This Row],[Bird1]:[Bird9]])</f>
        <v>0</v>
      </c>
      <c r="BI311">
        <f>SUM(Upload_Indiv[[#This Row],[Eagle1]:[Eagle9]])</f>
        <v>0</v>
      </c>
    </row>
    <row r="312" spans="1:61" x14ac:dyDescent="0.25">
      <c r="A312" t="s">
        <v>487</v>
      </c>
      <c r="B312" t="s">
        <v>463</v>
      </c>
      <c r="C312" s="119">
        <v>45768</v>
      </c>
      <c r="D312" t="s">
        <v>22</v>
      </c>
      <c r="E312" t="s">
        <v>26</v>
      </c>
      <c r="F312" t="s">
        <v>406</v>
      </c>
      <c r="G312">
        <v>3</v>
      </c>
      <c r="H312" t="s">
        <v>148</v>
      </c>
      <c r="I312" t="s">
        <v>407</v>
      </c>
      <c r="J312">
        <v>7</v>
      </c>
      <c r="K312">
        <v>4</v>
      </c>
      <c r="L312">
        <v>8</v>
      </c>
      <c r="M312">
        <v>8</v>
      </c>
      <c r="N312">
        <v>5</v>
      </c>
      <c r="O312">
        <v>8</v>
      </c>
      <c r="P312">
        <v>7</v>
      </c>
      <c r="Q312">
        <v>7</v>
      </c>
      <c r="R312">
        <v>8</v>
      </c>
      <c r="S312">
        <v>62</v>
      </c>
      <c r="T312">
        <v>12.1</v>
      </c>
      <c r="U312">
        <v>50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2</v>
      </c>
      <c r="AF312">
        <v>1</v>
      </c>
      <c r="AG312">
        <v>0</v>
      </c>
      <c r="AH312">
        <v>0</v>
      </c>
      <c r="AI312">
        <v>2</v>
      </c>
      <c r="AJ312">
        <v>0</v>
      </c>
      <c r="AK312">
        <v>0</v>
      </c>
      <c r="AL312">
        <v>1</v>
      </c>
      <c r="AM312">
        <v>2</v>
      </c>
      <c r="AN312">
        <v>0</v>
      </c>
      <c r="AO312">
        <v>8</v>
      </c>
      <c r="AY312">
        <f>SUM(Upload_Indiv[[#This Row],[Bird1]:[Bird9]])</f>
        <v>0</v>
      </c>
      <c r="BI312">
        <f>SUM(Upload_Indiv[[#This Row],[Eagle1]:[Eagle9]])</f>
        <v>0</v>
      </c>
    </row>
    <row r="313" spans="1:61" x14ac:dyDescent="0.25">
      <c r="A313" t="s">
        <v>487</v>
      </c>
      <c r="B313" t="s">
        <v>463</v>
      </c>
      <c r="C313" s="119">
        <v>45768</v>
      </c>
      <c r="D313" t="s">
        <v>22</v>
      </c>
      <c r="E313" t="s">
        <v>26</v>
      </c>
      <c r="F313" t="s">
        <v>406</v>
      </c>
      <c r="G313">
        <v>4</v>
      </c>
      <c r="H313" t="s">
        <v>158</v>
      </c>
      <c r="I313" t="s">
        <v>407</v>
      </c>
      <c r="J313">
        <v>6</v>
      </c>
      <c r="K313">
        <v>4</v>
      </c>
      <c r="L313">
        <v>8</v>
      </c>
      <c r="M313">
        <v>7</v>
      </c>
      <c r="N313">
        <v>6</v>
      </c>
      <c r="O313">
        <v>5</v>
      </c>
      <c r="P313">
        <v>4</v>
      </c>
      <c r="Q313">
        <v>7</v>
      </c>
      <c r="R313">
        <v>8</v>
      </c>
      <c r="S313">
        <v>55</v>
      </c>
      <c r="T313">
        <v>13.68</v>
      </c>
      <c r="U313">
        <v>41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2</v>
      </c>
      <c r="AG313">
        <v>2</v>
      </c>
      <c r="AH313">
        <v>0</v>
      </c>
      <c r="AI313">
        <v>2</v>
      </c>
      <c r="AJ313">
        <v>2</v>
      </c>
      <c r="AK313">
        <v>0</v>
      </c>
      <c r="AL313">
        <v>0</v>
      </c>
      <c r="AM313">
        <v>1</v>
      </c>
      <c r="AN313">
        <v>2</v>
      </c>
      <c r="AO313">
        <v>11</v>
      </c>
      <c r="AY313">
        <f>SUM(Upload_Indiv[[#This Row],[Bird1]:[Bird9]])</f>
        <v>0</v>
      </c>
      <c r="BI313">
        <f>SUM(Upload_Indiv[[#This Row],[Eagle1]:[Eagle9]])</f>
        <v>0</v>
      </c>
    </row>
    <row r="314" spans="1:61" x14ac:dyDescent="0.25">
      <c r="A314" t="s">
        <v>488</v>
      </c>
      <c r="B314" t="s">
        <v>463</v>
      </c>
      <c r="C314" s="119">
        <v>45768</v>
      </c>
      <c r="D314" t="s">
        <v>20</v>
      </c>
      <c r="E314" t="s">
        <v>28</v>
      </c>
      <c r="F314" t="s">
        <v>408</v>
      </c>
      <c r="G314">
        <v>1</v>
      </c>
      <c r="H314" t="s">
        <v>153</v>
      </c>
      <c r="I314" t="s">
        <v>407</v>
      </c>
      <c r="J314">
        <v>6</v>
      </c>
      <c r="K314">
        <v>6</v>
      </c>
      <c r="L314">
        <v>5</v>
      </c>
      <c r="M314">
        <v>4</v>
      </c>
      <c r="N314">
        <v>5</v>
      </c>
      <c r="O314">
        <v>5</v>
      </c>
      <c r="P314">
        <v>6</v>
      </c>
      <c r="Q314">
        <v>5</v>
      </c>
      <c r="R314">
        <v>4</v>
      </c>
      <c r="S314">
        <v>46</v>
      </c>
      <c r="T314">
        <v>4.03</v>
      </c>
      <c r="U314">
        <v>42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2</v>
      </c>
      <c r="AG314">
        <v>1</v>
      </c>
      <c r="AH314">
        <v>1</v>
      </c>
      <c r="AI314">
        <v>1</v>
      </c>
      <c r="AJ314">
        <v>2</v>
      </c>
      <c r="AK314">
        <v>1</v>
      </c>
      <c r="AL314">
        <v>2</v>
      </c>
      <c r="AM314">
        <v>2</v>
      </c>
      <c r="AN314">
        <v>2</v>
      </c>
      <c r="AO314">
        <v>14</v>
      </c>
      <c r="AY314">
        <f>SUM(Upload_Indiv[[#This Row],[Bird1]:[Bird9]])</f>
        <v>0</v>
      </c>
      <c r="BI314">
        <f>SUM(Upload_Indiv[[#This Row],[Eagle1]:[Eagle9]])</f>
        <v>0</v>
      </c>
    </row>
    <row r="315" spans="1:61" x14ac:dyDescent="0.25">
      <c r="A315" t="s">
        <v>488</v>
      </c>
      <c r="B315" t="s">
        <v>463</v>
      </c>
      <c r="C315" s="119">
        <v>45768</v>
      </c>
      <c r="D315" t="s">
        <v>20</v>
      </c>
      <c r="E315" t="s">
        <v>28</v>
      </c>
      <c r="F315" t="s">
        <v>408</v>
      </c>
      <c r="G315">
        <v>2</v>
      </c>
      <c r="H315" t="s">
        <v>283</v>
      </c>
      <c r="I315" t="s">
        <v>407</v>
      </c>
      <c r="J315">
        <v>6</v>
      </c>
      <c r="K315">
        <v>5</v>
      </c>
      <c r="L315">
        <v>7</v>
      </c>
      <c r="M315">
        <v>3</v>
      </c>
      <c r="N315">
        <v>6</v>
      </c>
      <c r="O315">
        <v>5</v>
      </c>
      <c r="P315">
        <v>6</v>
      </c>
      <c r="Q315">
        <v>5</v>
      </c>
      <c r="R315">
        <v>5</v>
      </c>
      <c r="S315">
        <v>48</v>
      </c>
      <c r="T315">
        <v>5.76</v>
      </c>
      <c r="U315">
        <v>42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2</v>
      </c>
      <c r="AF315">
        <v>2</v>
      </c>
      <c r="AG315">
        <v>0</v>
      </c>
      <c r="AH315">
        <v>1</v>
      </c>
      <c r="AI315">
        <v>1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6</v>
      </c>
      <c r="AY315">
        <f>SUM(Upload_Indiv[[#This Row],[Bird1]:[Bird9]])</f>
        <v>0</v>
      </c>
      <c r="BI315">
        <f>SUM(Upload_Indiv[[#This Row],[Eagle1]:[Eagle9]])</f>
        <v>0</v>
      </c>
    </row>
    <row r="316" spans="1:61" x14ac:dyDescent="0.25">
      <c r="A316" t="s">
        <v>488</v>
      </c>
      <c r="B316" t="s">
        <v>463</v>
      </c>
      <c r="C316" s="119">
        <v>45768</v>
      </c>
      <c r="D316" t="s">
        <v>20</v>
      </c>
      <c r="E316" t="s">
        <v>28</v>
      </c>
      <c r="F316" t="s">
        <v>408</v>
      </c>
      <c r="G316">
        <v>3</v>
      </c>
      <c r="H316" t="s">
        <v>163</v>
      </c>
      <c r="I316" t="s">
        <v>407</v>
      </c>
      <c r="J316">
        <v>5</v>
      </c>
      <c r="K316">
        <v>5</v>
      </c>
      <c r="L316">
        <v>5</v>
      </c>
      <c r="M316">
        <v>4</v>
      </c>
      <c r="N316">
        <v>5</v>
      </c>
      <c r="O316">
        <v>5</v>
      </c>
      <c r="P316">
        <v>6</v>
      </c>
      <c r="Q316">
        <v>5</v>
      </c>
      <c r="R316">
        <v>5</v>
      </c>
      <c r="S316">
        <v>45</v>
      </c>
      <c r="T316">
        <v>8.83</v>
      </c>
      <c r="U316">
        <v>36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2</v>
      </c>
      <c r="AF316">
        <v>2</v>
      </c>
      <c r="AG316">
        <v>2</v>
      </c>
      <c r="AH316">
        <v>1</v>
      </c>
      <c r="AI316">
        <v>1</v>
      </c>
      <c r="AJ316">
        <v>0</v>
      </c>
      <c r="AK316">
        <v>2</v>
      </c>
      <c r="AL316">
        <v>2</v>
      </c>
      <c r="AM316">
        <v>2</v>
      </c>
      <c r="AN316">
        <v>2</v>
      </c>
      <c r="AO316">
        <v>16</v>
      </c>
      <c r="AY316">
        <f>SUM(Upload_Indiv[[#This Row],[Bird1]:[Bird9]])</f>
        <v>0</v>
      </c>
      <c r="BI316">
        <f>SUM(Upload_Indiv[[#This Row],[Eagle1]:[Eagle9]])</f>
        <v>0</v>
      </c>
    </row>
    <row r="317" spans="1:61" x14ac:dyDescent="0.25">
      <c r="A317" t="s">
        <v>488</v>
      </c>
      <c r="B317" t="s">
        <v>463</v>
      </c>
      <c r="C317" s="119">
        <v>45768</v>
      </c>
      <c r="D317" t="s">
        <v>20</v>
      </c>
      <c r="E317" t="s">
        <v>28</v>
      </c>
      <c r="F317" t="s">
        <v>408</v>
      </c>
      <c r="G317">
        <v>4</v>
      </c>
      <c r="H317" t="s">
        <v>224</v>
      </c>
      <c r="I317" t="s">
        <v>407</v>
      </c>
      <c r="J317">
        <v>6</v>
      </c>
      <c r="K317">
        <v>7</v>
      </c>
      <c r="L317">
        <v>7</v>
      </c>
      <c r="M317">
        <v>5</v>
      </c>
      <c r="N317">
        <v>6</v>
      </c>
      <c r="O317">
        <v>4</v>
      </c>
      <c r="P317">
        <v>8</v>
      </c>
      <c r="Q317">
        <v>5</v>
      </c>
      <c r="R317">
        <v>4</v>
      </c>
      <c r="S317">
        <v>52</v>
      </c>
      <c r="T317">
        <v>13.44</v>
      </c>
      <c r="U317">
        <v>39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1</v>
      </c>
      <c r="AF317">
        <v>0</v>
      </c>
      <c r="AG317">
        <v>0</v>
      </c>
      <c r="AH317">
        <v>2</v>
      </c>
      <c r="AI317">
        <v>1</v>
      </c>
      <c r="AJ317">
        <v>2</v>
      </c>
      <c r="AK317">
        <v>2</v>
      </c>
      <c r="AL317">
        <v>2</v>
      </c>
      <c r="AM317">
        <v>2</v>
      </c>
      <c r="AN317">
        <v>2</v>
      </c>
      <c r="AO317">
        <v>14</v>
      </c>
      <c r="AY317">
        <f>SUM(Upload_Indiv[[#This Row],[Bird1]:[Bird9]])</f>
        <v>0</v>
      </c>
      <c r="BI317">
        <f>SUM(Upload_Indiv[[#This Row],[Eagle1]:[Eagle9]])</f>
        <v>0</v>
      </c>
    </row>
    <row r="318" spans="1:61" x14ac:dyDescent="0.25">
      <c r="A318" t="s">
        <v>488</v>
      </c>
      <c r="B318" t="s">
        <v>463</v>
      </c>
      <c r="C318" s="119">
        <v>45768</v>
      </c>
      <c r="D318" t="s">
        <v>28</v>
      </c>
      <c r="E318" t="s">
        <v>20</v>
      </c>
      <c r="F318" t="s">
        <v>408</v>
      </c>
      <c r="G318">
        <v>1</v>
      </c>
      <c r="H318" t="s">
        <v>320</v>
      </c>
      <c r="I318" t="s">
        <v>407</v>
      </c>
      <c r="J318">
        <v>6</v>
      </c>
      <c r="K318">
        <v>8</v>
      </c>
      <c r="L318">
        <v>6</v>
      </c>
      <c r="M318">
        <v>5</v>
      </c>
      <c r="N318">
        <v>6</v>
      </c>
      <c r="O318">
        <v>9</v>
      </c>
      <c r="P318">
        <v>7</v>
      </c>
      <c r="Q318">
        <v>7</v>
      </c>
      <c r="R318">
        <v>8</v>
      </c>
      <c r="S318">
        <v>62</v>
      </c>
      <c r="T318">
        <v>12.67</v>
      </c>
      <c r="U318">
        <v>49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2</v>
      </c>
      <c r="AF318">
        <v>0</v>
      </c>
      <c r="AG318">
        <v>1</v>
      </c>
      <c r="AH318">
        <v>1</v>
      </c>
      <c r="AI318">
        <v>1</v>
      </c>
      <c r="AJ318">
        <v>0</v>
      </c>
      <c r="AK318">
        <v>1</v>
      </c>
      <c r="AL318">
        <v>0</v>
      </c>
      <c r="AM318">
        <v>0</v>
      </c>
      <c r="AN318">
        <v>0</v>
      </c>
      <c r="AO318">
        <v>6</v>
      </c>
      <c r="AY318">
        <f>SUM(Upload_Indiv[[#This Row],[Bird1]:[Bird9]])</f>
        <v>0</v>
      </c>
      <c r="BI318">
        <f>SUM(Upload_Indiv[[#This Row],[Eagle1]:[Eagle9]])</f>
        <v>0</v>
      </c>
    </row>
    <row r="319" spans="1:61" x14ac:dyDescent="0.25">
      <c r="A319" t="s">
        <v>488</v>
      </c>
      <c r="B319" t="s">
        <v>463</v>
      </c>
      <c r="C319" s="119">
        <v>45768</v>
      </c>
      <c r="D319" t="s">
        <v>28</v>
      </c>
      <c r="E319" t="s">
        <v>20</v>
      </c>
      <c r="F319" t="s">
        <v>408</v>
      </c>
      <c r="G319">
        <v>2</v>
      </c>
      <c r="H319" t="s">
        <v>234</v>
      </c>
      <c r="I319" t="s">
        <v>407</v>
      </c>
      <c r="J319">
        <v>9</v>
      </c>
      <c r="K319">
        <v>7</v>
      </c>
      <c r="L319">
        <v>6</v>
      </c>
      <c r="M319">
        <v>3</v>
      </c>
      <c r="N319">
        <v>6</v>
      </c>
      <c r="O319">
        <v>5</v>
      </c>
      <c r="P319">
        <v>6</v>
      </c>
      <c r="Q319">
        <v>5</v>
      </c>
      <c r="R319">
        <v>5</v>
      </c>
      <c r="S319">
        <v>52</v>
      </c>
      <c r="T319">
        <v>11.52</v>
      </c>
      <c r="U319">
        <v>40</v>
      </c>
      <c r="V319">
        <v>1</v>
      </c>
      <c r="W319">
        <v>0</v>
      </c>
      <c r="X319">
        <v>1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0</v>
      </c>
      <c r="AF319">
        <v>0</v>
      </c>
      <c r="AG319">
        <v>2</v>
      </c>
      <c r="AH319">
        <v>1</v>
      </c>
      <c r="AI319">
        <v>1</v>
      </c>
      <c r="AJ319">
        <v>2</v>
      </c>
      <c r="AK319">
        <v>2</v>
      </c>
      <c r="AL319">
        <v>2</v>
      </c>
      <c r="AM319">
        <v>2</v>
      </c>
      <c r="AN319">
        <v>2</v>
      </c>
      <c r="AO319">
        <v>14</v>
      </c>
      <c r="AY319">
        <f>SUM(Upload_Indiv[[#This Row],[Bird1]:[Bird9]])</f>
        <v>0</v>
      </c>
      <c r="BI319">
        <f>SUM(Upload_Indiv[[#This Row],[Eagle1]:[Eagle9]])</f>
        <v>0</v>
      </c>
    </row>
    <row r="320" spans="1:61" x14ac:dyDescent="0.25">
      <c r="A320" t="s">
        <v>488</v>
      </c>
      <c r="B320" t="s">
        <v>463</v>
      </c>
      <c r="C320" s="119">
        <v>45768</v>
      </c>
      <c r="D320" t="s">
        <v>28</v>
      </c>
      <c r="E320" t="s">
        <v>20</v>
      </c>
      <c r="F320" t="s">
        <v>408</v>
      </c>
      <c r="G320">
        <v>3</v>
      </c>
      <c r="H320" t="s">
        <v>491</v>
      </c>
      <c r="I320" t="s">
        <v>407</v>
      </c>
      <c r="J320">
        <v>8</v>
      </c>
      <c r="K320">
        <v>8</v>
      </c>
      <c r="L320">
        <v>8</v>
      </c>
      <c r="M320">
        <v>5</v>
      </c>
      <c r="N320">
        <v>6</v>
      </c>
      <c r="O320">
        <v>6</v>
      </c>
      <c r="P320">
        <v>8</v>
      </c>
      <c r="Q320">
        <v>8</v>
      </c>
      <c r="R320">
        <v>7</v>
      </c>
      <c r="S320">
        <v>64</v>
      </c>
      <c r="T320">
        <v>20</v>
      </c>
      <c r="U320">
        <v>44</v>
      </c>
      <c r="V320">
        <v>2</v>
      </c>
      <c r="W320">
        <v>1</v>
      </c>
      <c r="X320">
        <v>1</v>
      </c>
      <c r="Y320">
        <v>1</v>
      </c>
      <c r="Z320">
        <v>1</v>
      </c>
      <c r="AA320">
        <v>2</v>
      </c>
      <c r="AB320">
        <v>1</v>
      </c>
      <c r="AC320">
        <v>1</v>
      </c>
      <c r="AD320">
        <v>1</v>
      </c>
      <c r="AE320">
        <v>0</v>
      </c>
      <c r="AF320">
        <v>0</v>
      </c>
      <c r="AG320">
        <v>0</v>
      </c>
      <c r="AH320">
        <v>1</v>
      </c>
      <c r="AI320">
        <v>1</v>
      </c>
      <c r="AJ320">
        <v>2</v>
      </c>
      <c r="AK320">
        <v>0</v>
      </c>
      <c r="AL320">
        <v>0</v>
      </c>
      <c r="AM320">
        <v>0</v>
      </c>
      <c r="AN320">
        <v>0</v>
      </c>
      <c r="AO320">
        <v>4</v>
      </c>
      <c r="AY320">
        <f>SUM(Upload_Indiv[[#This Row],[Bird1]:[Bird9]])</f>
        <v>0</v>
      </c>
      <c r="BI320">
        <f>SUM(Upload_Indiv[[#This Row],[Eagle1]:[Eagle9]])</f>
        <v>0</v>
      </c>
    </row>
    <row r="321" spans="1:61" x14ac:dyDescent="0.25">
      <c r="A321" t="s">
        <v>488</v>
      </c>
      <c r="B321" t="s">
        <v>463</v>
      </c>
      <c r="C321" s="119">
        <v>45768</v>
      </c>
      <c r="D321" t="s">
        <v>28</v>
      </c>
      <c r="E321" t="s">
        <v>20</v>
      </c>
      <c r="F321" t="s">
        <v>408</v>
      </c>
      <c r="G321">
        <v>4</v>
      </c>
      <c r="H321" t="s">
        <v>101</v>
      </c>
      <c r="I321" t="s">
        <v>407</v>
      </c>
      <c r="J321">
        <v>7</v>
      </c>
      <c r="K321">
        <v>6</v>
      </c>
      <c r="L321">
        <v>4</v>
      </c>
      <c r="M321">
        <v>6</v>
      </c>
      <c r="N321">
        <v>6</v>
      </c>
      <c r="O321">
        <v>6</v>
      </c>
      <c r="P321">
        <v>10</v>
      </c>
      <c r="Q321">
        <v>7</v>
      </c>
      <c r="R321">
        <v>6</v>
      </c>
      <c r="S321">
        <v>58</v>
      </c>
      <c r="T321">
        <v>17.09</v>
      </c>
      <c r="U321">
        <v>41</v>
      </c>
      <c r="V321">
        <v>1</v>
      </c>
      <c r="W321">
        <v>0</v>
      </c>
      <c r="X321">
        <v>1</v>
      </c>
      <c r="Y321">
        <v>0</v>
      </c>
      <c r="Z321">
        <v>0</v>
      </c>
      <c r="AA321">
        <v>1</v>
      </c>
      <c r="AB321">
        <v>0</v>
      </c>
      <c r="AC321">
        <v>0</v>
      </c>
      <c r="AD321">
        <v>1</v>
      </c>
      <c r="AE321">
        <v>1</v>
      </c>
      <c r="AF321">
        <v>2</v>
      </c>
      <c r="AG321">
        <v>2</v>
      </c>
      <c r="AH321">
        <v>0</v>
      </c>
      <c r="AI321">
        <v>1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6</v>
      </c>
      <c r="AY321">
        <f>SUM(Upload_Indiv[[#This Row],[Bird1]:[Bird9]])</f>
        <v>0</v>
      </c>
      <c r="BI321">
        <f>SUM(Upload_Indiv[[#This Row],[Eagle1]:[Eagle9]])</f>
        <v>0</v>
      </c>
    </row>
    <row r="322" spans="1:61" x14ac:dyDescent="0.25">
      <c r="A322" t="s">
        <v>489</v>
      </c>
      <c r="B322" t="s">
        <v>463</v>
      </c>
      <c r="C322" s="119">
        <v>45768</v>
      </c>
      <c r="D322" t="s">
        <v>16</v>
      </c>
      <c r="E322" t="s">
        <v>18</v>
      </c>
      <c r="F322" t="s">
        <v>408</v>
      </c>
      <c r="G322">
        <v>1</v>
      </c>
      <c r="H322" t="s">
        <v>267</v>
      </c>
      <c r="I322" t="s">
        <v>407</v>
      </c>
      <c r="J322">
        <v>5</v>
      </c>
      <c r="K322">
        <v>9</v>
      </c>
      <c r="L322">
        <v>5</v>
      </c>
      <c r="M322">
        <v>4</v>
      </c>
      <c r="N322">
        <v>6</v>
      </c>
      <c r="O322">
        <v>5</v>
      </c>
      <c r="P322">
        <v>6</v>
      </c>
      <c r="Q322">
        <v>6</v>
      </c>
      <c r="R322">
        <v>6</v>
      </c>
      <c r="S322">
        <v>52</v>
      </c>
      <c r="T322">
        <v>10.37</v>
      </c>
      <c r="U322">
        <v>42</v>
      </c>
      <c r="V322">
        <v>1</v>
      </c>
      <c r="W322">
        <v>0</v>
      </c>
      <c r="X322">
        <v>1</v>
      </c>
      <c r="Y322">
        <v>0</v>
      </c>
      <c r="Z322">
        <v>0</v>
      </c>
      <c r="AA322">
        <v>1</v>
      </c>
      <c r="AB322">
        <v>0</v>
      </c>
      <c r="AC322">
        <v>0</v>
      </c>
      <c r="AD322">
        <v>0</v>
      </c>
      <c r="AE322">
        <v>2</v>
      </c>
      <c r="AF322">
        <v>0</v>
      </c>
      <c r="AG322">
        <v>2</v>
      </c>
      <c r="AH322">
        <v>1</v>
      </c>
      <c r="AI322">
        <v>1</v>
      </c>
      <c r="AJ322">
        <v>2</v>
      </c>
      <c r="AK322">
        <v>1</v>
      </c>
      <c r="AL322">
        <v>0</v>
      </c>
      <c r="AM322">
        <v>0</v>
      </c>
      <c r="AN322">
        <v>2</v>
      </c>
      <c r="AO322">
        <v>11</v>
      </c>
      <c r="AY322">
        <f>SUM(Upload_Indiv[[#This Row],[Bird1]:[Bird9]])</f>
        <v>0</v>
      </c>
      <c r="BI322">
        <f>SUM(Upload_Indiv[[#This Row],[Eagle1]:[Eagle9]])</f>
        <v>0</v>
      </c>
    </row>
    <row r="323" spans="1:61" x14ac:dyDescent="0.25">
      <c r="A323" t="s">
        <v>489</v>
      </c>
      <c r="B323" t="s">
        <v>463</v>
      </c>
      <c r="C323" s="119">
        <v>45768</v>
      </c>
      <c r="D323" t="s">
        <v>16</v>
      </c>
      <c r="E323" t="s">
        <v>18</v>
      </c>
      <c r="F323" t="s">
        <v>408</v>
      </c>
      <c r="G323">
        <v>2</v>
      </c>
      <c r="H323" t="s">
        <v>102</v>
      </c>
      <c r="I323" t="s">
        <v>407</v>
      </c>
      <c r="J323">
        <v>7</v>
      </c>
      <c r="K323">
        <v>4</v>
      </c>
      <c r="L323">
        <v>6</v>
      </c>
      <c r="M323">
        <v>4</v>
      </c>
      <c r="N323">
        <v>6</v>
      </c>
      <c r="O323">
        <v>5</v>
      </c>
      <c r="P323">
        <v>7</v>
      </c>
      <c r="Q323">
        <v>6</v>
      </c>
      <c r="R323">
        <v>4</v>
      </c>
      <c r="S323">
        <v>49</v>
      </c>
      <c r="T323">
        <v>12.67</v>
      </c>
      <c r="U323">
        <v>36</v>
      </c>
      <c r="V323">
        <v>1</v>
      </c>
      <c r="W323">
        <v>0</v>
      </c>
      <c r="X323">
        <v>1</v>
      </c>
      <c r="Y323">
        <v>0</v>
      </c>
      <c r="Z323">
        <v>0</v>
      </c>
      <c r="AA323">
        <v>1</v>
      </c>
      <c r="AB323">
        <v>1</v>
      </c>
      <c r="AC323">
        <v>0</v>
      </c>
      <c r="AD323">
        <v>1</v>
      </c>
      <c r="AE323">
        <v>2</v>
      </c>
      <c r="AF323">
        <v>2</v>
      </c>
      <c r="AG323">
        <v>1</v>
      </c>
      <c r="AH323">
        <v>1</v>
      </c>
      <c r="AI323">
        <v>1</v>
      </c>
      <c r="AJ323">
        <v>2</v>
      </c>
      <c r="AK323">
        <v>2</v>
      </c>
      <c r="AL323">
        <v>1</v>
      </c>
      <c r="AM323">
        <v>2</v>
      </c>
      <c r="AN323">
        <v>2</v>
      </c>
      <c r="AO323">
        <v>16</v>
      </c>
      <c r="AQ323">
        <v>1</v>
      </c>
      <c r="AY323">
        <f>SUM(Upload_Indiv[[#This Row],[Bird1]:[Bird9]])</f>
        <v>1</v>
      </c>
      <c r="BI323">
        <f>SUM(Upload_Indiv[[#This Row],[Eagle1]:[Eagle9]])</f>
        <v>0</v>
      </c>
    </row>
    <row r="324" spans="1:61" x14ac:dyDescent="0.25">
      <c r="A324" t="s">
        <v>489</v>
      </c>
      <c r="B324" t="s">
        <v>463</v>
      </c>
      <c r="C324" s="119">
        <v>45768</v>
      </c>
      <c r="D324" t="s">
        <v>16</v>
      </c>
      <c r="E324" t="s">
        <v>18</v>
      </c>
      <c r="F324" t="s">
        <v>408</v>
      </c>
      <c r="G324">
        <v>3</v>
      </c>
      <c r="H324" t="s">
        <v>265</v>
      </c>
      <c r="I324" t="s">
        <v>407</v>
      </c>
      <c r="J324">
        <v>8</v>
      </c>
      <c r="K324">
        <v>8</v>
      </c>
      <c r="L324">
        <v>6</v>
      </c>
      <c r="M324">
        <v>5</v>
      </c>
      <c r="N324">
        <v>7</v>
      </c>
      <c r="O324">
        <v>7</v>
      </c>
      <c r="P324">
        <v>7</v>
      </c>
      <c r="Q324">
        <v>5</v>
      </c>
      <c r="R324">
        <v>8</v>
      </c>
      <c r="S324">
        <v>61</v>
      </c>
      <c r="T324">
        <v>16.7</v>
      </c>
      <c r="U324">
        <v>44</v>
      </c>
      <c r="V324">
        <v>1</v>
      </c>
      <c r="W324">
        <v>0</v>
      </c>
      <c r="X324">
        <v>1</v>
      </c>
      <c r="Y324">
        <v>0</v>
      </c>
      <c r="Z324">
        <v>0</v>
      </c>
      <c r="AA324">
        <v>1</v>
      </c>
      <c r="AB324">
        <v>0</v>
      </c>
      <c r="AC324">
        <v>0</v>
      </c>
      <c r="AD324">
        <v>1</v>
      </c>
      <c r="AE324">
        <v>0</v>
      </c>
      <c r="AF324">
        <v>1</v>
      </c>
      <c r="AG324">
        <v>1</v>
      </c>
      <c r="AH324">
        <v>0</v>
      </c>
      <c r="AI324">
        <v>2</v>
      </c>
      <c r="AJ324">
        <v>1</v>
      </c>
      <c r="AK324">
        <v>1</v>
      </c>
      <c r="AL324">
        <v>0</v>
      </c>
      <c r="AM324">
        <v>0</v>
      </c>
      <c r="AN324">
        <v>0</v>
      </c>
      <c r="AO324">
        <v>6</v>
      </c>
      <c r="AY324">
        <f>SUM(Upload_Indiv[[#This Row],[Bird1]:[Bird9]])</f>
        <v>0</v>
      </c>
      <c r="BI324">
        <f>SUM(Upload_Indiv[[#This Row],[Eagle1]:[Eagle9]])</f>
        <v>0</v>
      </c>
    </row>
    <row r="325" spans="1:61" x14ac:dyDescent="0.25">
      <c r="A325" t="s">
        <v>489</v>
      </c>
      <c r="B325" t="s">
        <v>463</v>
      </c>
      <c r="C325" s="119">
        <v>45768</v>
      </c>
      <c r="D325" t="s">
        <v>16</v>
      </c>
      <c r="E325" t="s">
        <v>18</v>
      </c>
      <c r="F325" t="s">
        <v>408</v>
      </c>
      <c r="G325">
        <v>4</v>
      </c>
      <c r="H325" t="s">
        <v>484</v>
      </c>
      <c r="I325" t="s">
        <v>407</v>
      </c>
      <c r="J325">
        <v>7</v>
      </c>
      <c r="K325">
        <v>10</v>
      </c>
      <c r="L325">
        <v>7</v>
      </c>
      <c r="M325">
        <v>5</v>
      </c>
      <c r="N325">
        <v>6</v>
      </c>
      <c r="O325">
        <v>6</v>
      </c>
      <c r="P325">
        <v>5</v>
      </c>
      <c r="Q325">
        <v>7</v>
      </c>
      <c r="R325">
        <v>7</v>
      </c>
      <c r="S325">
        <v>60</v>
      </c>
      <c r="T325">
        <v>20</v>
      </c>
      <c r="U325">
        <v>40</v>
      </c>
      <c r="V325">
        <v>1</v>
      </c>
      <c r="W325">
        <v>0</v>
      </c>
      <c r="X325">
        <v>1</v>
      </c>
      <c r="Y325">
        <v>0</v>
      </c>
      <c r="Z325">
        <v>0</v>
      </c>
      <c r="AA325">
        <v>1</v>
      </c>
      <c r="AB325">
        <v>0</v>
      </c>
      <c r="AC325">
        <v>0</v>
      </c>
      <c r="AD325">
        <v>1</v>
      </c>
      <c r="AE325">
        <v>2</v>
      </c>
      <c r="AF325">
        <v>0</v>
      </c>
      <c r="AG325">
        <v>2</v>
      </c>
      <c r="AH325">
        <v>0</v>
      </c>
      <c r="AI325">
        <v>2</v>
      </c>
      <c r="AJ325">
        <v>2</v>
      </c>
      <c r="AK325">
        <v>2</v>
      </c>
      <c r="AL325">
        <v>0</v>
      </c>
      <c r="AM325">
        <v>1</v>
      </c>
      <c r="AN325">
        <v>2</v>
      </c>
      <c r="AO325">
        <v>13</v>
      </c>
      <c r="AY325">
        <f>SUM(Upload_Indiv[[#This Row],[Bird1]:[Bird9]])</f>
        <v>0</v>
      </c>
      <c r="BI325">
        <f>SUM(Upload_Indiv[[#This Row],[Eagle1]:[Eagle9]])</f>
        <v>0</v>
      </c>
    </row>
    <row r="326" spans="1:61" x14ac:dyDescent="0.25">
      <c r="A326" t="s">
        <v>489</v>
      </c>
      <c r="B326" t="s">
        <v>463</v>
      </c>
      <c r="C326" s="119">
        <v>45768</v>
      </c>
      <c r="D326" t="s">
        <v>18</v>
      </c>
      <c r="E326" t="s">
        <v>16</v>
      </c>
      <c r="F326" t="s">
        <v>408</v>
      </c>
      <c r="G326">
        <v>1</v>
      </c>
      <c r="H326" t="s">
        <v>272</v>
      </c>
      <c r="I326" t="s">
        <v>407</v>
      </c>
      <c r="J326">
        <v>5</v>
      </c>
      <c r="K326">
        <v>8</v>
      </c>
      <c r="L326">
        <v>9</v>
      </c>
      <c r="M326">
        <v>4</v>
      </c>
      <c r="N326">
        <v>6</v>
      </c>
      <c r="O326">
        <v>5</v>
      </c>
      <c r="P326">
        <v>6</v>
      </c>
      <c r="Q326">
        <v>3</v>
      </c>
      <c r="R326">
        <v>5</v>
      </c>
      <c r="S326">
        <v>51</v>
      </c>
      <c r="T326">
        <v>6.91</v>
      </c>
      <c r="U326">
        <v>44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2</v>
      </c>
      <c r="AG326">
        <v>0</v>
      </c>
      <c r="AH326">
        <v>1</v>
      </c>
      <c r="AI326">
        <v>1</v>
      </c>
      <c r="AJ326">
        <v>0</v>
      </c>
      <c r="AK326">
        <v>1</v>
      </c>
      <c r="AL326">
        <v>2</v>
      </c>
      <c r="AM326">
        <v>2</v>
      </c>
      <c r="AN326">
        <v>0</v>
      </c>
      <c r="AO326">
        <v>9</v>
      </c>
      <c r="AY326">
        <f>SUM(Upload_Indiv[[#This Row],[Bird1]:[Bird9]])</f>
        <v>0</v>
      </c>
      <c r="BI326">
        <f>SUM(Upload_Indiv[[#This Row],[Eagle1]:[Eagle9]])</f>
        <v>0</v>
      </c>
    </row>
    <row r="327" spans="1:61" x14ac:dyDescent="0.25">
      <c r="A327" t="s">
        <v>489</v>
      </c>
      <c r="B327" t="s">
        <v>463</v>
      </c>
      <c r="C327" s="119">
        <v>45768</v>
      </c>
      <c r="D327" t="s">
        <v>18</v>
      </c>
      <c r="E327" t="s">
        <v>16</v>
      </c>
      <c r="F327" t="s">
        <v>408</v>
      </c>
      <c r="G327">
        <v>2</v>
      </c>
      <c r="H327" t="s">
        <v>274</v>
      </c>
      <c r="I327" t="s">
        <v>407</v>
      </c>
      <c r="J327">
        <v>7</v>
      </c>
      <c r="K327">
        <v>7</v>
      </c>
      <c r="L327">
        <v>5</v>
      </c>
      <c r="M327">
        <v>4</v>
      </c>
      <c r="N327">
        <v>6</v>
      </c>
      <c r="O327">
        <v>6</v>
      </c>
      <c r="P327">
        <v>7</v>
      </c>
      <c r="Q327">
        <v>6</v>
      </c>
      <c r="R327">
        <v>5</v>
      </c>
      <c r="S327">
        <v>53</v>
      </c>
      <c r="T327">
        <v>7.3</v>
      </c>
      <c r="U327">
        <v>46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1</v>
      </c>
      <c r="AH327">
        <v>1</v>
      </c>
      <c r="AI327">
        <v>1</v>
      </c>
      <c r="AJ327">
        <v>0</v>
      </c>
      <c r="AK327">
        <v>0</v>
      </c>
      <c r="AL327">
        <v>1</v>
      </c>
      <c r="AM327">
        <v>0</v>
      </c>
      <c r="AN327">
        <v>0</v>
      </c>
      <c r="AO327">
        <v>4</v>
      </c>
      <c r="AY327">
        <f>SUM(Upload_Indiv[[#This Row],[Bird1]:[Bird9]])</f>
        <v>0</v>
      </c>
      <c r="BI327">
        <f>SUM(Upload_Indiv[[#This Row],[Eagle1]:[Eagle9]])</f>
        <v>0</v>
      </c>
    </row>
    <row r="328" spans="1:61" x14ac:dyDescent="0.25">
      <c r="A328" t="s">
        <v>489</v>
      </c>
      <c r="B328" t="s">
        <v>463</v>
      </c>
      <c r="C328" s="119">
        <v>45768</v>
      </c>
      <c r="D328" t="s">
        <v>18</v>
      </c>
      <c r="E328" t="s">
        <v>16</v>
      </c>
      <c r="F328" t="s">
        <v>408</v>
      </c>
      <c r="G328">
        <v>3</v>
      </c>
      <c r="H328" t="s">
        <v>276</v>
      </c>
      <c r="I328" t="s">
        <v>407</v>
      </c>
      <c r="J328">
        <v>6</v>
      </c>
      <c r="K328">
        <v>8</v>
      </c>
      <c r="L328">
        <v>5</v>
      </c>
      <c r="M328">
        <v>4</v>
      </c>
      <c r="N328">
        <v>8</v>
      </c>
      <c r="O328">
        <v>6</v>
      </c>
      <c r="P328">
        <v>7</v>
      </c>
      <c r="Q328">
        <v>3</v>
      </c>
      <c r="R328">
        <v>6</v>
      </c>
      <c r="S328">
        <v>53</v>
      </c>
      <c r="T328">
        <v>12.67</v>
      </c>
      <c r="U328">
        <v>40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2</v>
      </c>
      <c r="AF328">
        <v>1</v>
      </c>
      <c r="AG328">
        <v>1</v>
      </c>
      <c r="AH328">
        <v>2</v>
      </c>
      <c r="AI328">
        <v>0</v>
      </c>
      <c r="AJ328">
        <v>1</v>
      </c>
      <c r="AK328">
        <v>1</v>
      </c>
      <c r="AL328">
        <v>2</v>
      </c>
      <c r="AM328">
        <v>2</v>
      </c>
      <c r="AN328">
        <v>2</v>
      </c>
      <c r="AO328">
        <v>14</v>
      </c>
      <c r="AY328">
        <f>SUM(Upload_Indiv[[#This Row],[Bird1]:[Bird9]])</f>
        <v>0</v>
      </c>
      <c r="BI328">
        <f>SUM(Upload_Indiv[[#This Row],[Eagle1]:[Eagle9]])</f>
        <v>0</v>
      </c>
    </row>
    <row r="329" spans="1:61" x14ac:dyDescent="0.25">
      <c r="A329" t="s">
        <v>489</v>
      </c>
      <c r="B329" t="s">
        <v>463</v>
      </c>
      <c r="C329" s="119">
        <v>45768</v>
      </c>
      <c r="D329" t="s">
        <v>18</v>
      </c>
      <c r="E329" t="s">
        <v>16</v>
      </c>
      <c r="F329" t="s">
        <v>408</v>
      </c>
      <c r="G329">
        <v>4</v>
      </c>
      <c r="H329" t="s">
        <v>278</v>
      </c>
      <c r="I329" t="s">
        <v>407</v>
      </c>
      <c r="J329">
        <v>9</v>
      </c>
      <c r="K329">
        <v>8</v>
      </c>
      <c r="L329">
        <v>7</v>
      </c>
      <c r="M329">
        <v>4</v>
      </c>
      <c r="N329">
        <v>7</v>
      </c>
      <c r="O329">
        <v>8</v>
      </c>
      <c r="P329">
        <v>8</v>
      </c>
      <c r="Q329">
        <v>6</v>
      </c>
      <c r="R329">
        <v>6</v>
      </c>
      <c r="S329">
        <v>63</v>
      </c>
      <c r="T329">
        <v>15.94</v>
      </c>
      <c r="U329">
        <v>47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2</v>
      </c>
      <c r="AG329">
        <v>0</v>
      </c>
      <c r="AH329">
        <v>2</v>
      </c>
      <c r="AI329">
        <v>0</v>
      </c>
      <c r="AJ329">
        <v>0</v>
      </c>
      <c r="AK329">
        <v>0</v>
      </c>
      <c r="AL329">
        <v>2</v>
      </c>
      <c r="AM329">
        <v>1</v>
      </c>
      <c r="AN329">
        <v>0</v>
      </c>
      <c r="AO329">
        <v>7</v>
      </c>
      <c r="AY329">
        <f>SUM(Upload_Indiv[[#This Row],[Bird1]:[Bird9]])</f>
        <v>0</v>
      </c>
      <c r="BI329">
        <f>SUM(Upload_Indiv[[#This Row],[Eagle1]:[Eagle9]])</f>
        <v>0</v>
      </c>
    </row>
    <row r="330" spans="1:61" x14ac:dyDescent="0.25">
      <c r="A330" t="s">
        <v>490</v>
      </c>
      <c r="B330" t="s">
        <v>463</v>
      </c>
      <c r="C330" s="119">
        <v>45768</v>
      </c>
      <c r="D330" t="s">
        <v>24</v>
      </c>
      <c r="E330" t="s">
        <v>30</v>
      </c>
      <c r="F330" t="s">
        <v>406</v>
      </c>
      <c r="G330">
        <v>1</v>
      </c>
      <c r="H330" t="s">
        <v>298</v>
      </c>
      <c r="I330" t="s">
        <v>407</v>
      </c>
      <c r="J330">
        <v>4</v>
      </c>
      <c r="K330">
        <v>4</v>
      </c>
      <c r="L330">
        <v>8</v>
      </c>
      <c r="M330">
        <v>6</v>
      </c>
      <c r="N330">
        <v>6</v>
      </c>
      <c r="O330">
        <v>8</v>
      </c>
      <c r="P330">
        <v>4</v>
      </c>
      <c r="Q330">
        <v>6</v>
      </c>
      <c r="R330">
        <v>9</v>
      </c>
      <c r="S330">
        <v>55</v>
      </c>
      <c r="T330">
        <v>7.1</v>
      </c>
      <c r="U330">
        <v>48</v>
      </c>
      <c r="V330">
        <v>1</v>
      </c>
      <c r="W330">
        <v>1</v>
      </c>
      <c r="X330">
        <v>0</v>
      </c>
      <c r="Y330">
        <v>1</v>
      </c>
      <c r="Z330">
        <v>1</v>
      </c>
      <c r="AA330">
        <v>1</v>
      </c>
      <c r="AB330">
        <v>0</v>
      </c>
      <c r="AC330">
        <v>1</v>
      </c>
      <c r="AD330">
        <v>1</v>
      </c>
      <c r="AE330">
        <v>2</v>
      </c>
      <c r="AF330">
        <v>1</v>
      </c>
      <c r="AG330">
        <v>0</v>
      </c>
      <c r="AH330">
        <v>1</v>
      </c>
      <c r="AI330">
        <v>0</v>
      </c>
      <c r="AJ330">
        <v>0</v>
      </c>
      <c r="AK330">
        <v>0</v>
      </c>
      <c r="AL330">
        <v>1</v>
      </c>
      <c r="AM330">
        <v>0</v>
      </c>
      <c r="AN330">
        <v>0</v>
      </c>
      <c r="AO330">
        <v>5</v>
      </c>
      <c r="AY330">
        <f>SUM(Upload_Indiv[[#This Row],[Bird1]:[Bird9]])</f>
        <v>0</v>
      </c>
      <c r="BI330">
        <f>SUM(Upload_Indiv[[#This Row],[Eagle1]:[Eagle9]])</f>
        <v>0</v>
      </c>
    </row>
    <row r="331" spans="1:61" x14ac:dyDescent="0.25">
      <c r="A331" t="s">
        <v>490</v>
      </c>
      <c r="B331" t="s">
        <v>463</v>
      </c>
      <c r="C331" s="119">
        <v>45768</v>
      </c>
      <c r="D331" t="s">
        <v>24</v>
      </c>
      <c r="E331" t="s">
        <v>30</v>
      </c>
      <c r="F331" t="s">
        <v>406</v>
      </c>
      <c r="G331">
        <v>2</v>
      </c>
      <c r="H331" t="s">
        <v>300</v>
      </c>
      <c r="I331" t="s">
        <v>407</v>
      </c>
      <c r="J331">
        <v>6</v>
      </c>
      <c r="K331">
        <v>4</v>
      </c>
      <c r="L331">
        <v>6</v>
      </c>
      <c r="M331">
        <v>5</v>
      </c>
      <c r="N331">
        <v>5</v>
      </c>
      <c r="O331">
        <v>6</v>
      </c>
      <c r="P331">
        <v>5</v>
      </c>
      <c r="Q331">
        <v>6</v>
      </c>
      <c r="R331">
        <v>7</v>
      </c>
      <c r="S331">
        <v>50</v>
      </c>
      <c r="T331">
        <v>9.02</v>
      </c>
      <c r="U331">
        <v>41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0</v>
      </c>
      <c r="AF331">
        <v>1</v>
      </c>
      <c r="AG331">
        <v>0</v>
      </c>
      <c r="AH331">
        <v>2</v>
      </c>
      <c r="AI331">
        <v>1</v>
      </c>
      <c r="AJ331">
        <v>1</v>
      </c>
      <c r="AK331">
        <v>0</v>
      </c>
      <c r="AL331">
        <v>1</v>
      </c>
      <c r="AM331">
        <v>0</v>
      </c>
      <c r="AN331">
        <v>0</v>
      </c>
      <c r="AO331">
        <v>6</v>
      </c>
      <c r="AY331">
        <f>SUM(Upload_Indiv[[#This Row],[Bird1]:[Bird9]])</f>
        <v>0</v>
      </c>
      <c r="BI331">
        <f>SUM(Upload_Indiv[[#This Row],[Eagle1]:[Eagle9]])</f>
        <v>0</v>
      </c>
    </row>
    <row r="332" spans="1:61" x14ac:dyDescent="0.25">
      <c r="A332" t="s">
        <v>490</v>
      </c>
      <c r="B332" t="s">
        <v>463</v>
      </c>
      <c r="C332" s="119">
        <v>45768</v>
      </c>
      <c r="D332" t="s">
        <v>24</v>
      </c>
      <c r="E332" t="s">
        <v>30</v>
      </c>
      <c r="F332" t="s">
        <v>406</v>
      </c>
      <c r="G332">
        <v>3</v>
      </c>
      <c r="H332" t="s">
        <v>106</v>
      </c>
      <c r="I332" t="s">
        <v>407</v>
      </c>
      <c r="J332">
        <v>5</v>
      </c>
      <c r="K332">
        <v>5</v>
      </c>
      <c r="L332">
        <v>5</v>
      </c>
      <c r="M332">
        <v>7</v>
      </c>
      <c r="N332">
        <v>5</v>
      </c>
      <c r="O332">
        <v>7</v>
      </c>
      <c r="P332">
        <v>5</v>
      </c>
      <c r="Q332">
        <v>5</v>
      </c>
      <c r="R332">
        <v>8</v>
      </c>
      <c r="S332">
        <v>52</v>
      </c>
      <c r="T332">
        <v>14.4</v>
      </c>
      <c r="U332">
        <v>38</v>
      </c>
      <c r="V332">
        <v>1</v>
      </c>
      <c r="W332">
        <v>1</v>
      </c>
      <c r="X332">
        <v>1</v>
      </c>
      <c r="Y332">
        <v>2</v>
      </c>
      <c r="Z332">
        <v>2</v>
      </c>
      <c r="AA332">
        <v>2</v>
      </c>
      <c r="AB332">
        <v>1</v>
      </c>
      <c r="AC332">
        <v>2</v>
      </c>
      <c r="AD332">
        <v>2</v>
      </c>
      <c r="AE332">
        <v>1</v>
      </c>
      <c r="AF332">
        <v>0</v>
      </c>
      <c r="AG332">
        <v>1</v>
      </c>
      <c r="AH332">
        <v>1</v>
      </c>
      <c r="AI332">
        <v>2</v>
      </c>
      <c r="AJ332">
        <v>1</v>
      </c>
      <c r="AK332">
        <v>0</v>
      </c>
      <c r="AL332">
        <v>2</v>
      </c>
      <c r="AM332">
        <v>0</v>
      </c>
      <c r="AN332">
        <v>1</v>
      </c>
      <c r="AO332">
        <v>9</v>
      </c>
      <c r="AY332">
        <f>SUM(Upload_Indiv[[#This Row],[Bird1]:[Bird9]])</f>
        <v>0</v>
      </c>
      <c r="BI332">
        <f>SUM(Upload_Indiv[[#This Row],[Eagle1]:[Eagle9]])</f>
        <v>0</v>
      </c>
    </row>
    <row r="333" spans="1:61" x14ac:dyDescent="0.25">
      <c r="A333" t="s">
        <v>490</v>
      </c>
      <c r="B333" t="s">
        <v>463</v>
      </c>
      <c r="C333" s="119">
        <v>45768</v>
      </c>
      <c r="D333" t="s">
        <v>24</v>
      </c>
      <c r="E333" t="s">
        <v>30</v>
      </c>
      <c r="F333" t="s">
        <v>406</v>
      </c>
      <c r="G333">
        <v>4</v>
      </c>
      <c r="H333" t="s">
        <v>479</v>
      </c>
      <c r="I333" t="s">
        <v>407</v>
      </c>
      <c r="J333">
        <v>8</v>
      </c>
      <c r="K333">
        <v>6</v>
      </c>
      <c r="L333">
        <v>8</v>
      </c>
      <c r="M333">
        <v>8</v>
      </c>
      <c r="N333">
        <v>8</v>
      </c>
      <c r="O333">
        <v>8</v>
      </c>
      <c r="P333">
        <v>6</v>
      </c>
      <c r="Q333">
        <v>6</v>
      </c>
      <c r="R333">
        <v>9</v>
      </c>
      <c r="S333">
        <v>67</v>
      </c>
      <c r="T333">
        <v>20</v>
      </c>
      <c r="U333">
        <v>47</v>
      </c>
      <c r="V333">
        <v>2</v>
      </c>
      <c r="W333">
        <v>2</v>
      </c>
      <c r="X333">
        <v>2</v>
      </c>
      <c r="Y333">
        <v>3</v>
      </c>
      <c r="Z333">
        <v>2</v>
      </c>
      <c r="AA333">
        <v>2</v>
      </c>
      <c r="AB333">
        <v>2</v>
      </c>
      <c r="AC333">
        <v>3</v>
      </c>
      <c r="AD333">
        <v>2</v>
      </c>
      <c r="AE333">
        <v>0</v>
      </c>
      <c r="AF333">
        <v>0</v>
      </c>
      <c r="AG333">
        <v>0</v>
      </c>
      <c r="AH333">
        <v>1</v>
      </c>
      <c r="AI333">
        <v>0</v>
      </c>
      <c r="AJ333">
        <v>0</v>
      </c>
      <c r="AK333">
        <v>0</v>
      </c>
      <c r="AL333">
        <v>2</v>
      </c>
      <c r="AM333">
        <v>0</v>
      </c>
      <c r="AN333">
        <v>0</v>
      </c>
      <c r="AO333">
        <v>3</v>
      </c>
      <c r="AY333">
        <f>SUM(Upload_Indiv[[#This Row],[Bird1]:[Bird9]])</f>
        <v>0</v>
      </c>
      <c r="BI333">
        <f>SUM(Upload_Indiv[[#This Row],[Eagle1]:[Eagle9]])</f>
        <v>0</v>
      </c>
    </row>
    <row r="334" spans="1:61" x14ac:dyDescent="0.25">
      <c r="A334" t="s">
        <v>490</v>
      </c>
      <c r="B334" t="s">
        <v>463</v>
      </c>
      <c r="C334" s="119">
        <v>45768</v>
      </c>
      <c r="D334" t="s">
        <v>30</v>
      </c>
      <c r="E334" t="s">
        <v>24</v>
      </c>
      <c r="F334" t="s">
        <v>406</v>
      </c>
      <c r="G334">
        <v>1</v>
      </c>
      <c r="H334" t="s">
        <v>323</v>
      </c>
      <c r="I334" t="s">
        <v>407</v>
      </c>
      <c r="J334">
        <v>4</v>
      </c>
      <c r="K334">
        <v>3</v>
      </c>
      <c r="L334">
        <v>4</v>
      </c>
      <c r="M334">
        <v>5</v>
      </c>
      <c r="N334">
        <v>4</v>
      </c>
      <c r="O334">
        <v>5</v>
      </c>
      <c r="P334">
        <v>3</v>
      </c>
      <c r="Q334">
        <v>5</v>
      </c>
      <c r="R334">
        <v>5</v>
      </c>
      <c r="S334">
        <v>38</v>
      </c>
      <c r="T334">
        <v>0</v>
      </c>
      <c r="U334">
        <v>38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1</v>
      </c>
      <c r="AG334">
        <v>2</v>
      </c>
      <c r="AH334">
        <v>1</v>
      </c>
      <c r="AI334">
        <v>2</v>
      </c>
      <c r="AJ334">
        <v>2</v>
      </c>
      <c r="AK334">
        <v>2</v>
      </c>
      <c r="AL334">
        <v>1</v>
      </c>
      <c r="AM334">
        <v>2</v>
      </c>
      <c r="AN334">
        <v>2</v>
      </c>
      <c r="AO334">
        <v>15</v>
      </c>
      <c r="AY334">
        <f>SUM(Upload_Indiv[[#This Row],[Bird1]:[Bird9]])</f>
        <v>0</v>
      </c>
      <c r="BI334">
        <f>SUM(Upload_Indiv[[#This Row],[Eagle1]:[Eagle9]])</f>
        <v>0</v>
      </c>
    </row>
    <row r="335" spans="1:61" x14ac:dyDescent="0.25">
      <c r="A335" t="s">
        <v>490</v>
      </c>
      <c r="B335" t="s">
        <v>463</v>
      </c>
      <c r="C335" s="119">
        <v>45768</v>
      </c>
      <c r="D335" t="s">
        <v>30</v>
      </c>
      <c r="E335" t="s">
        <v>24</v>
      </c>
      <c r="F335" t="s">
        <v>406</v>
      </c>
      <c r="G335">
        <v>2</v>
      </c>
      <c r="H335" t="s">
        <v>324</v>
      </c>
      <c r="I335" t="s">
        <v>407</v>
      </c>
      <c r="J335">
        <v>4</v>
      </c>
      <c r="K335">
        <v>3</v>
      </c>
      <c r="L335">
        <v>4</v>
      </c>
      <c r="M335">
        <v>5</v>
      </c>
      <c r="N335">
        <v>4</v>
      </c>
      <c r="O335">
        <v>5</v>
      </c>
      <c r="P335">
        <v>3</v>
      </c>
      <c r="Q335">
        <v>5</v>
      </c>
      <c r="R335">
        <v>5</v>
      </c>
      <c r="S335">
        <v>38</v>
      </c>
      <c r="T335">
        <v>0</v>
      </c>
      <c r="U335">
        <v>38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2</v>
      </c>
      <c r="AF335">
        <v>1</v>
      </c>
      <c r="AG335">
        <v>2</v>
      </c>
      <c r="AH335">
        <v>0</v>
      </c>
      <c r="AI335">
        <v>1</v>
      </c>
      <c r="AJ335">
        <v>1</v>
      </c>
      <c r="AK335">
        <v>2</v>
      </c>
      <c r="AL335">
        <v>1</v>
      </c>
      <c r="AM335">
        <v>2</v>
      </c>
      <c r="AN335">
        <v>2</v>
      </c>
      <c r="AO335">
        <v>14</v>
      </c>
      <c r="AY335">
        <f>SUM(Upload_Indiv[[#This Row],[Bird1]:[Bird9]])</f>
        <v>0</v>
      </c>
      <c r="BI335">
        <f>SUM(Upload_Indiv[[#This Row],[Eagle1]:[Eagle9]])</f>
        <v>0</v>
      </c>
    </row>
    <row r="336" spans="1:61" x14ac:dyDescent="0.25">
      <c r="A336" t="s">
        <v>490</v>
      </c>
      <c r="B336" t="s">
        <v>463</v>
      </c>
      <c r="C336" s="119">
        <v>45768</v>
      </c>
      <c r="D336" t="s">
        <v>30</v>
      </c>
      <c r="E336" t="s">
        <v>24</v>
      </c>
      <c r="F336" t="s">
        <v>406</v>
      </c>
      <c r="G336">
        <v>3</v>
      </c>
      <c r="H336" t="s">
        <v>325</v>
      </c>
      <c r="I336" t="s">
        <v>407</v>
      </c>
      <c r="J336">
        <v>4</v>
      </c>
      <c r="K336">
        <v>3</v>
      </c>
      <c r="L336">
        <v>4</v>
      </c>
      <c r="M336">
        <v>5</v>
      </c>
      <c r="N336">
        <v>4</v>
      </c>
      <c r="O336">
        <v>5</v>
      </c>
      <c r="P336">
        <v>3</v>
      </c>
      <c r="Q336">
        <v>5</v>
      </c>
      <c r="R336">
        <v>5</v>
      </c>
      <c r="S336">
        <v>38</v>
      </c>
      <c r="T336">
        <v>0</v>
      </c>
      <c r="U336">
        <v>38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1</v>
      </c>
      <c r="AF336">
        <v>2</v>
      </c>
      <c r="AG336">
        <v>1</v>
      </c>
      <c r="AH336">
        <v>1</v>
      </c>
      <c r="AI336">
        <v>0</v>
      </c>
      <c r="AJ336">
        <v>1</v>
      </c>
      <c r="AK336">
        <v>2</v>
      </c>
      <c r="AL336">
        <v>0</v>
      </c>
      <c r="AM336">
        <v>2</v>
      </c>
      <c r="AN336">
        <v>1</v>
      </c>
      <c r="AO336">
        <v>11</v>
      </c>
      <c r="AY336">
        <f>SUM(Upload_Indiv[[#This Row],[Bird1]:[Bird9]])</f>
        <v>0</v>
      </c>
      <c r="BI336">
        <f>SUM(Upload_Indiv[[#This Row],[Eagle1]:[Eagle9]])</f>
        <v>0</v>
      </c>
    </row>
    <row r="337" spans="1:61" x14ac:dyDescent="0.25">
      <c r="A337" t="s">
        <v>490</v>
      </c>
      <c r="B337" t="s">
        <v>463</v>
      </c>
      <c r="C337" s="119">
        <v>45768</v>
      </c>
      <c r="D337" t="s">
        <v>30</v>
      </c>
      <c r="E337" t="s">
        <v>24</v>
      </c>
      <c r="F337" t="s">
        <v>406</v>
      </c>
      <c r="G337">
        <v>4</v>
      </c>
      <c r="H337" t="s">
        <v>326</v>
      </c>
      <c r="I337" t="s">
        <v>407</v>
      </c>
      <c r="J337">
        <v>4</v>
      </c>
      <c r="K337">
        <v>3</v>
      </c>
      <c r="L337">
        <v>4</v>
      </c>
      <c r="M337">
        <v>5</v>
      </c>
      <c r="N337">
        <v>4</v>
      </c>
      <c r="O337">
        <v>5</v>
      </c>
      <c r="P337">
        <v>3</v>
      </c>
      <c r="Q337">
        <v>5</v>
      </c>
      <c r="R337">
        <v>5</v>
      </c>
      <c r="S337">
        <v>38</v>
      </c>
      <c r="T337">
        <v>0</v>
      </c>
      <c r="U337">
        <v>38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2</v>
      </c>
      <c r="AF337">
        <v>2</v>
      </c>
      <c r="AG337">
        <v>2</v>
      </c>
      <c r="AH337">
        <v>1</v>
      </c>
      <c r="AI337">
        <v>2</v>
      </c>
      <c r="AJ337">
        <v>2</v>
      </c>
      <c r="AK337">
        <v>2</v>
      </c>
      <c r="AL337">
        <v>0</v>
      </c>
      <c r="AM337">
        <v>2</v>
      </c>
      <c r="AN337">
        <v>2</v>
      </c>
      <c r="AO337">
        <v>17</v>
      </c>
      <c r="AY337">
        <f>SUM(Upload_Indiv[[#This Row],[Bird1]:[Bird9]])</f>
        <v>0</v>
      </c>
      <c r="BI337">
        <f>SUM(Upload_Indiv[[#This Row],[Eagle1]:[Eagle9]])</f>
        <v>0</v>
      </c>
    </row>
    <row r="338" spans="1:61" x14ac:dyDescent="0.25">
      <c r="A338" t="s">
        <v>492</v>
      </c>
      <c r="B338" t="s">
        <v>464</v>
      </c>
      <c r="C338" s="119">
        <v>45775</v>
      </c>
      <c r="D338" t="s">
        <v>20</v>
      </c>
      <c r="E338" t="s">
        <v>22</v>
      </c>
      <c r="F338" t="s">
        <v>408</v>
      </c>
      <c r="G338">
        <v>1</v>
      </c>
      <c r="H338" t="s">
        <v>153</v>
      </c>
      <c r="I338" t="s">
        <v>407</v>
      </c>
      <c r="J338">
        <v>5</v>
      </c>
      <c r="K338">
        <v>6</v>
      </c>
      <c r="L338">
        <v>6</v>
      </c>
      <c r="M338">
        <v>5</v>
      </c>
      <c r="N338">
        <v>6</v>
      </c>
      <c r="O338">
        <v>5</v>
      </c>
      <c r="P338">
        <v>5</v>
      </c>
      <c r="Q338">
        <v>3</v>
      </c>
      <c r="R338">
        <v>5</v>
      </c>
      <c r="S338">
        <v>46</v>
      </c>
      <c r="T338">
        <v>4.03</v>
      </c>
      <c r="U338">
        <v>42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2</v>
      </c>
      <c r="AF338">
        <v>0</v>
      </c>
      <c r="AG338">
        <v>0</v>
      </c>
      <c r="AH338">
        <v>0</v>
      </c>
      <c r="AI338">
        <v>0</v>
      </c>
      <c r="AJ338">
        <v>1</v>
      </c>
      <c r="AK338">
        <v>1</v>
      </c>
      <c r="AL338">
        <v>2</v>
      </c>
      <c r="AM338">
        <v>2</v>
      </c>
      <c r="AN338">
        <v>0</v>
      </c>
      <c r="AO338">
        <v>8</v>
      </c>
      <c r="AY338">
        <f>SUM(Upload_Indiv[[#This Row],[Bird1]:[Bird9]])</f>
        <v>0</v>
      </c>
      <c r="BI338">
        <f>SUM(Upload_Indiv[[#This Row],[Eagle1]:[Eagle9]])</f>
        <v>0</v>
      </c>
    </row>
    <row r="339" spans="1:61" x14ac:dyDescent="0.25">
      <c r="A339" t="s">
        <v>492</v>
      </c>
      <c r="B339" t="s">
        <v>464</v>
      </c>
      <c r="C339" s="119">
        <v>45775</v>
      </c>
      <c r="D339" t="s">
        <v>20</v>
      </c>
      <c r="E339" t="s">
        <v>22</v>
      </c>
      <c r="F339" t="s">
        <v>408</v>
      </c>
      <c r="G339">
        <v>2</v>
      </c>
      <c r="H339" t="s">
        <v>283</v>
      </c>
      <c r="I339" t="s">
        <v>407</v>
      </c>
      <c r="J339">
        <v>5</v>
      </c>
      <c r="K339">
        <v>5</v>
      </c>
      <c r="L339">
        <v>5</v>
      </c>
      <c r="M339">
        <v>3</v>
      </c>
      <c r="N339">
        <v>5</v>
      </c>
      <c r="O339">
        <v>5</v>
      </c>
      <c r="P339">
        <v>6</v>
      </c>
      <c r="Q339">
        <v>5</v>
      </c>
      <c r="R339">
        <v>4</v>
      </c>
      <c r="S339">
        <v>43</v>
      </c>
      <c r="T339">
        <v>6.48</v>
      </c>
      <c r="U339">
        <v>37</v>
      </c>
      <c r="V339">
        <v>1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0</v>
      </c>
      <c r="AC339">
        <v>0</v>
      </c>
      <c r="AD339">
        <v>0</v>
      </c>
      <c r="AE339">
        <v>2</v>
      </c>
      <c r="AF339">
        <v>2</v>
      </c>
      <c r="AG339">
        <v>1</v>
      </c>
      <c r="AH339">
        <v>1</v>
      </c>
      <c r="AI339">
        <v>2</v>
      </c>
      <c r="AJ339">
        <v>2</v>
      </c>
      <c r="AK339">
        <v>0</v>
      </c>
      <c r="AL339">
        <v>0</v>
      </c>
      <c r="AM339">
        <v>2</v>
      </c>
      <c r="AN339">
        <v>2</v>
      </c>
      <c r="AO339">
        <v>14</v>
      </c>
      <c r="AY339">
        <f>SUM(Upload_Indiv[[#This Row],[Bird1]:[Bird9]])</f>
        <v>0</v>
      </c>
      <c r="BI339">
        <f>SUM(Upload_Indiv[[#This Row],[Eagle1]:[Eagle9]])</f>
        <v>0</v>
      </c>
    </row>
    <row r="340" spans="1:61" x14ac:dyDescent="0.25">
      <c r="A340" t="s">
        <v>492</v>
      </c>
      <c r="B340" t="s">
        <v>464</v>
      </c>
      <c r="C340" s="119">
        <v>45775</v>
      </c>
      <c r="D340" t="s">
        <v>20</v>
      </c>
      <c r="E340" t="s">
        <v>22</v>
      </c>
      <c r="F340" t="s">
        <v>408</v>
      </c>
      <c r="G340">
        <v>3</v>
      </c>
      <c r="H340" t="s">
        <v>163</v>
      </c>
      <c r="I340" t="s">
        <v>407</v>
      </c>
      <c r="J340">
        <v>5</v>
      </c>
      <c r="K340">
        <v>5</v>
      </c>
      <c r="L340">
        <v>6</v>
      </c>
      <c r="M340">
        <v>4</v>
      </c>
      <c r="N340">
        <v>5</v>
      </c>
      <c r="O340">
        <v>4</v>
      </c>
      <c r="P340">
        <v>5</v>
      </c>
      <c r="Q340">
        <v>5</v>
      </c>
      <c r="R340">
        <v>7</v>
      </c>
      <c r="S340">
        <v>46</v>
      </c>
      <c r="T340">
        <v>8.4499999999999993</v>
      </c>
      <c r="U340">
        <v>38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0</v>
      </c>
      <c r="AD340">
        <v>0</v>
      </c>
      <c r="AE340">
        <v>2</v>
      </c>
      <c r="AF340">
        <v>2</v>
      </c>
      <c r="AG340">
        <v>2</v>
      </c>
      <c r="AH340">
        <v>2</v>
      </c>
      <c r="AI340">
        <v>1</v>
      </c>
      <c r="AJ340">
        <v>2</v>
      </c>
      <c r="AK340">
        <v>2</v>
      </c>
      <c r="AL340">
        <v>0</v>
      </c>
      <c r="AM340">
        <v>1</v>
      </c>
      <c r="AN340">
        <v>2</v>
      </c>
      <c r="AO340">
        <v>16</v>
      </c>
      <c r="AY340">
        <f>SUM(Upload_Indiv[[#This Row],[Bird1]:[Bird9]])</f>
        <v>0</v>
      </c>
      <c r="BI340">
        <f>SUM(Upload_Indiv[[#This Row],[Eagle1]:[Eagle9]])</f>
        <v>0</v>
      </c>
    </row>
    <row r="341" spans="1:61" x14ac:dyDescent="0.25">
      <c r="A341" t="s">
        <v>492</v>
      </c>
      <c r="B341" t="s">
        <v>464</v>
      </c>
      <c r="C341" s="119">
        <v>45775</v>
      </c>
      <c r="D341" t="s">
        <v>20</v>
      </c>
      <c r="E341" t="s">
        <v>22</v>
      </c>
      <c r="F341" t="s">
        <v>408</v>
      </c>
      <c r="G341">
        <v>4</v>
      </c>
      <c r="H341" t="s">
        <v>224</v>
      </c>
      <c r="I341" t="s">
        <v>407</v>
      </c>
      <c r="J341">
        <v>5</v>
      </c>
      <c r="K341">
        <v>7</v>
      </c>
      <c r="L341">
        <v>9</v>
      </c>
      <c r="M341">
        <v>5</v>
      </c>
      <c r="N341">
        <v>5</v>
      </c>
      <c r="O341">
        <v>8</v>
      </c>
      <c r="P341">
        <v>7</v>
      </c>
      <c r="Q341">
        <v>4</v>
      </c>
      <c r="R341">
        <v>6</v>
      </c>
      <c r="S341">
        <v>56</v>
      </c>
      <c r="T341">
        <v>13.44</v>
      </c>
      <c r="U341">
        <v>43</v>
      </c>
      <c r="V341">
        <v>1</v>
      </c>
      <c r="W341">
        <v>0</v>
      </c>
      <c r="X341">
        <v>1</v>
      </c>
      <c r="Y341">
        <v>0</v>
      </c>
      <c r="Z341">
        <v>0</v>
      </c>
      <c r="AA341">
        <v>1</v>
      </c>
      <c r="AB341">
        <v>1</v>
      </c>
      <c r="AC341">
        <v>1</v>
      </c>
      <c r="AD341">
        <v>1</v>
      </c>
      <c r="AE341">
        <v>2</v>
      </c>
      <c r="AF341">
        <v>0</v>
      </c>
      <c r="AG341">
        <v>1</v>
      </c>
      <c r="AH341">
        <v>0</v>
      </c>
      <c r="AI341">
        <v>2</v>
      </c>
      <c r="AJ341">
        <v>0</v>
      </c>
      <c r="AK341">
        <v>0</v>
      </c>
      <c r="AL341">
        <v>2</v>
      </c>
      <c r="AM341">
        <v>1</v>
      </c>
      <c r="AN341">
        <v>0</v>
      </c>
      <c r="AO341">
        <v>8</v>
      </c>
      <c r="AY341">
        <f>SUM(Upload_Indiv[[#This Row],[Bird1]:[Bird9]])</f>
        <v>0</v>
      </c>
      <c r="BI341">
        <f>SUM(Upload_Indiv[[#This Row],[Eagle1]:[Eagle9]])</f>
        <v>0</v>
      </c>
    </row>
    <row r="342" spans="1:61" x14ac:dyDescent="0.25">
      <c r="A342" t="s">
        <v>492</v>
      </c>
      <c r="B342" t="s">
        <v>464</v>
      </c>
      <c r="C342" s="119">
        <v>45775</v>
      </c>
      <c r="D342" t="s">
        <v>22</v>
      </c>
      <c r="E342" t="s">
        <v>20</v>
      </c>
      <c r="F342" t="s">
        <v>408</v>
      </c>
      <c r="G342">
        <v>1</v>
      </c>
      <c r="H342" t="s">
        <v>294</v>
      </c>
      <c r="I342" t="s">
        <v>407</v>
      </c>
      <c r="J342">
        <v>6</v>
      </c>
      <c r="K342">
        <v>5</v>
      </c>
      <c r="L342">
        <v>5</v>
      </c>
      <c r="M342">
        <v>3</v>
      </c>
      <c r="N342">
        <v>4</v>
      </c>
      <c r="O342">
        <v>5</v>
      </c>
      <c r="P342">
        <v>5</v>
      </c>
      <c r="Q342">
        <v>4</v>
      </c>
      <c r="R342">
        <v>6</v>
      </c>
      <c r="S342">
        <v>43</v>
      </c>
      <c r="T342">
        <v>4.42</v>
      </c>
      <c r="U342">
        <v>39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2</v>
      </c>
      <c r="AG342">
        <v>2</v>
      </c>
      <c r="AH342">
        <v>2</v>
      </c>
      <c r="AI342">
        <v>2</v>
      </c>
      <c r="AJ342">
        <v>1</v>
      </c>
      <c r="AK342">
        <v>1</v>
      </c>
      <c r="AL342">
        <v>0</v>
      </c>
      <c r="AM342">
        <v>0</v>
      </c>
      <c r="AN342">
        <v>2</v>
      </c>
      <c r="AO342">
        <v>12</v>
      </c>
      <c r="AY342">
        <f>SUM(Upload_Indiv[[#This Row],[Bird1]:[Bird9]])</f>
        <v>0</v>
      </c>
      <c r="BI342">
        <f>SUM(Upload_Indiv[[#This Row],[Eagle1]:[Eagle9]])</f>
        <v>0</v>
      </c>
    </row>
    <row r="343" spans="1:61" x14ac:dyDescent="0.25">
      <c r="A343" t="s">
        <v>492</v>
      </c>
      <c r="B343" t="s">
        <v>464</v>
      </c>
      <c r="C343" s="119">
        <v>45775</v>
      </c>
      <c r="D343" t="s">
        <v>22</v>
      </c>
      <c r="E343" t="s">
        <v>20</v>
      </c>
      <c r="F343" t="s">
        <v>408</v>
      </c>
      <c r="G343">
        <v>2</v>
      </c>
      <c r="H343" t="s">
        <v>156</v>
      </c>
      <c r="I343" t="s">
        <v>407</v>
      </c>
      <c r="J343">
        <v>5</v>
      </c>
      <c r="K343">
        <v>6</v>
      </c>
      <c r="L343">
        <v>5</v>
      </c>
      <c r="M343">
        <v>3</v>
      </c>
      <c r="N343">
        <v>6</v>
      </c>
      <c r="O343">
        <v>6</v>
      </c>
      <c r="P343">
        <v>5</v>
      </c>
      <c r="Q343">
        <v>3</v>
      </c>
      <c r="R343">
        <v>5</v>
      </c>
      <c r="S343">
        <v>44</v>
      </c>
      <c r="T343">
        <v>4.6100000000000003</v>
      </c>
      <c r="U343">
        <v>39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1</v>
      </c>
      <c r="AH343">
        <v>1</v>
      </c>
      <c r="AI343">
        <v>0</v>
      </c>
      <c r="AJ343">
        <v>0</v>
      </c>
      <c r="AK343">
        <v>2</v>
      </c>
      <c r="AL343">
        <v>2</v>
      </c>
      <c r="AM343">
        <v>0</v>
      </c>
      <c r="AN343">
        <v>0</v>
      </c>
      <c r="AO343">
        <v>6</v>
      </c>
      <c r="AY343">
        <f>SUM(Upload_Indiv[[#This Row],[Bird1]:[Bird9]])</f>
        <v>0</v>
      </c>
      <c r="BI343">
        <f>SUM(Upload_Indiv[[#This Row],[Eagle1]:[Eagle9]])</f>
        <v>0</v>
      </c>
    </row>
    <row r="344" spans="1:61" x14ac:dyDescent="0.25">
      <c r="A344" t="s">
        <v>492</v>
      </c>
      <c r="B344" t="s">
        <v>464</v>
      </c>
      <c r="C344" s="119">
        <v>45775</v>
      </c>
      <c r="D344" t="s">
        <v>22</v>
      </c>
      <c r="E344" t="s">
        <v>20</v>
      </c>
      <c r="F344" t="s">
        <v>408</v>
      </c>
      <c r="G344">
        <v>3</v>
      </c>
      <c r="H344" t="s">
        <v>155</v>
      </c>
      <c r="I344" t="s">
        <v>407</v>
      </c>
      <c r="J344">
        <v>6</v>
      </c>
      <c r="K344">
        <v>7</v>
      </c>
      <c r="L344">
        <v>7</v>
      </c>
      <c r="M344">
        <v>5</v>
      </c>
      <c r="N344">
        <v>5</v>
      </c>
      <c r="O344">
        <v>7</v>
      </c>
      <c r="P344">
        <v>6</v>
      </c>
      <c r="Q344">
        <v>3</v>
      </c>
      <c r="R344">
        <v>7</v>
      </c>
      <c r="S344">
        <v>53</v>
      </c>
      <c r="T344">
        <v>6.72</v>
      </c>
      <c r="U344">
        <v>46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0</v>
      </c>
      <c r="AK344">
        <v>0</v>
      </c>
      <c r="AL344">
        <v>2</v>
      </c>
      <c r="AM344">
        <v>1</v>
      </c>
      <c r="AN344">
        <v>0</v>
      </c>
      <c r="AO344">
        <v>4</v>
      </c>
      <c r="AY344">
        <f>SUM(Upload_Indiv[[#This Row],[Bird1]:[Bird9]])</f>
        <v>0</v>
      </c>
      <c r="BI344">
        <f>SUM(Upload_Indiv[[#This Row],[Eagle1]:[Eagle9]])</f>
        <v>0</v>
      </c>
    </row>
    <row r="345" spans="1:61" x14ac:dyDescent="0.25">
      <c r="A345" t="s">
        <v>492</v>
      </c>
      <c r="B345" t="s">
        <v>464</v>
      </c>
      <c r="C345" s="119">
        <v>45775</v>
      </c>
      <c r="D345" t="s">
        <v>22</v>
      </c>
      <c r="E345" t="s">
        <v>20</v>
      </c>
      <c r="F345" t="s">
        <v>408</v>
      </c>
      <c r="G345">
        <v>4</v>
      </c>
      <c r="H345" t="s">
        <v>433</v>
      </c>
      <c r="I345" t="s">
        <v>407</v>
      </c>
      <c r="J345">
        <v>5</v>
      </c>
      <c r="K345">
        <v>3</v>
      </c>
      <c r="L345">
        <v>8</v>
      </c>
      <c r="M345">
        <v>3</v>
      </c>
      <c r="N345">
        <v>6</v>
      </c>
      <c r="O345">
        <v>5</v>
      </c>
      <c r="P345">
        <v>5</v>
      </c>
      <c r="Q345">
        <v>5</v>
      </c>
      <c r="R345">
        <v>5</v>
      </c>
      <c r="S345">
        <v>45</v>
      </c>
      <c r="T345">
        <v>7.64</v>
      </c>
      <c r="U345">
        <v>37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2</v>
      </c>
      <c r="AG345">
        <v>1</v>
      </c>
      <c r="AH345">
        <v>2</v>
      </c>
      <c r="AI345">
        <v>0</v>
      </c>
      <c r="AJ345">
        <v>2</v>
      </c>
      <c r="AK345">
        <v>2</v>
      </c>
      <c r="AL345">
        <v>0</v>
      </c>
      <c r="AM345">
        <v>1</v>
      </c>
      <c r="AN345">
        <v>2</v>
      </c>
      <c r="AO345">
        <v>12</v>
      </c>
      <c r="AY345">
        <f>SUM(Upload_Indiv[[#This Row],[Bird1]:[Bird9]])</f>
        <v>0</v>
      </c>
      <c r="BA345">
        <v>1</v>
      </c>
      <c r="BI345">
        <f>SUM(Upload_Indiv[[#This Row],[Eagle1]:[Eagle9]])</f>
        <v>1</v>
      </c>
    </row>
    <row r="346" spans="1:61" x14ac:dyDescent="0.25">
      <c r="A346" t="s">
        <v>493</v>
      </c>
      <c r="B346" t="s">
        <v>464</v>
      </c>
      <c r="C346" s="119">
        <v>45775</v>
      </c>
      <c r="D346" t="s">
        <v>26</v>
      </c>
      <c r="E346" t="s">
        <v>16</v>
      </c>
      <c r="F346" t="s">
        <v>406</v>
      </c>
      <c r="G346">
        <v>1</v>
      </c>
      <c r="H346" t="s">
        <v>311</v>
      </c>
      <c r="I346" t="s">
        <v>407</v>
      </c>
      <c r="J346">
        <v>5</v>
      </c>
      <c r="K346">
        <v>4</v>
      </c>
      <c r="L346">
        <v>4</v>
      </c>
      <c r="M346">
        <v>5</v>
      </c>
      <c r="N346">
        <v>5</v>
      </c>
      <c r="O346">
        <v>7</v>
      </c>
      <c r="P346">
        <v>3</v>
      </c>
      <c r="Q346">
        <v>5</v>
      </c>
      <c r="R346">
        <v>4</v>
      </c>
      <c r="S346">
        <v>42</v>
      </c>
      <c r="T346">
        <v>4.99</v>
      </c>
      <c r="U346">
        <v>37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1</v>
      </c>
      <c r="AF346">
        <v>2</v>
      </c>
      <c r="AG346">
        <v>2</v>
      </c>
      <c r="AH346">
        <v>2</v>
      </c>
      <c r="AI346">
        <v>0</v>
      </c>
      <c r="AJ346">
        <v>0</v>
      </c>
      <c r="AK346">
        <v>2</v>
      </c>
      <c r="AL346">
        <v>1</v>
      </c>
      <c r="AM346">
        <v>2</v>
      </c>
      <c r="AN346">
        <v>2</v>
      </c>
      <c r="AO346">
        <v>14</v>
      </c>
      <c r="AX346">
        <v>1</v>
      </c>
      <c r="AY346">
        <f>SUM(Upload_Indiv[[#This Row],[Bird1]:[Bird9]])</f>
        <v>1</v>
      </c>
      <c r="BI346">
        <f>SUM(Upload_Indiv[[#This Row],[Eagle1]:[Eagle9]])</f>
        <v>0</v>
      </c>
    </row>
    <row r="347" spans="1:61" x14ac:dyDescent="0.25">
      <c r="A347" t="s">
        <v>493</v>
      </c>
      <c r="B347" t="s">
        <v>464</v>
      </c>
      <c r="C347" s="119">
        <v>45775</v>
      </c>
      <c r="D347" t="s">
        <v>26</v>
      </c>
      <c r="E347" t="s">
        <v>16</v>
      </c>
      <c r="F347" t="s">
        <v>406</v>
      </c>
      <c r="G347">
        <v>2</v>
      </c>
      <c r="H347" t="s">
        <v>100</v>
      </c>
      <c r="I347" t="s">
        <v>407</v>
      </c>
      <c r="J347">
        <v>5</v>
      </c>
      <c r="K347">
        <v>3</v>
      </c>
      <c r="L347">
        <v>5</v>
      </c>
      <c r="M347">
        <v>5</v>
      </c>
      <c r="N347">
        <v>5</v>
      </c>
      <c r="O347">
        <v>5</v>
      </c>
      <c r="P347">
        <v>4</v>
      </c>
      <c r="Q347">
        <v>5</v>
      </c>
      <c r="R347">
        <v>7</v>
      </c>
      <c r="S347">
        <v>44</v>
      </c>
      <c r="T347">
        <v>7.1</v>
      </c>
      <c r="U347">
        <v>37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0</v>
      </c>
      <c r="AL347">
        <v>1</v>
      </c>
      <c r="AM347">
        <v>2</v>
      </c>
      <c r="AN347">
        <v>2</v>
      </c>
      <c r="AO347">
        <v>17</v>
      </c>
      <c r="AY347">
        <f>SUM(Upload_Indiv[[#This Row],[Bird1]:[Bird9]])</f>
        <v>0</v>
      </c>
      <c r="BI347">
        <f>SUM(Upload_Indiv[[#This Row],[Eagle1]:[Eagle9]])</f>
        <v>0</v>
      </c>
    </row>
    <row r="348" spans="1:61" x14ac:dyDescent="0.25">
      <c r="A348" t="s">
        <v>493</v>
      </c>
      <c r="B348" t="s">
        <v>464</v>
      </c>
      <c r="C348" s="119">
        <v>45775</v>
      </c>
      <c r="D348" t="s">
        <v>26</v>
      </c>
      <c r="E348" t="s">
        <v>16</v>
      </c>
      <c r="F348" t="s">
        <v>406</v>
      </c>
      <c r="G348">
        <v>3</v>
      </c>
      <c r="H348" t="s">
        <v>258</v>
      </c>
      <c r="I348" t="s">
        <v>407</v>
      </c>
      <c r="J348">
        <v>5</v>
      </c>
      <c r="K348">
        <v>6</v>
      </c>
      <c r="L348">
        <v>7</v>
      </c>
      <c r="M348">
        <v>6</v>
      </c>
      <c r="N348">
        <v>6</v>
      </c>
      <c r="O348">
        <v>5</v>
      </c>
      <c r="P348">
        <v>6</v>
      </c>
      <c r="Q348">
        <v>5</v>
      </c>
      <c r="R348">
        <v>7</v>
      </c>
      <c r="S348">
        <v>53</v>
      </c>
      <c r="T348">
        <v>7.49</v>
      </c>
      <c r="U348">
        <v>46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</v>
      </c>
      <c r="AF348">
        <v>0</v>
      </c>
      <c r="AG348">
        <v>0</v>
      </c>
      <c r="AH348">
        <v>0</v>
      </c>
      <c r="AI348">
        <v>0</v>
      </c>
      <c r="AJ348">
        <v>2</v>
      </c>
      <c r="AK348">
        <v>0</v>
      </c>
      <c r="AL348">
        <v>0</v>
      </c>
      <c r="AM348">
        <v>0</v>
      </c>
      <c r="AN348">
        <v>0</v>
      </c>
      <c r="AO348">
        <v>4</v>
      </c>
      <c r="AY348">
        <f>SUM(Upload_Indiv[[#This Row],[Bird1]:[Bird9]])</f>
        <v>0</v>
      </c>
      <c r="BI348">
        <f>SUM(Upload_Indiv[[#This Row],[Eagle1]:[Eagle9]])</f>
        <v>0</v>
      </c>
    </row>
    <row r="349" spans="1:61" x14ac:dyDescent="0.25">
      <c r="A349" t="s">
        <v>493</v>
      </c>
      <c r="B349" t="s">
        <v>464</v>
      </c>
      <c r="C349" s="119">
        <v>45775</v>
      </c>
      <c r="D349" t="s">
        <v>26</v>
      </c>
      <c r="E349" t="s">
        <v>16</v>
      </c>
      <c r="F349" t="s">
        <v>406</v>
      </c>
      <c r="G349">
        <v>4</v>
      </c>
      <c r="H349" t="s">
        <v>309</v>
      </c>
      <c r="I349" t="s">
        <v>407</v>
      </c>
      <c r="J349">
        <v>6</v>
      </c>
      <c r="K349">
        <v>7</v>
      </c>
      <c r="L349">
        <v>9</v>
      </c>
      <c r="M349">
        <v>6</v>
      </c>
      <c r="N349">
        <v>4</v>
      </c>
      <c r="O349">
        <v>5</v>
      </c>
      <c r="P349">
        <v>6</v>
      </c>
      <c r="Q349">
        <v>6</v>
      </c>
      <c r="R349">
        <v>8</v>
      </c>
      <c r="S349">
        <v>57</v>
      </c>
      <c r="T349">
        <v>13.63</v>
      </c>
      <c r="U349">
        <v>43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1</v>
      </c>
      <c r="AF349">
        <v>0</v>
      </c>
      <c r="AG349">
        <v>1</v>
      </c>
      <c r="AH349">
        <v>0</v>
      </c>
      <c r="AI349">
        <v>2</v>
      </c>
      <c r="AJ349">
        <v>0</v>
      </c>
      <c r="AK349">
        <v>1</v>
      </c>
      <c r="AL349">
        <v>0</v>
      </c>
      <c r="AM349">
        <v>0</v>
      </c>
      <c r="AN349">
        <v>0</v>
      </c>
      <c r="AO349">
        <v>5</v>
      </c>
      <c r="AY349">
        <f>SUM(Upload_Indiv[[#This Row],[Bird1]:[Bird9]])</f>
        <v>0</v>
      </c>
      <c r="BI349">
        <f>SUM(Upload_Indiv[[#This Row],[Eagle1]:[Eagle9]])</f>
        <v>0</v>
      </c>
    </row>
    <row r="350" spans="1:61" x14ac:dyDescent="0.25">
      <c r="A350" t="s">
        <v>493</v>
      </c>
      <c r="B350" t="s">
        <v>464</v>
      </c>
      <c r="C350" s="119">
        <v>45775</v>
      </c>
      <c r="D350" t="s">
        <v>16</v>
      </c>
      <c r="E350" t="s">
        <v>26</v>
      </c>
      <c r="F350" t="s">
        <v>406</v>
      </c>
      <c r="G350">
        <v>1</v>
      </c>
      <c r="H350" t="s">
        <v>267</v>
      </c>
      <c r="I350" t="s">
        <v>407</v>
      </c>
      <c r="J350">
        <v>5</v>
      </c>
      <c r="K350">
        <v>6</v>
      </c>
      <c r="L350">
        <v>6</v>
      </c>
      <c r="M350">
        <v>7</v>
      </c>
      <c r="N350">
        <v>5</v>
      </c>
      <c r="O350">
        <v>6</v>
      </c>
      <c r="P350">
        <v>4</v>
      </c>
      <c r="Q350">
        <v>6</v>
      </c>
      <c r="R350">
        <v>7</v>
      </c>
      <c r="S350">
        <v>52</v>
      </c>
      <c r="T350">
        <v>11.33</v>
      </c>
      <c r="U350">
        <v>41</v>
      </c>
      <c r="V350">
        <v>0</v>
      </c>
      <c r="W350">
        <v>1</v>
      </c>
      <c r="X350">
        <v>0</v>
      </c>
      <c r="Y350">
        <v>1</v>
      </c>
      <c r="Z350">
        <v>1</v>
      </c>
      <c r="AA350">
        <v>1</v>
      </c>
      <c r="AB350">
        <v>0</v>
      </c>
      <c r="AC350">
        <v>1</v>
      </c>
      <c r="AD350">
        <v>1</v>
      </c>
      <c r="AE350">
        <v>1</v>
      </c>
      <c r="AF350">
        <v>0</v>
      </c>
      <c r="AG350">
        <v>0</v>
      </c>
      <c r="AH350">
        <v>0</v>
      </c>
      <c r="AI350">
        <v>2</v>
      </c>
      <c r="AJ350">
        <v>2</v>
      </c>
      <c r="AK350">
        <v>0</v>
      </c>
      <c r="AL350">
        <v>1</v>
      </c>
      <c r="AM350">
        <v>0</v>
      </c>
      <c r="AN350">
        <v>0</v>
      </c>
      <c r="AO350">
        <v>6</v>
      </c>
      <c r="AY350">
        <f>SUM(Upload_Indiv[[#This Row],[Bird1]:[Bird9]])</f>
        <v>0</v>
      </c>
      <c r="BI350">
        <f>SUM(Upload_Indiv[[#This Row],[Eagle1]:[Eagle9]])</f>
        <v>0</v>
      </c>
    </row>
    <row r="351" spans="1:61" x14ac:dyDescent="0.25">
      <c r="A351" t="s">
        <v>493</v>
      </c>
      <c r="B351" t="s">
        <v>464</v>
      </c>
      <c r="C351" s="119">
        <v>45775</v>
      </c>
      <c r="D351" t="s">
        <v>16</v>
      </c>
      <c r="E351" t="s">
        <v>26</v>
      </c>
      <c r="F351" t="s">
        <v>406</v>
      </c>
      <c r="G351">
        <v>2</v>
      </c>
      <c r="H351" t="s">
        <v>265</v>
      </c>
      <c r="I351" t="s">
        <v>407</v>
      </c>
      <c r="J351">
        <v>7</v>
      </c>
      <c r="K351">
        <v>6</v>
      </c>
      <c r="L351">
        <v>7</v>
      </c>
      <c r="M351">
        <v>7</v>
      </c>
      <c r="N351">
        <v>9</v>
      </c>
      <c r="O351">
        <v>9</v>
      </c>
      <c r="P351">
        <v>4</v>
      </c>
      <c r="Q351">
        <v>7</v>
      </c>
      <c r="R351">
        <v>9</v>
      </c>
      <c r="S351">
        <v>65</v>
      </c>
      <c r="T351">
        <v>16.7</v>
      </c>
      <c r="U351">
        <v>48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2</v>
      </c>
      <c r="AD351">
        <v>1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2</v>
      </c>
      <c r="AL351">
        <v>1</v>
      </c>
      <c r="AM351">
        <v>0</v>
      </c>
      <c r="AN351">
        <v>0</v>
      </c>
      <c r="AO351">
        <v>3</v>
      </c>
      <c r="AY351">
        <f>SUM(Upload_Indiv[[#This Row],[Bird1]:[Bird9]])</f>
        <v>0</v>
      </c>
      <c r="BI351">
        <f>SUM(Upload_Indiv[[#This Row],[Eagle1]:[Eagle9]])</f>
        <v>0</v>
      </c>
    </row>
    <row r="352" spans="1:61" x14ac:dyDescent="0.25">
      <c r="A352" t="s">
        <v>493</v>
      </c>
      <c r="B352" t="s">
        <v>464</v>
      </c>
      <c r="C352" s="119">
        <v>45775</v>
      </c>
      <c r="D352" t="s">
        <v>16</v>
      </c>
      <c r="E352" t="s">
        <v>26</v>
      </c>
      <c r="F352" t="s">
        <v>406</v>
      </c>
      <c r="G352">
        <v>3</v>
      </c>
      <c r="H352" t="s">
        <v>485</v>
      </c>
      <c r="I352" t="s">
        <v>407</v>
      </c>
      <c r="J352">
        <v>8</v>
      </c>
      <c r="K352">
        <v>4</v>
      </c>
      <c r="L352">
        <v>6</v>
      </c>
      <c r="M352">
        <v>6</v>
      </c>
      <c r="N352">
        <v>5</v>
      </c>
      <c r="O352">
        <v>7</v>
      </c>
      <c r="P352">
        <v>4</v>
      </c>
      <c r="Q352">
        <v>5</v>
      </c>
      <c r="R352">
        <v>7</v>
      </c>
      <c r="S352">
        <v>52</v>
      </c>
      <c r="T352">
        <v>14.36</v>
      </c>
      <c r="U352">
        <v>38</v>
      </c>
      <c r="V352">
        <v>1</v>
      </c>
      <c r="W352">
        <v>1</v>
      </c>
      <c r="X352">
        <v>0</v>
      </c>
      <c r="Y352">
        <v>1</v>
      </c>
      <c r="Z352">
        <v>1</v>
      </c>
      <c r="AA352">
        <v>1</v>
      </c>
      <c r="AB352">
        <v>0</v>
      </c>
      <c r="AC352">
        <v>1</v>
      </c>
      <c r="AD352">
        <v>1</v>
      </c>
      <c r="AE352">
        <v>0</v>
      </c>
      <c r="AF352">
        <v>2</v>
      </c>
      <c r="AG352">
        <v>2</v>
      </c>
      <c r="AH352">
        <v>2</v>
      </c>
      <c r="AI352">
        <v>2</v>
      </c>
      <c r="AJ352">
        <v>0</v>
      </c>
      <c r="AK352">
        <v>2</v>
      </c>
      <c r="AL352">
        <v>2</v>
      </c>
      <c r="AM352">
        <v>2</v>
      </c>
      <c r="AN352">
        <v>2</v>
      </c>
      <c r="AO352">
        <v>16</v>
      </c>
      <c r="AY352">
        <f>SUM(Upload_Indiv[[#This Row],[Bird1]:[Bird9]])</f>
        <v>0</v>
      </c>
      <c r="BI352">
        <f>SUM(Upload_Indiv[[#This Row],[Eagle1]:[Eagle9]])</f>
        <v>0</v>
      </c>
    </row>
    <row r="353" spans="1:61" x14ac:dyDescent="0.25">
      <c r="A353" t="s">
        <v>493</v>
      </c>
      <c r="B353" t="s">
        <v>464</v>
      </c>
      <c r="C353" s="119">
        <v>45775</v>
      </c>
      <c r="D353" t="s">
        <v>16</v>
      </c>
      <c r="E353" t="s">
        <v>26</v>
      </c>
      <c r="F353" t="s">
        <v>406</v>
      </c>
      <c r="G353">
        <v>4</v>
      </c>
      <c r="H353" t="s">
        <v>484</v>
      </c>
      <c r="I353" t="s">
        <v>407</v>
      </c>
      <c r="J353">
        <v>6</v>
      </c>
      <c r="K353">
        <v>6</v>
      </c>
      <c r="L353">
        <v>9</v>
      </c>
      <c r="M353">
        <v>6</v>
      </c>
      <c r="N353">
        <v>6</v>
      </c>
      <c r="O353">
        <v>5</v>
      </c>
      <c r="P353">
        <v>6</v>
      </c>
      <c r="Q353">
        <v>6</v>
      </c>
      <c r="R353">
        <v>7</v>
      </c>
      <c r="S353">
        <v>57</v>
      </c>
      <c r="T353">
        <v>20</v>
      </c>
      <c r="U353">
        <v>37</v>
      </c>
      <c r="V353">
        <v>0</v>
      </c>
      <c r="W353">
        <v>1</v>
      </c>
      <c r="X353">
        <v>0</v>
      </c>
      <c r="Y353">
        <v>1</v>
      </c>
      <c r="Z353">
        <v>1</v>
      </c>
      <c r="AA353">
        <v>1</v>
      </c>
      <c r="AB353">
        <v>0</v>
      </c>
      <c r="AC353">
        <v>1</v>
      </c>
      <c r="AD353">
        <v>1</v>
      </c>
      <c r="AE353">
        <v>1</v>
      </c>
      <c r="AF353">
        <v>2</v>
      </c>
      <c r="AG353">
        <v>1</v>
      </c>
      <c r="AH353">
        <v>2</v>
      </c>
      <c r="AI353">
        <v>0</v>
      </c>
      <c r="AJ353">
        <v>2</v>
      </c>
      <c r="AK353">
        <v>1</v>
      </c>
      <c r="AL353">
        <v>2</v>
      </c>
      <c r="AM353">
        <v>2</v>
      </c>
      <c r="AN353">
        <v>2</v>
      </c>
      <c r="AO353">
        <v>15</v>
      </c>
      <c r="AY353">
        <f>SUM(Upload_Indiv[[#This Row],[Bird1]:[Bird9]])</f>
        <v>0</v>
      </c>
      <c r="BI353">
        <f>SUM(Upload_Indiv[[#This Row],[Eagle1]:[Eagle9]])</f>
        <v>0</v>
      </c>
    </row>
    <row r="354" spans="1:61" x14ac:dyDescent="0.25">
      <c r="A354" t="s">
        <v>494</v>
      </c>
      <c r="B354" t="s">
        <v>464</v>
      </c>
      <c r="C354" s="119">
        <v>45775</v>
      </c>
      <c r="D354" t="s">
        <v>28</v>
      </c>
      <c r="E354" t="s">
        <v>30</v>
      </c>
      <c r="F354" t="s">
        <v>406</v>
      </c>
      <c r="G354">
        <v>1</v>
      </c>
      <c r="H354" t="s">
        <v>320</v>
      </c>
      <c r="I354" t="s">
        <v>407</v>
      </c>
      <c r="J354">
        <v>5</v>
      </c>
      <c r="K354">
        <v>4</v>
      </c>
      <c r="L354">
        <v>6</v>
      </c>
      <c r="M354">
        <v>6</v>
      </c>
      <c r="N354">
        <v>5</v>
      </c>
      <c r="O354">
        <v>8</v>
      </c>
      <c r="P354">
        <v>5</v>
      </c>
      <c r="Q354">
        <v>7</v>
      </c>
      <c r="R354">
        <v>9</v>
      </c>
      <c r="S354">
        <v>55</v>
      </c>
      <c r="T354">
        <v>12.67</v>
      </c>
      <c r="U354">
        <v>42</v>
      </c>
      <c r="V354">
        <v>1</v>
      </c>
      <c r="W354">
        <v>1</v>
      </c>
      <c r="X354">
        <v>1</v>
      </c>
      <c r="Y354">
        <v>2</v>
      </c>
      <c r="Z354">
        <v>2</v>
      </c>
      <c r="AA354">
        <v>1</v>
      </c>
      <c r="AB354">
        <v>1</v>
      </c>
      <c r="AC354">
        <v>2</v>
      </c>
      <c r="AD354">
        <v>2</v>
      </c>
      <c r="AE354">
        <v>1</v>
      </c>
      <c r="AF354">
        <v>1</v>
      </c>
      <c r="AG354">
        <v>0</v>
      </c>
      <c r="AH354">
        <v>2</v>
      </c>
      <c r="AI354">
        <v>2</v>
      </c>
      <c r="AJ354">
        <v>0</v>
      </c>
      <c r="AK354">
        <v>0</v>
      </c>
      <c r="AL354">
        <v>1</v>
      </c>
      <c r="AM354">
        <v>0</v>
      </c>
      <c r="AN354">
        <v>0</v>
      </c>
      <c r="AO354">
        <v>7</v>
      </c>
      <c r="AY354">
        <f>SUM(Upload_Indiv[[#This Row],[Bird1]:[Bird9]])</f>
        <v>0</v>
      </c>
      <c r="BI354">
        <f>SUM(Upload_Indiv[[#This Row],[Eagle1]:[Eagle9]])</f>
        <v>0</v>
      </c>
    </row>
    <row r="355" spans="1:61" x14ac:dyDescent="0.25">
      <c r="A355" t="s">
        <v>494</v>
      </c>
      <c r="B355" t="s">
        <v>464</v>
      </c>
      <c r="C355" s="119">
        <v>45775</v>
      </c>
      <c r="D355" t="s">
        <v>28</v>
      </c>
      <c r="E355" t="s">
        <v>30</v>
      </c>
      <c r="F355" t="s">
        <v>406</v>
      </c>
      <c r="G355">
        <v>2</v>
      </c>
      <c r="H355" t="s">
        <v>101</v>
      </c>
      <c r="I355" t="s">
        <v>407</v>
      </c>
      <c r="J355">
        <v>7</v>
      </c>
      <c r="K355">
        <v>6</v>
      </c>
      <c r="L355">
        <v>7</v>
      </c>
      <c r="M355">
        <v>8</v>
      </c>
      <c r="N355">
        <v>5</v>
      </c>
      <c r="O355">
        <v>6</v>
      </c>
      <c r="P355">
        <v>5</v>
      </c>
      <c r="Q355">
        <v>8</v>
      </c>
      <c r="R355">
        <v>9</v>
      </c>
      <c r="S355">
        <v>61</v>
      </c>
      <c r="T355">
        <v>17.09</v>
      </c>
      <c r="U355">
        <v>44</v>
      </c>
      <c r="V355">
        <v>2</v>
      </c>
      <c r="W355">
        <v>2</v>
      </c>
      <c r="X355">
        <v>2</v>
      </c>
      <c r="Y355">
        <v>2</v>
      </c>
      <c r="Z355">
        <v>2</v>
      </c>
      <c r="AA355">
        <v>2</v>
      </c>
      <c r="AB355">
        <v>1</v>
      </c>
      <c r="AC355">
        <v>2</v>
      </c>
      <c r="AD355">
        <v>2</v>
      </c>
      <c r="AE355">
        <v>0</v>
      </c>
      <c r="AF355">
        <v>0</v>
      </c>
      <c r="AG355">
        <v>0</v>
      </c>
      <c r="AH355">
        <v>0</v>
      </c>
      <c r="AI355">
        <v>2</v>
      </c>
      <c r="AJ355">
        <v>2</v>
      </c>
      <c r="AK355">
        <v>0</v>
      </c>
      <c r="AL355">
        <v>0</v>
      </c>
      <c r="AM355">
        <v>0</v>
      </c>
      <c r="AN355">
        <v>0</v>
      </c>
      <c r="AO355">
        <v>4</v>
      </c>
      <c r="AY355">
        <f>SUM(Upload_Indiv[[#This Row],[Bird1]:[Bird9]])</f>
        <v>0</v>
      </c>
      <c r="BI355">
        <f>SUM(Upload_Indiv[[#This Row],[Eagle1]:[Eagle9]])</f>
        <v>0</v>
      </c>
    </row>
    <row r="356" spans="1:61" x14ac:dyDescent="0.25">
      <c r="A356" t="s">
        <v>494</v>
      </c>
      <c r="B356" t="s">
        <v>464</v>
      </c>
      <c r="C356" s="119">
        <v>45775</v>
      </c>
      <c r="D356" t="s">
        <v>28</v>
      </c>
      <c r="E356" t="s">
        <v>30</v>
      </c>
      <c r="F356" t="s">
        <v>406</v>
      </c>
      <c r="G356">
        <v>3</v>
      </c>
      <c r="H356" t="s">
        <v>317</v>
      </c>
      <c r="I356" t="s">
        <v>407</v>
      </c>
      <c r="J356">
        <v>7</v>
      </c>
      <c r="K356">
        <v>5</v>
      </c>
      <c r="L356">
        <v>7</v>
      </c>
      <c r="M356">
        <v>7</v>
      </c>
      <c r="N356">
        <v>6</v>
      </c>
      <c r="O356">
        <v>10</v>
      </c>
      <c r="P356">
        <v>6</v>
      </c>
      <c r="Q356">
        <v>7</v>
      </c>
      <c r="R356">
        <v>9</v>
      </c>
      <c r="S356">
        <v>64</v>
      </c>
      <c r="T356">
        <v>15.55</v>
      </c>
      <c r="U356">
        <v>48</v>
      </c>
      <c r="V356">
        <v>2</v>
      </c>
      <c r="W356">
        <v>2</v>
      </c>
      <c r="X356">
        <v>1</v>
      </c>
      <c r="Y356">
        <v>2</v>
      </c>
      <c r="Z356">
        <v>2</v>
      </c>
      <c r="AA356">
        <v>2</v>
      </c>
      <c r="AB356">
        <v>1</v>
      </c>
      <c r="AC356">
        <v>2</v>
      </c>
      <c r="AD356">
        <v>2</v>
      </c>
      <c r="AE356">
        <v>0</v>
      </c>
      <c r="AF356">
        <v>1</v>
      </c>
      <c r="AG356">
        <v>0</v>
      </c>
      <c r="AH356">
        <v>1</v>
      </c>
      <c r="AI356">
        <v>1</v>
      </c>
      <c r="AJ356">
        <v>0</v>
      </c>
      <c r="AK356">
        <v>0</v>
      </c>
      <c r="AL356">
        <v>1</v>
      </c>
      <c r="AM356">
        <v>0</v>
      </c>
      <c r="AN356">
        <v>0</v>
      </c>
      <c r="AO356">
        <v>4</v>
      </c>
      <c r="AY356">
        <f>SUM(Upload_Indiv[[#This Row],[Bird1]:[Bird9]])</f>
        <v>0</v>
      </c>
      <c r="BI356">
        <f>SUM(Upload_Indiv[[#This Row],[Eagle1]:[Eagle9]])</f>
        <v>0</v>
      </c>
    </row>
    <row r="357" spans="1:61" x14ac:dyDescent="0.25">
      <c r="A357" t="s">
        <v>494</v>
      </c>
      <c r="B357" t="s">
        <v>464</v>
      </c>
      <c r="C357" s="119">
        <v>45775</v>
      </c>
      <c r="D357" t="s">
        <v>28</v>
      </c>
      <c r="E357" t="s">
        <v>30</v>
      </c>
      <c r="F357" t="s">
        <v>406</v>
      </c>
      <c r="G357">
        <v>4</v>
      </c>
      <c r="H357" t="s">
        <v>495</v>
      </c>
      <c r="I357" t="s">
        <v>407</v>
      </c>
      <c r="J357">
        <v>6</v>
      </c>
      <c r="K357">
        <v>5</v>
      </c>
      <c r="L357">
        <v>5</v>
      </c>
      <c r="M357">
        <v>5</v>
      </c>
      <c r="N357">
        <v>5</v>
      </c>
      <c r="O357">
        <v>7</v>
      </c>
      <c r="P357">
        <v>4</v>
      </c>
      <c r="Q357">
        <v>4</v>
      </c>
      <c r="R357">
        <v>7</v>
      </c>
      <c r="S357">
        <v>48</v>
      </c>
      <c r="T357">
        <v>9.52</v>
      </c>
      <c r="U357">
        <v>38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2</v>
      </c>
      <c r="AD357">
        <v>1</v>
      </c>
      <c r="AE357">
        <v>0</v>
      </c>
      <c r="AF357">
        <v>0</v>
      </c>
      <c r="AG357">
        <v>1</v>
      </c>
      <c r="AH357">
        <v>2</v>
      </c>
      <c r="AI357">
        <v>1</v>
      </c>
      <c r="AJ357">
        <v>0</v>
      </c>
      <c r="AK357">
        <v>1</v>
      </c>
      <c r="AL357">
        <v>2</v>
      </c>
      <c r="AM357">
        <v>0</v>
      </c>
      <c r="AN357">
        <v>1</v>
      </c>
      <c r="AO357">
        <v>8</v>
      </c>
      <c r="AY357">
        <f>SUM(Upload_Indiv[[#This Row],[Bird1]:[Bird9]])</f>
        <v>0</v>
      </c>
      <c r="BI357">
        <f>SUM(Upload_Indiv[[#This Row],[Eagle1]:[Eagle9]])</f>
        <v>0</v>
      </c>
    </row>
    <row r="358" spans="1:61" x14ac:dyDescent="0.25">
      <c r="A358" t="s">
        <v>494</v>
      </c>
      <c r="B358" t="s">
        <v>464</v>
      </c>
      <c r="C358" s="119">
        <v>45775</v>
      </c>
      <c r="D358" t="s">
        <v>30</v>
      </c>
      <c r="E358" t="s">
        <v>28</v>
      </c>
      <c r="F358" t="s">
        <v>406</v>
      </c>
      <c r="G358">
        <v>1</v>
      </c>
      <c r="H358" t="s">
        <v>323</v>
      </c>
      <c r="I358" t="s">
        <v>407</v>
      </c>
      <c r="J358">
        <v>4</v>
      </c>
      <c r="K358">
        <v>3</v>
      </c>
      <c r="L358">
        <v>4</v>
      </c>
      <c r="M358">
        <v>5</v>
      </c>
      <c r="N358">
        <v>4</v>
      </c>
      <c r="O358">
        <v>5</v>
      </c>
      <c r="P358">
        <v>3</v>
      </c>
      <c r="Q358">
        <v>5</v>
      </c>
      <c r="R358">
        <v>5</v>
      </c>
      <c r="S358">
        <v>38</v>
      </c>
      <c r="T358">
        <v>0</v>
      </c>
      <c r="U358">
        <v>38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1</v>
      </c>
      <c r="AF358">
        <v>1</v>
      </c>
      <c r="AG358">
        <v>2</v>
      </c>
      <c r="AH358">
        <v>0</v>
      </c>
      <c r="AI358">
        <v>0</v>
      </c>
      <c r="AJ358">
        <v>2</v>
      </c>
      <c r="AK358">
        <v>2</v>
      </c>
      <c r="AL358">
        <v>1</v>
      </c>
      <c r="AM358">
        <v>2</v>
      </c>
      <c r="AN358">
        <v>2</v>
      </c>
      <c r="AO358">
        <v>13</v>
      </c>
      <c r="AY358">
        <f>SUM(Upload_Indiv[[#This Row],[Bird1]:[Bird9]])</f>
        <v>0</v>
      </c>
      <c r="BI358">
        <f>SUM(Upload_Indiv[[#This Row],[Eagle1]:[Eagle9]])</f>
        <v>0</v>
      </c>
    </row>
    <row r="359" spans="1:61" x14ac:dyDescent="0.25">
      <c r="A359" t="s">
        <v>494</v>
      </c>
      <c r="B359" t="s">
        <v>464</v>
      </c>
      <c r="C359" s="119">
        <v>45775</v>
      </c>
      <c r="D359" t="s">
        <v>30</v>
      </c>
      <c r="E359" t="s">
        <v>28</v>
      </c>
      <c r="F359" t="s">
        <v>406</v>
      </c>
      <c r="G359">
        <v>2</v>
      </c>
      <c r="H359" t="s">
        <v>324</v>
      </c>
      <c r="I359" t="s">
        <v>407</v>
      </c>
      <c r="J359">
        <v>4</v>
      </c>
      <c r="K359">
        <v>3</v>
      </c>
      <c r="L359">
        <v>4</v>
      </c>
      <c r="M359">
        <v>5</v>
      </c>
      <c r="N359">
        <v>4</v>
      </c>
      <c r="O359">
        <v>5</v>
      </c>
      <c r="P359">
        <v>3</v>
      </c>
      <c r="Q359">
        <v>5</v>
      </c>
      <c r="R359">
        <v>5</v>
      </c>
      <c r="S359">
        <v>38</v>
      </c>
      <c r="T359">
        <v>0</v>
      </c>
      <c r="U359">
        <v>38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2</v>
      </c>
      <c r="AF359">
        <v>2</v>
      </c>
      <c r="AG359">
        <v>2</v>
      </c>
      <c r="AH359">
        <v>2</v>
      </c>
      <c r="AI359">
        <v>0</v>
      </c>
      <c r="AJ359">
        <v>0</v>
      </c>
      <c r="AK359">
        <v>2</v>
      </c>
      <c r="AL359">
        <v>2</v>
      </c>
      <c r="AM359">
        <v>2</v>
      </c>
      <c r="AN359">
        <v>2</v>
      </c>
      <c r="AO359">
        <v>16</v>
      </c>
      <c r="AY359">
        <f>SUM(Upload_Indiv[[#This Row],[Bird1]:[Bird9]])</f>
        <v>0</v>
      </c>
      <c r="BI359">
        <f>SUM(Upload_Indiv[[#This Row],[Eagle1]:[Eagle9]])</f>
        <v>0</v>
      </c>
    </row>
    <row r="360" spans="1:61" x14ac:dyDescent="0.25">
      <c r="A360" t="s">
        <v>494</v>
      </c>
      <c r="B360" t="s">
        <v>464</v>
      </c>
      <c r="C360" s="119">
        <v>45775</v>
      </c>
      <c r="D360" t="s">
        <v>30</v>
      </c>
      <c r="E360" t="s">
        <v>28</v>
      </c>
      <c r="F360" t="s">
        <v>406</v>
      </c>
      <c r="G360">
        <v>3</v>
      </c>
      <c r="H360" t="s">
        <v>325</v>
      </c>
      <c r="I360" t="s">
        <v>407</v>
      </c>
      <c r="J360">
        <v>4</v>
      </c>
      <c r="K360">
        <v>3</v>
      </c>
      <c r="L360">
        <v>4</v>
      </c>
      <c r="M360">
        <v>5</v>
      </c>
      <c r="N360">
        <v>4</v>
      </c>
      <c r="O360">
        <v>5</v>
      </c>
      <c r="P360">
        <v>3</v>
      </c>
      <c r="Q360">
        <v>5</v>
      </c>
      <c r="R360">
        <v>5</v>
      </c>
      <c r="S360">
        <v>38</v>
      </c>
      <c r="T360">
        <v>0</v>
      </c>
      <c r="U360">
        <v>38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2</v>
      </c>
      <c r="AF360">
        <v>1</v>
      </c>
      <c r="AG360">
        <v>2</v>
      </c>
      <c r="AH360">
        <v>1</v>
      </c>
      <c r="AI360">
        <v>1</v>
      </c>
      <c r="AJ360">
        <v>2</v>
      </c>
      <c r="AK360">
        <v>2</v>
      </c>
      <c r="AL360">
        <v>1</v>
      </c>
      <c r="AM360">
        <v>2</v>
      </c>
      <c r="AN360">
        <v>2</v>
      </c>
      <c r="AO360">
        <v>16</v>
      </c>
      <c r="AY360">
        <f>SUM(Upload_Indiv[[#This Row],[Bird1]:[Bird9]])</f>
        <v>0</v>
      </c>
      <c r="BI360">
        <f>SUM(Upload_Indiv[[#This Row],[Eagle1]:[Eagle9]])</f>
        <v>0</v>
      </c>
    </row>
    <row r="361" spans="1:61" x14ac:dyDescent="0.25">
      <c r="A361" t="s">
        <v>494</v>
      </c>
      <c r="B361" t="s">
        <v>464</v>
      </c>
      <c r="C361" s="119">
        <v>45775</v>
      </c>
      <c r="D361" t="s">
        <v>30</v>
      </c>
      <c r="E361" t="s">
        <v>28</v>
      </c>
      <c r="F361" t="s">
        <v>406</v>
      </c>
      <c r="G361">
        <v>4</v>
      </c>
      <c r="H361" t="s">
        <v>326</v>
      </c>
      <c r="I361" t="s">
        <v>407</v>
      </c>
      <c r="J361">
        <v>4</v>
      </c>
      <c r="K361">
        <v>3</v>
      </c>
      <c r="L361">
        <v>4</v>
      </c>
      <c r="M361">
        <v>5</v>
      </c>
      <c r="N361">
        <v>4</v>
      </c>
      <c r="O361">
        <v>5</v>
      </c>
      <c r="P361">
        <v>3</v>
      </c>
      <c r="Q361">
        <v>5</v>
      </c>
      <c r="R361">
        <v>5</v>
      </c>
      <c r="S361">
        <v>38</v>
      </c>
      <c r="T361">
        <v>0</v>
      </c>
      <c r="U361">
        <v>38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2</v>
      </c>
      <c r="AF361">
        <v>2</v>
      </c>
      <c r="AG361">
        <v>1</v>
      </c>
      <c r="AH361">
        <v>0</v>
      </c>
      <c r="AI361">
        <v>1</v>
      </c>
      <c r="AJ361">
        <v>2</v>
      </c>
      <c r="AK361">
        <v>1</v>
      </c>
      <c r="AL361">
        <v>0</v>
      </c>
      <c r="AM361">
        <v>2</v>
      </c>
      <c r="AN361">
        <v>1</v>
      </c>
      <c r="AO361">
        <v>12</v>
      </c>
      <c r="AY361">
        <f>SUM(Upload_Indiv[[#This Row],[Bird1]:[Bird9]])</f>
        <v>0</v>
      </c>
      <c r="BI361">
        <f>SUM(Upload_Indiv[[#This Row],[Eagle1]:[Eagle9]])</f>
        <v>0</v>
      </c>
    </row>
    <row r="362" spans="1:61" x14ac:dyDescent="0.25">
      <c r="A362" t="s">
        <v>498</v>
      </c>
      <c r="B362" t="s">
        <v>464</v>
      </c>
      <c r="C362" s="119">
        <v>45775</v>
      </c>
      <c r="D362" t="s">
        <v>18</v>
      </c>
      <c r="E362" t="s">
        <v>24</v>
      </c>
      <c r="F362" t="s">
        <v>408</v>
      </c>
      <c r="G362">
        <v>1</v>
      </c>
      <c r="H362" t="s">
        <v>272</v>
      </c>
      <c r="I362" t="s">
        <v>407</v>
      </c>
      <c r="J362">
        <v>6</v>
      </c>
      <c r="K362">
        <v>7</v>
      </c>
      <c r="L362">
        <v>5</v>
      </c>
      <c r="M362">
        <v>5</v>
      </c>
      <c r="N362">
        <v>6</v>
      </c>
      <c r="O362">
        <v>7</v>
      </c>
      <c r="P362">
        <v>6</v>
      </c>
      <c r="Q362">
        <v>5</v>
      </c>
      <c r="R362">
        <v>7</v>
      </c>
      <c r="S362">
        <v>54</v>
      </c>
      <c r="T362">
        <v>6.91</v>
      </c>
      <c r="U362">
        <v>47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2</v>
      </c>
      <c r="AF362">
        <v>0</v>
      </c>
      <c r="AG362">
        <v>2</v>
      </c>
      <c r="AH362">
        <v>1</v>
      </c>
      <c r="AI362">
        <v>1</v>
      </c>
      <c r="AJ362">
        <v>0</v>
      </c>
      <c r="AK362">
        <v>1</v>
      </c>
      <c r="AL362">
        <v>0</v>
      </c>
      <c r="AM362">
        <v>0</v>
      </c>
      <c r="AN362">
        <v>0</v>
      </c>
      <c r="AO362">
        <v>7</v>
      </c>
      <c r="AY362">
        <f>SUM(Upload_Indiv[[#This Row],[Bird1]:[Bird9]])</f>
        <v>0</v>
      </c>
      <c r="BI362">
        <f>SUM(Upload_Indiv[[#This Row],[Eagle1]:[Eagle9]])</f>
        <v>0</v>
      </c>
    </row>
    <row r="363" spans="1:61" x14ac:dyDescent="0.25">
      <c r="A363" t="s">
        <v>498</v>
      </c>
      <c r="B363" t="s">
        <v>464</v>
      </c>
      <c r="C363" s="119">
        <v>45775</v>
      </c>
      <c r="D363" t="s">
        <v>18</v>
      </c>
      <c r="E363" t="s">
        <v>24</v>
      </c>
      <c r="F363" t="s">
        <v>408</v>
      </c>
      <c r="G363">
        <v>2</v>
      </c>
      <c r="H363" t="s">
        <v>274</v>
      </c>
      <c r="I363" t="s">
        <v>407</v>
      </c>
      <c r="J363">
        <v>7</v>
      </c>
      <c r="K363">
        <v>6</v>
      </c>
      <c r="L363">
        <v>8</v>
      </c>
      <c r="M363">
        <v>5</v>
      </c>
      <c r="N363">
        <v>5</v>
      </c>
      <c r="O363">
        <v>5</v>
      </c>
      <c r="P363">
        <v>6</v>
      </c>
      <c r="Q363">
        <v>3</v>
      </c>
      <c r="R363">
        <v>4</v>
      </c>
      <c r="S363">
        <v>49</v>
      </c>
      <c r="T363">
        <v>7.3</v>
      </c>
      <c r="U363">
        <v>42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2</v>
      </c>
      <c r="AF363">
        <v>0</v>
      </c>
      <c r="AG363">
        <v>0</v>
      </c>
      <c r="AH363">
        <v>1</v>
      </c>
      <c r="AI363">
        <v>2</v>
      </c>
      <c r="AJ363">
        <v>1</v>
      </c>
      <c r="AK363">
        <v>2</v>
      </c>
      <c r="AL363">
        <v>0</v>
      </c>
      <c r="AM363">
        <v>2</v>
      </c>
      <c r="AN363">
        <v>2</v>
      </c>
      <c r="AO363">
        <v>12</v>
      </c>
      <c r="AY363">
        <f>SUM(Upload_Indiv[[#This Row],[Bird1]:[Bird9]])</f>
        <v>0</v>
      </c>
      <c r="BI363">
        <f>SUM(Upload_Indiv[[#This Row],[Eagle1]:[Eagle9]])</f>
        <v>0</v>
      </c>
    </row>
    <row r="364" spans="1:61" x14ac:dyDescent="0.25">
      <c r="A364" t="s">
        <v>498</v>
      </c>
      <c r="B364" t="s">
        <v>464</v>
      </c>
      <c r="C364" s="119">
        <v>45775</v>
      </c>
      <c r="D364" t="s">
        <v>18</v>
      </c>
      <c r="E364" t="s">
        <v>24</v>
      </c>
      <c r="F364" t="s">
        <v>408</v>
      </c>
      <c r="G364">
        <v>3</v>
      </c>
      <c r="H364" t="s">
        <v>276</v>
      </c>
      <c r="I364" t="s">
        <v>407</v>
      </c>
      <c r="J364">
        <v>6</v>
      </c>
      <c r="K364">
        <v>6</v>
      </c>
      <c r="L364">
        <v>9</v>
      </c>
      <c r="M364">
        <v>5</v>
      </c>
      <c r="N364">
        <v>5</v>
      </c>
      <c r="O364">
        <v>6</v>
      </c>
      <c r="P364">
        <v>8</v>
      </c>
      <c r="Q364">
        <v>5</v>
      </c>
      <c r="R364">
        <v>6</v>
      </c>
      <c r="S364">
        <v>56</v>
      </c>
      <c r="T364">
        <v>12.67</v>
      </c>
      <c r="U364">
        <v>43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1</v>
      </c>
      <c r="AF364">
        <v>2</v>
      </c>
      <c r="AG364">
        <v>0</v>
      </c>
      <c r="AH364">
        <v>2</v>
      </c>
      <c r="AI364">
        <v>2</v>
      </c>
      <c r="AJ364">
        <v>0</v>
      </c>
      <c r="AK364">
        <v>2</v>
      </c>
      <c r="AL364">
        <v>0</v>
      </c>
      <c r="AM364">
        <v>2</v>
      </c>
      <c r="AN364">
        <v>2</v>
      </c>
      <c r="AO364">
        <v>13</v>
      </c>
      <c r="AY364">
        <f>SUM(Upload_Indiv[[#This Row],[Bird1]:[Bird9]])</f>
        <v>0</v>
      </c>
      <c r="BI364">
        <f>SUM(Upload_Indiv[[#This Row],[Eagle1]:[Eagle9]])</f>
        <v>0</v>
      </c>
    </row>
    <row r="365" spans="1:61" x14ac:dyDescent="0.25">
      <c r="A365" t="s">
        <v>498</v>
      </c>
      <c r="B365" t="s">
        <v>464</v>
      </c>
      <c r="C365" s="119">
        <v>45775</v>
      </c>
      <c r="D365" t="s">
        <v>18</v>
      </c>
      <c r="E365" t="s">
        <v>24</v>
      </c>
      <c r="F365" t="s">
        <v>408</v>
      </c>
      <c r="G365">
        <v>4</v>
      </c>
      <c r="H365" t="s">
        <v>278</v>
      </c>
      <c r="I365" t="s">
        <v>407</v>
      </c>
      <c r="J365">
        <v>8</v>
      </c>
      <c r="K365">
        <v>5</v>
      </c>
      <c r="L365">
        <v>6</v>
      </c>
      <c r="M365">
        <v>5</v>
      </c>
      <c r="N365">
        <v>6</v>
      </c>
      <c r="O365">
        <v>7</v>
      </c>
      <c r="P365">
        <v>9</v>
      </c>
      <c r="Q365">
        <v>4</v>
      </c>
      <c r="R365">
        <v>6</v>
      </c>
      <c r="S365">
        <v>56</v>
      </c>
      <c r="T365">
        <v>16.7</v>
      </c>
      <c r="U365">
        <v>39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2</v>
      </c>
      <c r="AF365">
        <v>2</v>
      </c>
      <c r="AG365">
        <v>2</v>
      </c>
      <c r="AH365">
        <v>2</v>
      </c>
      <c r="AI365">
        <v>2</v>
      </c>
      <c r="AJ365">
        <v>2</v>
      </c>
      <c r="AK365">
        <v>2</v>
      </c>
      <c r="AL365">
        <v>2</v>
      </c>
      <c r="AM365">
        <v>2</v>
      </c>
      <c r="AN365">
        <v>2</v>
      </c>
      <c r="AO365">
        <v>20</v>
      </c>
      <c r="AY365">
        <f>SUM(Upload_Indiv[[#This Row],[Bird1]:[Bird9]])</f>
        <v>0</v>
      </c>
      <c r="BI365">
        <f>SUM(Upload_Indiv[[#This Row],[Eagle1]:[Eagle9]])</f>
        <v>0</v>
      </c>
    </row>
    <row r="366" spans="1:61" x14ac:dyDescent="0.25">
      <c r="A366" t="s">
        <v>498</v>
      </c>
      <c r="B366" t="s">
        <v>464</v>
      </c>
      <c r="C366" s="119">
        <v>45775</v>
      </c>
      <c r="D366" t="s">
        <v>24</v>
      </c>
      <c r="E366" t="s">
        <v>18</v>
      </c>
      <c r="F366" t="s">
        <v>408</v>
      </c>
      <c r="G366">
        <v>1</v>
      </c>
      <c r="H366" t="s">
        <v>300</v>
      </c>
      <c r="I366" t="s">
        <v>407</v>
      </c>
      <c r="J366">
        <v>8</v>
      </c>
      <c r="K366">
        <v>6</v>
      </c>
      <c r="L366">
        <v>6</v>
      </c>
      <c r="M366">
        <v>5</v>
      </c>
      <c r="N366">
        <v>6</v>
      </c>
      <c r="O366">
        <v>6</v>
      </c>
      <c r="P366">
        <v>6</v>
      </c>
      <c r="Q366">
        <v>4</v>
      </c>
      <c r="R366">
        <v>6</v>
      </c>
      <c r="S366">
        <v>53</v>
      </c>
      <c r="T366">
        <v>9.2200000000000006</v>
      </c>
      <c r="U366">
        <v>44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1</v>
      </c>
      <c r="AB366">
        <v>0</v>
      </c>
      <c r="AC366">
        <v>0</v>
      </c>
      <c r="AD366">
        <v>0</v>
      </c>
      <c r="AE366">
        <v>0</v>
      </c>
      <c r="AF366">
        <v>2</v>
      </c>
      <c r="AG366">
        <v>0</v>
      </c>
      <c r="AH366">
        <v>1</v>
      </c>
      <c r="AI366">
        <v>1</v>
      </c>
      <c r="AJ366">
        <v>2</v>
      </c>
      <c r="AK366">
        <v>1</v>
      </c>
      <c r="AL366">
        <v>2</v>
      </c>
      <c r="AM366">
        <v>2</v>
      </c>
      <c r="AN366">
        <v>2</v>
      </c>
      <c r="AO366">
        <v>13</v>
      </c>
      <c r="AY366">
        <f>SUM(Upload_Indiv[[#This Row],[Bird1]:[Bird9]])</f>
        <v>0</v>
      </c>
      <c r="BI366">
        <f>SUM(Upload_Indiv[[#This Row],[Eagle1]:[Eagle9]])</f>
        <v>0</v>
      </c>
    </row>
    <row r="367" spans="1:61" x14ac:dyDescent="0.25">
      <c r="A367" t="s">
        <v>498</v>
      </c>
      <c r="B367" t="s">
        <v>464</v>
      </c>
      <c r="C367" s="119">
        <v>45775</v>
      </c>
      <c r="D367" t="s">
        <v>24</v>
      </c>
      <c r="E367" t="s">
        <v>18</v>
      </c>
      <c r="F367" t="s">
        <v>408</v>
      </c>
      <c r="G367">
        <v>2</v>
      </c>
      <c r="H367" t="s">
        <v>425</v>
      </c>
      <c r="I367" t="s">
        <v>407</v>
      </c>
      <c r="J367">
        <v>9</v>
      </c>
      <c r="K367">
        <v>6</v>
      </c>
      <c r="L367">
        <v>8</v>
      </c>
      <c r="M367">
        <v>5</v>
      </c>
      <c r="N367">
        <v>8</v>
      </c>
      <c r="O367">
        <v>6</v>
      </c>
      <c r="P367">
        <v>9</v>
      </c>
      <c r="Q367">
        <v>3</v>
      </c>
      <c r="R367">
        <v>7</v>
      </c>
      <c r="S367">
        <v>61</v>
      </c>
      <c r="T367">
        <v>13.92</v>
      </c>
      <c r="U367">
        <v>47</v>
      </c>
      <c r="V367">
        <v>1</v>
      </c>
      <c r="W367">
        <v>1</v>
      </c>
      <c r="X367">
        <v>1</v>
      </c>
      <c r="Y367">
        <v>0</v>
      </c>
      <c r="Z367">
        <v>0</v>
      </c>
      <c r="AA367">
        <v>1</v>
      </c>
      <c r="AB367">
        <v>1</v>
      </c>
      <c r="AC367">
        <v>1</v>
      </c>
      <c r="AD367">
        <v>1</v>
      </c>
      <c r="AE367">
        <v>0</v>
      </c>
      <c r="AF367">
        <v>2</v>
      </c>
      <c r="AG367">
        <v>2</v>
      </c>
      <c r="AH367">
        <v>1</v>
      </c>
      <c r="AI367">
        <v>0</v>
      </c>
      <c r="AJ367">
        <v>1</v>
      </c>
      <c r="AK367">
        <v>0</v>
      </c>
      <c r="AL367">
        <v>2</v>
      </c>
      <c r="AM367">
        <v>0</v>
      </c>
      <c r="AN367">
        <v>0</v>
      </c>
      <c r="AO367">
        <v>8</v>
      </c>
      <c r="AY367">
        <f>SUM(Upload_Indiv[[#This Row],[Bird1]:[Bird9]])</f>
        <v>0</v>
      </c>
      <c r="BI367">
        <f>SUM(Upload_Indiv[[#This Row],[Eagle1]:[Eagle9]])</f>
        <v>0</v>
      </c>
    </row>
    <row r="368" spans="1:61" x14ac:dyDescent="0.25">
      <c r="A368" t="s">
        <v>498</v>
      </c>
      <c r="B368" t="s">
        <v>464</v>
      </c>
      <c r="C368" s="119">
        <v>45775</v>
      </c>
      <c r="D368" t="s">
        <v>24</v>
      </c>
      <c r="E368" t="s">
        <v>18</v>
      </c>
      <c r="F368" t="s">
        <v>408</v>
      </c>
      <c r="G368">
        <v>3</v>
      </c>
      <c r="H368" t="s">
        <v>106</v>
      </c>
      <c r="I368" t="s">
        <v>407</v>
      </c>
      <c r="J368">
        <v>7</v>
      </c>
      <c r="K368">
        <v>7</v>
      </c>
      <c r="L368">
        <v>7</v>
      </c>
      <c r="M368">
        <v>6</v>
      </c>
      <c r="N368">
        <v>8</v>
      </c>
      <c r="O368">
        <v>6</v>
      </c>
      <c r="P368">
        <v>9</v>
      </c>
      <c r="Q368">
        <v>4</v>
      </c>
      <c r="R368">
        <v>8</v>
      </c>
      <c r="S368">
        <v>62</v>
      </c>
      <c r="T368">
        <v>14.21</v>
      </c>
      <c r="U368">
        <v>48</v>
      </c>
      <c r="V368">
        <v>1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0</v>
      </c>
      <c r="AC368">
        <v>0</v>
      </c>
      <c r="AD368">
        <v>0</v>
      </c>
      <c r="AE368">
        <v>1</v>
      </c>
      <c r="AF368">
        <v>0</v>
      </c>
      <c r="AG368">
        <v>2</v>
      </c>
      <c r="AH368">
        <v>0</v>
      </c>
      <c r="AI368">
        <v>0</v>
      </c>
      <c r="AJ368">
        <v>2</v>
      </c>
      <c r="AK368">
        <v>0</v>
      </c>
      <c r="AL368">
        <v>2</v>
      </c>
      <c r="AM368">
        <v>0</v>
      </c>
      <c r="AN368">
        <v>0</v>
      </c>
      <c r="AO368">
        <v>7</v>
      </c>
      <c r="AY368">
        <f>SUM(Upload_Indiv[[#This Row],[Bird1]:[Bird9]])</f>
        <v>0</v>
      </c>
      <c r="BI368">
        <f>SUM(Upload_Indiv[[#This Row],[Eagle1]:[Eagle9]])</f>
        <v>0</v>
      </c>
    </row>
    <row r="369" spans="1:61" x14ac:dyDescent="0.25">
      <c r="A369" t="s">
        <v>498</v>
      </c>
      <c r="B369" t="s">
        <v>464</v>
      </c>
      <c r="C369" s="119">
        <v>45775</v>
      </c>
      <c r="D369" t="s">
        <v>24</v>
      </c>
      <c r="E369" t="s">
        <v>18</v>
      </c>
      <c r="F369" t="s">
        <v>408</v>
      </c>
      <c r="G369">
        <v>4</v>
      </c>
      <c r="H369" t="s">
        <v>479</v>
      </c>
      <c r="I369" t="s">
        <v>407</v>
      </c>
      <c r="J369">
        <v>9</v>
      </c>
      <c r="K369">
        <v>10</v>
      </c>
      <c r="L369">
        <v>9</v>
      </c>
      <c r="M369">
        <v>6</v>
      </c>
      <c r="N369">
        <v>9</v>
      </c>
      <c r="O369">
        <v>9</v>
      </c>
      <c r="P369">
        <v>10</v>
      </c>
      <c r="Q369">
        <v>8</v>
      </c>
      <c r="R369">
        <v>8</v>
      </c>
      <c r="S369">
        <v>78</v>
      </c>
      <c r="T369">
        <v>20</v>
      </c>
      <c r="U369">
        <v>58</v>
      </c>
      <c r="V369">
        <v>1</v>
      </c>
      <c r="W369">
        <v>0</v>
      </c>
      <c r="X369">
        <v>1</v>
      </c>
      <c r="Y369">
        <v>0</v>
      </c>
      <c r="Z369">
        <v>0</v>
      </c>
      <c r="AA369">
        <v>1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Y369">
        <f>SUM(Upload_Indiv[[#This Row],[Bird1]:[Bird9]])</f>
        <v>0</v>
      </c>
      <c r="BI369">
        <f>SUM(Upload_Indiv[[#This Row],[Eagle1]:[Eagle9]])</f>
        <v>0</v>
      </c>
    </row>
    <row r="370" spans="1:61" x14ac:dyDescent="0.25">
      <c r="A370" t="s">
        <v>504</v>
      </c>
      <c r="B370" t="s">
        <v>465</v>
      </c>
      <c r="C370" s="119">
        <v>45782</v>
      </c>
      <c r="D370" t="s">
        <v>22</v>
      </c>
      <c r="E370" t="s">
        <v>30</v>
      </c>
      <c r="F370" t="s">
        <v>408</v>
      </c>
      <c r="G370">
        <v>1</v>
      </c>
      <c r="H370" t="s">
        <v>294</v>
      </c>
      <c r="I370" t="s">
        <v>407</v>
      </c>
      <c r="J370">
        <v>6</v>
      </c>
      <c r="K370">
        <v>7</v>
      </c>
      <c r="L370">
        <v>5</v>
      </c>
      <c r="M370">
        <v>4</v>
      </c>
      <c r="N370">
        <v>5</v>
      </c>
      <c r="O370">
        <v>6</v>
      </c>
      <c r="P370">
        <v>7</v>
      </c>
      <c r="Q370">
        <v>3</v>
      </c>
      <c r="R370">
        <v>6</v>
      </c>
      <c r="S370">
        <v>49</v>
      </c>
      <c r="T370">
        <v>4.42</v>
      </c>
      <c r="U370">
        <v>45</v>
      </c>
      <c r="V370">
        <v>1</v>
      </c>
      <c r="W370">
        <v>0</v>
      </c>
      <c r="X370">
        <v>1</v>
      </c>
      <c r="Y370">
        <v>0</v>
      </c>
      <c r="Z370">
        <v>0</v>
      </c>
      <c r="AA370">
        <v>1</v>
      </c>
      <c r="AB370">
        <v>0</v>
      </c>
      <c r="AC370">
        <v>0</v>
      </c>
      <c r="AD370">
        <v>1</v>
      </c>
      <c r="AE370">
        <v>1</v>
      </c>
      <c r="AF370">
        <v>0</v>
      </c>
      <c r="AG370">
        <v>1</v>
      </c>
      <c r="AH370">
        <v>0</v>
      </c>
      <c r="AI370">
        <v>0</v>
      </c>
      <c r="AJ370">
        <v>1</v>
      </c>
      <c r="AK370">
        <v>0</v>
      </c>
      <c r="AL370">
        <v>1</v>
      </c>
      <c r="AM370">
        <v>0</v>
      </c>
      <c r="AN370">
        <v>0</v>
      </c>
      <c r="AO370">
        <v>4</v>
      </c>
      <c r="AY370">
        <f>SUM(Upload_Indiv[[#This Row],[Bird1]:[Bird9]])</f>
        <v>0</v>
      </c>
      <c r="BI370">
        <f>SUM(Upload_Indiv[[#This Row],[Eagle1]:[Eagle9]])</f>
        <v>0</v>
      </c>
    </row>
    <row r="371" spans="1:61" x14ac:dyDescent="0.25">
      <c r="A371" t="s">
        <v>504</v>
      </c>
      <c r="B371" t="s">
        <v>465</v>
      </c>
      <c r="C371" s="119">
        <v>45782</v>
      </c>
      <c r="D371" t="s">
        <v>22</v>
      </c>
      <c r="E371" t="s">
        <v>30</v>
      </c>
      <c r="F371" t="s">
        <v>408</v>
      </c>
      <c r="G371">
        <v>2</v>
      </c>
      <c r="H371" t="s">
        <v>155</v>
      </c>
      <c r="I371" t="s">
        <v>407</v>
      </c>
      <c r="J371">
        <v>5</v>
      </c>
      <c r="K371">
        <v>7</v>
      </c>
      <c r="L371">
        <v>7</v>
      </c>
      <c r="M371">
        <v>5</v>
      </c>
      <c r="N371">
        <v>6</v>
      </c>
      <c r="O371">
        <v>6</v>
      </c>
      <c r="P371">
        <v>10</v>
      </c>
      <c r="Q371">
        <v>7</v>
      </c>
      <c r="R371">
        <v>6</v>
      </c>
      <c r="S371">
        <v>59</v>
      </c>
      <c r="T371">
        <v>7.3</v>
      </c>
      <c r="U371">
        <v>52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1</v>
      </c>
      <c r="AB371">
        <v>1</v>
      </c>
      <c r="AC371">
        <v>1</v>
      </c>
      <c r="AD371">
        <v>1</v>
      </c>
      <c r="AE371">
        <v>2</v>
      </c>
      <c r="AF371">
        <v>0</v>
      </c>
      <c r="AG371">
        <v>0</v>
      </c>
      <c r="AH371">
        <v>0</v>
      </c>
      <c r="AI371">
        <v>0</v>
      </c>
      <c r="AJ371">
        <v>1</v>
      </c>
      <c r="AK371">
        <v>0</v>
      </c>
      <c r="AL371">
        <v>0</v>
      </c>
      <c r="AM371">
        <v>0</v>
      </c>
      <c r="AN371">
        <v>0</v>
      </c>
      <c r="AO371">
        <v>3</v>
      </c>
      <c r="AY371">
        <f>SUM(Upload_Indiv[[#This Row],[Bird1]:[Bird9]])</f>
        <v>0</v>
      </c>
      <c r="BI371">
        <f>SUM(Upload_Indiv[[#This Row],[Eagle1]:[Eagle9]])</f>
        <v>0</v>
      </c>
    </row>
    <row r="372" spans="1:61" x14ac:dyDescent="0.25">
      <c r="A372" t="s">
        <v>504</v>
      </c>
      <c r="B372" t="s">
        <v>465</v>
      </c>
      <c r="C372" s="119">
        <v>45782</v>
      </c>
      <c r="D372" t="s">
        <v>22</v>
      </c>
      <c r="E372" t="s">
        <v>30</v>
      </c>
      <c r="F372" t="s">
        <v>408</v>
      </c>
      <c r="G372">
        <v>3</v>
      </c>
      <c r="H372" t="s">
        <v>148</v>
      </c>
      <c r="I372" t="s">
        <v>407</v>
      </c>
      <c r="J372">
        <v>6</v>
      </c>
      <c r="K372">
        <v>5</v>
      </c>
      <c r="L372">
        <v>7</v>
      </c>
      <c r="M372">
        <v>5</v>
      </c>
      <c r="N372">
        <v>6</v>
      </c>
      <c r="O372">
        <v>3</v>
      </c>
      <c r="P372">
        <v>6</v>
      </c>
      <c r="Q372">
        <v>5</v>
      </c>
      <c r="R372">
        <v>5</v>
      </c>
      <c r="S372">
        <v>48</v>
      </c>
      <c r="T372">
        <v>12.1</v>
      </c>
      <c r="U372">
        <v>36</v>
      </c>
      <c r="V372">
        <v>2</v>
      </c>
      <c r="W372">
        <v>1</v>
      </c>
      <c r="X372">
        <v>2</v>
      </c>
      <c r="Y372">
        <v>1</v>
      </c>
      <c r="Z372">
        <v>1</v>
      </c>
      <c r="AA372">
        <v>2</v>
      </c>
      <c r="AB372">
        <v>1</v>
      </c>
      <c r="AC372">
        <v>1</v>
      </c>
      <c r="AD372">
        <v>1</v>
      </c>
      <c r="AE372">
        <v>2</v>
      </c>
      <c r="AF372">
        <v>2</v>
      </c>
      <c r="AG372">
        <v>0</v>
      </c>
      <c r="AH372">
        <v>0</v>
      </c>
      <c r="AI372">
        <v>0</v>
      </c>
      <c r="AJ372">
        <v>2</v>
      </c>
      <c r="AK372">
        <v>1</v>
      </c>
      <c r="AL372">
        <v>0</v>
      </c>
      <c r="AM372">
        <v>1</v>
      </c>
      <c r="AN372">
        <v>2</v>
      </c>
      <c r="AO372">
        <v>10</v>
      </c>
      <c r="AU372">
        <v>1</v>
      </c>
      <c r="AY372">
        <f>SUM(Upload_Indiv[[#This Row],[Bird1]:[Bird9]])</f>
        <v>1</v>
      </c>
      <c r="BI372">
        <f>SUM(Upload_Indiv[[#This Row],[Eagle1]:[Eagle9]])</f>
        <v>0</v>
      </c>
    </row>
    <row r="373" spans="1:61" x14ac:dyDescent="0.25">
      <c r="A373" t="s">
        <v>504</v>
      </c>
      <c r="B373" t="s">
        <v>465</v>
      </c>
      <c r="C373" s="119">
        <v>45782</v>
      </c>
      <c r="D373" t="s">
        <v>22</v>
      </c>
      <c r="E373" t="s">
        <v>30</v>
      </c>
      <c r="F373" t="s">
        <v>408</v>
      </c>
      <c r="G373">
        <v>4</v>
      </c>
      <c r="H373" t="s">
        <v>158</v>
      </c>
      <c r="I373" t="s">
        <v>407</v>
      </c>
      <c r="J373">
        <v>6</v>
      </c>
      <c r="K373">
        <v>6</v>
      </c>
      <c r="L373">
        <v>8</v>
      </c>
      <c r="M373">
        <v>6</v>
      </c>
      <c r="N373">
        <v>8</v>
      </c>
      <c r="O373">
        <v>6</v>
      </c>
      <c r="P373">
        <v>9</v>
      </c>
      <c r="Q373">
        <v>5</v>
      </c>
      <c r="R373">
        <v>7</v>
      </c>
      <c r="S373">
        <v>61</v>
      </c>
      <c r="T373">
        <v>14.59</v>
      </c>
      <c r="U373">
        <v>46</v>
      </c>
      <c r="V373">
        <v>2</v>
      </c>
      <c r="W373">
        <v>1</v>
      </c>
      <c r="X373">
        <v>2</v>
      </c>
      <c r="Y373">
        <v>1</v>
      </c>
      <c r="Z373">
        <v>1</v>
      </c>
      <c r="AA373">
        <v>2</v>
      </c>
      <c r="AB373">
        <v>2</v>
      </c>
      <c r="AC373">
        <v>2</v>
      </c>
      <c r="AD373">
        <v>2</v>
      </c>
      <c r="AE373">
        <v>2</v>
      </c>
      <c r="AF373">
        <v>1</v>
      </c>
      <c r="AG373">
        <v>0</v>
      </c>
      <c r="AH373">
        <v>0</v>
      </c>
      <c r="AI373">
        <v>0</v>
      </c>
      <c r="AJ373">
        <v>2</v>
      </c>
      <c r="AK373">
        <v>0</v>
      </c>
      <c r="AL373">
        <v>1</v>
      </c>
      <c r="AM373">
        <v>0</v>
      </c>
      <c r="AN373">
        <v>0</v>
      </c>
      <c r="AO373">
        <v>6</v>
      </c>
      <c r="AY373">
        <f>SUM(Upload_Indiv[[#This Row],[Bird1]:[Bird9]])</f>
        <v>0</v>
      </c>
      <c r="BI373">
        <f>SUM(Upload_Indiv[[#This Row],[Eagle1]:[Eagle9]])</f>
        <v>0</v>
      </c>
    </row>
    <row r="374" spans="1:61" x14ac:dyDescent="0.25">
      <c r="A374" t="s">
        <v>504</v>
      </c>
      <c r="B374" t="s">
        <v>465</v>
      </c>
      <c r="C374" s="119">
        <v>45782</v>
      </c>
      <c r="D374" t="s">
        <v>30</v>
      </c>
      <c r="E374" t="s">
        <v>22</v>
      </c>
      <c r="F374" t="s">
        <v>408</v>
      </c>
      <c r="G374">
        <v>1</v>
      </c>
      <c r="H374" t="s">
        <v>323</v>
      </c>
      <c r="I374" t="s">
        <v>407</v>
      </c>
      <c r="J374">
        <v>5</v>
      </c>
      <c r="K374">
        <v>5</v>
      </c>
      <c r="L374">
        <v>4</v>
      </c>
      <c r="M374">
        <v>3</v>
      </c>
      <c r="N374">
        <v>4</v>
      </c>
      <c r="O374">
        <v>5</v>
      </c>
      <c r="P374">
        <v>5</v>
      </c>
      <c r="Q374">
        <v>3</v>
      </c>
      <c r="R374">
        <v>4</v>
      </c>
      <c r="S374">
        <v>38</v>
      </c>
      <c r="T374">
        <v>0</v>
      </c>
      <c r="U374">
        <v>38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1</v>
      </c>
      <c r="AF374">
        <v>2</v>
      </c>
      <c r="AG374">
        <v>1</v>
      </c>
      <c r="AH374">
        <v>2</v>
      </c>
      <c r="AI374">
        <v>2</v>
      </c>
      <c r="AJ374">
        <v>1</v>
      </c>
      <c r="AK374">
        <v>2</v>
      </c>
      <c r="AL374">
        <v>1</v>
      </c>
      <c r="AM374">
        <v>2</v>
      </c>
      <c r="AN374">
        <v>2</v>
      </c>
      <c r="AO374">
        <v>16</v>
      </c>
      <c r="AY374">
        <f>SUM(Upload_Indiv[[#This Row],[Bird1]:[Bird9]])</f>
        <v>0</v>
      </c>
      <c r="BI374">
        <f>SUM(Upload_Indiv[[#This Row],[Eagle1]:[Eagle9]])</f>
        <v>0</v>
      </c>
    </row>
    <row r="375" spans="1:61" x14ac:dyDescent="0.25">
      <c r="A375" t="s">
        <v>504</v>
      </c>
      <c r="B375" t="s">
        <v>465</v>
      </c>
      <c r="C375" s="119">
        <v>45782</v>
      </c>
      <c r="D375" t="s">
        <v>30</v>
      </c>
      <c r="E375" t="s">
        <v>22</v>
      </c>
      <c r="F375" t="s">
        <v>408</v>
      </c>
      <c r="G375">
        <v>2</v>
      </c>
      <c r="H375" t="s">
        <v>324</v>
      </c>
      <c r="I375" t="s">
        <v>407</v>
      </c>
      <c r="J375">
        <v>5</v>
      </c>
      <c r="K375">
        <v>5</v>
      </c>
      <c r="L375">
        <v>4</v>
      </c>
      <c r="M375">
        <v>3</v>
      </c>
      <c r="N375">
        <v>4</v>
      </c>
      <c r="O375">
        <v>5</v>
      </c>
      <c r="P375">
        <v>5</v>
      </c>
      <c r="Q375">
        <v>3</v>
      </c>
      <c r="R375">
        <v>4</v>
      </c>
      <c r="S375">
        <v>38</v>
      </c>
      <c r="T375">
        <v>0</v>
      </c>
      <c r="U375">
        <v>38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2</v>
      </c>
      <c r="AG375">
        <v>2</v>
      </c>
      <c r="AH375">
        <v>2</v>
      </c>
      <c r="AI375">
        <v>2</v>
      </c>
      <c r="AJ375">
        <v>1</v>
      </c>
      <c r="AK375">
        <v>2</v>
      </c>
      <c r="AL375">
        <v>2</v>
      </c>
      <c r="AM375">
        <v>2</v>
      </c>
      <c r="AN375">
        <v>2</v>
      </c>
      <c r="AO375">
        <v>17</v>
      </c>
      <c r="AY375">
        <f>SUM(Upload_Indiv[[#This Row],[Bird1]:[Bird9]])</f>
        <v>0</v>
      </c>
      <c r="BI375">
        <f>SUM(Upload_Indiv[[#This Row],[Eagle1]:[Eagle9]])</f>
        <v>0</v>
      </c>
    </row>
    <row r="376" spans="1:61" x14ac:dyDescent="0.25">
      <c r="A376" t="s">
        <v>504</v>
      </c>
      <c r="B376" t="s">
        <v>465</v>
      </c>
      <c r="C376" s="119">
        <v>45782</v>
      </c>
      <c r="D376" t="s">
        <v>30</v>
      </c>
      <c r="E376" t="s">
        <v>22</v>
      </c>
      <c r="F376" t="s">
        <v>408</v>
      </c>
      <c r="G376">
        <v>3</v>
      </c>
      <c r="H376" t="s">
        <v>325</v>
      </c>
      <c r="I376" t="s">
        <v>407</v>
      </c>
      <c r="J376">
        <v>5</v>
      </c>
      <c r="K376">
        <v>5</v>
      </c>
      <c r="L376">
        <v>4</v>
      </c>
      <c r="M376">
        <v>3</v>
      </c>
      <c r="N376">
        <v>4</v>
      </c>
      <c r="O376">
        <v>5</v>
      </c>
      <c r="P376">
        <v>5</v>
      </c>
      <c r="Q376">
        <v>3</v>
      </c>
      <c r="R376">
        <v>4</v>
      </c>
      <c r="S376">
        <v>38</v>
      </c>
      <c r="T376">
        <v>0</v>
      </c>
      <c r="U376">
        <v>38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2</v>
      </c>
      <c r="AH376">
        <v>2</v>
      </c>
      <c r="AI376">
        <v>2</v>
      </c>
      <c r="AJ376">
        <v>0</v>
      </c>
      <c r="AK376">
        <v>1</v>
      </c>
      <c r="AL376">
        <v>2</v>
      </c>
      <c r="AM376">
        <v>1</v>
      </c>
      <c r="AN376">
        <v>0</v>
      </c>
      <c r="AO376">
        <v>10</v>
      </c>
      <c r="AY376">
        <f>SUM(Upload_Indiv[[#This Row],[Bird1]:[Bird9]])</f>
        <v>0</v>
      </c>
      <c r="BI376">
        <f>SUM(Upload_Indiv[[#This Row],[Eagle1]:[Eagle9]])</f>
        <v>0</v>
      </c>
    </row>
    <row r="377" spans="1:61" x14ac:dyDescent="0.25">
      <c r="A377" t="s">
        <v>504</v>
      </c>
      <c r="B377" t="s">
        <v>465</v>
      </c>
      <c r="C377" s="119">
        <v>45782</v>
      </c>
      <c r="D377" t="s">
        <v>30</v>
      </c>
      <c r="E377" t="s">
        <v>22</v>
      </c>
      <c r="F377" t="s">
        <v>408</v>
      </c>
      <c r="G377">
        <v>4</v>
      </c>
      <c r="H377" t="s">
        <v>326</v>
      </c>
      <c r="I377" t="s">
        <v>407</v>
      </c>
      <c r="J377">
        <v>5</v>
      </c>
      <c r="K377">
        <v>5</v>
      </c>
      <c r="L377">
        <v>4</v>
      </c>
      <c r="M377">
        <v>3</v>
      </c>
      <c r="N377">
        <v>4</v>
      </c>
      <c r="O377">
        <v>5</v>
      </c>
      <c r="P377">
        <v>5</v>
      </c>
      <c r="Q377">
        <v>3</v>
      </c>
      <c r="R377">
        <v>4</v>
      </c>
      <c r="S377">
        <v>38</v>
      </c>
      <c r="T377">
        <v>0</v>
      </c>
      <c r="U377">
        <v>38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</v>
      </c>
      <c r="AG377">
        <v>2</v>
      </c>
      <c r="AH377">
        <v>2</v>
      </c>
      <c r="AI377">
        <v>2</v>
      </c>
      <c r="AJ377">
        <v>0</v>
      </c>
      <c r="AK377">
        <v>2</v>
      </c>
      <c r="AL377">
        <v>1</v>
      </c>
      <c r="AM377">
        <v>2</v>
      </c>
      <c r="AN377">
        <v>2</v>
      </c>
      <c r="AO377">
        <v>14</v>
      </c>
      <c r="AY377">
        <f>SUM(Upload_Indiv[[#This Row],[Bird1]:[Bird9]])</f>
        <v>0</v>
      </c>
      <c r="BI377">
        <f>SUM(Upload_Indiv[[#This Row],[Eagle1]:[Eagle9]])</f>
        <v>0</v>
      </c>
    </row>
    <row r="378" spans="1:61" x14ac:dyDescent="0.25">
      <c r="A378" t="s">
        <v>505</v>
      </c>
      <c r="B378" t="s">
        <v>465</v>
      </c>
      <c r="C378" s="119">
        <v>45782</v>
      </c>
      <c r="D378" t="s">
        <v>26</v>
      </c>
      <c r="E378" t="s">
        <v>18</v>
      </c>
      <c r="F378" t="s">
        <v>408</v>
      </c>
      <c r="G378">
        <v>1</v>
      </c>
      <c r="H378" t="s">
        <v>311</v>
      </c>
      <c r="I378" t="s">
        <v>407</v>
      </c>
      <c r="J378">
        <v>5</v>
      </c>
      <c r="K378">
        <v>6</v>
      </c>
      <c r="L378">
        <v>4</v>
      </c>
      <c r="M378">
        <v>3</v>
      </c>
      <c r="N378">
        <v>4</v>
      </c>
      <c r="O378">
        <v>4</v>
      </c>
      <c r="P378">
        <v>5</v>
      </c>
      <c r="Q378">
        <v>3</v>
      </c>
      <c r="R378">
        <v>5</v>
      </c>
      <c r="S378">
        <v>39</v>
      </c>
      <c r="T378">
        <v>4.8</v>
      </c>
      <c r="U378">
        <v>34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1</v>
      </c>
      <c r="AG378">
        <v>2</v>
      </c>
      <c r="AH378">
        <v>1</v>
      </c>
      <c r="AI378">
        <v>2</v>
      </c>
      <c r="AJ378">
        <v>1</v>
      </c>
      <c r="AK378">
        <v>2</v>
      </c>
      <c r="AL378">
        <v>2</v>
      </c>
      <c r="AM378">
        <v>2</v>
      </c>
      <c r="AN378">
        <v>2</v>
      </c>
      <c r="AO378">
        <v>15</v>
      </c>
      <c r="AY378">
        <f>SUM(Upload_Indiv[[#This Row],[Bird1]:[Bird9]])</f>
        <v>0</v>
      </c>
      <c r="BI378">
        <f>SUM(Upload_Indiv[[#This Row],[Eagle1]:[Eagle9]])</f>
        <v>0</v>
      </c>
    </row>
    <row r="379" spans="1:61" x14ac:dyDescent="0.25">
      <c r="A379" t="s">
        <v>505</v>
      </c>
      <c r="B379" t="s">
        <v>465</v>
      </c>
      <c r="C379" s="119">
        <v>45782</v>
      </c>
      <c r="D379" t="s">
        <v>26</v>
      </c>
      <c r="E379" t="s">
        <v>18</v>
      </c>
      <c r="F379" t="s">
        <v>408</v>
      </c>
      <c r="G379">
        <v>2</v>
      </c>
      <c r="H379" t="s">
        <v>100</v>
      </c>
      <c r="I379" t="s">
        <v>407</v>
      </c>
      <c r="J379">
        <v>4</v>
      </c>
      <c r="K379">
        <v>5</v>
      </c>
      <c r="L379">
        <v>5</v>
      </c>
      <c r="M379">
        <v>3</v>
      </c>
      <c r="N379">
        <v>4</v>
      </c>
      <c r="O379">
        <v>4</v>
      </c>
      <c r="P379">
        <v>6</v>
      </c>
      <c r="Q379">
        <v>3</v>
      </c>
      <c r="R379">
        <v>5</v>
      </c>
      <c r="S379">
        <v>39</v>
      </c>
      <c r="T379">
        <v>6.72</v>
      </c>
      <c r="U379">
        <v>32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2</v>
      </c>
      <c r="AF379">
        <v>2</v>
      </c>
      <c r="AG379">
        <v>1</v>
      </c>
      <c r="AH379">
        <v>0</v>
      </c>
      <c r="AI379">
        <v>2</v>
      </c>
      <c r="AJ379">
        <v>0</v>
      </c>
      <c r="AK379">
        <v>0</v>
      </c>
      <c r="AL379">
        <v>2</v>
      </c>
      <c r="AM379">
        <v>1</v>
      </c>
      <c r="AN379">
        <v>2</v>
      </c>
      <c r="AO379">
        <v>12</v>
      </c>
      <c r="AY379">
        <f>SUM(Upload_Indiv[[#This Row],[Bird1]:[Bird9]])</f>
        <v>0</v>
      </c>
      <c r="BI379">
        <f>SUM(Upload_Indiv[[#This Row],[Eagle1]:[Eagle9]])</f>
        <v>0</v>
      </c>
    </row>
    <row r="380" spans="1:61" x14ac:dyDescent="0.25">
      <c r="A380" t="s">
        <v>505</v>
      </c>
      <c r="B380" t="s">
        <v>465</v>
      </c>
      <c r="C380" s="119">
        <v>45782</v>
      </c>
      <c r="D380" t="s">
        <v>26</v>
      </c>
      <c r="E380" t="s">
        <v>18</v>
      </c>
      <c r="F380" t="s">
        <v>408</v>
      </c>
      <c r="G380">
        <v>3</v>
      </c>
      <c r="H380" t="s">
        <v>309</v>
      </c>
      <c r="I380" t="s">
        <v>407</v>
      </c>
      <c r="J380">
        <v>7</v>
      </c>
      <c r="K380">
        <v>7</v>
      </c>
      <c r="L380">
        <v>7</v>
      </c>
      <c r="M380">
        <v>6</v>
      </c>
      <c r="N380">
        <v>7</v>
      </c>
      <c r="O380">
        <v>6</v>
      </c>
      <c r="P380">
        <v>6</v>
      </c>
      <c r="Q380">
        <v>6</v>
      </c>
      <c r="R380">
        <v>7</v>
      </c>
      <c r="S380">
        <v>59</v>
      </c>
      <c r="T380">
        <v>13.63</v>
      </c>
      <c r="U380">
        <v>45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1</v>
      </c>
      <c r="AB380">
        <v>0</v>
      </c>
      <c r="AC380">
        <v>0</v>
      </c>
      <c r="AD380">
        <v>0</v>
      </c>
      <c r="AE380">
        <v>0</v>
      </c>
      <c r="AF380">
        <v>1</v>
      </c>
      <c r="AG380">
        <v>0</v>
      </c>
      <c r="AH380">
        <v>0</v>
      </c>
      <c r="AI380">
        <v>1</v>
      </c>
      <c r="AJ380">
        <v>2</v>
      </c>
      <c r="AK380">
        <v>2</v>
      </c>
      <c r="AL380">
        <v>0</v>
      </c>
      <c r="AM380">
        <v>1</v>
      </c>
      <c r="AN380">
        <v>0</v>
      </c>
      <c r="AO380">
        <v>7</v>
      </c>
      <c r="AY380">
        <f>SUM(Upload_Indiv[[#This Row],[Bird1]:[Bird9]])</f>
        <v>0</v>
      </c>
      <c r="BI380">
        <f>SUM(Upload_Indiv[[#This Row],[Eagle1]:[Eagle9]])</f>
        <v>0</v>
      </c>
    </row>
    <row r="381" spans="1:61" x14ac:dyDescent="0.25">
      <c r="A381" t="s">
        <v>505</v>
      </c>
      <c r="B381" t="s">
        <v>465</v>
      </c>
      <c r="C381" s="119">
        <v>45782</v>
      </c>
      <c r="D381" t="s">
        <v>26</v>
      </c>
      <c r="E381" t="s">
        <v>18</v>
      </c>
      <c r="F381" t="s">
        <v>408</v>
      </c>
      <c r="G381">
        <v>4</v>
      </c>
      <c r="H381" t="s">
        <v>165</v>
      </c>
      <c r="I381" t="s">
        <v>407</v>
      </c>
      <c r="J381">
        <v>6</v>
      </c>
      <c r="K381">
        <v>9</v>
      </c>
      <c r="L381">
        <v>7</v>
      </c>
      <c r="M381">
        <v>4</v>
      </c>
      <c r="N381">
        <v>6</v>
      </c>
      <c r="O381">
        <v>7</v>
      </c>
      <c r="P381">
        <v>8</v>
      </c>
      <c r="Q381">
        <v>3</v>
      </c>
      <c r="R381">
        <v>6</v>
      </c>
      <c r="S381">
        <v>56</v>
      </c>
      <c r="T381">
        <v>17.28</v>
      </c>
      <c r="U381">
        <v>39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1</v>
      </c>
      <c r="AF381">
        <v>0</v>
      </c>
      <c r="AG381">
        <v>0</v>
      </c>
      <c r="AH381">
        <v>2</v>
      </c>
      <c r="AI381">
        <v>1</v>
      </c>
      <c r="AJ381">
        <v>0</v>
      </c>
      <c r="AK381">
        <v>2</v>
      </c>
      <c r="AL381">
        <v>2</v>
      </c>
      <c r="AM381">
        <v>2</v>
      </c>
      <c r="AN381">
        <v>1</v>
      </c>
      <c r="AO381">
        <v>11</v>
      </c>
      <c r="AY381">
        <f>SUM(Upload_Indiv[[#This Row],[Bird1]:[Bird9]])</f>
        <v>0</v>
      </c>
      <c r="BI381">
        <f>SUM(Upload_Indiv[[#This Row],[Eagle1]:[Eagle9]])</f>
        <v>0</v>
      </c>
    </row>
    <row r="382" spans="1:61" x14ac:dyDescent="0.25">
      <c r="A382" t="s">
        <v>505</v>
      </c>
      <c r="B382" t="s">
        <v>465</v>
      </c>
      <c r="C382" s="119">
        <v>45782</v>
      </c>
      <c r="D382" t="s">
        <v>18</v>
      </c>
      <c r="E382" t="s">
        <v>26</v>
      </c>
      <c r="F382" t="s">
        <v>408</v>
      </c>
      <c r="G382">
        <v>1</v>
      </c>
      <c r="H382" t="s">
        <v>272</v>
      </c>
      <c r="I382" t="s">
        <v>407</v>
      </c>
      <c r="J382">
        <v>5</v>
      </c>
      <c r="K382">
        <v>6</v>
      </c>
      <c r="L382">
        <v>8</v>
      </c>
      <c r="M382">
        <v>3</v>
      </c>
      <c r="N382">
        <v>6</v>
      </c>
      <c r="O382">
        <v>5</v>
      </c>
      <c r="P382">
        <v>10</v>
      </c>
      <c r="Q382">
        <v>6</v>
      </c>
      <c r="R382">
        <v>6</v>
      </c>
      <c r="S382">
        <v>55</v>
      </c>
      <c r="T382">
        <v>6.91</v>
      </c>
      <c r="U382">
        <v>48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0</v>
      </c>
      <c r="AC382">
        <v>0</v>
      </c>
      <c r="AD382">
        <v>0</v>
      </c>
      <c r="AE382">
        <v>2</v>
      </c>
      <c r="AF382">
        <v>1</v>
      </c>
      <c r="AG382">
        <v>0</v>
      </c>
      <c r="AH382">
        <v>1</v>
      </c>
      <c r="AI382">
        <v>0</v>
      </c>
      <c r="AJ382">
        <v>1</v>
      </c>
      <c r="AK382">
        <v>0</v>
      </c>
      <c r="AL382">
        <v>0</v>
      </c>
      <c r="AM382">
        <v>0</v>
      </c>
      <c r="AN382">
        <v>0</v>
      </c>
      <c r="AO382">
        <v>5</v>
      </c>
      <c r="AY382">
        <f>SUM(Upload_Indiv[[#This Row],[Bird1]:[Bird9]])</f>
        <v>0</v>
      </c>
      <c r="BI382">
        <f>SUM(Upload_Indiv[[#This Row],[Eagle1]:[Eagle9]])</f>
        <v>0</v>
      </c>
    </row>
    <row r="383" spans="1:61" x14ac:dyDescent="0.25">
      <c r="A383" t="s">
        <v>505</v>
      </c>
      <c r="B383" t="s">
        <v>465</v>
      </c>
      <c r="C383" s="119">
        <v>45782</v>
      </c>
      <c r="D383" t="s">
        <v>18</v>
      </c>
      <c r="E383" t="s">
        <v>26</v>
      </c>
      <c r="F383" t="s">
        <v>408</v>
      </c>
      <c r="G383">
        <v>2</v>
      </c>
      <c r="H383" t="s">
        <v>274</v>
      </c>
      <c r="I383" t="s">
        <v>407</v>
      </c>
      <c r="J383">
        <v>6</v>
      </c>
      <c r="K383">
        <v>6</v>
      </c>
      <c r="L383">
        <v>5</v>
      </c>
      <c r="M383">
        <v>2</v>
      </c>
      <c r="N383">
        <v>8</v>
      </c>
      <c r="O383">
        <v>4</v>
      </c>
      <c r="P383">
        <v>5</v>
      </c>
      <c r="Q383">
        <v>6</v>
      </c>
      <c r="R383">
        <v>5</v>
      </c>
      <c r="S383">
        <v>47</v>
      </c>
      <c r="T383">
        <v>8.83</v>
      </c>
      <c r="U383">
        <v>38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1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1</v>
      </c>
      <c r="AH383">
        <v>2</v>
      </c>
      <c r="AI383">
        <v>0</v>
      </c>
      <c r="AJ383">
        <v>2</v>
      </c>
      <c r="AK383">
        <v>2</v>
      </c>
      <c r="AL383">
        <v>0</v>
      </c>
      <c r="AM383">
        <v>1</v>
      </c>
      <c r="AN383">
        <v>0</v>
      </c>
      <c r="AO383">
        <v>8</v>
      </c>
      <c r="AS383">
        <v>1</v>
      </c>
      <c r="AY383">
        <f>SUM(Upload_Indiv[[#This Row],[Bird1]:[Bird9]])</f>
        <v>1</v>
      </c>
      <c r="BI383">
        <f>SUM(Upload_Indiv[[#This Row],[Eagle1]:[Eagle9]])</f>
        <v>0</v>
      </c>
    </row>
    <row r="384" spans="1:61" x14ac:dyDescent="0.25">
      <c r="A384" t="s">
        <v>505</v>
      </c>
      <c r="B384" t="s">
        <v>465</v>
      </c>
      <c r="C384" s="119">
        <v>45782</v>
      </c>
      <c r="D384" t="s">
        <v>18</v>
      </c>
      <c r="E384" t="s">
        <v>26</v>
      </c>
      <c r="F384" t="s">
        <v>408</v>
      </c>
      <c r="G384">
        <v>3</v>
      </c>
      <c r="H384" t="s">
        <v>276</v>
      </c>
      <c r="I384" t="s">
        <v>407</v>
      </c>
      <c r="J384">
        <v>6</v>
      </c>
      <c r="K384">
        <v>7</v>
      </c>
      <c r="L384">
        <v>6</v>
      </c>
      <c r="M384">
        <v>4</v>
      </c>
      <c r="N384">
        <v>7</v>
      </c>
      <c r="O384">
        <v>6</v>
      </c>
      <c r="P384">
        <v>8</v>
      </c>
      <c r="Q384">
        <v>5</v>
      </c>
      <c r="R384">
        <v>7</v>
      </c>
      <c r="S384">
        <v>56</v>
      </c>
      <c r="T384">
        <v>13.06</v>
      </c>
      <c r="U384">
        <v>43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2</v>
      </c>
      <c r="AF384">
        <v>1</v>
      </c>
      <c r="AG384">
        <v>2</v>
      </c>
      <c r="AH384">
        <v>2</v>
      </c>
      <c r="AI384">
        <v>1</v>
      </c>
      <c r="AJ384">
        <v>0</v>
      </c>
      <c r="AK384">
        <v>0</v>
      </c>
      <c r="AL384">
        <v>2</v>
      </c>
      <c r="AM384">
        <v>1</v>
      </c>
      <c r="AN384">
        <v>2</v>
      </c>
      <c r="AO384">
        <v>13</v>
      </c>
      <c r="AY384">
        <f>SUM(Upload_Indiv[[#This Row],[Bird1]:[Bird9]])</f>
        <v>0</v>
      </c>
      <c r="BI384">
        <f>SUM(Upload_Indiv[[#This Row],[Eagle1]:[Eagle9]])</f>
        <v>0</v>
      </c>
    </row>
    <row r="385" spans="1:61" x14ac:dyDescent="0.25">
      <c r="A385" t="s">
        <v>505</v>
      </c>
      <c r="B385" t="s">
        <v>465</v>
      </c>
      <c r="C385" s="119">
        <v>45782</v>
      </c>
      <c r="D385" t="s">
        <v>18</v>
      </c>
      <c r="E385" t="s">
        <v>26</v>
      </c>
      <c r="F385" t="s">
        <v>408</v>
      </c>
      <c r="G385">
        <v>4</v>
      </c>
      <c r="H385" t="s">
        <v>278</v>
      </c>
      <c r="I385" t="s">
        <v>407</v>
      </c>
      <c r="J385">
        <v>6</v>
      </c>
      <c r="K385">
        <v>8</v>
      </c>
      <c r="L385">
        <v>5</v>
      </c>
      <c r="M385">
        <v>5</v>
      </c>
      <c r="N385">
        <v>6</v>
      </c>
      <c r="O385">
        <v>6</v>
      </c>
      <c r="P385">
        <v>9</v>
      </c>
      <c r="Q385">
        <v>4</v>
      </c>
      <c r="R385">
        <v>7</v>
      </c>
      <c r="S385">
        <v>56</v>
      </c>
      <c r="T385">
        <v>16.899999999999999</v>
      </c>
      <c r="U385">
        <v>39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</v>
      </c>
      <c r="AF385">
        <v>2</v>
      </c>
      <c r="AG385">
        <v>2</v>
      </c>
      <c r="AH385">
        <v>0</v>
      </c>
      <c r="AI385">
        <v>1</v>
      </c>
      <c r="AJ385">
        <v>2</v>
      </c>
      <c r="AK385">
        <v>0</v>
      </c>
      <c r="AL385">
        <v>0</v>
      </c>
      <c r="AM385">
        <v>0</v>
      </c>
      <c r="AN385">
        <v>1</v>
      </c>
      <c r="AO385">
        <v>9</v>
      </c>
      <c r="AY385">
        <f>SUM(Upload_Indiv[[#This Row],[Bird1]:[Bird9]])</f>
        <v>0</v>
      </c>
      <c r="BI385">
        <f>SUM(Upload_Indiv[[#This Row],[Eagle1]:[Eagle9]])</f>
        <v>0</v>
      </c>
    </row>
    <row r="386" spans="1:61" x14ac:dyDescent="0.25">
      <c r="A386" t="s">
        <v>506</v>
      </c>
      <c r="B386" t="s">
        <v>465</v>
      </c>
      <c r="C386" s="119">
        <v>45782</v>
      </c>
      <c r="D386" t="s">
        <v>20</v>
      </c>
      <c r="E386" t="s">
        <v>24</v>
      </c>
      <c r="F386" t="s">
        <v>406</v>
      </c>
      <c r="G386">
        <v>1</v>
      </c>
      <c r="H386" t="s">
        <v>153</v>
      </c>
      <c r="I386" t="s">
        <v>407</v>
      </c>
      <c r="J386">
        <v>5</v>
      </c>
      <c r="K386">
        <v>6</v>
      </c>
      <c r="L386">
        <v>5</v>
      </c>
      <c r="M386">
        <v>6</v>
      </c>
      <c r="N386">
        <v>6</v>
      </c>
      <c r="O386">
        <v>6</v>
      </c>
      <c r="P386">
        <v>3</v>
      </c>
      <c r="Q386">
        <v>4</v>
      </c>
      <c r="R386">
        <v>6</v>
      </c>
      <c r="S386">
        <v>47</v>
      </c>
      <c r="T386">
        <v>4.03</v>
      </c>
      <c r="U386">
        <v>43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1</v>
      </c>
      <c r="AF386">
        <v>1</v>
      </c>
      <c r="AG386">
        <v>1</v>
      </c>
      <c r="AH386">
        <v>0</v>
      </c>
      <c r="AI386">
        <v>0</v>
      </c>
      <c r="AJ386">
        <v>2</v>
      </c>
      <c r="AK386">
        <v>2</v>
      </c>
      <c r="AL386">
        <v>0</v>
      </c>
      <c r="AM386">
        <v>2</v>
      </c>
      <c r="AN386">
        <v>2</v>
      </c>
      <c r="AO386">
        <v>11</v>
      </c>
      <c r="AY386">
        <f>SUM(Upload_Indiv[[#This Row],[Bird1]:[Bird9]])</f>
        <v>0</v>
      </c>
      <c r="BI386">
        <f>SUM(Upload_Indiv[[#This Row],[Eagle1]:[Eagle9]])</f>
        <v>0</v>
      </c>
    </row>
    <row r="387" spans="1:61" x14ac:dyDescent="0.25">
      <c r="A387" t="s">
        <v>506</v>
      </c>
      <c r="B387" t="s">
        <v>465</v>
      </c>
      <c r="C387" s="119">
        <v>45782</v>
      </c>
      <c r="D387" t="s">
        <v>20</v>
      </c>
      <c r="E387" t="s">
        <v>24</v>
      </c>
      <c r="F387" t="s">
        <v>406</v>
      </c>
      <c r="G387">
        <v>2</v>
      </c>
      <c r="H387" t="s">
        <v>283</v>
      </c>
      <c r="I387" t="s">
        <v>407</v>
      </c>
      <c r="J387">
        <v>6</v>
      </c>
      <c r="K387">
        <v>4</v>
      </c>
      <c r="L387">
        <v>4</v>
      </c>
      <c r="M387">
        <v>7</v>
      </c>
      <c r="N387">
        <v>5</v>
      </c>
      <c r="O387">
        <v>7</v>
      </c>
      <c r="P387">
        <v>4</v>
      </c>
      <c r="Q387">
        <v>5</v>
      </c>
      <c r="R387">
        <v>7</v>
      </c>
      <c r="S387">
        <v>49</v>
      </c>
      <c r="T387">
        <v>6</v>
      </c>
      <c r="U387">
        <v>43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2</v>
      </c>
      <c r="AH387">
        <v>0</v>
      </c>
      <c r="AI387">
        <v>0</v>
      </c>
      <c r="AJ387">
        <v>0</v>
      </c>
      <c r="AK387">
        <v>2</v>
      </c>
      <c r="AL387">
        <v>1</v>
      </c>
      <c r="AM387">
        <v>0</v>
      </c>
      <c r="AN387">
        <v>0</v>
      </c>
      <c r="AO387">
        <v>5</v>
      </c>
      <c r="AY387">
        <f>SUM(Upload_Indiv[[#This Row],[Bird1]:[Bird9]])</f>
        <v>0</v>
      </c>
      <c r="BI387">
        <f>SUM(Upload_Indiv[[#This Row],[Eagle1]:[Eagle9]])</f>
        <v>0</v>
      </c>
    </row>
    <row r="388" spans="1:61" x14ac:dyDescent="0.25">
      <c r="A388" t="s">
        <v>506</v>
      </c>
      <c r="B388" t="s">
        <v>465</v>
      </c>
      <c r="C388" s="119">
        <v>45782</v>
      </c>
      <c r="D388" t="s">
        <v>20</v>
      </c>
      <c r="E388" t="s">
        <v>24</v>
      </c>
      <c r="F388" t="s">
        <v>406</v>
      </c>
      <c r="G388">
        <v>3</v>
      </c>
      <c r="H388" t="s">
        <v>163</v>
      </c>
      <c r="I388" t="s">
        <v>407</v>
      </c>
      <c r="J388">
        <v>6</v>
      </c>
      <c r="K388">
        <v>2</v>
      </c>
      <c r="L388">
        <v>5</v>
      </c>
      <c r="M388">
        <v>7</v>
      </c>
      <c r="N388">
        <v>5</v>
      </c>
      <c r="O388">
        <v>5</v>
      </c>
      <c r="P388">
        <v>5</v>
      </c>
      <c r="Q388">
        <v>5</v>
      </c>
      <c r="R388">
        <v>6</v>
      </c>
      <c r="S388">
        <v>46</v>
      </c>
      <c r="T388">
        <v>8.26</v>
      </c>
      <c r="U388">
        <v>38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1</v>
      </c>
      <c r="AF388">
        <v>2</v>
      </c>
      <c r="AG388">
        <v>2</v>
      </c>
      <c r="AH388">
        <v>0</v>
      </c>
      <c r="AI388">
        <v>2</v>
      </c>
      <c r="AJ388">
        <v>2</v>
      </c>
      <c r="AK388">
        <v>0</v>
      </c>
      <c r="AL388">
        <v>2</v>
      </c>
      <c r="AM388">
        <v>2</v>
      </c>
      <c r="AN388">
        <v>2</v>
      </c>
      <c r="AO388">
        <v>15</v>
      </c>
      <c r="AQ388">
        <v>1</v>
      </c>
      <c r="AY388">
        <f>SUM(Upload_Indiv[[#This Row],[Bird1]:[Bird9]])</f>
        <v>1</v>
      </c>
      <c r="BI388">
        <f>SUM(Upload_Indiv[[#This Row],[Eagle1]:[Eagle9]])</f>
        <v>0</v>
      </c>
    </row>
    <row r="389" spans="1:61" x14ac:dyDescent="0.25">
      <c r="A389" t="s">
        <v>506</v>
      </c>
      <c r="B389" t="s">
        <v>465</v>
      </c>
      <c r="C389" s="119">
        <v>45782</v>
      </c>
      <c r="D389" t="s">
        <v>20</v>
      </c>
      <c r="E389" t="s">
        <v>24</v>
      </c>
      <c r="F389" t="s">
        <v>406</v>
      </c>
      <c r="G389">
        <v>4</v>
      </c>
      <c r="H389" t="s">
        <v>224</v>
      </c>
      <c r="I389" t="s">
        <v>407</v>
      </c>
      <c r="J389">
        <v>4</v>
      </c>
      <c r="K389">
        <v>4</v>
      </c>
      <c r="L389">
        <v>4</v>
      </c>
      <c r="M389">
        <v>7</v>
      </c>
      <c r="N389">
        <v>7</v>
      </c>
      <c r="O389">
        <v>7</v>
      </c>
      <c r="P389">
        <v>4</v>
      </c>
      <c r="Q389">
        <v>6</v>
      </c>
      <c r="R389">
        <v>6</v>
      </c>
      <c r="S389">
        <v>49</v>
      </c>
      <c r="T389">
        <v>13.44</v>
      </c>
      <c r="U389">
        <v>36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2</v>
      </c>
      <c r="AF389">
        <v>2</v>
      </c>
      <c r="AG389">
        <v>2</v>
      </c>
      <c r="AH389">
        <v>0</v>
      </c>
      <c r="AI389">
        <v>2</v>
      </c>
      <c r="AJ389">
        <v>1</v>
      </c>
      <c r="AK389">
        <v>2</v>
      </c>
      <c r="AL389">
        <v>0</v>
      </c>
      <c r="AM389">
        <v>2</v>
      </c>
      <c r="AN389">
        <v>2</v>
      </c>
      <c r="AO389">
        <v>15</v>
      </c>
      <c r="AY389">
        <f>SUM(Upload_Indiv[[#This Row],[Bird1]:[Bird9]])</f>
        <v>0</v>
      </c>
      <c r="BI389">
        <f>SUM(Upload_Indiv[[#This Row],[Eagle1]:[Eagle9]])</f>
        <v>0</v>
      </c>
    </row>
    <row r="390" spans="1:61" x14ac:dyDescent="0.25">
      <c r="A390" t="s">
        <v>506</v>
      </c>
      <c r="B390" t="s">
        <v>465</v>
      </c>
      <c r="C390" s="119">
        <v>45782</v>
      </c>
      <c r="D390" t="s">
        <v>24</v>
      </c>
      <c r="E390" t="s">
        <v>20</v>
      </c>
      <c r="F390" t="s">
        <v>406</v>
      </c>
      <c r="G390">
        <v>1</v>
      </c>
      <c r="H390" t="s">
        <v>258</v>
      </c>
      <c r="I390" t="s">
        <v>407</v>
      </c>
      <c r="J390">
        <v>5</v>
      </c>
      <c r="K390">
        <v>6</v>
      </c>
      <c r="L390">
        <v>5</v>
      </c>
      <c r="M390">
        <v>6</v>
      </c>
      <c r="N390">
        <v>5</v>
      </c>
      <c r="O390">
        <v>7</v>
      </c>
      <c r="P390">
        <v>6</v>
      </c>
      <c r="Q390">
        <v>4</v>
      </c>
      <c r="R390">
        <v>10</v>
      </c>
      <c r="S390">
        <v>54</v>
      </c>
      <c r="T390">
        <v>7.49</v>
      </c>
      <c r="U390">
        <v>47</v>
      </c>
      <c r="V390">
        <v>0</v>
      </c>
      <c r="W390">
        <v>0</v>
      </c>
      <c r="X390">
        <v>0</v>
      </c>
      <c r="Y390">
        <v>1</v>
      </c>
      <c r="Z390">
        <v>1</v>
      </c>
      <c r="AA390">
        <v>0</v>
      </c>
      <c r="AB390">
        <v>0</v>
      </c>
      <c r="AC390">
        <v>1</v>
      </c>
      <c r="AD390">
        <v>0</v>
      </c>
      <c r="AE390">
        <v>1</v>
      </c>
      <c r="AF390">
        <v>1</v>
      </c>
      <c r="AG390">
        <v>1</v>
      </c>
      <c r="AH390">
        <v>2</v>
      </c>
      <c r="AI390">
        <v>2</v>
      </c>
      <c r="AJ390">
        <v>0</v>
      </c>
      <c r="AK390">
        <v>0</v>
      </c>
      <c r="AL390">
        <v>2</v>
      </c>
      <c r="AM390">
        <v>0</v>
      </c>
      <c r="AN390">
        <v>0</v>
      </c>
      <c r="AO390">
        <v>9</v>
      </c>
      <c r="AY390">
        <f>SUM(Upload_Indiv[[#This Row],[Bird1]:[Bird9]])</f>
        <v>0</v>
      </c>
      <c r="BI390">
        <f>SUM(Upload_Indiv[[#This Row],[Eagle1]:[Eagle9]])</f>
        <v>0</v>
      </c>
    </row>
    <row r="391" spans="1:61" x14ac:dyDescent="0.25">
      <c r="A391" t="s">
        <v>506</v>
      </c>
      <c r="B391" t="s">
        <v>465</v>
      </c>
      <c r="C391" s="119">
        <v>45782</v>
      </c>
      <c r="D391" t="s">
        <v>24</v>
      </c>
      <c r="E391" t="s">
        <v>20</v>
      </c>
      <c r="F391" t="s">
        <v>406</v>
      </c>
      <c r="G391">
        <v>2</v>
      </c>
      <c r="H391" t="s">
        <v>300</v>
      </c>
      <c r="I391" t="s">
        <v>407</v>
      </c>
      <c r="J391">
        <v>5</v>
      </c>
      <c r="K391">
        <v>3</v>
      </c>
      <c r="L391">
        <v>5</v>
      </c>
      <c r="M391">
        <v>6</v>
      </c>
      <c r="N391">
        <v>5</v>
      </c>
      <c r="O391">
        <v>6</v>
      </c>
      <c r="P391">
        <v>5</v>
      </c>
      <c r="Q391">
        <v>6</v>
      </c>
      <c r="R391">
        <v>6</v>
      </c>
      <c r="S391">
        <v>47</v>
      </c>
      <c r="T391">
        <v>9.2200000000000006</v>
      </c>
      <c r="U391">
        <v>38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0</v>
      </c>
      <c r="AB391">
        <v>0</v>
      </c>
      <c r="AC391">
        <v>1</v>
      </c>
      <c r="AD391">
        <v>0</v>
      </c>
      <c r="AE391">
        <v>2</v>
      </c>
      <c r="AF391">
        <v>2</v>
      </c>
      <c r="AG391">
        <v>0</v>
      </c>
      <c r="AH391">
        <v>2</v>
      </c>
      <c r="AI391">
        <v>2</v>
      </c>
      <c r="AJ391">
        <v>2</v>
      </c>
      <c r="AK391">
        <v>0</v>
      </c>
      <c r="AL391">
        <v>1</v>
      </c>
      <c r="AM391">
        <v>2</v>
      </c>
      <c r="AN391">
        <v>2</v>
      </c>
      <c r="AO391">
        <v>15</v>
      </c>
      <c r="AY391">
        <f>SUM(Upload_Indiv[[#This Row],[Bird1]:[Bird9]])</f>
        <v>0</v>
      </c>
      <c r="BI391">
        <f>SUM(Upload_Indiv[[#This Row],[Eagle1]:[Eagle9]])</f>
        <v>0</v>
      </c>
    </row>
    <row r="392" spans="1:61" x14ac:dyDescent="0.25">
      <c r="A392" t="s">
        <v>506</v>
      </c>
      <c r="B392" t="s">
        <v>465</v>
      </c>
      <c r="C392" s="119">
        <v>45782</v>
      </c>
      <c r="D392" t="s">
        <v>24</v>
      </c>
      <c r="E392" t="s">
        <v>20</v>
      </c>
      <c r="F392" t="s">
        <v>406</v>
      </c>
      <c r="G392">
        <v>3</v>
      </c>
      <c r="H392" t="s">
        <v>106</v>
      </c>
      <c r="I392" t="s">
        <v>407</v>
      </c>
      <c r="J392">
        <v>6</v>
      </c>
      <c r="K392">
        <v>5</v>
      </c>
      <c r="L392">
        <v>7</v>
      </c>
      <c r="M392">
        <v>7</v>
      </c>
      <c r="N392">
        <v>7</v>
      </c>
      <c r="O392">
        <v>9</v>
      </c>
      <c r="P392">
        <v>4</v>
      </c>
      <c r="Q392">
        <v>8</v>
      </c>
      <c r="R392">
        <v>10</v>
      </c>
      <c r="S392">
        <v>63</v>
      </c>
      <c r="T392">
        <v>14.21</v>
      </c>
      <c r="U392">
        <v>49</v>
      </c>
      <c r="V392">
        <v>0</v>
      </c>
      <c r="W392">
        <v>1</v>
      </c>
      <c r="X392">
        <v>0</v>
      </c>
      <c r="Y392">
        <v>1</v>
      </c>
      <c r="Z392">
        <v>1</v>
      </c>
      <c r="AA392">
        <v>1</v>
      </c>
      <c r="AB392">
        <v>0</v>
      </c>
      <c r="AC392">
        <v>1</v>
      </c>
      <c r="AD392">
        <v>1</v>
      </c>
      <c r="AE392">
        <v>1</v>
      </c>
      <c r="AF392">
        <v>0</v>
      </c>
      <c r="AG392">
        <v>0</v>
      </c>
      <c r="AH392">
        <v>2</v>
      </c>
      <c r="AI392">
        <v>0</v>
      </c>
      <c r="AJ392">
        <v>0</v>
      </c>
      <c r="AK392">
        <v>2</v>
      </c>
      <c r="AL392">
        <v>0</v>
      </c>
      <c r="AM392">
        <v>0</v>
      </c>
      <c r="AN392">
        <v>0</v>
      </c>
      <c r="AO392">
        <v>5</v>
      </c>
      <c r="AY392">
        <f>SUM(Upload_Indiv[[#This Row],[Bird1]:[Bird9]])</f>
        <v>0</v>
      </c>
      <c r="BI392">
        <f>SUM(Upload_Indiv[[#This Row],[Eagle1]:[Eagle9]])</f>
        <v>0</v>
      </c>
    </row>
    <row r="393" spans="1:61" x14ac:dyDescent="0.25">
      <c r="A393" t="s">
        <v>506</v>
      </c>
      <c r="B393" t="s">
        <v>465</v>
      </c>
      <c r="C393" s="119">
        <v>45782</v>
      </c>
      <c r="D393" t="s">
        <v>24</v>
      </c>
      <c r="E393" t="s">
        <v>20</v>
      </c>
      <c r="F393" t="s">
        <v>406</v>
      </c>
      <c r="G393">
        <v>4</v>
      </c>
      <c r="H393" t="s">
        <v>425</v>
      </c>
      <c r="I393" t="s">
        <v>407</v>
      </c>
      <c r="J393">
        <v>5</v>
      </c>
      <c r="K393">
        <v>6</v>
      </c>
      <c r="L393">
        <v>9</v>
      </c>
      <c r="M393">
        <v>7</v>
      </c>
      <c r="N393">
        <v>9</v>
      </c>
      <c r="O393">
        <v>7</v>
      </c>
      <c r="P393">
        <v>6</v>
      </c>
      <c r="Q393">
        <v>5</v>
      </c>
      <c r="R393">
        <v>9</v>
      </c>
      <c r="S393">
        <v>63</v>
      </c>
      <c r="T393">
        <v>15.04</v>
      </c>
      <c r="U393">
        <v>48</v>
      </c>
      <c r="V393">
        <v>0</v>
      </c>
      <c r="W393">
        <v>0</v>
      </c>
      <c r="X393">
        <v>0</v>
      </c>
      <c r="Y393">
        <v>1</v>
      </c>
      <c r="Z393">
        <v>0</v>
      </c>
      <c r="AA393">
        <v>0</v>
      </c>
      <c r="AB393">
        <v>0</v>
      </c>
      <c r="AC393">
        <v>1</v>
      </c>
      <c r="AD393">
        <v>0</v>
      </c>
      <c r="AE393">
        <v>0</v>
      </c>
      <c r="AF393">
        <v>0</v>
      </c>
      <c r="AG393">
        <v>0</v>
      </c>
      <c r="AH393">
        <v>2</v>
      </c>
      <c r="AI393">
        <v>0</v>
      </c>
      <c r="AJ393">
        <v>1</v>
      </c>
      <c r="AK393">
        <v>0</v>
      </c>
      <c r="AL393">
        <v>2</v>
      </c>
      <c r="AM393">
        <v>0</v>
      </c>
      <c r="AN393">
        <v>0</v>
      </c>
      <c r="AO393">
        <v>5</v>
      </c>
      <c r="AY393">
        <f>SUM(Upload_Indiv[[#This Row],[Bird1]:[Bird9]])</f>
        <v>0</v>
      </c>
      <c r="BI393">
        <f>SUM(Upload_Indiv[[#This Row],[Eagle1]:[Eagle9]])</f>
        <v>0</v>
      </c>
    </row>
    <row r="394" spans="1:61" x14ac:dyDescent="0.25">
      <c r="A394" t="s">
        <v>507</v>
      </c>
      <c r="B394" t="s">
        <v>465</v>
      </c>
      <c r="C394" s="119">
        <v>45782</v>
      </c>
      <c r="D394" t="s">
        <v>16</v>
      </c>
      <c r="E394" t="s">
        <v>28</v>
      </c>
      <c r="F394" t="s">
        <v>406</v>
      </c>
      <c r="G394">
        <v>1</v>
      </c>
      <c r="H394" t="s">
        <v>267</v>
      </c>
      <c r="I394" t="s">
        <v>407</v>
      </c>
      <c r="J394">
        <v>6</v>
      </c>
      <c r="K394">
        <v>4</v>
      </c>
      <c r="L394">
        <v>6</v>
      </c>
      <c r="M394">
        <v>7</v>
      </c>
      <c r="N394">
        <v>5</v>
      </c>
      <c r="O394">
        <v>6</v>
      </c>
      <c r="P394">
        <v>5</v>
      </c>
      <c r="Q394">
        <v>5</v>
      </c>
      <c r="R394">
        <v>6</v>
      </c>
      <c r="S394">
        <v>50</v>
      </c>
      <c r="T394">
        <v>11.33</v>
      </c>
      <c r="U394">
        <v>39</v>
      </c>
      <c r="V394">
        <v>1</v>
      </c>
      <c r="W394">
        <v>1</v>
      </c>
      <c r="X394">
        <v>1</v>
      </c>
      <c r="Y394">
        <v>2</v>
      </c>
      <c r="Z394">
        <v>1</v>
      </c>
      <c r="AA394">
        <v>1</v>
      </c>
      <c r="AB394">
        <v>1</v>
      </c>
      <c r="AC394">
        <v>2</v>
      </c>
      <c r="AD394">
        <v>1</v>
      </c>
      <c r="AE394">
        <v>0</v>
      </c>
      <c r="AF394">
        <v>1</v>
      </c>
      <c r="AG394">
        <v>0</v>
      </c>
      <c r="AH394">
        <v>1</v>
      </c>
      <c r="AI394">
        <v>2</v>
      </c>
      <c r="AJ394">
        <v>1</v>
      </c>
      <c r="AK394">
        <v>0</v>
      </c>
      <c r="AL394">
        <v>2</v>
      </c>
      <c r="AM394">
        <v>2</v>
      </c>
      <c r="AN394">
        <v>2</v>
      </c>
      <c r="AO394">
        <v>11</v>
      </c>
      <c r="AY394">
        <f>SUM(Upload_Indiv[[#This Row],[Bird1]:[Bird9]])</f>
        <v>0</v>
      </c>
      <c r="BI394">
        <f>SUM(Upload_Indiv[[#This Row],[Eagle1]:[Eagle9]])</f>
        <v>0</v>
      </c>
    </row>
    <row r="395" spans="1:61" x14ac:dyDescent="0.25">
      <c r="A395" t="s">
        <v>507</v>
      </c>
      <c r="B395" t="s">
        <v>465</v>
      </c>
      <c r="C395" s="119">
        <v>45782</v>
      </c>
      <c r="D395" t="s">
        <v>16</v>
      </c>
      <c r="E395" t="s">
        <v>28</v>
      </c>
      <c r="F395" t="s">
        <v>406</v>
      </c>
      <c r="G395">
        <v>2</v>
      </c>
      <c r="H395" t="s">
        <v>271</v>
      </c>
      <c r="I395" t="s">
        <v>407</v>
      </c>
      <c r="J395">
        <v>4</v>
      </c>
      <c r="K395">
        <v>3</v>
      </c>
      <c r="L395">
        <v>4</v>
      </c>
      <c r="M395">
        <v>5</v>
      </c>
      <c r="N395">
        <v>5</v>
      </c>
      <c r="O395">
        <v>5</v>
      </c>
      <c r="P395">
        <v>3</v>
      </c>
      <c r="Q395">
        <v>5</v>
      </c>
      <c r="R395">
        <v>6</v>
      </c>
      <c r="S395">
        <v>40</v>
      </c>
      <c r="T395">
        <v>0</v>
      </c>
      <c r="U395">
        <v>40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1</v>
      </c>
      <c r="AF395">
        <v>1</v>
      </c>
      <c r="AG395">
        <v>1</v>
      </c>
      <c r="AH395">
        <v>0</v>
      </c>
      <c r="AI395">
        <v>0</v>
      </c>
      <c r="AJ395">
        <v>1</v>
      </c>
      <c r="AK395">
        <v>2</v>
      </c>
      <c r="AL395">
        <v>2</v>
      </c>
      <c r="AM395">
        <v>1</v>
      </c>
      <c r="AN395">
        <v>0</v>
      </c>
      <c r="AO395">
        <v>0</v>
      </c>
      <c r="AY395">
        <f>SUM(Upload_Indiv[[#This Row],[Bird1]:[Bird9]])</f>
        <v>0</v>
      </c>
      <c r="BI395">
        <f>SUM(Upload_Indiv[[#This Row],[Eagle1]:[Eagle9]])</f>
        <v>0</v>
      </c>
    </row>
    <row r="396" spans="1:61" x14ac:dyDescent="0.25">
      <c r="A396" t="s">
        <v>507</v>
      </c>
      <c r="B396" t="s">
        <v>465</v>
      </c>
      <c r="C396" s="119">
        <v>45782</v>
      </c>
      <c r="D396" t="s">
        <v>16</v>
      </c>
      <c r="E396" t="s">
        <v>28</v>
      </c>
      <c r="F396" t="s">
        <v>406</v>
      </c>
      <c r="G396">
        <v>3</v>
      </c>
      <c r="H396" t="s">
        <v>265</v>
      </c>
      <c r="I396" t="s">
        <v>407</v>
      </c>
      <c r="J396">
        <v>6</v>
      </c>
      <c r="K396">
        <v>4</v>
      </c>
      <c r="L396">
        <v>6</v>
      </c>
      <c r="M396">
        <v>8</v>
      </c>
      <c r="N396">
        <v>8</v>
      </c>
      <c r="O396">
        <v>7</v>
      </c>
      <c r="P396">
        <v>7</v>
      </c>
      <c r="Q396">
        <v>7</v>
      </c>
      <c r="R396">
        <v>7</v>
      </c>
      <c r="S396">
        <v>60</v>
      </c>
      <c r="T396">
        <v>16.7</v>
      </c>
      <c r="U396">
        <v>43</v>
      </c>
      <c r="V396">
        <v>0</v>
      </c>
      <c r="W396">
        <v>0</v>
      </c>
      <c r="X396">
        <v>0</v>
      </c>
      <c r="Y396">
        <v>1</v>
      </c>
      <c r="Z396">
        <v>1</v>
      </c>
      <c r="AA396">
        <v>0</v>
      </c>
      <c r="AB396">
        <v>0</v>
      </c>
      <c r="AC396">
        <v>1</v>
      </c>
      <c r="AD396">
        <v>1</v>
      </c>
      <c r="AE396">
        <v>2</v>
      </c>
      <c r="AF396">
        <v>2</v>
      </c>
      <c r="AG396">
        <v>0</v>
      </c>
      <c r="AH396">
        <v>0</v>
      </c>
      <c r="AI396">
        <v>0</v>
      </c>
      <c r="AJ396">
        <v>2</v>
      </c>
      <c r="AK396">
        <v>0</v>
      </c>
      <c r="AL396">
        <v>2</v>
      </c>
      <c r="AM396">
        <v>1</v>
      </c>
      <c r="AN396">
        <v>1</v>
      </c>
      <c r="AO396">
        <v>10</v>
      </c>
      <c r="AY396">
        <f>SUM(Upload_Indiv[[#This Row],[Bird1]:[Bird9]])</f>
        <v>0</v>
      </c>
      <c r="BI396">
        <f>SUM(Upload_Indiv[[#This Row],[Eagle1]:[Eagle9]])</f>
        <v>0</v>
      </c>
    </row>
    <row r="397" spans="1:61" x14ac:dyDescent="0.25">
      <c r="A397" t="s">
        <v>507</v>
      </c>
      <c r="B397" t="s">
        <v>465</v>
      </c>
      <c r="C397" s="119">
        <v>45782</v>
      </c>
      <c r="D397" t="s">
        <v>16</v>
      </c>
      <c r="E397" t="s">
        <v>28</v>
      </c>
      <c r="F397" t="s">
        <v>406</v>
      </c>
      <c r="G397">
        <v>4</v>
      </c>
      <c r="H397" t="s">
        <v>484</v>
      </c>
      <c r="I397" t="s">
        <v>407</v>
      </c>
      <c r="J397">
        <v>7</v>
      </c>
      <c r="K397">
        <v>5</v>
      </c>
      <c r="L397">
        <v>5</v>
      </c>
      <c r="M397">
        <v>6</v>
      </c>
      <c r="N397">
        <v>6</v>
      </c>
      <c r="O397">
        <v>5</v>
      </c>
      <c r="P397">
        <v>4</v>
      </c>
      <c r="Q397">
        <v>7</v>
      </c>
      <c r="R397">
        <v>6</v>
      </c>
      <c r="S397">
        <v>51</v>
      </c>
      <c r="T397">
        <v>14.4</v>
      </c>
      <c r="U397">
        <v>37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1</v>
      </c>
      <c r="AI397">
        <v>1</v>
      </c>
      <c r="AJ397">
        <v>2</v>
      </c>
      <c r="AK397">
        <v>0</v>
      </c>
      <c r="AL397">
        <v>1</v>
      </c>
      <c r="AM397">
        <v>1</v>
      </c>
      <c r="AN397">
        <v>2</v>
      </c>
      <c r="AO397">
        <v>9</v>
      </c>
      <c r="AY397">
        <f>SUM(Upload_Indiv[[#This Row],[Bird1]:[Bird9]])</f>
        <v>0</v>
      </c>
      <c r="BI397">
        <f>SUM(Upload_Indiv[[#This Row],[Eagle1]:[Eagle9]])</f>
        <v>0</v>
      </c>
    </row>
    <row r="398" spans="1:61" x14ac:dyDescent="0.25">
      <c r="A398" t="s">
        <v>507</v>
      </c>
      <c r="B398" t="s">
        <v>465</v>
      </c>
      <c r="C398" s="119">
        <v>45782</v>
      </c>
      <c r="D398" t="s">
        <v>28</v>
      </c>
      <c r="E398" t="s">
        <v>16</v>
      </c>
      <c r="F398" t="s">
        <v>406</v>
      </c>
      <c r="G398">
        <v>1</v>
      </c>
      <c r="H398" t="s">
        <v>322</v>
      </c>
      <c r="I398" t="s">
        <v>407</v>
      </c>
      <c r="J398">
        <v>4</v>
      </c>
      <c r="K398">
        <v>3</v>
      </c>
      <c r="L398">
        <v>4</v>
      </c>
      <c r="M398">
        <v>5</v>
      </c>
      <c r="N398">
        <v>5</v>
      </c>
      <c r="O398">
        <v>5</v>
      </c>
      <c r="P398">
        <v>3</v>
      </c>
      <c r="Q398">
        <v>5</v>
      </c>
      <c r="R398">
        <v>6</v>
      </c>
      <c r="S398">
        <v>40</v>
      </c>
      <c r="T398">
        <v>0</v>
      </c>
      <c r="U398">
        <v>40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2</v>
      </c>
      <c r="AF398">
        <v>1</v>
      </c>
      <c r="AG398">
        <v>2</v>
      </c>
      <c r="AH398">
        <v>1</v>
      </c>
      <c r="AI398">
        <v>0</v>
      </c>
      <c r="AJ398">
        <v>1</v>
      </c>
      <c r="AK398">
        <v>2</v>
      </c>
      <c r="AL398">
        <v>0</v>
      </c>
      <c r="AM398">
        <v>0</v>
      </c>
      <c r="AN398">
        <v>0</v>
      </c>
      <c r="AO398">
        <v>0</v>
      </c>
      <c r="AY398">
        <f>SUM(Upload_Indiv[[#This Row],[Bird1]:[Bird9]])</f>
        <v>0</v>
      </c>
      <c r="BI398">
        <f>SUM(Upload_Indiv[[#This Row],[Eagle1]:[Eagle9]])</f>
        <v>0</v>
      </c>
    </row>
    <row r="399" spans="1:61" x14ac:dyDescent="0.25">
      <c r="A399" t="s">
        <v>507</v>
      </c>
      <c r="B399" t="s">
        <v>465</v>
      </c>
      <c r="C399" s="119">
        <v>45782</v>
      </c>
      <c r="D399" t="s">
        <v>28</v>
      </c>
      <c r="E399" t="s">
        <v>16</v>
      </c>
      <c r="F399" t="s">
        <v>406</v>
      </c>
      <c r="G399">
        <v>2</v>
      </c>
      <c r="H399" t="s">
        <v>102</v>
      </c>
      <c r="I399" t="s">
        <v>407</v>
      </c>
      <c r="J399">
        <v>5</v>
      </c>
      <c r="K399">
        <v>4</v>
      </c>
      <c r="L399">
        <v>5</v>
      </c>
      <c r="M399">
        <v>4</v>
      </c>
      <c r="N399">
        <v>5</v>
      </c>
      <c r="O399">
        <v>6</v>
      </c>
      <c r="P399">
        <v>5</v>
      </c>
      <c r="Q399">
        <v>8</v>
      </c>
      <c r="R399">
        <v>7</v>
      </c>
      <c r="S399">
        <v>49</v>
      </c>
      <c r="T399">
        <v>12.48</v>
      </c>
      <c r="U399">
        <v>37</v>
      </c>
      <c r="V399">
        <v>1</v>
      </c>
      <c r="W399">
        <v>1</v>
      </c>
      <c r="X399">
        <v>1</v>
      </c>
      <c r="Y399">
        <v>2</v>
      </c>
      <c r="Z399">
        <v>2</v>
      </c>
      <c r="AA399">
        <v>1</v>
      </c>
      <c r="AB399">
        <v>1</v>
      </c>
      <c r="AC399">
        <v>2</v>
      </c>
      <c r="AD399">
        <v>1</v>
      </c>
      <c r="AE399">
        <v>1</v>
      </c>
      <c r="AF399">
        <v>1</v>
      </c>
      <c r="AG399">
        <v>1</v>
      </c>
      <c r="AH399">
        <v>2</v>
      </c>
      <c r="AI399">
        <v>2</v>
      </c>
      <c r="AJ399">
        <v>1</v>
      </c>
      <c r="AK399">
        <v>0</v>
      </c>
      <c r="AL399">
        <v>0</v>
      </c>
      <c r="AM399">
        <v>1</v>
      </c>
      <c r="AN399">
        <v>2</v>
      </c>
      <c r="AO399">
        <v>11</v>
      </c>
      <c r="AY399">
        <f>SUM(Upload_Indiv[[#This Row],[Bird1]:[Bird9]])</f>
        <v>0</v>
      </c>
      <c r="BI399">
        <f>SUM(Upload_Indiv[[#This Row],[Eagle1]:[Eagle9]])</f>
        <v>0</v>
      </c>
    </row>
    <row r="400" spans="1:61" x14ac:dyDescent="0.25">
      <c r="A400" t="s">
        <v>507</v>
      </c>
      <c r="B400" t="s">
        <v>465</v>
      </c>
      <c r="C400" s="119">
        <v>45782</v>
      </c>
      <c r="D400" t="s">
        <v>28</v>
      </c>
      <c r="E400" t="s">
        <v>16</v>
      </c>
      <c r="F400" t="s">
        <v>406</v>
      </c>
      <c r="G400">
        <v>3</v>
      </c>
      <c r="H400" t="s">
        <v>320</v>
      </c>
      <c r="I400" t="s">
        <v>407</v>
      </c>
      <c r="J400">
        <v>7</v>
      </c>
      <c r="K400">
        <v>7</v>
      </c>
      <c r="L400">
        <v>5</v>
      </c>
      <c r="M400">
        <v>6</v>
      </c>
      <c r="N400">
        <v>6</v>
      </c>
      <c r="O400">
        <v>8</v>
      </c>
      <c r="P400">
        <v>4</v>
      </c>
      <c r="Q400">
        <v>7</v>
      </c>
      <c r="R400">
        <v>6</v>
      </c>
      <c r="S400">
        <v>56</v>
      </c>
      <c r="T400">
        <v>12.67</v>
      </c>
      <c r="U400">
        <v>43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2</v>
      </c>
      <c r="AH400">
        <v>2</v>
      </c>
      <c r="AI400">
        <v>2</v>
      </c>
      <c r="AJ400">
        <v>0</v>
      </c>
      <c r="AK400">
        <v>2</v>
      </c>
      <c r="AL400">
        <v>0</v>
      </c>
      <c r="AM400">
        <v>1</v>
      </c>
      <c r="AN400">
        <v>1</v>
      </c>
      <c r="AO400">
        <v>10</v>
      </c>
      <c r="AY400">
        <f>SUM(Upload_Indiv[[#This Row],[Bird1]:[Bird9]])</f>
        <v>0</v>
      </c>
      <c r="BI400">
        <f>SUM(Upload_Indiv[[#This Row],[Eagle1]:[Eagle9]])</f>
        <v>0</v>
      </c>
    </row>
    <row r="401" spans="1:61" x14ac:dyDescent="0.25">
      <c r="A401" t="s">
        <v>507</v>
      </c>
      <c r="B401" t="s">
        <v>465</v>
      </c>
      <c r="C401" s="119">
        <v>45782</v>
      </c>
      <c r="D401" t="s">
        <v>28</v>
      </c>
      <c r="E401" t="s">
        <v>16</v>
      </c>
      <c r="F401" t="s">
        <v>406</v>
      </c>
      <c r="G401">
        <v>4</v>
      </c>
      <c r="H401" t="s">
        <v>101</v>
      </c>
      <c r="I401" t="s">
        <v>407</v>
      </c>
      <c r="J401">
        <v>6</v>
      </c>
      <c r="K401">
        <v>4</v>
      </c>
      <c r="L401">
        <v>5</v>
      </c>
      <c r="M401">
        <v>7</v>
      </c>
      <c r="N401">
        <v>7</v>
      </c>
      <c r="O401">
        <v>10</v>
      </c>
      <c r="P401">
        <v>3</v>
      </c>
      <c r="Q401">
        <v>8</v>
      </c>
      <c r="R401">
        <v>6</v>
      </c>
      <c r="S401">
        <v>56</v>
      </c>
      <c r="T401">
        <v>17.28</v>
      </c>
      <c r="U401">
        <v>39</v>
      </c>
      <c r="V401">
        <v>0</v>
      </c>
      <c r="W401">
        <v>0</v>
      </c>
      <c r="X401">
        <v>0</v>
      </c>
      <c r="Y401">
        <v>1</v>
      </c>
      <c r="Z401">
        <v>1</v>
      </c>
      <c r="AA401">
        <v>0</v>
      </c>
      <c r="AB401">
        <v>0</v>
      </c>
      <c r="AC401">
        <v>1</v>
      </c>
      <c r="AD401">
        <v>0</v>
      </c>
      <c r="AE401">
        <v>2</v>
      </c>
      <c r="AF401">
        <v>2</v>
      </c>
      <c r="AG401">
        <v>1</v>
      </c>
      <c r="AH401">
        <v>1</v>
      </c>
      <c r="AI401">
        <v>1</v>
      </c>
      <c r="AJ401">
        <v>0</v>
      </c>
      <c r="AK401">
        <v>2</v>
      </c>
      <c r="AL401">
        <v>1</v>
      </c>
      <c r="AM401">
        <v>1</v>
      </c>
      <c r="AN401">
        <v>0</v>
      </c>
      <c r="AO401">
        <v>11</v>
      </c>
      <c r="AY401">
        <f>SUM(Upload_Indiv[[#This Row],[Bird1]:[Bird9]])</f>
        <v>0</v>
      </c>
      <c r="BI401">
        <f>SUM(Upload_Indiv[[#This Row],[Eagle1]:[Eagle9]])</f>
        <v>0</v>
      </c>
    </row>
    <row r="402" spans="1:61" x14ac:dyDescent="0.25">
      <c r="A402" t="s">
        <v>508</v>
      </c>
      <c r="B402" t="s">
        <v>466</v>
      </c>
      <c r="C402" s="119">
        <v>45789</v>
      </c>
      <c r="D402" t="s">
        <v>22</v>
      </c>
      <c r="E402" t="s">
        <v>24</v>
      </c>
      <c r="F402" t="s">
        <v>406</v>
      </c>
      <c r="G402">
        <v>1</v>
      </c>
      <c r="H402" t="s">
        <v>156</v>
      </c>
      <c r="I402" t="s">
        <v>407</v>
      </c>
      <c r="J402">
        <v>5</v>
      </c>
      <c r="K402">
        <v>4</v>
      </c>
      <c r="L402">
        <v>5</v>
      </c>
      <c r="M402">
        <v>4</v>
      </c>
      <c r="N402">
        <v>5</v>
      </c>
      <c r="O402">
        <v>5</v>
      </c>
      <c r="P402">
        <v>2</v>
      </c>
      <c r="Q402">
        <v>5</v>
      </c>
      <c r="R402">
        <v>6</v>
      </c>
      <c r="S402">
        <v>41</v>
      </c>
      <c r="T402">
        <v>4.6100000000000003</v>
      </c>
      <c r="U402">
        <v>36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1</v>
      </c>
      <c r="AF402">
        <v>2</v>
      </c>
      <c r="AG402">
        <v>2</v>
      </c>
      <c r="AH402">
        <v>1</v>
      </c>
      <c r="AI402">
        <v>0</v>
      </c>
      <c r="AJ402">
        <v>2</v>
      </c>
      <c r="AK402">
        <v>2</v>
      </c>
      <c r="AL402">
        <v>0</v>
      </c>
      <c r="AM402">
        <v>2</v>
      </c>
      <c r="AN402">
        <v>2</v>
      </c>
      <c r="AO402">
        <v>14</v>
      </c>
      <c r="AV402">
        <v>1</v>
      </c>
      <c r="AY402">
        <f>SUM(Upload_Indiv[[#This Row],[Bird1]:[Bird9]])</f>
        <v>1</v>
      </c>
      <c r="BI402">
        <f>SUM(Upload_Indiv[[#This Row],[Eagle1]:[Eagle9]])</f>
        <v>0</v>
      </c>
    </row>
    <row r="403" spans="1:61" x14ac:dyDescent="0.25">
      <c r="A403" t="s">
        <v>508</v>
      </c>
      <c r="B403" t="s">
        <v>466</v>
      </c>
      <c r="C403" s="119">
        <v>45789</v>
      </c>
      <c r="D403" t="s">
        <v>22</v>
      </c>
      <c r="E403" t="s">
        <v>24</v>
      </c>
      <c r="F403" t="s">
        <v>406</v>
      </c>
      <c r="G403">
        <v>2</v>
      </c>
      <c r="H403" t="s">
        <v>294</v>
      </c>
      <c r="I403" t="s">
        <v>407</v>
      </c>
      <c r="J403">
        <v>4</v>
      </c>
      <c r="K403">
        <v>3</v>
      </c>
      <c r="L403">
        <v>5</v>
      </c>
      <c r="M403">
        <v>5</v>
      </c>
      <c r="N403">
        <v>5</v>
      </c>
      <c r="O403">
        <v>6</v>
      </c>
      <c r="P403">
        <v>4</v>
      </c>
      <c r="Q403">
        <v>4</v>
      </c>
      <c r="R403">
        <v>5</v>
      </c>
      <c r="S403">
        <v>41</v>
      </c>
      <c r="T403">
        <v>4.6100000000000003</v>
      </c>
      <c r="U403">
        <v>36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2</v>
      </c>
      <c r="AG403">
        <v>1</v>
      </c>
      <c r="AH403">
        <v>0</v>
      </c>
      <c r="AI403">
        <v>0</v>
      </c>
      <c r="AJ403">
        <v>2</v>
      </c>
      <c r="AK403">
        <v>0</v>
      </c>
      <c r="AL403">
        <v>2</v>
      </c>
      <c r="AM403">
        <v>1</v>
      </c>
      <c r="AN403">
        <v>2</v>
      </c>
      <c r="AO403">
        <v>10</v>
      </c>
      <c r="AY403">
        <f>SUM(Upload_Indiv[[#This Row],[Bird1]:[Bird9]])</f>
        <v>0</v>
      </c>
      <c r="BI403">
        <f>SUM(Upload_Indiv[[#This Row],[Eagle1]:[Eagle9]])</f>
        <v>0</v>
      </c>
    </row>
    <row r="404" spans="1:61" x14ac:dyDescent="0.25">
      <c r="A404" t="s">
        <v>508</v>
      </c>
      <c r="B404" t="s">
        <v>466</v>
      </c>
      <c r="C404" s="119">
        <v>45789</v>
      </c>
      <c r="D404" t="s">
        <v>22</v>
      </c>
      <c r="E404" t="s">
        <v>24</v>
      </c>
      <c r="F404" t="s">
        <v>406</v>
      </c>
      <c r="G404">
        <v>3</v>
      </c>
      <c r="H404" t="s">
        <v>433</v>
      </c>
      <c r="I404" t="s">
        <v>407</v>
      </c>
      <c r="J404">
        <v>4</v>
      </c>
      <c r="K404">
        <v>3</v>
      </c>
      <c r="L404">
        <v>5</v>
      </c>
      <c r="M404">
        <v>3</v>
      </c>
      <c r="N404">
        <v>6</v>
      </c>
      <c r="O404">
        <v>6</v>
      </c>
      <c r="P404">
        <v>4</v>
      </c>
      <c r="Q404">
        <v>5</v>
      </c>
      <c r="R404">
        <v>8</v>
      </c>
      <c r="S404">
        <v>44</v>
      </c>
      <c r="T404">
        <v>7.68</v>
      </c>
      <c r="U404">
        <v>36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1</v>
      </c>
      <c r="AF404">
        <v>2</v>
      </c>
      <c r="AG404">
        <v>2</v>
      </c>
      <c r="AH404">
        <v>2</v>
      </c>
      <c r="AI404">
        <v>2</v>
      </c>
      <c r="AJ404">
        <v>1</v>
      </c>
      <c r="AK404">
        <v>0</v>
      </c>
      <c r="AL404">
        <v>2</v>
      </c>
      <c r="AM404">
        <v>0</v>
      </c>
      <c r="AN404">
        <v>2</v>
      </c>
      <c r="AO404">
        <v>14</v>
      </c>
      <c r="AS404">
        <v>1</v>
      </c>
      <c r="AY404">
        <f>SUM(Upload_Indiv[[#This Row],[Bird1]:[Bird9]])</f>
        <v>1</v>
      </c>
      <c r="BI404">
        <f>SUM(Upload_Indiv[[#This Row],[Eagle1]:[Eagle9]])</f>
        <v>0</v>
      </c>
    </row>
    <row r="405" spans="1:61" x14ac:dyDescent="0.25">
      <c r="A405" t="s">
        <v>508</v>
      </c>
      <c r="B405" t="s">
        <v>466</v>
      </c>
      <c r="C405" s="119">
        <v>45789</v>
      </c>
      <c r="D405" t="s">
        <v>22</v>
      </c>
      <c r="E405" t="s">
        <v>24</v>
      </c>
      <c r="F405" t="s">
        <v>406</v>
      </c>
      <c r="G405">
        <v>4</v>
      </c>
      <c r="H405" t="s">
        <v>148</v>
      </c>
      <c r="I405" t="s">
        <v>407</v>
      </c>
      <c r="J405">
        <v>4</v>
      </c>
      <c r="K405">
        <v>4</v>
      </c>
      <c r="L405">
        <v>7</v>
      </c>
      <c r="M405">
        <v>7</v>
      </c>
      <c r="N405">
        <v>5</v>
      </c>
      <c r="O405">
        <v>9</v>
      </c>
      <c r="P405">
        <v>4</v>
      </c>
      <c r="Q405">
        <v>6</v>
      </c>
      <c r="R405">
        <v>9</v>
      </c>
      <c r="S405">
        <v>55</v>
      </c>
      <c r="T405">
        <v>11.71</v>
      </c>
      <c r="U405">
        <v>43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2</v>
      </c>
      <c r="AF405">
        <v>1</v>
      </c>
      <c r="AG405">
        <v>0</v>
      </c>
      <c r="AH405">
        <v>0</v>
      </c>
      <c r="AI405">
        <v>0</v>
      </c>
      <c r="AJ405">
        <v>2</v>
      </c>
      <c r="AK405">
        <v>2</v>
      </c>
      <c r="AL405">
        <v>0</v>
      </c>
      <c r="AM405">
        <v>0</v>
      </c>
      <c r="AN405">
        <v>2</v>
      </c>
      <c r="AO405">
        <v>9</v>
      </c>
      <c r="AY405">
        <f>SUM(Upload_Indiv[[#This Row],[Bird1]:[Bird9]])</f>
        <v>0</v>
      </c>
      <c r="BI405">
        <f>SUM(Upload_Indiv[[#This Row],[Eagle1]:[Eagle9]])</f>
        <v>0</v>
      </c>
    </row>
    <row r="406" spans="1:61" x14ac:dyDescent="0.25">
      <c r="A406" t="s">
        <v>508</v>
      </c>
      <c r="B406" t="s">
        <v>466</v>
      </c>
      <c r="C406" s="119">
        <v>45789</v>
      </c>
      <c r="D406" t="s">
        <v>24</v>
      </c>
      <c r="E406" t="s">
        <v>22</v>
      </c>
      <c r="F406" t="s">
        <v>406</v>
      </c>
      <c r="G406">
        <v>1</v>
      </c>
      <c r="H406" t="s">
        <v>298</v>
      </c>
      <c r="I406" t="s">
        <v>407</v>
      </c>
      <c r="J406">
        <v>5</v>
      </c>
      <c r="K406">
        <v>5</v>
      </c>
      <c r="L406">
        <v>6</v>
      </c>
      <c r="M406">
        <v>5</v>
      </c>
      <c r="N406">
        <v>4</v>
      </c>
      <c r="O406">
        <v>6</v>
      </c>
      <c r="P406">
        <v>4</v>
      </c>
      <c r="Q406">
        <v>5</v>
      </c>
      <c r="R406">
        <v>7</v>
      </c>
      <c r="S406">
        <v>47</v>
      </c>
      <c r="T406">
        <v>7.1</v>
      </c>
      <c r="U406">
        <v>40</v>
      </c>
      <c r="V406">
        <v>0</v>
      </c>
      <c r="W406">
        <v>0</v>
      </c>
      <c r="X406">
        <v>0</v>
      </c>
      <c r="Y406">
        <v>1</v>
      </c>
      <c r="Z406">
        <v>0</v>
      </c>
      <c r="AA406">
        <v>0</v>
      </c>
      <c r="AB406">
        <v>0</v>
      </c>
      <c r="AC406">
        <v>1</v>
      </c>
      <c r="AD406">
        <v>0</v>
      </c>
      <c r="AE406">
        <v>1</v>
      </c>
      <c r="AF406">
        <v>0</v>
      </c>
      <c r="AG406">
        <v>0</v>
      </c>
      <c r="AH406">
        <v>1</v>
      </c>
      <c r="AI406">
        <v>2</v>
      </c>
      <c r="AJ406">
        <v>0</v>
      </c>
      <c r="AK406">
        <v>0</v>
      </c>
      <c r="AL406">
        <v>2</v>
      </c>
      <c r="AM406">
        <v>0</v>
      </c>
      <c r="AN406">
        <v>0</v>
      </c>
      <c r="AO406">
        <v>6</v>
      </c>
      <c r="AY406">
        <f>SUM(Upload_Indiv[[#This Row],[Bird1]:[Bird9]])</f>
        <v>0</v>
      </c>
      <c r="BI406">
        <f>SUM(Upload_Indiv[[#This Row],[Eagle1]:[Eagle9]])</f>
        <v>0</v>
      </c>
    </row>
    <row r="407" spans="1:61" x14ac:dyDescent="0.25">
      <c r="A407" t="s">
        <v>508</v>
      </c>
      <c r="B407" t="s">
        <v>466</v>
      </c>
      <c r="C407" s="119">
        <v>45789</v>
      </c>
      <c r="D407" t="s">
        <v>24</v>
      </c>
      <c r="E407" t="s">
        <v>22</v>
      </c>
      <c r="F407" t="s">
        <v>406</v>
      </c>
      <c r="G407">
        <v>2</v>
      </c>
      <c r="H407" t="s">
        <v>300</v>
      </c>
      <c r="I407" t="s">
        <v>407</v>
      </c>
      <c r="J407">
        <v>3</v>
      </c>
      <c r="K407">
        <v>5</v>
      </c>
      <c r="L407">
        <v>5</v>
      </c>
      <c r="M407">
        <v>5</v>
      </c>
      <c r="N407">
        <v>4</v>
      </c>
      <c r="O407">
        <v>10</v>
      </c>
      <c r="P407">
        <v>2</v>
      </c>
      <c r="Q407">
        <v>8</v>
      </c>
      <c r="R407">
        <v>6</v>
      </c>
      <c r="S407">
        <v>48</v>
      </c>
      <c r="T407">
        <v>9.02</v>
      </c>
      <c r="U407">
        <v>39</v>
      </c>
      <c r="V407">
        <v>0</v>
      </c>
      <c r="W407">
        <v>0</v>
      </c>
      <c r="X407">
        <v>0</v>
      </c>
      <c r="Y407">
        <v>1</v>
      </c>
      <c r="Z407">
        <v>1</v>
      </c>
      <c r="AA407">
        <v>0</v>
      </c>
      <c r="AB407">
        <v>0</v>
      </c>
      <c r="AC407">
        <v>1</v>
      </c>
      <c r="AD407">
        <v>1</v>
      </c>
      <c r="AE407">
        <v>2</v>
      </c>
      <c r="AF407">
        <v>0</v>
      </c>
      <c r="AG407">
        <v>1</v>
      </c>
      <c r="AH407">
        <v>2</v>
      </c>
      <c r="AI407">
        <v>2</v>
      </c>
      <c r="AJ407">
        <v>0</v>
      </c>
      <c r="AK407">
        <v>2</v>
      </c>
      <c r="AL407">
        <v>0</v>
      </c>
      <c r="AM407">
        <v>1</v>
      </c>
      <c r="AN407">
        <v>0</v>
      </c>
      <c r="AO407">
        <v>10</v>
      </c>
      <c r="AP407">
        <v>1</v>
      </c>
      <c r="AV407">
        <v>1</v>
      </c>
      <c r="AY407">
        <f>SUM(Upload_Indiv[[#This Row],[Bird1]:[Bird9]])</f>
        <v>2</v>
      </c>
      <c r="BI407">
        <f>SUM(Upload_Indiv[[#This Row],[Eagle1]:[Eagle9]])</f>
        <v>0</v>
      </c>
    </row>
    <row r="408" spans="1:61" x14ac:dyDescent="0.25">
      <c r="A408" t="s">
        <v>508</v>
      </c>
      <c r="B408" t="s">
        <v>466</v>
      </c>
      <c r="C408" s="119">
        <v>45789</v>
      </c>
      <c r="D408" t="s">
        <v>24</v>
      </c>
      <c r="E408" t="s">
        <v>22</v>
      </c>
      <c r="F408" t="s">
        <v>406</v>
      </c>
      <c r="G408">
        <v>3</v>
      </c>
      <c r="H408" t="s">
        <v>106</v>
      </c>
      <c r="I408" t="s">
        <v>407</v>
      </c>
      <c r="J408">
        <v>5</v>
      </c>
      <c r="K408">
        <v>7</v>
      </c>
      <c r="L408">
        <v>7</v>
      </c>
      <c r="M408">
        <v>8</v>
      </c>
      <c r="N408">
        <v>9</v>
      </c>
      <c r="O408">
        <v>7</v>
      </c>
      <c r="P408">
        <v>3</v>
      </c>
      <c r="Q408">
        <v>9</v>
      </c>
      <c r="R408">
        <v>8</v>
      </c>
      <c r="S408">
        <v>63</v>
      </c>
      <c r="T408">
        <v>14.4</v>
      </c>
      <c r="U408">
        <v>49</v>
      </c>
      <c r="V408">
        <v>1</v>
      </c>
      <c r="W408">
        <v>1</v>
      </c>
      <c r="X408">
        <v>0</v>
      </c>
      <c r="Y408">
        <v>1</v>
      </c>
      <c r="Z408">
        <v>1</v>
      </c>
      <c r="AA408">
        <v>1</v>
      </c>
      <c r="AB408">
        <v>0</v>
      </c>
      <c r="AC408">
        <v>1</v>
      </c>
      <c r="AD408">
        <v>1</v>
      </c>
      <c r="AE408">
        <v>1</v>
      </c>
      <c r="AF408">
        <v>0</v>
      </c>
      <c r="AG408">
        <v>0</v>
      </c>
      <c r="AH408">
        <v>0</v>
      </c>
      <c r="AI408">
        <v>0</v>
      </c>
      <c r="AJ408">
        <v>1</v>
      </c>
      <c r="AK408">
        <v>2</v>
      </c>
      <c r="AL408">
        <v>0</v>
      </c>
      <c r="AM408">
        <v>2</v>
      </c>
      <c r="AN408">
        <v>0</v>
      </c>
      <c r="AO408">
        <v>6</v>
      </c>
      <c r="AY408">
        <f>SUM(Upload_Indiv[[#This Row],[Bird1]:[Bird9]])</f>
        <v>0</v>
      </c>
      <c r="BI408">
        <f>SUM(Upload_Indiv[[#This Row],[Eagle1]:[Eagle9]])</f>
        <v>0</v>
      </c>
    </row>
    <row r="409" spans="1:61" x14ac:dyDescent="0.25">
      <c r="A409" t="s">
        <v>508</v>
      </c>
      <c r="B409" t="s">
        <v>466</v>
      </c>
      <c r="C409" s="119">
        <v>45789</v>
      </c>
      <c r="D409" t="s">
        <v>24</v>
      </c>
      <c r="E409" t="s">
        <v>22</v>
      </c>
      <c r="F409" t="s">
        <v>406</v>
      </c>
      <c r="G409">
        <v>4</v>
      </c>
      <c r="H409" t="s">
        <v>425</v>
      </c>
      <c r="I409" t="s">
        <v>407</v>
      </c>
      <c r="J409">
        <v>9</v>
      </c>
      <c r="K409">
        <v>4</v>
      </c>
      <c r="L409">
        <v>6</v>
      </c>
      <c r="M409">
        <v>6</v>
      </c>
      <c r="N409">
        <v>5</v>
      </c>
      <c r="O409">
        <v>10</v>
      </c>
      <c r="P409">
        <v>5</v>
      </c>
      <c r="Q409">
        <v>6</v>
      </c>
      <c r="R409">
        <v>9</v>
      </c>
      <c r="S409">
        <v>60</v>
      </c>
      <c r="T409">
        <v>15.84</v>
      </c>
      <c r="U409">
        <v>44</v>
      </c>
      <c r="V409">
        <v>0</v>
      </c>
      <c r="W409">
        <v>0</v>
      </c>
      <c r="X409">
        <v>0</v>
      </c>
      <c r="Y409">
        <v>1</v>
      </c>
      <c r="Z409">
        <v>1</v>
      </c>
      <c r="AA409">
        <v>0</v>
      </c>
      <c r="AB409">
        <v>0</v>
      </c>
      <c r="AC409">
        <v>1</v>
      </c>
      <c r="AD409">
        <v>1</v>
      </c>
      <c r="AE409">
        <v>0</v>
      </c>
      <c r="AF409">
        <v>1</v>
      </c>
      <c r="AG409">
        <v>2</v>
      </c>
      <c r="AH409">
        <v>2</v>
      </c>
      <c r="AI409">
        <v>2</v>
      </c>
      <c r="AJ409">
        <v>0</v>
      </c>
      <c r="AK409">
        <v>0</v>
      </c>
      <c r="AL409">
        <v>2</v>
      </c>
      <c r="AM409">
        <v>2</v>
      </c>
      <c r="AN409">
        <v>0</v>
      </c>
      <c r="AO409">
        <v>11</v>
      </c>
      <c r="AY409">
        <f>SUM(Upload_Indiv[[#This Row],[Bird1]:[Bird9]])</f>
        <v>0</v>
      </c>
      <c r="BI409">
        <f>SUM(Upload_Indiv[[#This Row],[Eagle1]:[Eagle9]])</f>
        <v>0</v>
      </c>
    </row>
    <row r="410" spans="1:61" x14ac:dyDescent="0.25">
      <c r="A410" t="s">
        <v>509</v>
      </c>
      <c r="B410" t="s">
        <v>466</v>
      </c>
      <c r="C410" s="119">
        <v>45789</v>
      </c>
      <c r="D410" t="s">
        <v>26</v>
      </c>
      <c r="E410" t="s">
        <v>20</v>
      </c>
      <c r="F410" t="s">
        <v>408</v>
      </c>
      <c r="G410">
        <v>1</v>
      </c>
      <c r="H410" t="s">
        <v>146</v>
      </c>
      <c r="I410" t="s">
        <v>407</v>
      </c>
      <c r="J410">
        <v>3</v>
      </c>
      <c r="K410">
        <v>6</v>
      </c>
      <c r="L410">
        <v>4</v>
      </c>
      <c r="M410">
        <v>5</v>
      </c>
      <c r="N410">
        <v>6</v>
      </c>
      <c r="O410">
        <v>3</v>
      </c>
      <c r="P410">
        <v>6</v>
      </c>
      <c r="Q410">
        <v>3</v>
      </c>
      <c r="R410">
        <v>4</v>
      </c>
      <c r="S410">
        <v>40</v>
      </c>
      <c r="T410">
        <v>3.46</v>
      </c>
      <c r="U410">
        <v>37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1</v>
      </c>
      <c r="AF410">
        <v>0</v>
      </c>
      <c r="AG410">
        <v>2</v>
      </c>
      <c r="AH410">
        <v>0</v>
      </c>
      <c r="AI410">
        <v>1</v>
      </c>
      <c r="AJ410">
        <v>2</v>
      </c>
      <c r="AK410">
        <v>0</v>
      </c>
      <c r="AL410">
        <v>1</v>
      </c>
      <c r="AM410">
        <v>2</v>
      </c>
      <c r="AN410">
        <v>1</v>
      </c>
      <c r="AO410">
        <v>10</v>
      </c>
      <c r="AP410">
        <v>1</v>
      </c>
      <c r="AU410">
        <v>1</v>
      </c>
      <c r="AY410">
        <f>SUM(Upload_Indiv[[#This Row],[Bird1]:[Bird9]])</f>
        <v>2</v>
      </c>
      <c r="BI410">
        <f>SUM(Upload_Indiv[[#This Row],[Eagle1]:[Eagle9]])</f>
        <v>0</v>
      </c>
    </row>
    <row r="411" spans="1:61" x14ac:dyDescent="0.25">
      <c r="A411" t="s">
        <v>509</v>
      </c>
      <c r="B411" t="s">
        <v>466</v>
      </c>
      <c r="C411" s="119">
        <v>45789</v>
      </c>
      <c r="D411" t="s">
        <v>26</v>
      </c>
      <c r="E411" t="s">
        <v>20</v>
      </c>
      <c r="F411" t="s">
        <v>408</v>
      </c>
      <c r="G411">
        <v>2</v>
      </c>
      <c r="H411" t="s">
        <v>311</v>
      </c>
      <c r="I411" t="s">
        <v>407</v>
      </c>
      <c r="J411">
        <v>5</v>
      </c>
      <c r="K411">
        <v>5</v>
      </c>
      <c r="L411">
        <v>6</v>
      </c>
      <c r="M411">
        <v>4</v>
      </c>
      <c r="N411">
        <v>5</v>
      </c>
      <c r="O411">
        <v>4</v>
      </c>
      <c r="P411">
        <v>6</v>
      </c>
      <c r="Q411">
        <v>2</v>
      </c>
      <c r="R411">
        <v>5</v>
      </c>
      <c r="S411">
        <v>42</v>
      </c>
      <c r="T411">
        <v>4.42</v>
      </c>
      <c r="U411">
        <v>38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1</v>
      </c>
      <c r="AF411">
        <v>1</v>
      </c>
      <c r="AG411">
        <v>0</v>
      </c>
      <c r="AH411">
        <v>2</v>
      </c>
      <c r="AI411">
        <v>2</v>
      </c>
      <c r="AJ411">
        <v>2</v>
      </c>
      <c r="AK411">
        <v>2</v>
      </c>
      <c r="AL411">
        <v>2</v>
      </c>
      <c r="AM411">
        <v>1</v>
      </c>
      <c r="AN411">
        <v>2</v>
      </c>
      <c r="AO411">
        <v>15</v>
      </c>
      <c r="AW411">
        <v>1</v>
      </c>
      <c r="AY411">
        <f>SUM(Upload_Indiv[[#This Row],[Bird1]:[Bird9]])</f>
        <v>1</v>
      </c>
      <c r="BI411">
        <f>SUM(Upload_Indiv[[#This Row],[Eagle1]:[Eagle9]])</f>
        <v>0</v>
      </c>
    </row>
    <row r="412" spans="1:61" x14ac:dyDescent="0.25">
      <c r="A412" t="s">
        <v>509</v>
      </c>
      <c r="B412" t="s">
        <v>466</v>
      </c>
      <c r="C412" s="119">
        <v>45789</v>
      </c>
      <c r="D412" t="s">
        <v>26</v>
      </c>
      <c r="E412" t="s">
        <v>20</v>
      </c>
      <c r="F412" t="s">
        <v>408</v>
      </c>
      <c r="G412">
        <v>3</v>
      </c>
      <c r="H412" t="s">
        <v>309</v>
      </c>
      <c r="I412" t="s">
        <v>407</v>
      </c>
      <c r="J412">
        <v>6</v>
      </c>
      <c r="K412">
        <v>8</v>
      </c>
      <c r="L412">
        <v>6</v>
      </c>
      <c r="M412">
        <v>5</v>
      </c>
      <c r="N412">
        <v>6</v>
      </c>
      <c r="O412">
        <v>4</v>
      </c>
      <c r="P412">
        <v>10</v>
      </c>
      <c r="Q412">
        <v>5</v>
      </c>
      <c r="R412">
        <v>6</v>
      </c>
      <c r="S412">
        <v>56</v>
      </c>
      <c r="T412">
        <v>14.59</v>
      </c>
      <c r="U412">
        <v>41</v>
      </c>
      <c r="V412">
        <v>1</v>
      </c>
      <c r="W412">
        <v>0</v>
      </c>
      <c r="X412">
        <v>1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0</v>
      </c>
      <c r="AG412">
        <v>2</v>
      </c>
      <c r="AH412">
        <v>0</v>
      </c>
      <c r="AI412">
        <v>0</v>
      </c>
      <c r="AJ412">
        <v>2</v>
      </c>
      <c r="AK412">
        <v>0</v>
      </c>
      <c r="AL412">
        <v>1</v>
      </c>
      <c r="AM412">
        <v>0</v>
      </c>
      <c r="AN412">
        <v>0</v>
      </c>
      <c r="AO412">
        <v>6</v>
      </c>
      <c r="AY412">
        <f>SUM(Upload_Indiv[[#This Row],[Bird1]:[Bird9]])</f>
        <v>0</v>
      </c>
      <c r="BI412">
        <f>SUM(Upload_Indiv[[#This Row],[Eagle1]:[Eagle9]])</f>
        <v>0</v>
      </c>
    </row>
    <row r="413" spans="1:61" x14ac:dyDescent="0.25">
      <c r="A413" t="s">
        <v>509</v>
      </c>
      <c r="B413" t="s">
        <v>466</v>
      </c>
      <c r="C413" s="119">
        <v>45789</v>
      </c>
      <c r="D413" t="s">
        <v>26</v>
      </c>
      <c r="E413" t="s">
        <v>20</v>
      </c>
      <c r="F413" t="s">
        <v>408</v>
      </c>
      <c r="G413">
        <v>4</v>
      </c>
      <c r="H413" t="s">
        <v>165</v>
      </c>
      <c r="I413" t="s">
        <v>407</v>
      </c>
      <c r="J413">
        <v>7</v>
      </c>
      <c r="K413">
        <v>9</v>
      </c>
      <c r="L413">
        <v>5</v>
      </c>
      <c r="M413">
        <v>4</v>
      </c>
      <c r="N413">
        <v>8</v>
      </c>
      <c r="O413">
        <v>6</v>
      </c>
      <c r="P413">
        <v>8</v>
      </c>
      <c r="Q413">
        <v>7</v>
      </c>
      <c r="R413">
        <v>5</v>
      </c>
      <c r="S413">
        <v>59</v>
      </c>
      <c r="T413">
        <v>17.920000000000002</v>
      </c>
      <c r="U413">
        <v>41</v>
      </c>
      <c r="V413">
        <v>1</v>
      </c>
      <c r="W413">
        <v>0</v>
      </c>
      <c r="X413">
        <v>1</v>
      </c>
      <c r="Y413">
        <v>0</v>
      </c>
      <c r="Z413">
        <v>0</v>
      </c>
      <c r="AA413">
        <v>1</v>
      </c>
      <c r="AB413">
        <v>1</v>
      </c>
      <c r="AC413">
        <v>0</v>
      </c>
      <c r="AD413">
        <v>1</v>
      </c>
      <c r="AE413">
        <v>0</v>
      </c>
      <c r="AF413">
        <v>0</v>
      </c>
      <c r="AG413">
        <v>2</v>
      </c>
      <c r="AH413">
        <v>1</v>
      </c>
      <c r="AI413">
        <v>1</v>
      </c>
      <c r="AJ413">
        <v>1</v>
      </c>
      <c r="AK413">
        <v>2</v>
      </c>
      <c r="AL413">
        <v>0</v>
      </c>
      <c r="AM413">
        <v>2</v>
      </c>
      <c r="AN413">
        <v>2</v>
      </c>
      <c r="AO413">
        <v>11</v>
      </c>
      <c r="AY413">
        <f>SUM(Upload_Indiv[[#This Row],[Bird1]:[Bird9]])</f>
        <v>0</v>
      </c>
      <c r="BI413">
        <f>SUM(Upload_Indiv[[#This Row],[Eagle1]:[Eagle9]])</f>
        <v>0</v>
      </c>
    </row>
    <row r="414" spans="1:61" x14ac:dyDescent="0.25">
      <c r="A414" t="s">
        <v>509</v>
      </c>
      <c r="B414" t="s">
        <v>466</v>
      </c>
      <c r="C414" s="119">
        <v>45789</v>
      </c>
      <c r="D414" t="s">
        <v>20</v>
      </c>
      <c r="E414" t="s">
        <v>26</v>
      </c>
      <c r="F414" t="s">
        <v>408</v>
      </c>
      <c r="G414">
        <v>1</v>
      </c>
      <c r="H414" t="s">
        <v>153</v>
      </c>
      <c r="I414" t="s">
        <v>407</v>
      </c>
      <c r="J414">
        <v>4</v>
      </c>
      <c r="K414">
        <v>5</v>
      </c>
      <c r="L414">
        <v>6</v>
      </c>
      <c r="M414">
        <v>4</v>
      </c>
      <c r="N414">
        <v>6</v>
      </c>
      <c r="O414">
        <v>5</v>
      </c>
      <c r="P414">
        <v>5</v>
      </c>
      <c r="Q414">
        <v>3</v>
      </c>
      <c r="R414">
        <v>5</v>
      </c>
      <c r="S414">
        <v>43</v>
      </c>
      <c r="T414">
        <v>5.57</v>
      </c>
      <c r="U414">
        <v>37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1</v>
      </c>
      <c r="AB414">
        <v>0</v>
      </c>
      <c r="AC414">
        <v>0</v>
      </c>
      <c r="AD414">
        <v>0</v>
      </c>
      <c r="AE414">
        <v>1</v>
      </c>
      <c r="AF414">
        <v>2</v>
      </c>
      <c r="AG414">
        <v>0</v>
      </c>
      <c r="AH414">
        <v>2</v>
      </c>
      <c r="AI414">
        <v>1</v>
      </c>
      <c r="AJ414">
        <v>0</v>
      </c>
      <c r="AK414">
        <v>2</v>
      </c>
      <c r="AL414">
        <v>1</v>
      </c>
      <c r="AM414">
        <v>0</v>
      </c>
      <c r="AN414">
        <v>1</v>
      </c>
      <c r="AO414">
        <v>10</v>
      </c>
      <c r="AY414">
        <f>SUM(Upload_Indiv[[#This Row],[Bird1]:[Bird9]])</f>
        <v>0</v>
      </c>
      <c r="BI414">
        <f>SUM(Upload_Indiv[[#This Row],[Eagle1]:[Eagle9]])</f>
        <v>0</v>
      </c>
    </row>
    <row r="415" spans="1:61" x14ac:dyDescent="0.25">
      <c r="A415" t="s">
        <v>509</v>
      </c>
      <c r="B415" t="s">
        <v>466</v>
      </c>
      <c r="C415" s="119">
        <v>45789</v>
      </c>
      <c r="D415" t="s">
        <v>20</v>
      </c>
      <c r="E415" t="s">
        <v>26</v>
      </c>
      <c r="F415" t="s">
        <v>408</v>
      </c>
      <c r="G415">
        <v>2</v>
      </c>
      <c r="H415" t="s">
        <v>283</v>
      </c>
      <c r="I415" t="s">
        <v>407</v>
      </c>
      <c r="J415">
        <v>6</v>
      </c>
      <c r="K415">
        <v>5</v>
      </c>
      <c r="L415">
        <v>5</v>
      </c>
      <c r="M415">
        <v>5</v>
      </c>
      <c r="N415">
        <v>6</v>
      </c>
      <c r="O415">
        <v>6</v>
      </c>
      <c r="P415">
        <v>10</v>
      </c>
      <c r="Q415">
        <v>5</v>
      </c>
      <c r="R415">
        <v>5</v>
      </c>
      <c r="S415">
        <v>53</v>
      </c>
      <c r="T415">
        <v>6.53</v>
      </c>
      <c r="U415">
        <v>46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0</v>
      </c>
      <c r="AC415">
        <v>0</v>
      </c>
      <c r="AD415">
        <v>0</v>
      </c>
      <c r="AE415">
        <v>1</v>
      </c>
      <c r="AF415">
        <v>1</v>
      </c>
      <c r="AG415">
        <v>2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1</v>
      </c>
      <c r="AN415">
        <v>0</v>
      </c>
      <c r="AO415">
        <v>5</v>
      </c>
      <c r="AY415">
        <f>SUM(Upload_Indiv[[#This Row],[Bird1]:[Bird9]])</f>
        <v>0</v>
      </c>
      <c r="BI415">
        <f>SUM(Upload_Indiv[[#This Row],[Eagle1]:[Eagle9]])</f>
        <v>0</v>
      </c>
    </row>
    <row r="416" spans="1:61" x14ac:dyDescent="0.25">
      <c r="A416" t="s">
        <v>509</v>
      </c>
      <c r="B416" t="s">
        <v>466</v>
      </c>
      <c r="C416" s="119">
        <v>45789</v>
      </c>
      <c r="D416" t="s">
        <v>20</v>
      </c>
      <c r="E416" t="s">
        <v>26</v>
      </c>
      <c r="F416" t="s">
        <v>408</v>
      </c>
      <c r="G416">
        <v>3</v>
      </c>
      <c r="H416" t="s">
        <v>163</v>
      </c>
      <c r="I416" t="s">
        <v>407</v>
      </c>
      <c r="J416">
        <v>5</v>
      </c>
      <c r="K416">
        <v>7</v>
      </c>
      <c r="L416">
        <v>7</v>
      </c>
      <c r="M416">
        <v>4</v>
      </c>
      <c r="N416">
        <v>4</v>
      </c>
      <c r="O416">
        <v>6</v>
      </c>
      <c r="P416">
        <v>5</v>
      </c>
      <c r="Q416">
        <v>4</v>
      </c>
      <c r="R416">
        <v>4</v>
      </c>
      <c r="S416">
        <v>46</v>
      </c>
      <c r="T416">
        <v>8.26</v>
      </c>
      <c r="U416">
        <v>38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1</v>
      </c>
      <c r="AF416">
        <v>2</v>
      </c>
      <c r="AG416">
        <v>0</v>
      </c>
      <c r="AH416">
        <v>2</v>
      </c>
      <c r="AI416">
        <v>2</v>
      </c>
      <c r="AJ416">
        <v>0</v>
      </c>
      <c r="AK416">
        <v>2</v>
      </c>
      <c r="AL416">
        <v>1</v>
      </c>
      <c r="AM416">
        <v>2</v>
      </c>
      <c r="AN416">
        <v>2</v>
      </c>
      <c r="AO416">
        <v>14</v>
      </c>
      <c r="AY416">
        <f>SUM(Upload_Indiv[[#This Row],[Bird1]:[Bird9]])</f>
        <v>0</v>
      </c>
      <c r="BI416">
        <f>SUM(Upload_Indiv[[#This Row],[Eagle1]:[Eagle9]])</f>
        <v>0</v>
      </c>
    </row>
    <row r="417" spans="1:61" x14ac:dyDescent="0.25">
      <c r="A417" t="s">
        <v>509</v>
      </c>
      <c r="B417" t="s">
        <v>466</v>
      </c>
      <c r="C417" s="119">
        <v>45789</v>
      </c>
      <c r="D417" t="s">
        <v>20</v>
      </c>
      <c r="E417" t="s">
        <v>26</v>
      </c>
      <c r="F417" t="s">
        <v>408</v>
      </c>
      <c r="G417">
        <v>4</v>
      </c>
      <c r="H417" t="s">
        <v>224</v>
      </c>
      <c r="I417" t="s">
        <v>407</v>
      </c>
      <c r="J417">
        <v>5</v>
      </c>
      <c r="K417">
        <v>8</v>
      </c>
      <c r="L417">
        <v>7</v>
      </c>
      <c r="M417">
        <v>4</v>
      </c>
      <c r="N417">
        <v>8</v>
      </c>
      <c r="O417">
        <v>5</v>
      </c>
      <c r="P417">
        <v>8</v>
      </c>
      <c r="Q417">
        <v>4</v>
      </c>
      <c r="R417">
        <v>6</v>
      </c>
      <c r="S417">
        <v>55</v>
      </c>
      <c r="T417">
        <v>12.96</v>
      </c>
      <c r="U417">
        <v>42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</v>
      </c>
      <c r="AF417">
        <v>2</v>
      </c>
      <c r="AG417">
        <v>0</v>
      </c>
      <c r="AH417">
        <v>1</v>
      </c>
      <c r="AI417">
        <v>1</v>
      </c>
      <c r="AJ417">
        <v>1</v>
      </c>
      <c r="AK417">
        <v>0</v>
      </c>
      <c r="AL417">
        <v>2</v>
      </c>
      <c r="AM417">
        <v>0</v>
      </c>
      <c r="AN417">
        <v>0</v>
      </c>
      <c r="AO417">
        <v>9</v>
      </c>
      <c r="AY417">
        <f>SUM(Upload_Indiv[[#This Row],[Bird1]:[Bird9]])</f>
        <v>0</v>
      </c>
      <c r="BI417">
        <f>SUM(Upload_Indiv[[#This Row],[Eagle1]:[Eagle9]])</f>
        <v>0</v>
      </c>
    </row>
    <row r="418" spans="1:61" x14ac:dyDescent="0.25">
      <c r="A418" t="s">
        <v>510</v>
      </c>
      <c r="B418" t="s">
        <v>466</v>
      </c>
      <c r="C418" s="119">
        <v>45789</v>
      </c>
      <c r="D418" t="s">
        <v>16</v>
      </c>
      <c r="E418" t="s">
        <v>30</v>
      </c>
      <c r="F418" t="s">
        <v>408</v>
      </c>
      <c r="G418">
        <v>1</v>
      </c>
      <c r="H418" t="s">
        <v>262</v>
      </c>
      <c r="I418" t="s">
        <v>407</v>
      </c>
      <c r="J418">
        <v>6</v>
      </c>
      <c r="K418">
        <v>8</v>
      </c>
      <c r="L418">
        <v>7</v>
      </c>
      <c r="M418">
        <v>3</v>
      </c>
      <c r="N418">
        <v>5</v>
      </c>
      <c r="O418">
        <v>6</v>
      </c>
      <c r="P418">
        <v>8</v>
      </c>
      <c r="Q418">
        <v>4</v>
      </c>
      <c r="R418">
        <v>4</v>
      </c>
      <c r="S418">
        <v>51</v>
      </c>
      <c r="T418">
        <v>10.37</v>
      </c>
      <c r="U418">
        <v>41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2</v>
      </c>
      <c r="AB418">
        <v>1</v>
      </c>
      <c r="AC418">
        <v>1</v>
      </c>
      <c r="AD418">
        <v>1</v>
      </c>
      <c r="AE418">
        <v>1</v>
      </c>
      <c r="AF418">
        <v>0</v>
      </c>
      <c r="AG418">
        <v>0</v>
      </c>
      <c r="AH418">
        <v>2</v>
      </c>
      <c r="AI418">
        <v>1</v>
      </c>
      <c r="AJ418">
        <v>2</v>
      </c>
      <c r="AK418">
        <v>0</v>
      </c>
      <c r="AL418">
        <v>1</v>
      </c>
      <c r="AM418">
        <v>2</v>
      </c>
      <c r="AN418">
        <v>0</v>
      </c>
      <c r="AO418">
        <v>9</v>
      </c>
      <c r="AY418">
        <f>SUM(Upload_Indiv[[#This Row],[Bird1]:[Bird9]])</f>
        <v>0</v>
      </c>
      <c r="BI418">
        <f>SUM(Upload_Indiv[[#This Row],[Eagle1]:[Eagle9]])</f>
        <v>0</v>
      </c>
    </row>
    <row r="419" spans="1:61" x14ac:dyDescent="0.25">
      <c r="A419" t="s">
        <v>510</v>
      </c>
      <c r="B419" t="s">
        <v>466</v>
      </c>
      <c r="C419" s="119">
        <v>45789</v>
      </c>
      <c r="D419" t="s">
        <v>16</v>
      </c>
      <c r="E419" t="s">
        <v>30</v>
      </c>
      <c r="F419" t="s">
        <v>408</v>
      </c>
      <c r="G419">
        <v>2</v>
      </c>
      <c r="H419" t="s">
        <v>102</v>
      </c>
      <c r="I419" t="s">
        <v>407</v>
      </c>
      <c r="J419">
        <v>6</v>
      </c>
      <c r="K419">
        <v>6</v>
      </c>
      <c r="L419">
        <v>5</v>
      </c>
      <c r="M419">
        <v>5</v>
      </c>
      <c r="N419">
        <v>8</v>
      </c>
      <c r="O419">
        <v>7</v>
      </c>
      <c r="P419">
        <v>8</v>
      </c>
      <c r="Q419">
        <v>5</v>
      </c>
      <c r="R419">
        <v>7</v>
      </c>
      <c r="S419">
        <v>57</v>
      </c>
      <c r="T419">
        <v>11.9</v>
      </c>
      <c r="U419">
        <v>45</v>
      </c>
      <c r="V419">
        <v>2</v>
      </c>
      <c r="W419">
        <v>1</v>
      </c>
      <c r="X419">
        <v>2</v>
      </c>
      <c r="Y419">
        <v>1</v>
      </c>
      <c r="Z419">
        <v>1</v>
      </c>
      <c r="AA419">
        <v>2</v>
      </c>
      <c r="AB419">
        <v>1</v>
      </c>
      <c r="AC419">
        <v>1</v>
      </c>
      <c r="AD419">
        <v>1</v>
      </c>
      <c r="AE419">
        <v>2</v>
      </c>
      <c r="AF419">
        <v>1</v>
      </c>
      <c r="AG419">
        <v>2</v>
      </c>
      <c r="AH419">
        <v>0</v>
      </c>
      <c r="AI419">
        <v>0</v>
      </c>
      <c r="AJ419">
        <v>1</v>
      </c>
      <c r="AK419">
        <v>0</v>
      </c>
      <c r="AL419">
        <v>0</v>
      </c>
      <c r="AM419">
        <v>0</v>
      </c>
      <c r="AN419">
        <v>0</v>
      </c>
      <c r="AO419">
        <v>6</v>
      </c>
      <c r="AY419">
        <f>SUM(Upload_Indiv[[#This Row],[Bird1]:[Bird9]])</f>
        <v>0</v>
      </c>
      <c r="BI419">
        <f>SUM(Upload_Indiv[[#This Row],[Eagle1]:[Eagle9]])</f>
        <v>0</v>
      </c>
    </row>
    <row r="420" spans="1:61" x14ac:dyDescent="0.25">
      <c r="A420" t="s">
        <v>510</v>
      </c>
      <c r="B420" t="s">
        <v>466</v>
      </c>
      <c r="C420" s="119">
        <v>45789</v>
      </c>
      <c r="D420" t="s">
        <v>16</v>
      </c>
      <c r="E420" t="s">
        <v>30</v>
      </c>
      <c r="F420" t="s">
        <v>408</v>
      </c>
      <c r="G420">
        <v>3</v>
      </c>
      <c r="H420" t="s">
        <v>484</v>
      </c>
      <c r="I420" t="s">
        <v>407</v>
      </c>
      <c r="J420">
        <v>6</v>
      </c>
      <c r="K420">
        <v>8</v>
      </c>
      <c r="L420">
        <v>5</v>
      </c>
      <c r="M420">
        <v>4</v>
      </c>
      <c r="N420">
        <v>6</v>
      </c>
      <c r="O420">
        <v>6</v>
      </c>
      <c r="P420">
        <v>10</v>
      </c>
      <c r="Q420">
        <v>4</v>
      </c>
      <c r="R420">
        <v>6</v>
      </c>
      <c r="S420">
        <v>55</v>
      </c>
      <c r="T420">
        <v>14.4</v>
      </c>
      <c r="U420">
        <v>41</v>
      </c>
      <c r="V420">
        <v>2</v>
      </c>
      <c r="W420">
        <v>1</v>
      </c>
      <c r="X420">
        <v>2</v>
      </c>
      <c r="Y420">
        <v>1</v>
      </c>
      <c r="Z420">
        <v>1</v>
      </c>
      <c r="AA420">
        <v>2</v>
      </c>
      <c r="AB420">
        <v>2</v>
      </c>
      <c r="AC420">
        <v>1</v>
      </c>
      <c r="AD420">
        <v>2</v>
      </c>
      <c r="AE420">
        <v>2</v>
      </c>
      <c r="AF420">
        <v>0</v>
      </c>
      <c r="AG420">
        <v>2</v>
      </c>
      <c r="AH420">
        <v>1</v>
      </c>
      <c r="AI420">
        <v>0</v>
      </c>
      <c r="AJ420">
        <v>2</v>
      </c>
      <c r="AK420">
        <v>0</v>
      </c>
      <c r="AL420">
        <v>1</v>
      </c>
      <c r="AM420">
        <v>1</v>
      </c>
      <c r="AN420">
        <v>0</v>
      </c>
      <c r="AO420">
        <v>9</v>
      </c>
      <c r="AY420">
        <f>SUM(Upload_Indiv[[#This Row],[Bird1]:[Bird9]])</f>
        <v>0</v>
      </c>
      <c r="BI420">
        <f>SUM(Upload_Indiv[[#This Row],[Eagle1]:[Eagle9]])</f>
        <v>0</v>
      </c>
    </row>
    <row r="421" spans="1:61" x14ac:dyDescent="0.25">
      <c r="A421" t="s">
        <v>510</v>
      </c>
      <c r="B421" t="s">
        <v>466</v>
      </c>
      <c r="C421" s="119">
        <v>45789</v>
      </c>
      <c r="D421" t="s">
        <v>16</v>
      </c>
      <c r="E421" t="s">
        <v>30</v>
      </c>
      <c r="F421" t="s">
        <v>408</v>
      </c>
      <c r="G421">
        <v>4</v>
      </c>
      <c r="H421" t="s">
        <v>265</v>
      </c>
      <c r="I421" t="s">
        <v>407</v>
      </c>
      <c r="J421">
        <v>6</v>
      </c>
      <c r="K421">
        <v>7</v>
      </c>
      <c r="L421">
        <v>6</v>
      </c>
      <c r="M421">
        <v>6</v>
      </c>
      <c r="N421">
        <v>6</v>
      </c>
      <c r="O421">
        <v>6</v>
      </c>
      <c r="P421">
        <v>7</v>
      </c>
      <c r="Q421">
        <v>5</v>
      </c>
      <c r="R421">
        <v>9</v>
      </c>
      <c r="S421">
        <v>58</v>
      </c>
      <c r="T421">
        <v>16.7</v>
      </c>
      <c r="U421">
        <v>41</v>
      </c>
      <c r="V421">
        <v>2</v>
      </c>
      <c r="W421">
        <v>2</v>
      </c>
      <c r="X421">
        <v>2</v>
      </c>
      <c r="Y421">
        <v>2</v>
      </c>
      <c r="Z421">
        <v>1</v>
      </c>
      <c r="AA421">
        <v>2</v>
      </c>
      <c r="AB421">
        <v>2</v>
      </c>
      <c r="AC421">
        <v>2</v>
      </c>
      <c r="AD421">
        <v>2</v>
      </c>
      <c r="AE421">
        <v>2</v>
      </c>
      <c r="AF421">
        <v>1</v>
      </c>
      <c r="AG421">
        <v>1</v>
      </c>
      <c r="AH421">
        <v>0</v>
      </c>
      <c r="AI421">
        <v>0</v>
      </c>
      <c r="AJ421">
        <v>2</v>
      </c>
      <c r="AK421">
        <v>1</v>
      </c>
      <c r="AL421">
        <v>1</v>
      </c>
      <c r="AM421">
        <v>0</v>
      </c>
      <c r="AN421">
        <v>0</v>
      </c>
      <c r="AO421">
        <v>8</v>
      </c>
      <c r="AY421">
        <f>SUM(Upload_Indiv[[#This Row],[Bird1]:[Bird9]])</f>
        <v>0</v>
      </c>
      <c r="BI421">
        <f>SUM(Upload_Indiv[[#This Row],[Eagle1]:[Eagle9]])</f>
        <v>0</v>
      </c>
    </row>
    <row r="422" spans="1:61" x14ac:dyDescent="0.25">
      <c r="A422" t="s">
        <v>510</v>
      </c>
      <c r="B422" t="s">
        <v>466</v>
      </c>
      <c r="C422" s="119">
        <v>45789</v>
      </c>
      <c r="D422" t="s">
        <v>30</v>
      </c>
      <c r="E422" t="s">
        <v>16</v>
      </c>
      <c r="F422" t="s">
        <v>408</v>
      </c>
      <c r="G422">
        <v>1</v>
      </c>
      <c r="H422" t="s">
        <v>323</v>
      </c>
      <c r="I422" t="s">
        <v>407</v>
      </c>
      <c r="J422">
        <v>5</v>
      </c>
      <c r="K422">
        <v>5</v>
      </c>
      <c r="L422">
        <v>4</v>
      </c>
      <c r="M422">
        <v>3</v>
      </c>
      <c r="N422">
        <v>4</v>
      </c>
      <c r="O422">
        <v>5</v>
      </c>
      <c r="P422">
        <v>5</v>
      </c>
      <c r="Q422">
        <v>3</v>
      </c>
      <c r="R422">
        <v>4</v>
      </c>
      <c r="S422">
        <v>38</v>
      </c>
      <c r="T422">
        <v>0</v>
      </c>
      <c r="U422">
        <v>38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1</v>
      </c>
      <c r="AF422">
        <v>2</v>
      </c>
      <c r="AG422">
        <v>2</v>
      </c>
      <c r="AH422">
        <v>0</v>
      </c>
      <c r="AI422">
        <v>1</v>
      </c>
      <c r="AJ422">
        <v>0</v>
      </c>
      <c r="AK422">
        <v>2</v>
      </c>
      <c r="AL422">
        <v>1</v>
      </c>
      <c r="AM422">
        <v>0</v>
      </c>
      <c r="AN422">
        <v>2</v>
      </c>
      <c r="AO422">
        <v>11</v>
      </c>
      <c r="AY422">
        <f>SUM(Upload_Indiv[[#This Row],[Bird1]:[Bird9]])</f>
        <v>0</v>
      </c>
      <c r="BI422">
        <f>SUM(Upload_Indiv[[#This Row],[Eagle1]:[Eagle9]])</f>
        <v>0</v>
      </c>
    </row>
    <row r="423" spans="1:61" x14ac:dyDescent="0.25">
      <c r="A423" t="s">
        <v>510</v>
      </c>
      <c r="B423" t="s">
        <v>466</v>
      </c>
      <c r="C423" s="119">
        <v>45789</v>
      </c>
      <c r="D423" t="s">
        <v>30</v>
      </c>
      <c r="E423" t="s">
        <v>16</v>
      </c>
      <c r="F423" t="s">
        <v>408</v>
      </c>
      <c r="G423">
        <v>2</v>
      </c>
      <c r="H423" t="s">
        <v>324</v>
      </c>
      <c r="I423" t="s">
        <v>407</v>
      </c>
      <c r="J423">
        <v>5</v>
      </c>
      <c r="K423">
        <v>5</v>
      </c>
      <c r="L423">
        <v>4</v>
      </c>
      <c r="M423">
        <v>3</v>
      </c>
      <c r="N423">
        <v>4</v>
      </c>
      <c r="O423">
        <v>5</v>
      </c>
      <c r="P423">
        <v>5</v>
      </c>
      <c r="Q423">
        <v>3</v>
      </c>
      <c r="R423">
        <v>4</v>
      </c>
      <c r="S423">
        <v>38</v>
      </c>
      <c r="T423">
        <v>0</v>
      </c>
      <c r="U423">
        <v>38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1</v>
      </c>
      <c r="AG423">
        <v>0</v>
      </c>
      <c r="AH423">
        <v>2</v>
      </c>
      <c r="AI423">
        <v>2</v>
      </c>
      <c r="AJ423">
        <v>1</v>
      </c>
      <c r="AK423">
        <v>2</v>
      </c>
      <c r="AL423">
        <v>2</v>
      </c>
      <c r="AM423">
        <v>2</v>
      </c>
      <c r="AN423">
        <v>2</v>
      </c>
      <c r="AO423">
        <v>14</v>
      </c>
      <c r="AY423">
        <f>SUM(Upload_Indiv[[#This Row],[Bird1]:[Bird9]])</f>
        <v>0</v>
      </c>
      <c r="BI423">
        <f>SUM(Upload_Indiv[[#This Row],[Eagle1]:[Eagle9]])</f>
        <v>0</v>
      </c>
    </row>
    <row r="424" spans="1:61" x14ac:dyDescent="0.25">
      <c r="A424" t="s">
        <v>510</v>
      </c>
      <c r="B424" t="s">
        <v>466</v>
      </c>
      <c r="C424" s="119">
        <v>45789</v>
      </c>
      <c r="D424" t="s">
        <v>30</v>
      </c>
      <c r="E424" t="s">
        <v>16</v>
      </c>
      <c r="F424" t="s">
        <v>408</v>
      </c>
      <c r="G424">
        <v>3</v>
      </c>
      <c r="H424" t="s">
        <v>325</v>
      </c>
      <c r="I424" t="s">
        <v>407</v>
      </c>
      <c r="J424">
        <v>5</v>
      </c>
      <c r="K424">
        <v>5</v>
      </c>
      <c r="L424">
        <v>4</v>
      </c>
      <c r="M424">
        <v>3</v>
      </c>
      <c r="N424">
        <v>4</v>
      </c>
      <c r="O424">
        <v>5</v>
      </c>
      <c r="P424">
        <v>5</v>
      </c>
      <c r="Q424">
        <v>3</v>
      </c>
      <c r="R424">
        <v>4</v>
      </c>
      <c r="S424">
        <v>38</v>
      </c>
      <c r="T424">
        <v>0</v>
      </c>
      <c r="U424">
        <v>38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2</v>
      </c>
      <c r="AG424">
        <v>0</v>
      </c>
      <c r="AH424">
        <v>1</v>
      </c>
      <c r="AI424">
        <v>2</v>
      </c>
      <c r="AJ424">
        <v>0</v>
      </c>
      <c r="AK424">
        <v>2</v>
      </c>
      <c r="AL424">
        <v>1</v>
      </c>
      <c r="AM424">
        <v>1</v>
      </c>
      <c r="AN424">
        <v>2</v>
      </c>
      <c r="AO424">
        <v>11</v>
      </c>
      <c r="AY424">
        <f>SUM(Upload_Indiv[[#This Row],[Bird1]:[Bird9]])</f>
        <v>0</v>
      </c>
      <c r="BI424">
        <f>SUM(Upload_Indiv[[#This Row],[Eagle1]:[Eagle9]])</f>
        <v>0</v>
      </c>
    </row>
    <row r="425" spans="1:61" x14ac:dyDescent="0.25">
      <c r="A425" t="s">
        <v>510</v>
      </c>
      <c r="B425" t="s">
        <v>466</v>
      </c>
      <c r="C425" s="119">
        <v>45789</v>
      </c>
      <c r="D425" t="s">
        <v>30</v>
      </c>
      <c r="E425" t="s">
        <v>16</v>
      </c>
      <c r="F425" t="s">
        <v>408</v>
      </c>
      <c r="G425">
        <v>4</v>
      </c>
      <c r="H425" t="s">
        <v>326</v>
      </c>
      <c r="I425" t="s">
        <v>407</v>
      </c>
      <c r="J425">
        <v>5</v>
      </c>
      <c r="K425">
        <v>5</v>
      </c>
      <c r="L425">
        <v>4</v>
      </c>
      <c r="M425">
        <v>3</v>
      </c>
      <c r="N425">
        <v>4</v>
      </c>
      <c r="O425">
        <v>5</v>
      </c>
      <c r="P425">
        <v>5</v>
      </c>
      <c r="Q425">
        <v>3</v>
      </c>
      <c r="R425">
        <v>4</v>
      </c>
      <c r="S425">
        <v>38</v>
      </c>
      <c r="T425">
        <v>0</v>
      </c>
      <c r="U425">
        <v>38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1</v>
      </c>
      <c r="AG425">
        <v>1</v>
      </c>
      <c r="AH425">
        <v>2</v>
      </c>
      <c r="AI425">
        <v>2</v>
      </c>
      <c r="AJ425">
        <v>0</v>
      </c>
      <c r="AK425">
        <v>1</v>
      </c>
      <c r="AL425">
        <v>1</v>
      </c>
      <c r="AM425">
        <v>2</v>
      </c>
      <c r="AN425">
        <v>2</v>
      </c>
      <c r="AO425">
        <v>12</v>
      </c>
      <c r="AY425">
        <f>SUM(Upload_Indiv[[#This Row],[Bird1]:[Bird9]])</f>
        <v>0</v>
      </c>
      <c r="BI425">
        <f>SUM(Upload_Indiv[[#This Row],[Eagle1]:[Eagle9]])</f>
        <v>0</v>
      </c>
    </row>
    <row r="426" spans="1:61" x14ac:dyDescent="0.25">
      <c r="A426" t="s">
        <v>511</v>
      </c>
      <c r="B426" t="s">
        <v>466</v>
      </c>
      <c r="C426" s="119">
        <v>45789</v>
      </c>
      <c r="D426" t="s">
        <v>18</v>
      </c>
      <c r="E426" t="s">
        <v>28</v>
      </c>
      <c r="F426" t="s">
        <v>406</v>
      </c>
      <c r="G426">
        <v>1</v>
      </c>
      <c r="H426" t="s">
        <v>272</v>
      </c>
      <c r="I426" t="s">
        <v>407</v>
      </c>
      <c r="J426">
        <v>5</v>
      </c>
      <c r="K426">
        <v>4</v>
      </c>
      <c r="L426">
        <v>5</v>
      </c>
      <c r="M426">
        <v>4</v>
      </c>
      <c r="N426">
        <v>4</v>
      </c>
      <c r="O426">
        <v>6</v>
      </c>
      <c r="P426">
        <v>3</v>
      </c>
      <c r="Q426">
        <v>5</v>
      </c>
      <c r="R426">
        <v>7</v>
      </c>
      <c r="S426">
        <v>43</v>
      </c>
      <c r="T426">
        <v>7.1</v>
      </c>
      <c r="U426">
        <v>36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</v>
      </c>
      <c r="AF426">
        <v>0</v>
      </c>
      <c r="AG426">
        <v>2</v>
      </c>
      <c r="AH426">
        <v>2</v>
      </c>
      <c r="AI426">
        <v>2</v>
      </c>
      <c r="AJ426">
        <v>1</v>
      </c>
      <c r="AK426">
        <v>2</v>
      </c>
      <c r="AL426">
        <v>2</v>
      </c>
      <c r="AM426">
        <v>1</v>
      </c>
      <c r="AN426">
        <v>2</v>
      </c>
      <c r="AO426">
        <v>15</v>
      </c>
      <c r="AY426">
        <f>SUM(Upload_Indiv[[#This Row],[Bird1]:[Bird9]])</f>
        <v>0</v>
      </c>
      <c r="BI426">
        <f>SUM(Upload_Indiv[[#This Row],[Eagle1]:[Eagle9]])</f>
        <v>0</v>
      </c>
    </row>
    <row r="427" spans="1:61" x14ac:dyDescent="0.25">
      <c r="A427" t="s">
        <v>511</v>
      </c>
      <c r="B427" t="s">
        <v>466</v>
      </c>
      <c r="C427" s="119">
        <v>45789</v>
      </c>
      <c r="D427" t="s">
        <v>18</v>
      </c>
      <c r="E427" t="s">
        <v>28</v>
      </c>
      <c r="F427" t="s">
        <v>406</v>
      </c>
      <c r="G427">
        <v>2</v>
      </c>
      <c r="H427" t="s">
        <v>274</v>
      </c>
      <c r="I427" t="s">
        <v>407</v>
      </c>
      <c r="J427">
        <v>5</v>
      </c>
      <c r="K427">
        <v>4</v>
      </c>
      <c r="L427">
        <v>6</v>
      </c>
      <c r="M427">
        <v>5</v>
      </c>
      <c r="N427">
        <v>5</v>
      </c>
      <c r="O427">
        <v>8</v>
      </c>
      <c r="P427">
        <v>5</v>
      </c>
      <c r="Q427">
        <v>7</v>
      </c>
      <c r="R427">
        <v>10</v>
      </c>
      <c r="S427">
        <v>55</v>
      </c>
      <c r="T427">
        <v>9.02</v>
      </c>
      <c r="U427">
        <v>46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</v>
      </c>
      <c r="AF427">
        <v>2</v>
      </c>
      <c r="AG427">
        <v>1</v>
      </c>
      <c r="AH427">
        <v>1</v>
      </c>
      <c r="AI427">
        <v>2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8</v>
      </c>
      <c r="AY427">
        <f>SUM(Upload_Indiv[[#This Row],[Bird1]:[Bird9]])</f>
        <v>0</v>
      </c>
      <c r="BI427">
        <f>SUM(Upload_Indiv[[#This Row],[Eagle1]:[Eagle9]])</f>
        <v>0</v>
      </c>
    </row>
    <row r="428" spans="1:61" x14ac:dyDescent="0.25">
      <c r="A428" t="s">
        <v>511</v>
      </c>
      <c r="B428" t="s">
        <v>466</v>
      </c>
      <c r="C428" s="119">
        <v>45789</v>
      </c>
      <c r="D428" t="s">
        <v>18</v>
      </c>
      <c r="E428" t="s">
        <v>28</v>
      </c>
      <c r="F428" t="s">
        <v>406</v>
      </c>
      <c r="G428">
        <v>3</v>
      </c>
      <c r="H428" t="s">
        <v>276</v>
      </c>
      <c r="I428" t="s">
        <v>407</v>
      </c>
      <c r="J428">
        <v>5</v>
      </c>
      <c r="K428">
        <v>5</v>
      </c>
      <c r="L428">
        <v>6</v>
      </c>
      <c r="M428">
        <v>6</v>
      </c>
      <c r="N428">
        <v>4</v>
      </c>
      <c r="O428">
        <v>7</v>
      </c>
      <c r="P428">
        <v>4</v>
      </c>
      <c r="Q428">
        <v>6</v>
      </c>
      <c r="R428">
        <v>10</v>
      </c>
      <c r="S428">
        <v>53</v>
      </c>
      <c r="T428">
        <v>13.44</v>
      </c>
      <c r="U428">
        <v>40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</v>
      </c>
      <c r="AG428">
        <v>2</v>
      </c>
      <c r="AH428">
        <v>0</v>
      </c>
      <c r="AI428">
        <v>2</v>
      </c>
      <c r="AJ428">
        <v>2</v>
      </c>
      <c r="AK428">
        <v>2</v>
      </c>
      <c r="AL428">
        <v>0</v>
      </c>
      <c r="AM428">
        <v>0</v>
      </c>
      <c r="AN428">
        <v>2</v>
      </c>
      <c r="AO428">
        <v>11</v>
      </c>
      <c r="AY428">
        <f>SUM(Upload_Indiv[[#This Row],[Bird1]:[Bird9]])</f>
        <v>0</v>
      </c>
      <c r="BI428">
        <f>SUM(Upload_Indiv[[#This Row],[Eagle1]:[Eagle9]])</f>
        <v>0</v>
      </c>
    </row>
    <row r="429" spans="1:61" x14ac:dyDescent="0.25">
      <c r="A429" t="s">
        <v>511</v>
      </c>
      <c r="B429" t="s">
        <v>466</v>
      </c>
      <c r="C429" s="119">
        <v>45789</v>
      </c>
      <c r="D429" t="s">
        <v>18</v>
      </c>
      <c r="E429" t="s">
        <v>28</v>
      </c>
      <c r="F429" t="s">
        <v>406</v>
      </c>
      <c r="G429">
        <v>4</v>
      </c>
      <c r="H429" t="s">
        <v>278</v>
      </c>
      <c r="I429" t="s">
        <v>407</v>
      </c>
      <c r="J429">
        <v>4</v>
      </c>
      <c r="K429">
        <v>6</v>
      </c>
      <c r="L429">
        <v>6</v>
      </c>
      <c r="M429">
        <v>7</v>
      </c>
      <c r="N429">
        <v>7</v>
      </c>
      <c r="O429">
        <v>7</v>
      </c>
      <c r="P429">
        <v>3</v>
      </c>
      <c r="Q429">
        <v>5</v>
      </c>
      <c r="R429">
        <v>7</v>
      </c>
      <c r="S429">
        <v>52</v>
      </c>
      <c r="T429">
        <v>16.7</v>
      </c>
      <c r="U429">
        <v>35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2</v>
      </c>
      <c r="AF429">
        <v>0</v>
      </c>
      <c r="AG429">
        <v>1</v>
      </c>
      <c r="AH429">
        <v>0</v>
      </c>
      <c r="AI429">
        <v>2</v>
      </c>
      <c r="AJ429">
        <v>2</v>
      </c>
      <c r="AK429">
        <v>2</v>
      </c>
      <c r="AL429">
        <v>2</v>
      </c>
      <c r="AM429">
        <v>2</v>
      </c>
      <c r="AN429">
        <v>2</v>
      </c>
      <c r="AO429">
        <v>15</v>
      </c>
      <c r="AY429">
        <f>SUM(Upload_Indiv[[#This Row],[Bird1]:[Bird9]])</f>
        <v>0</v>
      </c>
      <c r="BI429">
        <f>SUM(Upload_Indiv[[#This Row],[Eagle1]:[Eagle9]])</f>
        <v>0</v>
      </c>
    </row>
    <row r="430" spans="1:61" x14ac:dyDescent="0.25">
      <c r="A430" t="s">
        <v>511</v>
      </c>
      <c r="B430" t="s">
        <v>466</v>
      </c>
      <c r="C430" s="119">
        <v>45789</v>
      </c>
      <c r="D430" t="s">
        <v>28</v>
      </c>
      <c r="E430" t="s">
        <v>18</v>
      </c>
      <c r="F430" t="s">
        <v>406</v>
      </c>
      <c r="G430">
        <v>1</v>
      </c>
      <c r="H430" t="s">
        <v>320</v>
      </c>
      <c r="I430" t="s">
        <v>407</v>
      </c>
      <c r="J430">
        <v>5</v>
      </c>
      <c r="K430">
        <v>4</v>
      </c>
      <c r="L430">
        <v>7</v>
      </c>
      <c r="M430">
        <v>8</v>
      </c>
      <c r="N430">
        <v>8</v>
      </c>
      <c r="O430">
        <v>7</v>
      </c>
      <c r="P430">
        <v>4</v>
      </c>
      <c r="Q430">
        <v>7</v>
      </c>
      <c r="R430">
        <v>8</v>
      </c>
      <c r="S430">
        <v>58</v>
      </c>
      <c r="T430">
        <v>12.67</v>
      </c>
      <c r="U430">
        <v>45</v>
      </c>
      <c r="V430">
        <v>0</v>
      </c>
      <c r="W430">
        <v>1</v>
      </c>
      <c r="X430">
        <v>0</v>
      </c>
      <c r="Y430">
        <v>1</v>
      </c>
      <c r="Z430">
        <v>1</v>
      </c>
      <c r="AA430">
        <v>1</v>
      </c>
      <c r="AB430">
        <v>0</v>
      </c>
      <c r="AC430">
        <v>1</v>
      </c>
      <c r="AD430">
        <v>1</v>
      </c>
      <c r="AE430">
        <v>1</v>
      </c>
      <c r="AF430">
        <v>2</v>
      </c>
      <c r="AG430">
        <v>0</v>
      </c>
      <c r="AH430">
        <v>0</v>
      </c>
      <c r="AI430">
        <v>0</v>
      </c>
      <c r="AJ430">
        <v>1</v>
      </c>
      <c r="AK430">
        <v>0</v>
      </c>
      <c r="AL430">
        <v>0</v>
      </c>
      <c r="AM430">
        <v>1</v>
      </c>
      <c r="AN430">
        <v>0</v>
      </c>
      <c r="AO430">
        <v>5</v>
      </c>
      <c r="AY430">
        <f>SUM(Upload_Indiv[[#This Row],[Bird1]:[Bird9]])</f>
        <v>0</v>
      </c>
      <c r="BI430">
        <f>SUM(Upload_Indiv[[#This Row],[Eagle1]:[Eagle9]])</f>
        <v>0</v>
      </c>
    </row>
    <row r="431" spans="1:61" x14ac:dyDescent="0.25">
      <c r="A431" t="s">
        <v>511</v>
      </c>
      <c r="B431" t="s">
        <v>466</v>
      </c>
      <c r="C431" s="119">
        <v>45789</v>
      </c>
      <c r="D431" t="s">
        <v>28</v>
      </c>
      <c r="E431" t="s">
        <v>18</v>
      </c>
      <c r="F431" t="s">
        <v>406</v>
      </c>
      <c r="G431">
        <v>2</v>
      </c>
      <c r="H431" t="s">
        <v>315</v>
      </c>
      <c r="I431" t="s">
        <v>407</v>
      </c>
      <c r="J431">
        <v>6</v>
      </c>
      <c r="K431">
        <v>6</v>
      </c>
      <c r="L431">
        <v>6</v>
      </c>
      <c r="M431">
        <v>6</v>
      </c>
      <c r="N431">
        <v>7</v>
      </c>
      <c r="O431">
        <v>7</v>
      </c>
      <c r="P431">
        <v>4</v>
      </c>
      <c r="Q431">
        <v>6</v>
      </c>
      <c r="R431">
        <v>8</v>
      </c>
      <c r="S431">
        <v>56</v>
      </c>
      <c r="T431">
        <v>14.98</v>
      </c>
      <c r="U431">
        <v>41</v>
      </c>
      <c r="V431">
        <v>0</v>
      </c>
      <c r="W431">
        <v>1</v>
      </c>
      <c r="X431">
        <v>0</v>
      </c>
      <c r="Y431">
        <v>1</v>
      </c>
      <c r="Z431">
        <v>1</v>
      </c>
      <c r="AA431">
        <v>1</v>
      </c>
      <c r="AB431">
        <v>0</v>
      </c>
      <c r="AC431">
        <v>1</v>
      </c>
      <c r="AD431">
        <v>1</v>
      </c>
      <c r="AE431">
        <v>0</v>
      </c>
      <c r="AF431">
        <v>0</v>
      </c>
      <c r="AG431">
        <v>1</v>
      </c>
      <c r="AH431">
        <v>1</v>
      </c>
      <c r="AI431">
        <v>0</v>
      </c>
      <c r="AJ431">
        <v>2</v>
      </c>
      <c r="AK431">
        <v>2</v>
      </c>
      <c r="AL431">
        <v>2</v>
      </c>
      <c r="AM431">
        <v>2</v>
      </c>
      <c r="AN431">
        <v>2</v>
      </c>
      <c r="AO431">
        <v>12</v>
      </c>
      <c r="AY431">
        <f>SUM(Upload_Indiv[[#This Row],[Bird1]:[Bird9]])</f>
        <v>0</v>
      </c>
      <c r="BI431">
        <f>SUM(Upload_Indiv[[#This Row],[Eagle1]:[Eagle9]])</f>
        <v>0</v>
      </c>
    </row>
    <row r="432" spans="1:61" x14ac:dyDescent="0.25">
      <c r="A432" t="s">
        <v>511</v>
      </c>
      <c r="B432" t="s">
        <v>466</v>
      </c>
      <c r="C432" s="119">
        <v>45789</v>
      </c>
      <c r="D432" t="s">
        <v>28</v>
      </c>
      <c r="E432" t="s">
        <v>18</v>
      </c>
      <c r="F432" t="s">
        <v>406</v>
      </c>
      <c r="G432">
        <v>3</v>
      </c>
      <c r="H432" t="s">
        <v>317</v>
      </c>
      <c r="I432" t="s">
        <v>407</v>
      </c>
      <c r="J432">
        <v>4</v>
      </c>
      <c r="K432">
        <v>5</v>
      </c>
      <c r="L432">
        <v>8</v>
      </c>
      <c r="M432">
        <v>5</v>
      </c>
      <c r="N432">
        <v>7</v>
      </c>
      <c r="O432">
        <v>9</v>
      </c>
      <c r="P432">
        <v>5</v>
      </c>
      <c r="Q432">
        <v>6</v>
      </c>
      <c r="R432">
        <v>9</v>
      </c>
      <c r="S432">
        <v>58</v>
      </c>
      <c r="T432">
        <v>15.55</v>
      </c>
      <c r="U432">
        <v>42</v>
      </c>
      <c r="V432">
        <v>0</v>
      </c>
      <c r="W432">
        <v>0</v>
      </c>
      <c r="X432">
        <v>0</v>
      </c>
      <c r="Y432">
        <v>1</v>
      </c>
      <c r="Z432">
        <v>0</v>
      </c>
      <c r="AA432">
        <v>0</v>
      </c>
      <c r="AB432">
        <v>0</v>
      </c>
      <c r="AC432">
        <v>1</v>
      </c>
      <c r="AD432">
        <v>0</v>
      </c>
      <c r="AE432">
        <v>2</v>
      </c>
      <c r="AF432">
        <v>1</v>
      </c>
      <c r="AG432">
        <v>0</v>
      </c>
      <c r="AH432">
        <v>2</v>
      </c>
      <c r="AI432">
        <v>0</v>
      </c>
      <c r="AJ432">
        <v>0</v>
      </c>
      <c r="AK432">
        <v>0</v>
      </c>
      <c r="AL432">
        <v>2</v>
      </c>
      <c r="AM432">
        <v>2</v>
      </c>
      <c r="AN432">
        <v>0</v>
      </c>
      <c r="AO432">
        <v>9</v>
      </c>
      <c r="AY432">
        <f>SUM(Upload_Indiv[[#This Row],[Bird1]:[Bird9]])</f>
        <v>0</v>
      </c>
      <c r="BI432">
        <f>SUM(Upload_Indiv[[#This Row],[Eagle1]:[Eagle9]])</f>
        <v>0</v>
      </c>
    </row>
    <row r="433" spans="1:61" x14ac:dyDescent="0.25">
      <c r="A433" t="s">
        <v>511</v>
      </c>
      <c r="B433" t="s">
        <v>466</v>
      </c>
      <c r="C433" s="119">
        <v>45789</v>
      </c>
      <c r="D433" t="s">
        <v>28</v>
      </c>
      <c r="E433" t="s">
        <v>18</v>
      </c>
      <c r="F433" t="s">
        <v>406</v>
      </c>
      <c r="G433">
        <v>4</v>
      </c>
      <c r="H433" t="s">
        <v>101</v>
      </c>
      <c r="I433" t="s">
        <v>407</v>
      </c>
      <c r="J433">
        <v>7</v>
      </c>
      <c r="K433">
        <v>5</v>
      </c>
      <c r="L433">
        <v>6</v>
      </c>
      <c r="M433">
        <v>6</v>
      </c>
      <c r="N433">
        <v>9</v>
      </c>
      <c r="O433">
        <v>9</v>
      </c>
      <c r="P433">
        <v>4</v>
      </c>
      <c r="Q433">
        <v>7</v>
      </c>
      <c r="R433">
        <v>10</v>
      </c>
      <c r="S433">
        <v>63</v>
      </c>
      <c r="T433">
        <v>17.28</v>
      </c>
      <c r="U433">
        <v>46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0</v>
      </c>
      <c r="AF433">
        <v>2</v>
      </c>
      <c r="AG433">
        <v>1</v>
      </c>
      <c r="AH433">
        <v>2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5</v>
      </c>
      <c r="AY433">
        <f>SUM(Upload_Indiv[[#This Row],[Bird1]:[Bird9]])</f>
        <v>0</v>
      </c>
      <c r="BI433">
        <f>SUM(Upload_Indiv[[#This Row],[Eagle1]:[Eagle9]])</f>
        <v>0</v>
      </c>
    </row>
    <row r="434" spans="1:61" x14ac:dyDescent="0.25">
      <c r="A434" t="s">
        <v>514</v>
      </c>
      <c r="B434" t="s">
        <v>467</v>
      </c>
      <c r="C434" s="119">
        <v>45796</v>
      </c>
      <c r="D434" t="s">
        <v>22</v>
      </c>
      <c r="E434" t="s">
        <v>18</v>
      </c>
      <c r="F434" t="s">
        <v>408</v>
      </c>
      <c r="G434">
        <v>1</v>
      </c>
      <c r="H434" t="s">
        <v>156</v>
      </c>
      <c r="I434" t="s">
        <v>407</v>
      </c>
      <c r="J434">
        <v>4</v>
      </c>
      <c r="K434">
        <v>5</v>
      </c>
      <c r="L434">
        <v>4</v>
      </c>
      <c r="M434">
        <v>3</v>
      </c>
      <c r="N434">
        <v>7</v>
      </c>
      <c r="O434">
        <v>5</v>
      </c>
      <c r="P434">
        <v>6</v>
      </c>
      <c r="Q434">
        <v>4</v>
      </c>
      <c r="R434">
        <v>7</v>
      </c>
      <c r="S434">
        <v>45</v>
      </c>
      <c r="T434">
        <v>4.22</v>
      </c>
      <c r="U434">
        <v>41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1</v>
      </c>
      <c r="AF434">
        <v>2</v>
      </c>
      <c r="AG434">
        <v>0</v>
      </c>
      <c r="AH434">
        <v>2</v>
      </c>
      <c r="AI434">
        <v>0</v>
      </c>
      <c r="AJ434">
        <v>2</v>
      </c>
      <c r="AK434">
        <v>1</v>
      </c>
      <c r="AL434">
        <v>2</v>
      </c>
      <c r="AM434">
        <v>0</v>
      </c>
      <c r="AN434">
        <v>2</v>
      </c>
      <c r="AO434">
        <v>12</v>
      </c>
      <c r="AY434">
        <f>SUM(Upload_Indiv[[#This Row],[Bird1]:[Bird9]])</f>
        <v>0</v>
      </c>
      <c r="BI434">
        <f>SUM(Upload_Indiv[[#This Row],[Eagle1]:[Eagle9]])</f>
        <v>0</v>
      </c>
    </row>
    <row r="435" spans="1:61" x14ac:dyDescent="0.25">
      <c r="A435" t="s">
        <v>514</v>
      </c>
      <c r="B435" t="s">
        <v>467</v>
      </c>
      <c r="C435" s="119">
        <v>45796</v>
      </c>
      <c r="D435" t="s">
        <v>22</v>
      </c>
      <c r="E435" t="s">
        <v>18</v>
      </c>
      <c r="F435" t="s">
        <v>408</v>
      </c>
      <c r="G435">
        <v>2</v>
      </c>
      <c r="H435" t="s">
        <v>294</v>
      </c>
      <c r="I435" t="s">
        <v>407</v>
      </c>
      <c r="J435">
        <v>7</v>
      </c>
      <c r="K435">
        <v>6</v>
      </c>
      <c r="L435">
        <v>4</v>
      </c>
      <c r="M435">
        <v>4</v>
      </c>
      <c r="N435">
        <v>6</v>
      </c>
      <c r="O435">
        <v>5</v>
      </c>
      <c r="P435">
        <v>6</v>
      </c>
      <c r="Q435">
        <v>5</v>
      </c>
      <c r="R435">
        <v>7</v>
      </c>
      <c r="S435">
        <v>50</v>
      </c>
      <c r="T435">
        <v>4.8</v>
      </c>
      <c r="U435">
        <v>45</v>
      </c>
      <c r="V435">
        <v>1</v>
      </c>
      <c r="W435">
        <v>0</v>
      </c>
      <c r="X435">
        <v>1</v>
      </c>
      <c r="Y435">
        <v>0</v>
      </c>
      <c r="Z435">
        <v>0</v>
      </c>
      <c r="AA435">
        <v>1</v>
      </c>
      <c r="AB435">
        <v>1</v>
      </c>
      <c r="AC435">
        <v>0</v>
      </c>
      <c r="AD435">
        <v>1</v>
      </c>
      <c r="AE435">
        <v>0</v>
      </c>
      <c r="AF435">
        <v>0</v>
      </c>
      <c r="AG435">
        <v>2</v>
      </c>
      <c r="AH435">
        <v>0</v>
      </c>
      <c r="AI435">
        <v>0</v>
      </c>
      <c r="AJ435">
        <v>2</v>
      </c>
      <c r="AK435">
        <v>1</v>
      </c>
      <c r="AL435">
        <v>0</v>
      </c>
      <c r="AM435">
        <v>0</v>
      </c>
      <c r="AN435">
        <v>0</v>
      </c>
      <c r="AO435">
        <v>5</v>
      </c>
      <c r="AY435">
        <f>SUM(Upload_Indiv[[#This Row],[Bird1]:[Bird9]])</f>
        <v>0</v>
      </c>
      <c r="BI435">
        <f>SUM(Upload_Indiv[[#This Row],[Eagle1]:[Eagle9]])</f>
        <v>0</v>
      </c>
    </row>
    <row r="436" spans="1:61" x14ac:dyDescent="0.25">
      <c r="A436" t="s">
        <v>514</v>
      </c>
      <c r="B436" t="s">
        <v>467</v>
      </c>
      <c r="C436" s="119">
        <v>45796</v>
      </c>
      <c r="D436" t="s">
        <v>22</v>
      </c>
      <c r="E436" t="s">
        <v>18</v>
      </c>
      <c r="F436" t="s">
        <v>408</v>
      </c>
      <c r="G436">
        <v>3</v>
      </c>
      <c r="H436" t="s">
        <v>148</v>
      </c>
      <c r="I436" t="s">
        <v>407</v>
      </c>
      <c r="J436">
        <v>6</v>
      </c>
      <c r="K436">
        <v>7</v>
      </c>
      <c r="L436">
        <v>6</v>
      </c>
      <c r="M436">
        <v>4</v>
      </c>
      <c r="N436">
        <v>4</v>
      </c>
      <c r="O436">
        <v>6</v>
      </c>
      <c r="P436">
        <v>8</v>
      </c>
      <c r="Q436">
        <v>4</v>
      </c>
      <c r="R436">
        <v>8</v>
      </c>
      <c r="S436">
        <v>53</v>
      </c>
      <c r="T436">
        <v>13.25</v>
      </c>
      <c r="U436">
        <v>40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1</v>
      </c>
      <c r="AH436">
        <v>2</v>
      </c>
      <c r="AI436">
        <v>2</v>
      </c>
      <c r="AJ436">
        <v>0</v>
      </c>
      <c r="AK436">
        <v>0</v>
      </c>
      <c r="AL436">
        <v>2</v>
      </c>
      <c r="AM436">
        <v>0</v>
      </c>
      <c r="AN436">
        <v>0</v>
      </c>
      <c r="AO436">
        <v>7</v>
      </c>
      <c r="AY436">
        <f>SUM(Upload_Indiv[[#This Row],[Bird1]:[Bird9]])</f>
        <v>0</v>
      </c>
      <c r="BI436">
        <f>SUM(Upload_Indiv[[#This Row],[Eagle1]:[Eagle9]])</f>
        <v>0</v>
      </c>
    </row>
    <row r="437" spans="1:61" x14ac:dyDescent="0.25">
      <c r="A437" t="s">
        <v>514</v>
      </c>
      <c r="B437" t="s">
        <v>467</v>
      </c>
      <c r="C437" s="119">
        <v>45796</v>
      </c>
      <c r="D437" t="s">
        <v>22</v>
      </c>
      <c r="E437" t="s">
        <v>18</v>
      </c>
      <c r="F437" t="s">
        <v>408</v>
      </c>
      <c r="G437">
        <v>4</v>
      </c>
      <c r="H437" t="s">
        <v>158</v>
      </c>
      <c r="I437" t="s">
        <v>407</v>
      </c>
      <c r="J437">
        <v>7</v>
      </c>
      <c r="K437">
        <v>7</v>
      </c>
      <c r="L437">
        <v>8</v>
      </c>
      <c r="M437">
        <v>7</v>
      </c>
      <c r="N437">
        <v>8</v>
      </c>
      <c r="O437">
        <v>6</v>
      </c>
      <c r="P437">
        <v>8</v>
      </c>
      <c r="Q437">
        <v>5</v>
      </c>
      <c r="R437">
        <v>5</v>
      </c>
      <c r="S437">
        <v>61</v>
      </c>
      <c r="T437">
        <v>14.59</v>
      </c>
      <c r="U437">
        <v>46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2</v>
      </c>
      <c r="AL437">
        <v>2</v>
      </c>
      <c r="AM437">
        <v>2</v>
      </c>
      <c r="AN437">
        <v>0</v>
      </c>
      <c r="AO437">
        <v>6</v>
      </c>
      <c r="AY437">
        <f>SUM(Upload_Indiv[[#This Row],[Bird1]:[Bird9]])</f>
        <v>0</v>
      </c>
      <c r="BI437">
        <f>SUM(Upload_Indiv[[#This Row],[Eagle1]:[Eagle9]])</f>
        <v>0</v>
      </c>
    </row>
    <row r="438" spans="1:61" x14ac:dyDescent="0.25">
      <c r="A438" t="s">
        <v>514</v>
      </c>
      <c r="B438" t="s">
        <v>467</v>
      </c>
      <c r="C438" s="119">
        <v>45796</v>
      </c>
      <c r="D438" t="s">
        <v>18</v>
      </c>
      <c r="E438" t="s">
        <v>22</v>
      </c>
      <c r="F438" t="s">
        <v>408</v>
      </c>
      <c r="G438">
        <v>1</v>
      </c>
      <c r="H438" t="s">
        <v>272</v>
      </c>
      <c r="I438" t="s">
        <v>407</v>
      </c>
      <c r="J438">
        <v>5</v>
      </c>
      <c r="K438">
        <v>7</v>
      </c>
      <c r="L438">
        <v>4</v>
      </c>
      <c r="M438">
        <v>4</v>
      </c>
      <c r="N438">
        <v>5</v>
      </c>
      <c r="O438">
        <v>7</v>
      </c>
      <c r="P438">
        <v>6</v>
      </c>
      <c r="Q438">
        <v>5</v>
      </c>
      <c r="R438">
        <v>6</v>
      </c>
      <c r="S438">
        <v>49</v>
      </c>
      <c r="T438">
        <v>7.3</v>
      </c>
      <c r="U438">
        <v>42</v>
      </c>
      <c r="V438">
        <v>1</v>
      </c>
      <c r="W438">
        <v>0</v>
      </c>
      <c r="X438">
        <v>1</v>
      </c>
      <c r="Y438">
        <v>0</v>
      </c>
      <c r="Z438">
        <v>0</v>
      </c>
      <c r="AA438">
        <v>1</v>
      </c>
      <c r="AB438">
        <v>0</v>
      </c>
      <c r="AC438">
        <v>0</v>
      </c>
      <c r="AD438">
        <v>0</v>
      </c>
      <c r="AE438">
        <v>1</v>
      </c>
      <c r="AF438">
        <v>0</v>
      </c>
      <c r="AG438">
        <v>2</v>
      </c>
      <c r="AH438">
        <v>0</v>
      </c>
      <c r="AI438">
        <v>2</v>
      </c>
      <c r="AJ438">
        <v>0</v>
      </c>
      <c r="AK438">
        <v>1</v>
      </c>
      <c r="AL438">
        <v>0</v>
      </c>
      <c r="AM438">
        <v>2</v>
      </c>
      <c r="AN438">
        <v>0</v>
      </c>
      <c r="AO438">
        <v>8</v>
      </c>
      <c r="AY438">
        <f>SUM(Upload_Indiv[[#This Row],[Bird1]:[Bird9]])</f>
        <v>0</v>
      </c>
      <c r="BI438">
        <f>SUM(Upload_Indiv[[#This Row],[Eagle1]:[Eagle9]])</f>
        <v>0</v>
      </c>
    </row>
    <row r="439" spans="1:61" x14ac:dyDescent="0.25">
      <c r="A439" t="s">
        <v>514</v>
      </c>
      <c r="B439" t="s">
        <v>467</v>
      </c>
      <c r="C439" s="119">
        <v>45796</v>
      </c>
      <c r="D439" t="s">
        <v>18</v>
      </c>
      <c r="E439" t="s">
        <v>22</v>
      </c>
      <c r="F439" t="s">
        <v>408</v>
      </c>
      <c r="G439">
        <v>2</v>
      </c>
      <c r="H439" t="s">
        <v>281</v>
      </c>
      <c r="I439" t="s">
        <v>407</v>
      </c>
      <c r="J439">
        <v>5</v>
      </c>
      <c r="K439">
        <v>5</v>
      </c>
      <c r="L439">
        <v>5</v>
      </c>
      <c r="M439">
        <v>3</v>
      </c>
      <c r="N439">
        <v>4</v>
      </c>
      <c r="O439">
        <v>5</v>
      </c>
      <c r="P439">
        <v>5</v>
      </c>
      <c r="Q439">
        <v>3</v>
      </c>
      <c r="R439">
        <v>5</v>
      </c>
      <c r="S439">
        <v>40</v>
      </c>
      <c r="T439">
        <v>0</v>
      </c>
      <c r="U439">
        <v>40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2</v>
      </c>
      <c r="AF439">
        <v>2</v>
      </c>
      <c r="AG439">
        <v>0</v>
      </c>
      <c r="AH439">
        <v>2</v>
      </c>
      <c r="AI439">
        <v>2</v>
      </c>
      <c r="AJ439">
        <v>0</v>
      </c>
      <c r="AK439">
        <v>1</v>
      </c>
      <c r="AL439">
        <v>2</v>
      </c>
      <c r="AM439">
        <v>2</v>
      </c>
      <c r="AN439">
        <v>2</v>
      </c>
      <c r="AO439">
        <v>15</v>
      </c>
      <c r="AY439">
        <f>SUM(Upload_Indiv[[#This Row],[Bird1]:[Bird9]])</f>
        <v>0</v>
      </c>
      <c r="BI439">
        <f>SUM(Upload_Indiv[[#This Row],[Eagle1]:[Eagle9]])</f>
        <v>0</v>
      </c>
    </row>
    <row r="440" spans="1:61" x14ac:dyDescent="0.25">
      <c r="A440" t="s">
        <v>514</v>
      </c>
      <c r="B440" t="s">
        <v>467</v>
      </c>
      <c r="C440" s="119">
        <v>45796</v>
      </c>
      <c r="D440" t="s">
        <v>18</v>
      </c>
      <c r="E440" t="s">
        <v>22</v>
      </c>
      <c r="F440" t="s">
        <v>408</v>
      </c>
      <c r="G440">
        <v>3</v>
      </c>
      <c r="H440" t="s">
        <v>216</v>
      </c>
      <c r="I440" t="s">
        <v>407</v>
      </c>
      <c r="J440">
        <v>6</v>
      </c>
      <c r="K440">
        <v>6</v>
      </c>
      <c r="L440">
        <v>6</v>
      </c>
      <c r="M440">
        <v>5</v>
      </c>
      <c r="N440">
        <v>6</v>
      </c>
      <c r="O440">
        <v>5</v>
      </c>
      <c r="P440">
        <v>7</v>
      </c>
      <c r="Q440">
        <v>7</v>
      </c>
      <c r="R440">
        <v>6</v>
      </c>
      <c r="S440">
        <v>54</v>
      </c>
      <c r="T440">
        <v>15.28</v>
      </c>
      <c r="U440">
        <v>39</v>
      </c>
      <c r="V440">
        <v>1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0</v>
      </c>
      <c r="AC440">
        <v>0</v>
      </c>
      <c r="AD440">
        <v>0</v>
      </c>
      <c r="AE440">
        <v>2</v>
      </c>
      <c r="AF440">
        <v>2</v>
      </c>
      <c r="AG440">
        <v>1</v>
      </c>
      <c r="AH440">
        <v>0</v>
      </c>
      <c r="AI440">
        <v>0</v>
      </c>
      <c r="AJ440">
        <v>2</v>
      </c>
      <c r="AK440">
        <v>2</v>
      </c>
      <c r="AL440">
        <v>0</v>
      </c>
      <c r="AM440">
        <v>2</v>
      </c>
      <c r="AN440">
        <v>2</v>
      </c>
      <c r="AO440">
        <v>13</v>
      </c>
      <c r="AY440">
        <f>SUM(Upload_Indiv[[#This Row],[Bird1]:[Bird9]])</f>
        <v>0</v>
      </c>
      <c r="BI440">
        <f>SUM(Upload_Indiv[[#This Row],[Eagle1]:[Eagle9]])</f>
        <v>0</v>
      </c>
    </row>
    <row r="441" spans="1:61" x14ac:dyDescent="0.25">
      <c r="A441" t="s">
        <v>514</v>
      </c>
      <c r="B441" t="s">
        <v>467</v>
      </c>
      <c r="C441" s="119">
        <v>45796</v>
      </c>
      <c r="D441" t="s">
        <v>18</v>
      </c>
      <c r="E441" t="s">
        <v>22</v>
      </c>
      <c r="F441" t="s">
        <v>408</v>
      </c>
      <c r="G441">
        <v>4</v>
      </c>
      <c r="H441" t="s">
        <v>278</v>
      </c>
      <c r="I441" t="s">
        <v>407</v>
      </c>
      <c r="J441">
        <v>6</v>
      </c>
      <c r="K441">
        <v>6</v>
      </c>
      <c r="L441">
        <v>5</v>
      </c>
      <c r="M441">
        <v>4</v>
      </c>
      <c r="N441">
        <v>5</v>
      </c>
      <c r="O441">
        <v>6</v>
      </c>
      <c r="P441">
        <v>10</v>
      </c>
      <c r="Q441">
        <v>8</v>
      </c>
      <c r="R441">
        <v>9</v>
      </c>
      <c r="S441">
        <v>59</v>
      </c>
      <c r="T441">
        <v>17.47</v>
      </c>
      <c r="U441">
        <v>42</v>
      </c>
      <c r="V441">
        <v>1</v>
      </c>
      <c r="W441">
        <v>0</v>
      </c>
      <c r="X441">
        <v>1</v>
      </c>
      <c r="Y441">
        <v>0</v>
      </c>
      <c r="Z441">
        <v>0</v>
      </c>
      <c r="AA441">
        <v>1</v>
      </c>
      <c r="AB441">
        <v>0</v>
      </c>
      <c r="AC441">
        <v>0</v>
      </c>
      <c r="AD441">
        <v>0</v>
      </c>
      <c r="AE441">
        <v>2</v>
      </c>
      <c r="AF441">
        <v>2</v>
      </c>
      <c r="AG441">
        <v>2</v>
      </c>
      <c r="AH441">
        <v>2</v>
      </c>
      <c r="AI441">
        <v>2</v>
      </c>
      <c r="AJ441">
        <v>2</v>
      </c>
      <c r="AK441">
        <v>0</v>
      </c>
      <c r="AL441">
        <v>0</v>
      </c>
      <c r="AM441">
        <v>0</v>
      </c>
      <c r="AN441">
        <v>2</v>
      </c>
      <c r="AO441">
        <v>14</v>
      </c>
      <c r="AY441">
        <f>SUM(Upload_Indiv[[#This Row],[Bird1]:[Bird9]])</f>
        <v>0</v>
      </c>
      <c r="BI441">
        <f>SUM(Upload_Indiv[[#This Row],[Eagle1]:[Eagle9]])</f>
        <v>0</v>
      </c>
    </row>
    <row r="442" spans="1:61" x14ac:dyDescent="0.25">
      <c r="A442" t="s">
        <v>512</v>
      </c>
      <c r="B442" t="s">
        <v>467</v>
      </c>
      <c r="C442" s="119">
        <v>45796</v>
      </c>
      <c r="D442" t="s">
        <v>26</v>
      </c>
      <c r="E442" t="s">
        <v>28</v>
      </c>
      <c r="F442" t="s">
        <v>406</v>
      </c>
      <c r="G442">
        <v>1</v>
      </c>
      <c r="H442" t="s">
        <v>146</v>
      </c>
      <c r="I442" t="s">
        <v>407</v>
      </c>
      <c r="J442">
        <v>4</v>
      </c>
      <c r="K442">
        <v>3</v>
      </c>
      <c r="L442">
        <v>4</v>
      </c>
      <c r="M442">
        <v>5</v>
      </c>
      <c r="N442">
        <v>5</v>
      </c>
      <c r="O442">
        <v>5</v>
      </c>
      <c r="P442">
        <v>3</v>
      </c>
      <c r="Q442">
        <v>5</v>
      </c>
      <c r="R442">
        <v>7</v>
      </c>
      <c r="S442">
        <v>41</v>
      </c>
      <c r="T442">
        <v>3.26</v>
      </c>
      <c r="U442">
        <v>38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2</v>
      </c>
      <c r="AF442">
        <v>2</v>
      </c>
      <c r="AG442">
        <v>2</v>
      </c>
      <c r="AH442">
        <v>1</v>
      </c>
      <c r="AI442">
        <v>2</v>
      </c>
      <c r="AJ442">
        <v>2</v>
      </c>
      <c r="AK442">
        <v>1</v>
      </c>
      <c r="AL442">
        <v>1</v>
      </c>
      <c r="AM442">
        <v>2</v>
      </c>
      <c r="AN442">
        <v>2</v>
      </c>
      <c r="AO442">
        <v>17</v>
      </c>
      <c r="AY442">
        <f>SUM(Upload_Indiv[[#This Row],[Bird1]:[Bird9]])</f>
        <v>0</v>
      </c>
      <c r="BI442">
        <f>SUM(Upload_Indiv[[#This Row],[Eagle1]:[Eagle9]])</f>
        <v>0</v>
      </c>
    </row>
    <row r="443" spans="1:61" x14ac:dyDescent="0.25">
      <c r="A443" t="s">
        <v>512</v>
      </c>
      <c r="B443" t="s">
        <v>467</v>
      </c>
      <c r="C443" s="119">
        <v>45796</v>
      </c>
      <c r="D443" t="s">
        <v>26</v>
      </c>
      <c r="E443" t="s">
        <v>28</v>
      </c>
      <c r="F443" t="s">
        <v>406</v>
      </c>
      <c r="G443">
        <v>2</v>
      </c>
      <c r="H443" t="s">
        <v>311</v>
      </c>
      <c r="I443" t="s">
        <v>407</v>
      </c>
      <c r="J443">
        <v>5</v>
      </c>
      <c r="K443">
        <v>3</v>
      </c>
      <c r="L443">
        <v>5</v>
      </c>
      <c r="M443">
        <v>5</v>
      </c>
      <c r="N443">
        <v>4</v>
      </c>
      <c r="O443">
        <v>5</v>
      </c>
      <c r="P443">
        <v>3</v>
      </c>
      <c r="Q443">
        <v>4</v>
      </c>
      <c r="R443">
        <v>6</v>
      </c>
      <c r="S443">
        <v>40</v>
      </c>
      <c r="T443">
        <v>4.42</v>
      </c>
      <c r="U443">
        <v>36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1</v>
      </c>
      <c r="AF443">
        <v>2</v>
      </c>
      <c r="AG443">
        <v>2</v>
      </c>
      <c r="AH443">
        <v>0</v>
      </c>
      <c r="AI443">
        <v>2</v>
      </c>
      <c r="AJ443">
        <v>2</v>
      </c>
      <c r="AK443">
        <v>1</v>
      </c>
      <c r="AL443">
        <v>1</v>
      </c>
      <c r="AM443">
        <v>2</v>
      </c>
      <c r="AN443">
        <v>2</v>
      </c>
      <c r="AO443">
        <v>15</v>
      </c>
      <c r="AY443">
        <f>SUM(Upload_Indiv[[#This Row],[Bird1]:[Bird9]])</f>
        <v>0</v>
      </c>
      <c r="BI443">
        <f>SUM(Upload_Indiv[[#This Row],[Eagle1]:[Eagle9]])</f>
        <v>0</v>
      </c>
    </row>
    <row r="444" spans="1:61" x14ac:dyDescent="0.25">
      <c r="A444" t="s">
        <v>512</v>
      </c>
      <c r="B444" t="s">
        <v>467</v>
      </c>
      <c r="C444" s="119">
        <v>45796</v>
      </c>
      <c r="D444" t="s">
        <v>26</v>
      </c>
      <c r="E444" t="s">
        <v>28</v>
      </c>
      <c r="F444" t="s">
        <v>406</v>
      </c>
      <c r="G444">
        <v>3</v>
      </c>
      <c r="H444" t="s">
        <v>100</v>
      </c>
      <c r="I444" t="s">
        <v>407</v>
      </c>
      <c r="J444">
        <v>4</v>
      </c>
      <c r="K444">
        <v>5</v>
      </c>
      <c r="L444">
        <v>5</v>
      </c>
      <c r="M444">
        <v>7</v>
      </c>
      <c r="N444">
        <v>7</v>
      </c>
      <c r="O444">
        <v>8</v>
      </c>
      <c r="P444">
        <v>4</v>
      </c>
      <c r="Q444">
        <v>4</v>
      </c>
      <c r="R444">
        <v>7</v>
      </c>
      <c r="S444">
        <v>51</v>
      </c>
      <c r="T444">
        <v>5.38</v>
      </c>
      <c r="U444">
        <v>46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1</v>
      </c>
      <c r="AF444">
        <v>2</v>
      </c>
      <c r="AG444">
        <v>0</v>
      </c>
      <c r="AH444">
        <v>0</v>
      </c>
      <c r="AI444">
        <v>1</v>
      </c>
      <c r="AJ444">
        <v>2</v>
      </c>
      <c r="AK444">
        <v>0</v>
      </c>
      <c r="AL444">
        <v>0</v>
      </c>
      <c r="AM444">
        <v>0</v>
      </c>
      <c r="AN444">
        <v>0</v>
      </c>
      <c r="AO444">
        <v>6</v>
      </c>
      <c r="AY444">
        <f>SUM(Upload_Indiv[[#This Row],[Bird1]:[Bird9]])</f>
        <v>0</v>
      </c>
      <c r="BI444">
        <f>SUM(Upload_Indiv[[#This Row],[Eagle1]:[Eagle9]])</f>
        <v>0</v>
      </c>
    </row>
    <row r="445" spans="1:61" x14ac:dyDescent="0.25">
      <c r="A445" t="s">
        <v>512</v>
      </c>
      <c r="B445" t="s">
        <v>467</v>
      </c>
      <c r="C445" s="119">
        <v>45796</v>
      </c>
      <c r="D445" t="s">
        <v>26</v>
      </c>
      <c r="E445" t="s">
        <v>28</v>
      </c>
      <c r="F445" t="s">
        <v>406</v>
      </c>
      <c r="G445">
        <v>4</v>
      </c>
      <c r="H445" t="s">
        <v>309</v>
      </c>
      <c r="I445" t="s">
        <v>407</v>
      </c>
      <c r="J445">
        <v>7</v>
      </c>
      <c r="K445">
        <v>4</v>
      </c>
      <c r="L445">
        <v>5</v>
      </c>
      <c r="M445">
        <v>8</v>
      </c>
      <c r="N445">
        <v>4</v>
      </c>
      <c r="O445">
        <v>5</v>
      </c>
      <c r="P445">
        <v>4</v>
      </c>
      <c r="Q445">
        <v>5</v>
      </c>
      <c r="R445">
        <v>7</v>
      </c>
      <c r="S445">
        <v>49</v>
      </c>
      <c r="T445">
        <v>15.74</v>
      </c>
      <c r="U445">
        <v>33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2</v>
      </c>
      <c r="AG445">
        <v>2</v>
      </c>
      <c r="AH445">
        <v>0</v>
      </c>
      <c r="AI445">
        <v>2</v>
      </c>
      <c r="AJ445">
        <v>2</v>
      </c>
      <c r="AK445">
        <v>2</v>
      </c>
      <c r="AL445">
        <v>2</v>
      </c>
      <c r="AM445">
        <v>2</v>
      </c>
      <c r="AN445">
        <v>2</v>
      </c>
      <c r="AO445">
        <v>16</v>
      </c>
      <c r="AY445">
        <f>SUM(Upload_Indiv[[#This Row],[Bird1]:[Bird9]])</f>
        <v>0</v>
      </c>
      <c r="BI445">
        <f>SUM(Upload_Indiv[[#This Row],[Eagle1]:[Eagle9]])</f>
        <v>0</v>
      </c>
    </row>
    <row r="446" spans="1:61" x14ac:dyDescent="0.25">
      <c r="A446" t="s">
        <v>512</v>
      </c>
      <c r="B446" t="s">
        <v>467</v>
      </c>
      <c r="C446" s="119">
        <v>45796</v>
      </c>
      <c r="D446" t="s">
        <v>28</v>
      </c>
      <c r="E446" t="s">
        <v>26</v>
      </c>
      <c r="F446" t="s">
        <v>406</v>
      </c>
      <c r="G446">
        <v>1</v>
      </c>
      <c r="H446" t="s">
        <v>320</v>
      </c>
      <c r="I446" t="s">
        <v>407</v>
      </c>
      <c r="J446">
        <v>9</v>
      </c>
      <c r="K446">
        <v>6</v>
      </c>
      <c r="L446">
        <v>6</v>
      </c>
      <c r="M446">
        <v>7</v>
      </c>
      <c r="N446">
        <v>7</v>
      </c>
      <c r="O446">
        <v>8</v>
      </c>
      <c r="P446">
        <v>4</v>
      </c>
      <c r="Q446">
        <v>7</v>
      </c>
      <c r="R446">
        <v>10</v>
      </c>
      <c r="S446">
        <v>64</v>
      </c>
      <c r="T446">
        <v>14.4</v>
      </c>
      <c r="U446">
        <v>50</v>
      </c>
      <c r="V446">
        <v>1</v>
      </c>
      <c r="W446">
        <v>1</v>
      </c>
      <c r="X446">
        <v>1</v>
      </c>
      <c r="Y446">
        <v>2</v>
      </c>
      <c r="Z446">
        <v>1</v>
      </c>
      <c r="AA446">
        <v>1</v>
      </c>
      <c r="AB446">
        <v>1</v>
      </c>
      <c r="AC446">
        <v>2</v>
      </c>
      <c r="AD446">
        <v>1</v>
      </c>
      <c r="AE446">
        <v>0</v>
      </c>
      <c r="AF446">
        <v>0</v>
      </c>
      <c r="AG446">
        <v>0</v>
      </c>
      <c r="AH446">
        <v>1</v>
      </c>
      <c r="AI446">
        <v>0</v>
      </c>
      <c r="AJ446">
        <v>0</v>
      </c>
      <c r="AK446">
        <v>1</v>
      </c>
      <c r="AL446">
        <v>1</v>
      </c>
      <c r="AM446">
        <v>0</v>
      </c>
      <c r="AN446">
        <v>0</v>
      </c>
      <c r="AO446">
        <v>3</v>
      </c>
      <c r="AY446">
        <f>SUM(Upload_Indiv[[#This Row],[Bird1]:[Bird9]])</f>
        <v>0</v>
      </c>
      <c r="BI446">
        <f>SUM(Upload_Indiv[[#This Row],[Eagle1]:[Eagle9]])</f>
        <v>0</v>
      </c>
    </row>
    <row r="447" spans="1:61" x14ac:dyDescent="0.25">
      <c r="A447" t="s">
        <v>512</v>
      </c>
      <c r="B447" t="s">
        <v>467</v>
      </c>
      <c r="C447" s="119">
        <v>45796</v>
      </c>
      <c r="D447" t="s">
        <v>28</v>
      </c>
      <c r="E447" t="s">
        <v>26</v>
      </c>
      <c r="F447" t="s">
        <v>406</v>
      </c>
      <c r="G447">
        <v>2</v>
      </c>
      <c r="H447" t="s">
        <v>315</v>
      </c>
      <c r="I447" t="s">
        <v>407</v>
      </c>
      <c r="J447">
        <v>6</v>
      </c>
      <c r="K447">
        <v>7</v>
      </c>
      <c r="L447">
        <v>7</v>
      </c>
      <c r="M447">
        <v>6</v>
      </c>
      <c r="N447">
        <v>7</v>
      </c>
      <c r="O447">
        <v>8</v>
      </c>
      <c r="P447">
        <v>4</v>
      </c>
      <c r="Q447">
        <v>6</v>
      </c>
      <c r="R447">
        <v>8</v>
      </c>
      <c r="S447">
        <v>59</v>
      </c>
      <c r="T447">
        <v>15.17</v>
      </c>
      <c r="U447">
        <v>44</v>
      </c>
      <c r="V447">
        <v>1</v>
      </c>
      <c r="W447">
        <v>1</v>
      </c>
      <c r="X447">
        <v>1</v>
      </c>
      <c r="Y447">
        <v>2</v>
      </c>
      <c r="Z447">
        <v>1</v>
      </c>
      <c r="AA447">
        <v>1</v>
      </c>
      <c r="AB447">
        <v>1</v>
      </c>
      <c r="AC447">
        <v>2</v>
      </c>
      <c r="AD447">
        <v>1</v>
      </c>
      <c r="AE447">
        <v>1</v>
      </c>
      <c r="AF447">
        <v>0</v>
      </c>
      <c r="AG447">
        <v>0</v>
      </c>
      <c r="AH447">
        <v>2</v>
      </c>
      <c r="AI447">
        <v>0</v>
      </c>
      <c r="AJ447">
        <v>0</v>
      </c>
      <c r="AK447">
        <v>1</v>
      </c>
      <c r="AL447">
        <v>1</v>
      </c>
      <c r="AM447">
        <v>0</v>
      </c>
      <c r="AN447">
        <v>0</v>
      </c>
      <c r="AO447">
        <v>5</v>
      </c>
      <c r="AY447">
        <f>SUM(Upload_Indiv[[#This Row],[Bird1]:[Bird9]])</f>
        <v>0</v>
      </c>
      <c r="BI447">
        <f>SUM(Upload_Indiv[[#This Row],[Eagle1]:[Eagle9]])</f>
        <v>0</v>
      </c>
    </row>
    <row r="448" spans="1:61" x14ac:dyDescent="0.25">
      <c r="A448" t="s">
        <v>512</v>
      </c>
      <c r="B448" t="s">
        <v>467</v>
      </c>
      <c r="C448" s="119">
        <v>45796</v>
      </c>
      <c r="D448" t="s">
        <v>28</v>
      </c>
      <c r="E448" t="s">
        <v>26</v>
      </c>
      <c r="F448" t="s">
        <v>406</v>
      </c>
      <c r="G448">
        <v>3</v>
      </c>
      <c r="H448" t="s">
        <v>317</v>
      </c>
      <c r="I448" t="s">
        <v>407</v>
      </c>
      <c r="J448">
        <v>5</v>
      </c>
      <c r="K448">
        <v>7</v>
      </c>
      <c r="L448">
        <v>5</v>
      </c>
      <c r="M448">
        <v>8</v>
      </c>
      <c r="N448">
        <v>8</v>
      </c>
      <c r="O448">
        <v>10</v>
      </c>
      <c r="P448">
        <v>4</v>
      </c>
      <c r="Q448">
        <v>5</v>
      </c>
      <c r="R448">
        <v>6</v>
      </c>
      <c r="S448">
        <v>58</v>
      </c>
      <c r="T448">
        <v>16.7</v>
      </c>
      <c r="U448">
        <v>41</v>
      </c>
      <c r="V448">
        <v>1</v>
      </c>
      <c r="W448">
        <v>1</v>
      </c>
      <c r="X448">
        <v>1</v>
      </c>
      <c r="Y448">
        <v>2</v>
      </c>
      <c r="Z448">
        <v>1</v>
      </c>
      <c r="AA448">
        <v>1</v>
      </c>
      <c r="AB448">
        <v>1</v>
      </c>
      <c r="AC448">
        <v>2</v>
      </c>
      <c r="AD448">
        <v>1</v>
      </c>
      <c r="AE448">
        <v>1</v>
      </c>
      <c r="AF448">
        <v>0</v>
      </c>
      <c r="AG448">
        <v>2</v>
      </c>
      <c r="AH448">
        <v>2</v>
      </c>
      <c r="AI448">
        <v>1</v>
      </c>
      <c r="AJ448">
        <v>0</v>
      </c>
      <c r="AK448">
        <v>2</v>
      </c>
      <c r="AL448">
        <v>2</v>
      </c>
      <c r="AM448">
        <v>2</v>
      </c>
      <c r="AN448">
        <v>2</v>
      </c>
      <c r="AO448">
        <v>14</v>
      </c>
      <c r="AY448">
        <f>SUM(Upload_Indiv[[#This Row],[Bird1]:[Bird9]])</f>
        <v>0</v>
      </c>
      <c r="BI448">
        <f>SUM(Upload_Indiv[[#This Row],[Eagle1]:[Eagle9]])</f>
        <v>0</v>
      </c>
    </row>
    <row r="449" spans="1:61" x14ac:dyDescent="0.25">
      <c r="A449" t="s">
        <v>512</v>
      </c>
      <c r="B449" t="s">
        <v>467</v>
      </c>
      <c r="C449" s="119">
        <v>45796</v>
      </c>
      <c r="D449" t="s">
        <v>28</v>
      </c>
      <c r="E449" t="s">
        <v>26</v>
      </c>
      <c r="F449" t="s">
        <v>406</v>
      </c>
      <c r="G449">
        <v>4</v>
      </c>
      <c r="H449" t="s">
        <v>101</v>
      </c>
      <c r="I449" t="s">
        <v>407</v>
      </c>
      <c r="J449">
        <v>6</v>
      </c>
      <c r="K449">
        <v>6</v>
      </c>
      <c r="L449">
        <v>6</v>
      </c>
      <c r="M449">
        <v>8</v>
      </c>
      <c r="N449">
        <v>6</v>
      </c>
      <c r="O449">
        <v>10</v>
      </c>
      <c r="P449">
        <v>6</v>
      </c>
      <c r="Q449">
        <v>9</v>
      </c>
      <c r="R449">
        <v>9</v>
      </c>
      <c r="S449">
        <v>66</v>
      </c>
      <c r="T449">
        <v>19.2</v>
      </c>
      <c r="U449">
        <v>47</v>
      </c>
      <c r="V449">
        <v>0</v>
      </c>
      <c r="W449">
        <v>0</v>
      </c>
      <c r="X449">
        <v>0</v>
      </c>
      <c r="Y449">
        <v>1</v>
      </c>
      <c r="Z449">
        <v>1</v>
      </c>
      <c r="AA449">
        <v>0</v>
      </c>
      <c r="AB449">
        <v>0</v>
      </c>
      <c r="AC449">
        <v>1</v>
      </c>
      <c r="AD449">
        <v>0</v>
      </c>
      <c r="AE449">
        <v>2</v>
      </c>
      <c r="AF449">
        <v>0</v>
      </c>
      <c r="AG449">
        <v>0</v>
      </c>
      <c r="AH449">
        <v>2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4</v>
      </c>
      <c r="AY449">
        <f>SUM(Upload_Indiv[[#This Row],[Bird1]:[Bird9]])</f>
        <v>0</v>
      </c>
      <c r="BI449">
        <f>SUM(Upload_Indiv[[#This Row],[Eagle1]:[Eagle9]])</f>
        <v>0</v>
      </c>
    </row>
    <row r="450" spans="1:61" x14ac:dyDescent="0.25">
      <c r="A450" t="s">
        <v>515</v>
      </c>
      <c r="B450" t="s">
        <v>467</v>
      </c>
      <c r="C450" s="119">
        <v>45796</v>
      </c>
      <c r="D450" t="s">
        <v>20</v>
      </c>
      <c r="E450" t="s">
        <v>30</v>
      </c>
      <c r="F450" t="s">
        <v>406</v>
      </c>
      <c r="G450">
        <v>1</v>
      </c>
      <c r="H450" t="s">
        <v>153</v>
      </c>
      <c r="I450" t="s">
        <v>407</v>
      </c>
      <c r="J450">
        <v>4</v>
      </c>
      <c r="K450">
        <v>5</v>
      </c>
      <c r="L450">
        <v>5</v>
      </c>
      <c r="M450">
        <v>5</v>
      </c>
      <c r="N450">
        <v>5</v>
      </c>
      <c r="O450">
        <v>5</v>
      </c>
      <c r="P450">
        <v>3</v>
      </c>
      <c r="Q450">
        <v>5</v>
      </c>
      <c r="R450">
        <v>8</v>
      </c>
      <c r="S450">
        <v>45</v>
      </c>
      <c r="T450">
        <v>5.95</v>
      </c>
      <c r="U450">
        <v>39</v>
      </c>
      <c r="V450">
        <v>0</v>
      </c>
      <c r="W450">
        <v>1</v>
      </c>
      <c r="X450">
        <v>0</v>
      </c>
      <c r="Y450">
        <v>1</v>
      </c>
      <c r="Z450">
        <v>1</v>
      </c>
      <c r="AA450">
        <v>1</v>
      </c>
      <c r="AB450">
        <v>0</v>
      </c>
      <c r="AC450">
        <v>1</v>
      </c>
      <c r="AD450">
        <v>1</v>
      </c>
      <c r="AE450">
        <v>1</v>
      </c>
      <c r="AF450">
        <v>0</v>
      </c>
      <c r="AG450">
        <v>0</v>
      </c>
      <c r="AH450">
        <v>2</v>
      </c>
      <c r="AI450">
        <v>1</v>
      </c>
      <c r="AJ450">
        <v>2</v>
      </c>
      <c r="AK450">
        <v>1</v>
      </c>
      <c r="AL450">
        <v>2</v>
      </c>
      <c r="AM450">
        <v>0</v>
      </c>
      <c r="AN450">
        <v>0</v>
      </c>
      <c r="AO450">
        <v>9</v>
      </c>
      <c r="AY450">
        <f>SUM(Upload_Indiv[[#This Row],[Bird1]:[Bird9]])</f>
        <v>0</v>
      </c>
      <c r="BI450">
        <f>SUM(Upload_Indiv[[#This Row],[Eagle1]:[Eagle9]])</f>
        <v>0</v>
      </c>
    </row>
    <row r="451" spans="1:61" x14ac:dyDescent="0.25">
      <c r="A451" t="s">
        <v>515</v>
      </c>
      <c r="B451" t="s">
        <v>467</v>
      </c>
      <c r="C451" s="119">
        <v>45796</v>
      </c>
      <c r="D451" t="s">
        <v>20</v>
      </c>
      <c r="E451" t="s">
        <v>30</v>
      </c>
      <c r="F451" t="s">
        <v>406</v>
      </c>
      <c r="G451">
        <v>2</v>
      </c>
      <c r="H451" t="s">
        <v>283</v>
      </c>
      <c r="I451" t="s">
        <v>407</v>
      </c>
      <c r="J451">
        <v>6</v>
      </c>
      <c r="K451">
        <v>4</v>
      </c>
      <c r="L451">
        <v>5</v>
      </c>
      <c r="M451">
        <v>5</v>
      </c>
      <c r="N451">
        <v>5</v>
      </c>
      <c r="O451">
        <v>5</v>
      </c>
      <c r="P451">
        <v>4</v>
      </c>
      <c r="Q451">
        <v>5</v>
      </c>
      <c r="R451">
        <v>8</v>
      </c>
      <c r="S451">
        <v>47</v>
      </c>
      <c r="T451">
        <v>6.53</v>
      </c>
      <c r="U451">
        <v>40</v>
      </c>
      <c r="V451">
        <v>1</v>
      </c>
      <c r="W451">
        <v>1</v>
      </c>
      <c r="X451">
        <v>0</v>
      </c>
      <c r="Y451">
        <v>1</v>
      </c>
      <c r="Z451">
        <v>1</v>
      </c>
      <c r="AA451">
        <v>1</v>
      </c>
      <c r="AB451">
        <v>0</v>
      </c>
      <c r="AC451">
        <v>1</v>
      </c>
      <c r="AD451">
        <v>1</v>
      </c>
      <c r="AE451">
        <v>0</v>
      </c>
      <c r="AF451">
        <v>1</v>
      </c>
      <c r="AG451">
        <v>0</v>
      </c>
      <c r="AH451">
        <v>2</v>
      </c>
      <c r="AI451">
        <v>1</v>
      </c>
      <c r="AJ451">
        <v>2</v>
      </c>
      <c r="AK451">
        <v>0</v>
      </c>
      <c r="AL451">
        <v>2</v>
      </c>
      <c r="AM451">
        <v>0</v>
      </c>
      <c r="AN451">
        <v>0</v>
      </c>
      <c r="AO451">
        <v>8</v>
      </c>
      <c r="AY451">
        <f>SUM(Upload_Indiv[[#This Row],[Bird1]:[Bird9]])</f>
        <v>0</v>
      </c>
      <c r="BI451">
        <f>SUM(Upload_Indiv[[#This Row],[Eagle1]:[Eagle9]])</f>
        <v>0</v>
      </c>
    </row>
    <row r="452" spans="1:61" x14ac:dyDescent="0.25">
      <c r="A452" t="s">
        <v>515</v>
      </c>
      <c r="B452" t="s">
        <v>467</v>
      </c>
      <c r="C452" s="119">
        <v>45796</v>
      </c>
      <c r="D452" t="s">
        <v>20</v>
      </c>
      <c r="E452" t="s">
        <v>30</v>
      </c>
      <c r="F452" t="s">
        <v>406</v>
      </c>
      <c r="G452">
        <v>3</v>
      </c>
      <c r="H452" t="s">
        <v>163</v>
      </c>
      <c r="I452" t="s">
        <v>407</v>
      </c>
      <c r="J452">
        <v>5</v>
      </c>
      <c r="K452">
        <v>4</v>
      </c>
      <c r="L452">
        <v>5</v>
      </c>
      <c r="M452">
        <v>5</v>
      </c>
      <c r="N452">
        <v>5</v>
      </c>
      <c r="O452">
        <v>5</v>
      </c>
      <c r="P452">
        <v>4</v>
      </c>
      <c r="Q452">
        <v>4</v>
      </c>
      <c r="R452">
        <v>9</v>
      </c>
      <c r="S452">
        <v>46</v>
      </c>
      <c r="T452">
        <v>8.26</v>
      </c>
      <c r="U452">
        <v>38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0</v>
      </c>
      <c r="AC452">
        <v>1</v>
      </c>
      <c r="AD452">
        <v>1</v>
      </c>
      <c r="AE452">
        <v>1</v>
      </c>
      <c r="AF452">
        <v>1</v>
      </c>
      <c r="AG452">
        <v>1</v>
      </c>
      <c r="AH452">
        <v>2</v>
      </c>
      <c r="AI452">
        <v>1</v>
      </c>
      <c r="AJ452">
        <v>2</v>
      </c>
      <c r="AK452">
        <v>0</v>
      </c>
      <c r="AL452">
        <v>2</v>
      </c>
      <c r="AM452">
        <v>0</v>
      </c>
      <c r="AN452">
        <v>1</v>
      </c>
      <c r="AO452">
        <v>11</v>
      </c>
      <c r="AY452">
        <f>SUM(Upload_Indiv[[#This Row],[Bird1]:[Bird9]])</f>
        <v>0</v>
      </c>
      <c r="BI452">
        <f>SUM(Upload_Indiv[[#This Row],[Eagle1]:[Eagle9]])</f>
        <v>0</v>
      </c>
    </row>
    <row r="453" spans="1:61" x14ac:dyDescent="0.25">
      <c r="A453" t="s">
        <v>515</v>
      </c>
      <c r="B453" t="s">
        <v>467</v>
      </c>
      <c r="C453" s="119">
        <v>45796</v>
      </c>
      <c r="D453" t="s">
        <v>20</v>
      </c>
      <c r="E453" t="s">
        <v>30</v>
      </c>
      <c r="F453" t="s">
        <v>406</v>
      </c>
      <c r="G453">
        <v>4</v>
      </c>
      <c r="H453" t="s">
        <v>513</v>
      </c>
      <c r="I453" t="s">
        <v>407</v>
      </c>
      <c r="J453">
        <v>4</v>
      </c>
      <c r="K453">
        <v>5</v>
      </c>
      <c r="L453">
        <v>5</v>
      </c>
      <c r="M453">
        <v>5</v>
      </c>
      <c r="N453">
        <v>6</v>
      </c>
      <c r="O453">
        <v>7</v>
      </c>
      <c r="P453">
        <v>4</v>
      </c>
      <c r="Q453">
        <v>6</v>
      </c>
      <c r="R453">
        <v>6</v>
      </c>
      <c r="S453">
        <v>48</v>
      </c>
      <c r="T453">
        <v>9.52</v>
      </c>
      <c r="U453">
        <v>38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2</v>
      </c>
      <c r="AD453">
        <v>1</v>
      </c>
      <c r="AE453">
        <v>2</v>
      </c>
      <c r="AF453">
        <v>0</v>
      </c>
      <c r="AG453">
        <v>1</v>
      </c>
      <c r="AH453">
        <v>2</v>
      </c>
      <c r="AI453">
        <v>0</v>
      </c>
      <c r="AJ453">
        <v>0</v>
      </c>
      <c r="AK453">
        <v>1</v>
      </c>
      <c r="AL453">
        <v>2</v>
      </c>
      <c r="AM453">
        <v>1</v>
      </c>
      <c r="AN453">
        <v>1</v>
      </c>
      <c r="AO453">
        <v>10</v>
      </c>
      <c r="AY453">
        <f>SUM(Upload_Indiv[[#This Row],[Bird1]:[Bird9]])</f>
        <v>0</v>
      </c>
      <c r="BI453">
        <f>SUM(Upload_Indiv[[#This Row],[Eagle1]:[Eagle9]])</f>
        <v>0</v>
      </c>
    </row>
    <row r="454" spans="1:61" x14ac:dyDescent="0.25">
      <c r="A454" t="s">
        <v>515</v>
      </c>
      <c r="B454" t="s">
        <v>467</v>
      </c>
      <c r="C454" s="119">
        <v>45796</v>
      </c>
      <c r="D454" t="s">
        <v>30</v>
      </c>
      <c r="E454" t="s">
        <v>20</v>
      </c>
      <c r="F454" t="s">
        <v>406</v>
      </c>
      <c r="G454">
        <v>1</v>
      </c>
      <c r="H454" t="s">
        <v>323</v>
      </c>
      <c r="I454" t="s">
        <v>407</v>
      </c>
      <c r="J454">
        <v>4</v>
      </c>
      <c r="K454">
        <v>3</v>
      </c>
      <c r="L454">
        <v>4</v>
      </c>
      <c r="M454">
        <v>5</v>
      </c>
      <c r="N454">
        <v>4</v>
      </c>
      <c r="O454">
        <v>5</v>
      </c>
      <c r="P454">
        <v>3</v>
      </c>
      <c r="Q454">
        <v>5</v>
      </c>
      <c r="R454">
        <v>5</v>
      </c>
      <c r="S454">
        <v>38</v>
      </c>
      <c r="T454">
        <v>0</v>
      </c>
      <c r="U454">
        <v>38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1</v>
      </c>
      <c r="AF454">
        <v>2</v>
      </c>
      <c r="AG454">
        <v>2</v>
      </c>
      <c r="AH454">
        <v>0</v>
      </c>
      <c r="AI454">
        <v>1</v>
      </c>
      <c r="AJ454">
        <v>0</v>
      </c>
      <c r="AK454">
        <v>1</v>
      </c>
      <c r="AL454">
        <v>0</v>
      </c>
      <c r="AM454">
        <v>2</v>
      </c>
      <c r="AN454">
        <v>2</v>
      </c>
      <c r="AO454">
        <v>11</v>
      </c>
      <c r="AY454">
        <f>SUM(Upload_Indiv[[#This Row],[Bird1]:[Bird9]])</f>
        <v>0</v>
      </c>
      <c r="BI454">
        <f>SUM(Upload_Indiv[[#This Row],[Eagle1]:[Eagle9]])</f>
        <v>0</v>
      </c>
    </row>
    <row r="455" spans="1:61" x14ac:dyDescent="0.25">
      <c r="A455" t="s">
        <v>515</v>
      </c>
      <c r="B455" t="s">
        <v>467</v>
      </c>
      <c r="C455" s="119">
        <v>45796</v>
      </c>
      <c r="D455" t="s">
        <v>30</v>
      </c>
      <c r="E455" t="s">
        <v>20</v>
      </c>
      <c r="F455" t="s">
        <v>406</v>
      </c>
      <c r="G455">
        <v>2</v>
      </c>
      <c r="H455" t="s">
        <v>324</v>
      </c>
      <c r="I455" t="s">
        <v>407</v>
      </c>
      <c r="J455">
        <v>4</v>
      </c>
      <c r="K455">
        <v>3</v>
      </c>
      <c r="L455">
        <v>4</v>
      </c>
      <c r="M455">
        <v>5</v>
      </c>
      <c r="N455">
        <v>4</v>
      </c>
      <c r="O455">
        <v>5</v>
      </c>
      <c r="P455">
        <v>3</v>
      </c>
      <c r="Q455">
        <v>5</v>
      </c>
      <c r="R455">
        <v>5</v>
      </c>
      <c r="S455">
        <v>38</v>
      </c>
      <c r="T455">
        <v>0</v>
      </c>
      <c r="U455">
        <v>38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2</v>
      </c>
      <c r="AF455">
        <v>1</v>
      </c>
      <c r="AG455">
        <v>2</v>
      </c>
      <c r="AH455">
        <v>0</v>
      </c>
      <c r="AI455">
        <v>1</v>
      </c>
      <c r="AJ455">
        <v>0</v>
      </c>
      <c r="AK455">
        <v>2</v>
      </c>
      <c r="AL455">
        <v>0</v>
      </c>
      <c r="AM455">
        <v>2</v>
      </c>
      <c r="AN455">
        <v>2</v>
      </c>
      <c r="AO455">
        <v>12</v>
      </c>
      <c r="AY455">
        <f>SUM(Upload_Indiv[[#This Row],[Bird1]:[Bird9]])</f>
        <v>0</v>
      </c>
      <c r="BI455">
        <f>SUM(Upload_Indiv[[#This Row],[Eagle1]:[Eagle9]])</f>
        <v>0</v>
      </c>
    </row>
    <row r="456" spans="1:61" x14ac:dyDescent="0.25">
      <c r="A456" t="s">
        <v>515</v>
      </c>
      <c r="B456" t="s">
        <v>467</v>
      </c>
      <c r="C456" s="119">
        <v>45796</v>
      </c>
      <c r="D456" t="s">
        <v>30</v>
      </c>
      <c r="E456" t="s">
        <v>20</v>
      </c>
      <c r="F456" t="s">
        <v>406</v>
      </c>
      <c r="G456">
        <v>3</v>
      </c>
      <c r="H456" t="s">
        <v>325</v>
      </c>
      <c r="I456" t="s">
        <v>407</v>
      </c>
      <c r="J456">
        <v>4</v>
      </c>
      <c r="K456">
        <v>3</v>
      </c>
      <c r="L456">
        <v>4</v>
      </c>
      <c r="M456">
        <v>5</v>
      </c>
      <c r="N456">
        <v>4</v>
      </c>
      <c r="O456">
        <v>5</v>
      </c>
      <c r="P456">
        <v>3</v>
      </c>
      <c r="Q456">
        <v>5</v>
      </c>
      <c r="R456">
        <v>5</v>
      </c>
      <c r="S456">
        <v>38</v>
      </c>
      <c r="T456">
        <v>0</v>
      </c>
      <c r="U456">
        <v>38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</v>
      </c>
      <c r="AF456">
        <v>1</v>
      </c>
      <c r="AG456">
        <v>1</v>
      </c>
      <c r="AH456">
        <v>0</v>
      </c>
      <c r="AI456">
        <v>1</v>
      </c>
      <c r="AJ456">
        <v>0</v>
      </c>
      <c r="AK456">
        <v>2</v>
      </c>
      <c r="AL456">
        <v>0</v>
      </c>
      <c r="AM456">
        <v>2</v>
      </c>
      <c r="AN456">
        <v>1</v>
      </c>
      <c r="AO456">
        <v>9</v>
      </c>
      <c r="AY456">
        <f>SUM(Upload_Indiv[[#This Row],[Bird1]:[Bird9]])</f>
        <v>0</v>
      </c>
      <c r="BI456">
        <f>SUM(Upload_Indiv[[#This Row],[Eagle1]:[Eagle9]])</f>
        <v>0</v>
      </c>
    </row>
    <row r="457" spans="1:61" x14ac:dyDescent="0.25">
      <c r="A457" t="s">
        <v>515</v>
      </c>
      <c r="B457" t="s">
        <v>467</v>
      </c>
      <c r="C457" s="119">
        <v>45796</v>
      </c>
      <c r="D457" t="s">
        <v>30</v>
      </c>
      <c r="E457" t="s">
        <v>20</v>
      </c>
      <c r="F457" t="s">
        <v>406</v>
      </c>
      <c r="G457">
        <v>4</v>
      </c>
      <c r="H457" t="s">
        <v>326</v>
      </c>
      <c r="I457" t="s">
        <v>407</v>
      </c>
      <c r="J457">
        <v>4</v>
      </c>
      <c r="K457">
        <v>3</v>
      </c>
      <c r="L457">
        <v>4</v>
      </c>
      <c r="M457">
        <v>5</v>
      </c>
      <c r="N457">
        <v>4</v>
      </c>
      <c r="O457">
        <v>5</v>
      </c>
      <c r="P457">
        <v>3</v>
      </c>
      <c r="Q457">
        <v>5</v>
      </c>
      <c r="R457">
        <v>5</v>
      </c>
      <c r="S457">
        <v>38</v>
      </c>
      <c r="T457">
        <v>0</v>
      </c>
      <c r="U457">
        <v>38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2</v>
      </c>
      <c r="AG457">
        <v>1</v>
      </c>
      <c r="AH457">
        <v>0</v>
      </c>
      <c r="AI457">
        <v>2</v>
      </c>
      <c r="AJ457">
        <v>2</v>
      </c>
      <c r="AK457">
        <v>1</v>
      </c>
      <c r="AL457">
        <v>0</v>
      </c>
      <c r="AM457">
        <v>1</v>
      </c>
      <c r="AN457">
        <v>1</v>
      </c>
      <c r="AO457">
        <v>10</v>
      </c>
      <c r="AY457">
        <f>SUM(Upload_Indiv[[#This Row],[Bird1]:[Bird9]])</f>
        <v>0</v>
      </c>
      <c r="BI457">
        <f>SUM(Upload_Indiv[[#This Row],[Eagle1]:[Eagle9]])</f>
        <v>0</v>
      </c>
    </row>
    <row r="458" spans="1:61" x14ac:dyDescent="0.25">
      <c r="A458" t="s">
        <v>516</v>
      </c>
      <c r="B458" t="s">
        <v>467</v>
      </c>
      <c r="C458" s="119">
        <v>45796</v>
      </c>
      <c r="D458" t="s">
        <v>16</v>
      </c>
      <c r="E458" t="s">
        <v>24</v>
      </c>
      <c r="F458" t="s">
        <v>408</v>
      </c>
      <c r="G458">
        <v>1</v>
      </c>
      <c r="H458" t="s">
        <v>267</v>
      </c>
      <c r="I458" t="s">
        <v>407</v>
      </c>
      <c r="J458">
        <v>5</v>
      </c>
      <c r="K458">
        <v>6</v>
      </c>
      <c r="L458">
        <v>5</v>
      </c>
      <c r="M458">
        <v>4</v>
      </c>
      <c r="N458">
        <v>6</v>
      </c>
      <c r="O458">
        <v>5</v>
      </c>
      <c r="P458">
        <v>9</v>
      </c>
      <c r="Q458">
        <v>4</v>
      </c>
      <c r="R458">
        <v>5</v>
      </c>
      <c r="S458">
        <v>49</v>
      </c>
      <c r="T458">
        <v>10.94</v>
      </c>
      <c r="U458">
        <v>38</v>
      </c>
      <c r="V458">
        <v>1</v>
      </c>
      <c r="W458">
        <v>0</v>
      </c>
      <c r="X458">
        <v>1</v>
      </c>
      <c r="Y458">
        <v>0</v>
      </c>
      <c r="Z458">
        <v>0</v>
      </c>
      <c r="AA458">
        <v>1</v>
      </c>
      <c r="AB458">
        <v>0</v>
      </c>
      <c r="AC458">
        <v>0</v>
      </c>
      <c r="AD458">
        <v>1</v>
      </c>
      <c r="AE458">
        <v>2</v>
      </c>
      <c r="AF458">
        <v>2</v>
      </c>
      <c r="AG458">
        <v>2</v>
      </c>
      <c r="AH458">
        <v>1</v>
      </c>
      <c r="AI458">
        <v>0</v>
      </c>
      <c r="AJ458">
        <v>2</v>
      </c>
      <c r="AK458">
        <v>0</v>
      </c>
      <c r="AL458">
        <v>2</v>
      </c>
      <c r="AM458">
        <v>2</v>
      </c>
      <c r="AN458">
        <v>2</v>
      </c>
      <c r="AO458">
        <v>15</v>
      </c>
      <c r="AY458">
        <f>SUM(Upload_Indiv[[#This Row],[Bird1]:[Bird9]])</f>
        <v>0</v>
      </c>
      <c r="BI458">
        <f>SUM(Upload_Indiv[[#This Row],[Eagle1]:[Eagle9]])</f>
        <v>0</v>
      </c>
    </row>
    <row r="459" spans="1:61" x14ac:dyDescent="0.25">
      <c r="A459" t="s">
        <v>516</v>
      </c>
      <c r="B459" t="s">
        <v>467</v>
      </c>
      <c r="C459" s="119">
        <v>45796</v>
      </c>
      <c r="D459" t="s">
        <v>16</v>
      </c>
      <c r="E459" t="s">
        <v>24</v>
      </c>
      <c r="F459" t="s">
        <v>408</v>
      </c>
      <c r="G459">
        <v>2</v>
      </c>
      <c r="H459" t="s">
        <v>102</v>
      </c>
      <c r="I459" t="s">
        <v>407</v>
      </c>
      <c r="J459">
        <v>6</v>
      </c>
      <c r="K459">
        <v>7</v>
      </c>
      <c r="L459">
        <v>3</v>
      </c>
      <c r="M459">
        <v>5</v>
      </c>
      <c r="N459">
        <v>5</v>
      </c>
      <c r="O459">
        <v>6</v>
      </c>
      <c r="P459">
        <v>6</v>
      </c>
      <c r="Q459">
        <v>6</v>
      </c>
      <c r="R459">
        <v>5</v>
      </c>
      <c r="S459">
        <v>49</v>
      </c>
      <c r="T459">
        <v>11.9</v>
      </c>
      <c r="U459">
        <v>37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  <c r="AB459">
        <v>0</v>
      </c>
      <c r="AC459">
        <v>0</v>
      </c>
      <c r="AD459">
        <v>0</v>
      </c>
      <c r="AE459">
        <v>2</v>
      </c>
      <c r="AF459">
        <v>0</v>
      </c>
      <c r="AG459">
        <v>2</v>
      </c>
      <c r="AH459">
        <v>0</v>
      </c>
      <c r="AI459">
        <v>1</v>
      </c>
      <c r="AJ459">
        <v>1</v>
      </c>
      <c r="AK459">
        <v>2</v>
      </c>
      <c r="AL459">
        <v>0</v>
      </c>
      <c r="AM459">
        <v>2</v>
      </c>
      <c r="AN459">
        <v>2</v>
      </c>
      <c r="AO459">
        <v>12</v>
      </c>
      <c r="AR459">
        <v>1</v>
      </c>
      <c r="AY459">
        <f>SUM(Upload_Indiv[[#This Row],[Bird1]:[Bird9]])</f>
        <v>1</v>
      </c>
      <c r="BI459">
        <f>SUM(Upload_Indiv[[#This Row],[Eagle1]:[Eagle9]])</f>
        <v>0</v>
      </c>
    </row>
    <row r="460" spans="1:61" x14ac:dyDescent="0.25">
      <c r="A460" t="s">
        <v>516</v>
      </c>
      <c r="B460" t="s">
        <v>467</v>
      </c>
      <c r="C460" s="119">
        <v>45796</v>
      </c>
      <c r="D460" t="s">
        <v>16</v>
      </c>
      <c r="E460" t="s">
        <v>24</v>
      </c>
      <c r="F460" t="s">
        <v>408</v>
      </c>
      <c r="G460">
        <v>3</v>
      </c>
      <c r="H460" t="s">
        <v>484</v>
      </c>
      <c r="I460" t="s">
        <v>407</v>
      </c>
      <c r="J460">
        <v>6</v>
      </c>
      <c r="K460">
        <v>6</v>
      </c>
      <c r="L460">
        <v>4</v>
      </c>
      <c r="M460">
        <v>5</v>
      </c>
      <c r="N460">
        <v>7</v>
      </c>
      <c r="O460">
        <v>6</v>
      </c>
      <c r="P460">
        <v>10</v>
      </c>
      <c r="Q460">
        <v>6</v>
      </c>
      <c r="R460">
        <v>6</v>
      </c>
      <c r="S460">
        <v>56</v>
      </c>
      <c r="T460">
        <v>14.4</v>
      </c>
      <c r="U460">
        <v>42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2</v>
      </c>
      <c r="AF460">
        <v>2</v>
      </c>
      <c r="AG460">
        <v>2</v>
      </c>
      <c r="AH460">
        <v>2</v>
      </c>
      <c r="AI460">
        <v>0</v>
      </c>
      <c r="AJ460">
        <v>0</v>
      </c>
      <c r="AK460">
        <v>0</v>
      </c>
      <c r="AL460">
        <v>0</v>
      </c>
      <c r="AM460">
        <v>1</v>
      </c>
      <c r="AN460">
        <v>2</v>
      </c>
      <c r="AO460">
        <v>11</v>
      </c>
      <c r="AY460">
        <f>SUM(Upload_Indiv[[#This Row],[Bird1]:[Bird9]])</f>
        <v>0</v>
      </c>
      <c r="BI460">
        <f>SUM(Upload_Indiv[[#This Row],[Eagle1]:[Eagle9]])</f>
        <v>0</v>
      </c>
    </row>
    <row r="461" spans="1:61" x14ac:dyDescent="0.25">
      <c r="A461" t="s">
        <v>516</v>
      </c>
      <c r="B461" t="s">
        <v>467</v>
      </c>
      <c r="C461" s="119">
        <v>45796</v>
      </c>
      <c r="D461" t="s">
        <v>16</v>
      </c>
      <c r="E461" t="s">
        <v>24</v>
      </c>
      <c r="F461" t="s">
        <v>408</v>
      </c>
      <c r="G461">
        <v>4</v>
      </c>
      <c r="H461" t="s">
        <v>485</v>
      </c>
      <c r="I461" t="s">
        <v>407</v>
      </c>
      <c r="J461">
        <v>5</v>
      </c>
      <c r="K461">
        <v>8</v>
      </c>
      <c r="L461">
        <v>5</v>
      </c>
      <c r="M461">
        <v>4</v>
      </c>
      <c r="N461">
        <v>5</v>
      </c>
      <c r="O461">
        <v>6</v>
      </c>
      <c r="P461">
        <v>6</v>
      </c>
      <c r="Q461">
        <v>5</v>
      </c>
      <c r="R461">
        <v>9</v>
      </c>
      <c r="S461">
        <v>53</v>
      </c>
      <c r="T461">
        <v>15.36</v>
      </c>
      <c r="U461">
        <v>38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2</v>
      </c>
      <c r="AF461">
        <v>0</v>
      </c>
      <c r="AG461">
        <v>0</v>
      </c>
      <c r="AH461">
        <v>1</v>
      </c>
      <c r="AI461">
        <v>2</v>
      </c>
      <c r="AJ461">
        <v>1</v>
      </c>
      <c r="AK461">
        <v>2</v>
      </c>
      <c r="AL461">
        <v>0</v>
      </c>
      <c r="AM461">
        <v>0</v>
      </c>
      <c r="AN461">
        <v>0</v>
      </c>
      <c r="AO461">
        <v>8</v>
      </c>
      <c r="AY461">
        <f>SUM(Upload_Indiv[[#This Row],[Bird1]:[Bird9]])</f>
        <v>0</v>
      </c>
      <c r="BI461">
        <f>SUM(Upload_Indiv[[#This Row],[Eagle1]:[Eagle9]])</f>
        <v>0</v>
      </c>
    </row>
    <row r="462" spans="1:61" x14ac:dyDescent="0.25">
      <c r="A462" t="s">
        <v>516</v>
      </c>
      <c r="B462" t="s">
        <v>467</v>
      </c>
      <c r="C462" s="119">
        <v>45796</v>
      </c>
      <c r="D462" t="s">
        <v>24</v>
      </c>
      <c r="E462" t="s">
        <v>16</v>
      </c>
      <c r="F462" t="s">
        <v>408</v>
      </c>
      <c r="G462">
        <v>1</v>
      </c>
      <c r="H462" t="s">
        <v>298</v>
      </c>
      <c r="I462" t="s">
        <v>407</v>
      </c>
      <c r="J462">
        <v>6</v>
      </c>
      <c r="K462">
        <v>7</v>
      </c>
      <c r="L462">
        <v>6</v>
      </c>
      <c r="M462">
        <v>4</v>
      </c>
      <c r="N462">
        <v>5</v>
      </c>
      <c r="O462">
        <v>6</v>
      </c>
      <c r="P462">
        <v>7</v>
      </c>
      <c r="Q462">
        <v>6</v>
      </c>
      <c r="R462">
        <v>8</v>
      </c>
      <c r="S462">
        <v>55</v>
      </c>
      <c r="T462">
        <v>7.1</v>
      </c>
      <c r="U462">
        <v>48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1</v>
      </c>
      <c r="AI462">
        <v>2</v>
      </c>
      <c r="AJ462">
        <v>0</v>
      </c>
      <c r="AK462">
        <v>2</v>
      </c>
      <c r="AL462">
        <v>0</v>
      </c>
      <c r="AM462">
        <v>0</v>
      </c>
      <c r="AN462">
        <v>0</v>
      </c>
      <c r="AO462">
        <v>5</v>
      </c>
      <c r="AY462">
        <f>SUM(Upload_Indiv[[#This Row],[Bird1]:[Bird9]])</f>
        <v>0</v>
      </c>
      <c r="BI462">
        <f>SUM(Upload_Indiv[[#This Row],[Eagle1]:[Eagle9]])</f>
        <v>0</v>
      </c>
    </row>
    <row r="463" spans="1:61" x14ac:dyDescent="0.25">
      <c r="A463" t="s">
        <v>516</v>
      </c>
      <c r="B463" t="s">
        <v>467</v>
      </c>
      <c r="C463" s="119">
        <v>45796</v>
      </c>
      <c r="D463" t="s">
        <v>24</v>
      </c>
      <c r="E463" t="s">
        <v>16</v>
      </c>
      <c r="F463" t="s">
        <v>408</v>
      </c>
      <c r="G463">
        <v>2</v>
      </c>
      <c r="H463" t="s">
        <v>207</v>
      </c>
      <c r="I463" t="s">
        <v>407</v>
      </c>
      <c r="J463">
        <v>7</v>
      </c>
      <c r="K463">
        <v>6</v>
      </c>
      <c r="L463">
        <v>6</v>
      </c>
      <c r="M463">
        <v>4</v>
      </c>
      <c r="N463">
        <v>5</v>
      </c>
      <c r="O463">
        <v>5</v>
      </c>
      <c r="P463">
        <v>7</v>
      </c>
      <c r="Q463">
        <v>4</v>
      </c>
      <c r="R463">
        <v>6</v>
      </c>
      <c r="S463">
        <v>50</v>
      </c>
      <c r="T463">
        <v>10.56</v>
      </c>
      <c r="U463">
        <v>39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2</v>
      </c>
      <c r="AG463">
        <v>0</v>
      </c>
      <c r="AH463">
        <v>2</v>
      </c>
      <c r="AI463">
        <v>1</v>
      </c>
      <c r="AJ463">
        <v>1</v>
      </c>
      <c r="AK463">
        <v>0</v>
      </c>
      <c r="AL463">
        <v>2</v>
      </c>
      <c r="AM463">
        <v>0</v>
      </c>
      <c r="AN463">
        <v>0</v>
      </c>
      <c r="AO463">
        <v>8</v>
      </c>
      <c r="AY463">
        <f>SUM(Upload_Indiv[[#This Row],[Bird1]:[Bird9]])</f>
        <v>0</v>
      </c>
      <c r="BI463">
        <f>SUM(Upload_Indiv[[#This Row],[Eagle1]:[Eagle9]])</f>
        <v>0</v>
      </c>
    </row>
    <row r="464" spans="1:61" x14ac:dyDescent="0.25">
      <c r="A464" t="s">
        <v>516</v>
      </c>
      <c r="B464" t="s">
        <v>467</v>
      </c>
      <c r="C464" s="119">
        <v>45796</v>
      </c>
      <c r="D464" t="s">
        <v>24</v>
      </c>
      <c r="E464" t="s">
        <v>16</v>
      </c>
      <c r="F464" t="s">
        <v>408</v>
      </c>
      <c r="G464">
        <v>3</v>
      </c>
      <c r="H464" t="s">
        <v>106</v>
      </c>
      <c r="I464" t="s">
        <v>407</v>
      </c>
      <c r="J464">
        <v>7</v>
      </c>
      <c r="K464">
        <v>7</v>
      </c>
      <c r="L464">
        <v>8</v>
      </c>
      <c r="M464">
        <v>6</v>
      </c>
      <c r="N464">
        <v>6</v>
      </c>
      <c r="O464">
        <v>6</v>
      </c>
      <c r="P464">
        <v>9</v>
      </c>
      <c r="Q464">
        <v>3</v>
      </c>
      <c r="R464">
        <v>6</v>
      </c>
      <c r="S464">
        <v>58</v>
      </c>
      <c r="T464">
        <v>14.98</v>
      </c>
      <c r="U464">
        <v>43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1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2</v>
      </c>
      <c r="AJ464">
        <v>2</v>
      </c>
      <c r="AK464">
        <v>2</v>
      </c>
      <c r="AL464">
        <v>2</v>
      </c>
      <c r="AM464">
        <v>1</v>
      </c>
      <c r="AN464">
        <v>0</v>
      </c>
      <c r="AO464">
        <v>9</v>
      </c>
      <c r="AY464">
        <f>SUM(Upload_Indiv[[#This Row],[Bird1]:[Bird9]])</f>
        <v>0</v>
      </c>
      <c r="BI464">
        <f>SUM(Upload_Indiv[[#This Row],[Eagle1]:[Eagle9]])</f>
        <v>0</v>
      </c>
    </row>
    <row r="465" spans="1:61" x14ac:dyDescent="0.25">
      <c r="A465" t="s">
        <v>516</v>
      </c>
      <c r="B465" t="s">
        <v>467</v>
      </c>
      <c r="C465" s="119">
        <v>45796</v>
      </c>
      <c r="D465" t="s">
        <v>24</v>
      </c>
      <c r="E465" t="s">
        <v>16</v>
      </c>
      <c r="F465" t="s">
        <v>408</v>
      </c>
      <c r="G465">
        <v>4</v>
      </c>
      <c r="H465" t="s">
        <v>425</v>
      </c>
      <c r="I465" t="s">
        <v>407</v>
      </c>
      <c r="J465">
        <v>7</v>
      </c>
      <c r="K465">
        <v>6</v>
      </c>
      <c r="L465">
        <v>4</v>
      </c>
      <c r="M465">
        <v>4</v>
      </c>
      <c r="N465">
        <v>6</v>
      </c>
      <c r="O465">
        <v>6</v>
      </c>
      <c r="P465">
        <v>7</v>
      </c>
      <c r="Q465">
        <v>4</v>
      </c>
      <c r="R465">
        <v>7</v>
      </c>
      <c r="S465">
        <v>51</v>
      </c>
      <c r="T465">
        <v>15.84</v>
      </c>
      <c r="U465">
        <v>35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2</v>
      </c>
      <c r="AG465">
        <v>2</v>
      </c>
      <c r="AH465">
        <v>1</v>
      </c>
      <c r="AI465">
        <v>0</v>
      </c>
      <c r="AJ465">
        <v>1</v>
      </c>
      <c r="AK465">
        <v>0</v>
      </c>
      <c r="AL465">
        <v>2</v>
      </c>
      <c r="AM465">
        <v>2</v>
      </c>
      <c r="AN465">
        <v>2</v>
      </c>
      <c r="AO465">
        <v>12</v>
      </c>
      <c r="AY465">
        <f>SUM(Upload_Indiv[[#This Row],[Bird1]:[Bird9]])</f>
        <v>0</v>
      </c>
      <c r="BI465">
        <f>SUM(Upload_Indiv[[#This Row],[Eagle1]:[Eagle9]])</f>
        <v>0</v>
      </c>
    </row>
    <row r="466" spans="1:61" x14ac:dyDescent="0.25">
      <c r="A466" t="s">
        <v>517</v>
      </c>
      <c r="B466" t="s">
        <v>468</v>
      </c>
      <c r="C466" s="119">
        <v>45810</v>
      </c>
      <c r="D466" t="s">
        <v>22</v>
      </c>
      <c r="E466" t="s">
        <v>28</v>
      </c>
      <c r="F466" t="s">
        <v>408</v>
      </c>
      <c r="G466">
        <v>1</v>
      </c>
      <c r="H466" t="s">
        <v>156</v>
      </c>
      <c r="I466" t="s">
        <v>407</v>
      </c>
      <c r="J466">
        <v>5</v>
      </c>
      <c r="K466">
        <v>5</v>
      </c>
      <c r="L466">
        <v>5</v>
      </c>
      <c r="M466">
        <v>4</v>
      </c>
      <c r="N466">
        <v>6</v>
      </c>
      <c r="O466">
        <v>7</v>
      </c>
      <c r="P466">
        <v>8</v>
      </c>
      <c r="Q466">
        <v>4</v>
      </c>
      <c r="R466">
        <v>6</v>
      </c>
      <c r="S466">
        <v>50</v>
      </c>
      <c r="T466">
        <v>4.22</v>
      </c>
      <c r="U466">
        <v>46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</v>
      </c>
      <c r="AG466">
        <v>2</v>
      </c>
      <c r="AH466">
        <v>2</v>
      </c>
      <c r="AI466">
        <v>0</v>
      </c>
      <c r="AJ466">
        <v>0</v>
      </c>
      <c r="AK466">
        <v>0</v>
      </c>
      <c r="AL466">
        <v>1</v>
      </c>
      <c r="AM466">
        <v>1</v>
      </c>
      <c r="AN466">
        <v>0</v>
      </c>
      <c r="AO466">
        <v>7</v>
      </c>
      <c r="AY466">
        <f>SUM(Upload_Indiv[[#This Row],[Bird1]:[Bird9]])</f>
        <v>0</v>
      </c>
      <c r="BI466">
        <f>SUM(Upload_Indiv[[#This Row],[Eagle1]:[Eagle9]])</f>
        <v>0</v>
      </c>
    </row>
    <row r="467" spans="1:61" x14ac:dyDescent="0.25">
      <c r="A467" t="s">
        <v>517</v>
      </c>
      <c r="B467" t="s">
        <v>468</v>
      </c>
      <c r="C467" s="119">
        <v>45810</v>
      </c>
      <c r="D467" t="s">
        <v>22</v>
      </c>
      <c r="E467" t="s">
        <v>28</v>
      </c>
      <c r="F467" t="s">
        <v>408</v>
      </c>
      <c r="G467">
        <v>2</v>
      </c>
      <c r="H467" t="s">
        <v>155</v>
      </c>
      <c r="I467" t="s">
        <v>407</v>
      </c>
      <c r="J467">
        <v>4</v>
      </c>
      <c r="K467">
        <v>7</v>
      </c>
      <c r="L467">
        <v>5</v>
      </c>
      <c r="M467">
        <v>4</v>
      </c>
      <c r="N467">
        <v>5</v>
      </c>
      <c r="O467">
        <v>6</v>
      </c>
      <c r="P467">
        <v>9</v>
      </c>
      <c r="Q467">
        <v>3</v>
      </c>
      <c r="R467">
        <v>3</v>
      </c>
      <c r="S467">
        <v>46</v>
      </c>
      <c r="T467">
        <v>7.3</v>
      </c>
      <c r="U467">
        <v>39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2</v>
      </c>
      <c r="AF467">
        <v>0</v>
      </c>
      <c r="AG467">
        <v>2</v>
      </c>
      <c r="AH467">
        <v>1</v>
      </c>
      <c r="AI467">
        <v>2</v>
      </c>
      <c r="AJ467">
        <v>0</v>
      </c>
      <c r="AK467">
        <v>0</v>
      </c>
      <c r="AL467">
        <v>2</v>
      </c>
      <c r="AM467">
        <v>2</v>
      </c>
      <c r="AN467">
        <v>2</v>
      </c>
      <c r="AO467">
        <v>13</v>
      </c>
      <c r="AX467">
        <v>1</v>
      </c>
      <c r="AY467">
        <f>SUM(Upload_Indiv[[#This Row],[Bird1]:[Bird9]])</f>
        <v>1</v>
      </c>
      <c r="BI467">
        <f>SUM(Upload_Indiv[[#This Row],[Eagle1]:[Eagle9]])</f>
        <v>0</v>
      </c>
    </row>
    <row r="468" spans="1:61" x14ac:dyDescent="0.25">
      <c r="A468" t="s">
        <v>517</v>
      </c>
      <c r="B468" t="s">
        <v>468</v>
      </c>
      <c r="C468" s="119">
        <v>45810</v>
      </c>
      <c r="D468" t="s">
        <v>22</v>
      </c>
      <c r="E468" t="s">
        <v>28</v>
      </c>
      <c r="F468" t="s">
        <v>408</v>
      </c>
      <c r="G468">
        <v>3</v>
      </c>
      <c r="H468" t="s">
        <v>148</v>
      </c>
      <c r="I468" t="s">
        <v>407</v>
      </c>
      <c r="J468">
        <v>6</v>
      </c>
      <c r="K468">
        <v>5</v>
      </c>
      <c r="L468">
        <v>5</v>
      </c>
      <c r="M468">
        <v>5</v>
      </c>
      <c r="N468">
        <v>5</v>
      </c>
      <c r="O468">
        <v>8</v>
      </c>
      <c r="P468">
        <v>7</v>
      </c>
      <c r="Q468">
        <v>6</v>
      </c>
      <c r="R468">
        <v>5</v>
      </c>
      <c r="S468">
        <v>52</v>
      </c>
      <c r="T468">
        <v>13.44</v>
      </c>
      <c r="U468">
        <v>39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2</v>
      </c>
      <c r="AG468">
        <v>1</v>
      </c>
      <c r="AH468">
        <v>0</v>
      </c>
      <c r="AI468">
        <v>2</v>
      </c>
      <c r="AJ468">
        <v>0</v>
      </c>
      <c r="AK468">
        <v>2</v>
      </c>
      <c r="AL468">
        <v>0</v>
      </c>
      <c r="AM468">
        <v>1</v>
      </c>
      <c r="AN468">
        <v>0</v>
      </c>
      <c r="AO468">
        <v>8</v>
      </c>
      <c r="AY468">
        <f>SUM(Upload_Indiv[[#This Row],[Bird1]:[Bird9]])</f>
        <v>0</v>
      </c>
      <c r="BI468">
        <f>SUM(Upload_Indiv[[#This Row],[Eagle1]:[Eagle9]])</f>
        <v>0</v>
      </c>
    </row>
    <row r="469" spans="1:61" x14ac:dyDescent="0.25">
      <c r="A469" t="s">
        <v>517</v>
      </c>
      <c r="B469" t="s">
        <v>468</v>
      </c>
      <c r="C469" s="119">
        <v>45810</v>
      </c>
      <c r="D469" t="s">
        <v>22</v>
      </c>
      <c r="E469" t="s">
        <v>28</v>
      </c>
      <c r="F469" t="s">
        <v>408</v>
      </c>
      <c r="G469">
        <v>4</v>
      </c>
      <c r="H469" t="s">
        <v>158</v>
      </c>
      <c r="I469" t="s">
        <v>407</v>
      </c>
      <c r="J469">
        <v>6</v>
      </c>
      <c r="K469">
        <v>7</v>
      </c>
      <c r="L469">
        <v>7</v>
      </c>
      <c r="M469">
        <v>4</v>
      </c>
      <c r="N469">
        <v>6</v>
      </c>
      <c r="O469">
        <v>7</v>
      </c>
      <c r="P469">
        <v>6</v>
      </c>
      <c r="Q469">
        <v>5</v>
      </c>
      <c r="R469">
        <v>5</v>
      </c>
      <c r="S469">
        <v>53</v>
      </c>
      <c r="T469">
        <v>14.59</v>
      </c>
      <c r="U469">
        <v>38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2</v>
      </c>
      <c r="AG469">
        <v>0</v>
      </c>
      <c r="AH469">
        <v>2</v>
      </c>
      <c r="AI469">
        <v>0</v>
      </c>
      <c r="AJ469">
        <v>0</v>
      </c>
      <c r="AK469">
        <v>0</v>
      </c>
      <c r="AL469">
        <v>0</v>
      </c>
      <c r="AM469">
        <v>1</v>
      </c>
      <c r="AN469">
        <v>0</v>
      </c>
      <c r="AO469">
        <v>5</v>
      </c>
      <c r="AY469">
        <f>SUM(Upload_Indiv[[#This Row],[Bird1]:[Bird9]])</f>
        <v>0</v>
      </c>
      <c r="BI469">
        <f>SUM(Upload_Indiv[[#This Row],[Eagle1]:[Eagle9]])</f>
        <v>0</v>
      </c>
    </row>
    <row r="470" spans="1:61" x14ac:dyDescent="0.25">
      <c r="A470" t="s">
        <v>517</v>
      </c>
      <c r="B470" t="s">
        <v>468</v>
      </c>
      <c r="C470" s="119">
        <v>45810</v>
      </c>
      <c r="D470" t="s">
        <v>28</v>
      </c>
      <c r="E470" t="s">
        <v>22</v>
      </c>
      <c r="F470" t="s">
        <v>408</v>
      </c>
      <c r="G470">
        <v>1</v>
      </c>
      <c r="H470" t="s">
        <v>234</v>
      </c>
      <c r="I470" t="s">
        <v>407</v>
      </c>
      <c r="J470">
        <v>5</v>
      </c>
      <c r="K470">
        <v>6</v>
      </c>
      <c r="L470">
        <v>7</v>
      </c>
      <c r="M470">
        <v>6</v>
      </c>
      <c r="N470">
        <v>5</v>
      </c>
      <c r="O470">
        <v>6</v>
      </c>
      <c r="P470">
        <v>7</v>
      </c>
      <c r="Q470">
        <v>5</v>
      </c>
      <c r="R470">
        <v>7</v>
      </c>
      <c r="S470">
        <v>54</v>
      </c>
      <c r="T470">
        <v>11.52</v>
      </c>
      <c r="U470">
        <v>42</v>
      </c>
      <c r="V470">
        <v>1</v>
      </c>
      <c r="W470">
        <v>1</v>
      </c>
      <c r="X470">
        <v>1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2</v>
      </c>
      <c r="AF470">
        <v>1</v>
      </c>
      <c r="AG470">
        <v>0</v>
      </c>
      <c r="AH470">
        <v>0</v>
      </c>
      <c r="AI470">
        <v>2</v>
      </c>
      <c r="AJ470">
        <v>2</v>
      </c>
      <c r="AK470">
        <v>2</v>
      </c>
      <c r="AL470">
        <v>1</v>
      </c>
      <c r="AM470">
        <v>1</v>
      </c>
      <c r="AN470">
        <v>2</v>
      </c>
      <c r="AO470">
        <v>13</v>
      </c>
      <c r="AY470">
        <f>SUM(Upload_Indiv[[#This Row],[Bird1]:[Bird9]])</f>
        <v>0</v>
      </c>
      <c r="BI470">
        <f>SUM(Upload_Indiv[[#This Row],[Eagle1]:[Eagle9]])</f>
        <v>0</v>
      </c>
    </row>
    <row r="471" spans="1:61" x14ac:dyDescent="0.25">
      <c r="A471" t="s">
        <v>517</v>
      </c>
      <c r="B471" t="s">
        <v>468</v>
      </c>
      <c r="C471" s="119">
        <v>45810</v>
      </c>
      <c r="D471" t="s">
        <v>28</v>
      </c>
      <c r="E471" t="s">
        <v>22</v>
      </c>
      <c r="F471" t="s">
        <v>408</v>
      </c>
      <c r="G471">
        <v>2</v>
      </c>
      <c r="H471" t="s">
        <v>315</v>
      </c>
      <c r="I471" t="s">
        <v>407</v>
      </c>
      <c r="J471">
        <v>8</v>
      </c>
      <c r="K471">
        <v>6</v>
      </c>
      <c r="L471">
        <v>9</v>
      </c>
      <c r="M471">
        <v>5</v>
      </c>
      <c r="N471">
        <v>6</v>
      </c>
      <c r="O471">
        <v>6</v>
      </c>
      <c r="P471">
        <v>8</v>
      </c>
      <c r="Q471">
        <v>6</v>
      </c>
      <c r="R471">
        <v>7</v>
      </c>
      <c r="S471">
        <v>61</v>
      </c>
      <c r="T471">
        <v>15.17</v>
      </c>
      <c r="U471">
        <v>46</v>
      </c>
      <c r="V471">
        <v>1</v>
      </c>
      <c r="W471">
        <v>1</v>
      </c>
      <c r="X471">
        <v>1</v>
      </c>
      <c r="Y471">
        <v>1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0</v>
      </c>
      <c r="AF471">
        <v>2</v>
      </c>
      <c r="AG471">
        <v>0</v>
      </c>
      <c r="AH471">
        <v>1</v>
      </c>
      <c r="AI471">
        <v>0</v>
      </c>
      <c r="AJ471">
        <v>2</v>
      </c>
      <c r="AK471">
        <v>2</v>
      </c>
      <c r="AL471">
        <v>0</v>
      </c>
      <c r="AM471">
        <v>0</v>
      </c>
      <c r="AN471">
        <v>0</v>
      </c>
      <c r="AO471">
        <v>7</v>
      </c>
      <c r="AY471">
        <f>SUM(Upload_Indiv[[#This Row],[Bird1]:[Bird9]])</f>
        <v>0</v>
      </c>
      <c r="BI471">
        <f>SUM(Upload_Indiv[[#This Row],[Eagle1]:[Eagle9]])</f>
        <v>0</v>
      </c>
    </row>
    <row r="472" spans="1:61" x14ac:dyDescent="0.25">
      <c r="A472" t="s">
        <v>517</v>
      </c>
      <c r="B472" t="s">
        <v>468</v>
      </c>
      <c r="C472" s="119">
        <v>45810</v>
      </c>
      <c r="D472" t="s">
        <v>28</v>
      </c>
      <c r="E472" t="s">
        <v>22</v>
      </c>
      <c r="F472" t="s">
        <v>408</v>
      </c>
      <c r="G472">
        <v>3</v>
      </c>
      <c r="H472" t="s">
        <v>320</v>
      </c>
      <c r="I472" t="s">
        <v>407</v>
      </c>
      <c r="J472">
        <v>6</v>
      </c>
      <c r="K472">
        <v>7</v>
      </c>
      <c r="L472">
        <v>5</v>
      </c>
      <c r="M472">
        <v>4</v>
      </c>
      <c r="N472">
        <v>7</v>
      </c>
      <c r="O472">
        <v>6</v>
      </c>
      <c r="P472">
        <v>8</v>
      </c>
      <c r="Q472">
        <v>5</v>
      </c>
      <c r="R472">
        <v>5</v>
      </c>
      <c r="S472">
        <v>53</v>
      </c>
      <c r="T472">
        <v>15.36</v>
      </c>
      <c r="U472">
        <v>38</v>
      </c>
      <c r="V472">
        <v>1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0</v>
      </c>
      <c r="AC472">
        <v>0</v>
      </c>
      <c r="AD472">
        <v>0</v>
      </c>
      <c r="AE472">
        <v>2</v>
      </c>
      <c r="AF472">
        <v>0</v>
      </c>
      <c r="AG472">
        <v>1</v>
      </c>
      <c r="AH472">
        <v>2</v>
      </c>
      <c r="AI472">
        <v>0</v>
      </c>
      <c r="AJ472">
        <v>2</v>
      </c>
      <c r="AK472">
        <v>0</v>
      </c>
      <c r="AL472">
        <v>2</v>
      </c>
      <c r="AM472">
        <v>1</v>
      </c>
      <c r="AN472">
        <v>2</v>
      </c>
      <c r="AO472">
        <v>12</v>
      </c>
      <c r="AY472">
        <f>SUM(Upload_Indiv[[#This Row],[Bird1]:[Bird9]])</f>
        <v>0</v>
      </c>
      <c r="BI472">
        <f>SUM(Upload_Indiv[[#This Row],[Eagle1]:[Eagle9]])</f>
        <v>0</v>
      </c>
    </row>
    <row r="473" spans="1:61" x14ac:dyDescent="0.25">
      <c r="A473" t="s">
        <v>517</v>
      </c>
      <c r="B473" t="s">
        <v>468</v>
      </c>
      <c r="C473" s="119">
        <v>45810</v>
      </c>
      <c r="D473" t="s">
        <v>28</v>
      </c>
      <c r="E473" t="s">
        <v>22</v>
      </c>
      <c r="F473" t="s">
        <v>408</v>
      </c>
      <c r="G473">
        <v>4</v>
      </c>
      <c r="H473" t="s">
        <v>101</v>
      </c>
      <c r="I473" t="s">
        <v>407</v>
      </c>
      <c r="J473">
        <v>6</v>
      </c>
      <c r="K473">
        <v>9</v>
      </c>
      <c r="L473">
        <v>6</v>
      </c>
      <c r="M473">
        <v>5</v>
      </c>
      <c r="N473">
        <v>5</v>
      </c>
      <c r="O473">
        <v>6</v>
      </c>
      <c r="P473">
        <v>6</v>
      </c>
      <c r="Q473">
        <v>4</v>
      </c>
      <c r="R473">
        <v>6</v>
      </c>
      <c r="S473">
        <v>53</v>
      </c>
      <c r="T473">
        <v>19.2</v>
      </c>
      <c r="U473">
        <v>34</v>
      </c>
      <c r="V473">
        <v>1</v>
      </c>
      <c r="W473">
        <v>0</v>
      </c>
      <c r="X473">
        <v>1</v>
      </c>
      <c r="Y473">
        <v>0</v>
      </c>
      <c r="Z473">
        <v>0</v>
      </c>
      <c r="AA473">
        <v>1</v>
      </c>
      <c r="AB473">
        <v>1</v>
      </c>
      <c r="AC473">
        <v>0</v>
      </c>
      <c r="AD473">
        <v>1</v>
      </c>
      <c r="AE473">
        <v>2</v>
      </c>
      <c r="AF473">
        <v>0</v>
      </c>
      <c r="AG473">
        <v>2</v>
      </c>
      <c r="AH473">
        <v>0</v>
      </c>
      <c r="AI473">
        <v>2</v>
      </c>
      <c r="AJ473">
        <v>2</v>
      </c>
      <c r="AK473">
        <v>2</v>
      </c>
      <c r="AL473">
        <v>2</v>
      </c>
      <c r="AM473">
        <v>1</v>
      </c>
      <c r="AN473">
        <v>2</v>
      </c>
      <c r="AO473">
        <v>15</v>
      </c>
      <c r="AY473">
        <f>SUM(Upload_Indiv[[#This Row],[Bird1]:[Bird9]])</f>
        <v>0</v>
      </c>
      <c r="BI473">
        <f>SUM(Upload_Indiv[[#This Row],[Eagle1]:[Eagle9]])</f>
        <v>0</v>
      </c>
    </row>
    <row r="474" spans="1:61" x14ac:dyDescent="0.25">
      <c r="A474" t="s">
        <v>518</v>
      </c>
      <c r="B474" t="s">
        <v>468</v>
      </c>
      <c r="C474" s="119">
        <v>45810</v>
      </c>
      <c r="D474" t="s">
        <v>26</v>
      </c>
      <c r="E474" t="s">
        <v>24</v>
      </c>
      <c r="F474" t="s">
        <v>406</v>
      </c>
      <c r="G474">
        <v>1</v>
      </c>
      <c r="H474" t="s">
        <v>146</v>
      </c>
      <c r="I474" t="s">
        <v>407</v>
      </c>
      <c r="J474">
        <v>5</v>
      </c>
      <c r="K474">
        <v>3</v>
      </c>
      <c r="L474">
        <v>4</v>
      </c>
      <c r="M474">
        <v>4</v>
      </c>
      <c r="N474">
        <v>3</v>
      </c>
      <c r="O474">
        <v>5</v>
      </c>
      <c r="P474">
        <v>4</v>
      </c>
      <c r="Q474">
        <v>5</v>
      </c>
      <c r="R474">
        <v>6</v>
      </c>
      <c r="S474">
        <v>39</v>
      </c>
      <c r="T474">
        <v>3.26</v>
      </c>
      <c r="U474">
        <v>36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</v>
      </c>
      <c r="AF474">
        <v>1</v>
      </c>
      <c r="AG474">
        <v>2</v>
      </c>
      <c r="AH474">
        <v>1</v>
      </c>
      <c r="AI474">
        <v>1</v>
      </c>
      <c r="AJ474">
        <v>2</v>
      </c>
      <c r="AK474">
        <v>0</v>
      </c>
      <c r="AL474">
        <v>0</v>
      </c>
      <c r="AM474">
        <v>2</v>
      </c>
      <c r="AN474">
        <v>2</v>
      </c>
      <c r="AO474">
        <v>12</v>
      </c>
      <c r="AT474">
        <v>1</v>
      </c>
      <c r="AY474">
        <f>SUM(Upload_Indiv[[#This Row],[Bird1]:[Bird9]])</f>
        <v>1</v>
      </c>
      <c r="BI474">
        <f>SUM(Upload_Indiv[[#This Row],[Eagle1]:[Eagle9]])</f>
        <v>0</v>
      </c>
    </row>
    <row r="475" spans="1:61" x14ac:dyDescent="0.25">
      <c r="A475" t="s">
        <v>518</v>
      </c>
      <c r="B475" t="s">
        <v>468</v>
      </c>
      <c r="C475" s="119">
        <v>45810</v>
      </c>
      <c r="D475" t="s">
        <v>26</v>
      </c>
      <c r="E475" t="s">
        <v>24</v>
      </c>
      <c r="F475" t="s">
        <v>406</v>
      </c>
      <c r="G475">
        <v>2</v>
      </c>
      <c r="H475" t="s">
        <v>311</v>
      </c>
      <c r="I475" t="s">
        <v>407</v>
      </c>
      <c r="J475">
        <v>3</v>
      </c>
      <c r="K475">
        <v>4</v>
      </c>
      <c r="L475">
        <v>6</v>
      </c>
      <c r="M475">
        <v>4</v>
      </c>
      <c r="N475">
        <v>6</v>
      </c>
      <c r="O475">
        <v>6</v>
      </c>
      <c r="P475">
        <v>3</v>
      </c>
      <c r="Q475">
        <v>4</v>
      </c>
      <c r="R475">
        <v>5</v>
      </c>
      <c r="S475">
        <v>41</v>
      </c>
      <c r="T475">
        <v>4.03</v>
      </c>
      <c r="U475">
        <v>37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1</v>
      </c>
      <c r="AF475">
        <v>2</v>
      </c>
      <c r="AG475">
        <v>0</v>
      </c>
      <c r="AH475">
        <v>0</v>
      </c>
      <c r="AI475">
        <v>0</v>
      </c>
      <c r="AJ475">
        <v>2</v>
      </c>
      <c r="AK475">
        <v>1</v>
      </c>
      <c r="AL475">
        <v>0</v>
      </c>
      <c r="AM475">
        <v>2</v>
      </c>
      <c r="AN475">
        <v>0</v>
      </c>
      <c r="AO475">
        <v>8</v>
      </c>
      <c r="AP475">
        <v>1</v>
      </c>
      <c r="AY475">
        <f>SUM(Upload_Indiv[[#This Row],[Bird1]:[Bird9]])</f>
        <v>1</v>
      </c>
      <c r="BI475">
        <f>SUM(Upload_Indiv[[#This Row],[Eagle1]:[Eagle9]])</f>
        <v>0</v>
      </c>
    </row>
    <row r="476" spans="1:61" x14ac:dyDescent="0.25">
      <c r="A476" t="s">
        <v>518</v>
      </c>
      <c r="B476" t="s">
        <v>468</v>
      </c>
      <c r="C476" s="119">
        <v>45810</v>
      </c>
      <c r="D476" t="s">
        <v>26</v>
      </c>
      <c r="E476" t="s">
        <v>24</v>
      </c>
      <c r="F476" t="s">
        <v>406</v>
      </c>
      <c r="G476">
        <v>3</v>
      </c>
      <c r="H476" t="s">
        <v>100</v>
      </c>
      <c r="I476" t="s">
        <v>407</v>
      </c>
      <c r="J476">
        <v>5</v>
      </c>
      <c r="K476">
        <v>5</v>
      </c>
      <c r="L476">
        <v>6</v>
      </c>
      <c r="M476">
        <v>5</v>
      </c>
      <c r="N476">
        <v>4</v>
      </c>
      <c r="O476">
        <v>5</v>
      </c>
      <c r="P476">
        <v>3</v>
      </c>
      <c r="Q476">
        <v>6</v>
      </c>
      <c r="R476">
        <v>7</v>
      </c>
      <c r="S476">
        <v>46</v>
      </c>
      <c r="T476">
        <v>5.38</v>
      </c>
      <c r="U476">
        <v>41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</v>
      </c>
      <c r="AF476">
        <v>0</v>
      </c>
      <c r="AG476">
        <v>1</v>
      </c>
      <c r="AH476">
        <v>0</v>
      </c>
      <c r="AI476">
        <v>2</v>
      </c>
      <c r="AJ476">
        <v>2</v>
      </c>
      <c r="AK476">
        <v>2</v>
      </c>
      <c r="AL476">
        <v>0</v>
      </c>
      <c r="AM476">
        <v>2</v>
      </c>
      <c r="AN476">
        <v>1</v>
      </c>
      <c r="AO476">
        <v>11</v>
      </c>
      <c r="AY476">
        <f>SUM(Upload_Indiv[[#This Row],[Bird1]:[Bird9]])</f>
        <v>0</v>
      </c>
      <c r="BI476">
        <f>SUM(Upload_Indiv[[#This Row],[Eagle1]:[Eagle9]])</f>
        <v>0</v>
      </c>
    </row>
    <row r="477" spans="1:61" x14ac:dyDescent="0.25">
      <c r="A477" t="s">
        <v>518</v>
      </c>
      <c r="B477" t="s">
        <v>468</v>
      </c>
      <c r="C477" s="119">
        <v>45810</v>
      </c>
      <c r="D477" t="s">
        <v>26</v>
      </c>
      <c r="E477" t="s">
        <v>24</v>
      </c>
      <c r="F477" t="s">
        <v>406</v>
      </c>
      <c r="G477">
        <v>4</v>
      </c>
      <c r="H477" t="s">
        <v>309</v>
      </c>
      <c r="I477" t="s">
        <v>407</v>
      </c>
      <c r="J477">
        <v>6</v>
      </c>
      <c r="K477">
        <v>5</v>
      </c>
      <c r="L477">
        <v>7</v>
      </c>
      <c r="M477">
        <v>7</v>
      </c>
      <c r="N477">
        <v>7</v>
      </c>
      <c r="O477">
        <v>7</v>
      </c>
      <c r="P477">
        <v>5</v>
      </c>
      <c r="Q477">
        <v>5</v>
      </c>
      <c r="R477">
        <v>6</v>
      </c>
      <c r="S477">
        <v>55</v>
      </c>
      <c r="T477">
        <v>14.98</v>
      </c>
      <c r="U477">
        <v>40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2</v>
      </c>
      <c r="AF477">
        <v>2</v>
      </c>
      <c r="AG477">
        <v>2</v>
      </c>
      <c r="AH477">
        <v>2</v>
      </c>
      <c r="AI477">
        <v>2</v>
      </c>
      <c r="AJ477">
        <v>2</v>
      </c>
      <c r="AK477">
        <v>2</v>
      </c>
      <c r="AL477">
        <v>2</v>
      </c>
      <c r="AM477">
        <v>2</v>
      </c>
      <c r="AN477">
        <v>2</v>
      </c>
      <c r="AO477">
        <v>20</v>
      </c>
      <c r="AY477">
        <f>SUM(Upload_Indiv[[#This Row],[Bird1]:[Bird9]])</f>
        <v>0</v>
      </c>
      <c r="BI477">
        <f>SUM(Upload_Indiv[[#This Row],[Eagle1]:[Eagle9]])</f>
        <v>0</v>
      </c>
    </row>
    <row r="478" spans="1:61" x14ac:dyDescent="0.25">
      <c r="A478" t="s">
        <v>518</v>
      </c>
      <c r="B478" t="s">
        <v>468</v>
      </c>
      <c r="C478" s="119">
        <v>45810</v>
      </c>
      <c r="D478" t="s">
        <v>24</v>
      </c>
      <c r="E478" t="s">
        <v>26</v>
      </c>
      <c r="F478" t="s">
        <v>406</v>
      </c>
      <c r="G478">
        <v>1</v>
      </c>
      <c r="H478" t="s">
        <v>298</v>
      </c>
      <c r="I478" t="s">
        <v>407</v>
      </c>
      <c r="J478">
        <v>5</v>
      </c>
      <c r="K478">
        <v>3</v>
      </c>
      <c r="L478">
        <v>5</v>
      </c>
      <c r="M478">
        <v>5</v>
      </c>
      <c r="N478">
        <v>4</v>
      </c>
      <c r="O478">
        <v>7</v>
      </c>
      <c r="P478">
        <v>3</v>
      </c>
      <c r="Q478">
        <v>5</v>
      </c>
      <c r="R478">
        <v>8</v>
      </c>
      <c r="S478">
        <v>45</v>
      </c>
      <c r="T478">
        <v>7.49</v>
      </c>
      <c r="U478">
        <v>38</v>
      </c>
      <c r="V478">
        <v>0</v>
      </c>
      <c r="W478">
        <v>0</v>
      </c>
      <c r="X478">
        <v>0</v>
      </c>
      <c r="Y478">
        <v>1</v>
      </c>
      <c r="Z478">
        <v>1</v>
      </c>
      <c r="AA478">
        <v>0</v>
      </c>
      <c r="AB478">
        <v>0</v>
      </c>
      <c r="AC478">
        <v>1</v>
      </c>
      <c r="AD478">
        <v>1</v>
      </c>
      <c r="AE478">
        <v>1</v>
      </c>
      <c r="AF478">
        <v>1</v>
      </c>
      <c r="AG478">
        <v>0</v>
      </c>
      <c r="AH478">
        <v>1</v>
      </c>
      <c r="AI478">
        <v>1</v>
      </c>
      <c r="AJ478">
        <v>0</v>
      </c>
      <c r="AK478">
        <v>2</v>
      </c>
      <c r="AL478">
        <v>2</v>
      </c>
      <c r="AM478">
        <v>0</v>
      </c>
      <c r="AN478">
        <v>0</v>
      </c>
      <c r="AO478">
        <v>8</v>
      </c>
      <c r="AY478">
        <f>SUM(Upload_Indiv[[#This Row],[Bird1]:[Bird9]])</f>
        <v>0</v>
      </c>
      <c r="BI478">
        <f>SUM(Upload_Indiv[[#This Row],[Eagle1]:[Eagle9]])</f>
        <v>0</v>
      </c>
    </row>
    <row r="479" spans="1:61" x14ac:dyDescent="0.25">
      <c r="A479" t="s">
        <v>518</v>
      </c>
      <c r="B479" t="s">
        <v>468</v>
      </c>
      <c r="C479" s="119">
        <v>45810</v>
      </c>
      <c r="D479" t="s">
        <v>24</v>
      </c>
      <c r="E479" t="s">
        <v>26</v>
      </c>
      <c r="F479" t="s">
        <v>406</v>
      </c>
      <c r="G479">
        <v>2</v>
      </c>
      <c r="H479" t="s">
        <v>425</v>
      </c>
      <c r="I479" t="s">
        <v>407</v>
      </c>
      <c r="J479">
        <v>4</v>
      </c>
      <c r="K479">
        <v>7</v>
      </c>
      <c r="L479">
        <v>6</v>
      </c>
      <c r="M479">
        <v>5</v>
      </c>
      <c r="N479">
        <v>5</v>
      </c>
      <c r="O479">
        <v>8</v>
      </c>
      <c r="P479">
        <v>4</v>
      </c>
      <c r="Q479">
        <v>5</v>
      </c>
      <c r="R479">
        <v>7</v>
      </c>
      <c r="S479">
        <v>51</v>
      </c>
      <c r="T479">
        <v>15.55</v>
      </c>
      <c r="U479">
        <v>35</v>
      </c>
      <c r="V479">
        <v>1</v>
      </c>
      <c r="W479">
        <v>1</v>
      </c>
      <c r="X479">
        <v>1</v>
      </c>
      <c r="Y479">
        <v>2</v>
      </c>
      <c r="Z479">
        <v>2</v>
      </c>
      <c r="AA479">
        <v>1</v>
      </c>
      <c r="AB479">
        <v>1</v>
      </c>
      <c r="AC479">
        <v>2</v>
      </c>
      <c r="AD479">
        <v>1</v>
      </c>
      <c r="AE479">
        <v>1</v>
      </c>
      <c r="AF479">
        <v>0</v>
      </c>
      <c r="AG479">
        <v>2</v>
      </c>
      <c r="AH479">
        <v>2</v>
      </c>
      <c r="AI479">
        <v>2</v>
      </c>
      <c r="AJ479">
        <v>0</v>
      </c>
      <c r="AK479">
        <v>1</v>
      </c>
      <c r="AL479">
        <v>2</v>
      </c>
      <c r="AM479">
        <v>0</v>
      </c>
      <c r="AN479">
        <v>2</v>
      </c>
      <c r="AO479">
        <v>12</v>
      </c>
      <c r="AY479">
        <f>SUM(Upload_Indiv[[#This Row],[Bird1]:[Bird9]])</f>
        <v>0</v>
      </c>
      <c r="BI479">
        <f>SUM(Upload_Indiv[[#This Row],[Eagle1]:[Eagle9]])</f>
        <v>0</v>
      </c>
    </row>
    <row r="480" spans="1:61" x14ac:dyDescent="0.25">
      <c r="A480" t="s">
        <v>518</v>
      </c>
      <c r="B480" t="s">
        <v>468</v>
      </c>
      <c r="C480" s="119">
        <v>45810</v>
      </c>
      <c r="D480" t="s">
        <v>24</v>
      </c>
      <c r="E480" t="s">
        <v>26</v>
      </c>
      <c r="F480" t="s">
        <v>406</v>
      </c>
      <c r="G480">
        <v>3</v>
      </c>
      <c r="H480" t="s">
        <v>106</v>
      </c>
      <c r="I480" t="s">
        <v>407</v>
      </c>
      <c r="J480">
        <v>6</v>
      </c>
      <c r="K480">
        <v>5</v>
      </c>
      <c r="L480">
        <v>7</v>
      </c>
      <c r="M480">
        <v>6</v>
      </c>
      <c r="N480">
        <v>7</v>
      </c>
      <c r="O480">
        <v>7</v>
      </c>
      <c r="P480">
        <v>5</v>
      </c>
      <c r="Q480">
        <v>5</v>
      </c>
      <c r="R480">
        <v>9</v>
      </c>
      <c r="S480">
        <v>57</v>
      </c>
      <c r="T480">
        <v>16.13</v>
      </c>
      <c r="U480">
        <v>41</v>
      </c>
      <c r="V480">
        <v>1</v>
      </c>
      <c r="W480">
        <v>1</v>
      </c>
      <c r="X480">
        <v>1</v>
      </c>
      <c r="Y480">
        <v>2</v>
      </c>
      <c r="Z480">
        <v>1</v>
      </c>
      <c r="AA480">
        <v>1</v>
      </c>
      <c r="AB480">
        <v>1</v>
      </c>
      <c r="AC480">
        <v>2</v>
      </c>
      <c r="AD480">
        <v>1</v>
      </c>
      <c r="AE480">
        <v>1</v>
      </c>
      <c r="AF480">
        <v>2</v>
      </c>
      <c r="AG480">
        <v>1</v>
      </c>
      <c r="AH480">
        <v>2</v>
      </c>
      <c r="AI480">
        <v>0</v>
      </c>
      <c r="AJ480">
        <v>0</v>
      </c>
      <c r="AK480">
        <v>0</v>
      </c>
      <c r="AL480">
        <v>2</v>
      </c>
      <c r="AM480">
        <v>0</v>
      </c>
      <c r="AN480">
        <v>1</v>
      </c>
      <c r="AO480">
        <v>9</v>
      </c>
      <c r="AY480">
        <f>SUM(Upload_Indiv[[#This Row],[Bird1]:[Bird9]])</f>
        <v>0</v>
      </c>
      <c r="BI480">
        <f>SUM(Upload_Indiv[[#This Row],[Eagle1]:[Eagle9]])</f>
        <v>0</v>
      </c>
    </row>
    <row r="481" spans="1:61" x14ac:dyDescent="0.25">
      <c r="A481" t="s">
        <v>518</v>
      </c>
      <c r="B481" t="s">
        <v>468</v>
      </c>
      <c r="C481" s="119">
        <v>45810</v>
      </c>
      <c r="D481" t="s">
        <v>24</v>
      </c>
      <c r="E481" t="s">
        <v>26</v>
      </c>
      <c r="F481" t="s">
        <v>406</v>
      </c>
      <c r="G481">
        <v>4</v>
      </c>
      <c r="H481" t="s">
        <v>479</v>
      </c>
      <c r="I481" t="s">
        <v>407</v>
      </c>
      <c r="J481">
        <v>9</v>
      </c>
      <c r="K481">
        <v>7</v>
      </c>
      <c r="L481">
        <v>8</v>
      </c>
      <c r="M481">
        <v>9</v>
      </c>
      <c r="N481">
        <v>9</v>
      </c>
      <c r="O481">
        <v>10</v>
      </c>
      <c r="P481">
        <v>6</v>
      </c>
      <c r="Q481">
        <v>8</v>
      </c>
      <c r="R481">
        <v>10</v>
      </c>
      <c r="S481">
        <v>76</v>
      </c>
      <c r="T481">
        <v>20</v>
      </c>
      <c r="U481">
        <v>56</v>
      </c>
      <c r="V481">
        <v>0</v>
      </c>
      <c r="W481">
        <v>0</v>
      </c>
      <c r="X481">
        <v>0</v>
      </c>
      <c r="Y481">
        <v>1</v>
      </c>
      <c r="Z481">
        <v>1</v>
      </c>
      <c r="AA481">
        <v>1</v>
      </c>
      <c r="AB481">
        <v>0</v>
      </c>
      <c r="AC481">
        <v>1</v>
      </c>
      <c r="AD481">
        <v>1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Y481">
        <f>SUM(Upload_Indiv[[#This Row],[Bird1]:[Bird9]])</f>
        <v>0</v>
      </c>
      <c r="BI481">
        <f>SUM(Upload_Indiv[[#This Row],[Eagle1]:[Eagle9]])</f>
        <v>0</v>
      </c>
    </row>
    <row r="482" spans="1:61" x14ac:dyDescent="0.25">
      <c r="A482" t="s">
        <v>519</v>
      </c>
      <c r="B482" t="s">
        <v>468</v>
      </c>
      <c r="C482" s="119">
        <v>45810</v>
      </c>
      <c r="D482" t="s">
        <v>16</v>
      </c>
      <c r="E482" t="s">
        <v>20</v>
      </c>
      <c r="F482" t="s">
        <v>408</v>
      </c>
      <c r="G482">
        <v>1</v>
      </c>
      <c r="H482" t="s">
        <v>267</v>
      </c>
      <c r="I482" t="s">
        <v>407</v>
      </c>
      <c r="J482">
        <v>7</v>
      </c>
      <c r="K482">
        <v>8</v>
      </c>
      <c r="L482">
        <v>6</v>
      </c>
      <c r="M482">
        <v>4</v>
      </c>
      <c r="N482">
        <v>8</v>
      </c>
      <c r="O482">
        <v>7</v>
      </c>
      <c r="P482">
        <v>9</v>
      </c>
      <c r="Q482">
        <v>6</v>
      </c>
      <c r="R482">
        <v>6</v>
      </c>
      <c r="S482">
        <v>61</v>
      </c>
      <c r="T482">
        <v>10.75</v>
      </c>
      <c r="U482">
        <v>50</v>
      </c>
      <c r="V482">
        <v>1</v>
      </c>
      <c r="W482">
        <v>0</v>
      </c>
      <c r="X482">
        <v>1</v>
      </c>
      <c r="Y482">
        <v>0</v>
      </c>
      <c r="Z482">
        <v>0</v>
      </c>
      <c r="AA482">
        <v>1</v>
      </c>
      <c r="AB482">
        <v>0</v>
      </c>
      <c r="AC482">
        <v>0</v>
      </c>
      <c r="AD482">
        <v>1</v>
      </c>
      <c r="AE482">
        <v>0</v>
      </c>
      <c r="AF482">
        <v>0</v>
      </c>
      <c r="AG482">
        <v>2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1</v>
      </c>
      <c r="AN482">
        <v>0</v>
      </c>
      <c r="AO482">
        <v>3</v>
      </c>
      <c r="AY482">
        <f>SUM(Upload_Indiv[[#This Row],[Bird1]:[Bird9]])</f>
        <v>0</v>
      </c>
      <c r="BI482">
        <f>SUM(Upload_Indiv[[#This Row],[Eagle1]:[Eagle9]])</f>
        <v>0</v>
      </c>
    </row>
    <row r="483" spans="1:61" x14ac:dyDescent="0.25">
      <c r="A483" t="s">
        <v>519</v>
      </c>
      <c r="B483" t="s">
        <v>468</v>
      </c>
      <c r="C483" s="119">
        <v>45810</v>
      </c>
      <c r="D483" t="s">
        <v>16</v>
      </c>
      <c r="E483" t="s">
        <v>20</v>
      </c>
      <c r="F483" t="s">
        <v>408</v>
      </c>
      <c r="G483">
        <v>2</v>
      </c>
      <c r="H483" t="s">
        <v>485</v>
      </c>
      <c r="I483" t="s">
        <v>407</v>
      </c>
      <c r="J483">
        <v>6</v>
      </c>
      <c r="K483">
        <v>5</v>
      </c>
      <c r="L483">
        <v>5</v>
      </c>
      <c r="M483">
        <v>4</v>
      </c>
      <c r="N483">
        <v>5</v>
      </c>
      <c r="O483">
        <v>4</v>
      </c>
      <c r="P483">
        <v>7</v>
      </c>
      <c r="Q483">
        <v>4</v>
      </c>
      <c r="R483">
        <v>5</v>
      </c>
      <c r="S483">
        <v>45</v>
      </c>
      <c r="T483">
        <v>8.64</v>
      </c>
      <c r="U483">
        <v>36</v>
      </c>
      <c r="V483">
        <v>1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0</v>
      </c>
      <c r="AC483">
        <v>0</v>
      </c>
      <c r="AD483">
        <v>0</v>
      </c>
      <c r="AE483">
        <v>1</v>
      </c>
      <c r="AF483">
        <v>1</v>
      </c>
      <c r="AG483">
        <v>1</v>
      </c>
      <c r="AH483">
        <v>1</v>
      </c>
      <c r="AI483">
        <v>1</v>
      </c>
      <c r="AJ483">
        <v>2</v>
      </c>
      <c r="AK483">
        <v>1</v>
      </c>
      <c r="AL483">
        <v>2</v>
      </c>
      <c r="AM483">
        <v>0</v>
      </c>
      <c r="AN483">
        <v>2</v>
      </c>
      <c r="AO483">
        <v>12</v>
      </c>
      <c r="AY483">
        <f>SUM(Upload_Indiv[[#This Row],[Bird1]:[Bird9]])</f>
        <v>0</v>
      </c>
      <c r="BI483">
        <f>SUM(Upload_Indiv[[#This Row],[Eagle1]:[Eagle9]])</f>
        <v>0</v>
      </c>
    </row>
    <row r="484" spans="1:61" x14ac:dyDescent="0.25">
      <c r="A484" t="s">
        <v>519</v>
      </c>
      <c r="B484" t="s">
        <v>468</v>
      </c>
      <c r="C484" s="119">
        <v>45810</v>
      </c>
      <c r="D484" t="s">
        <v>16</v>
      </c>
      <c r="E484" t="s">
        <v>20</v>
      </c>
      <c r="F484" t="s">
        <v>408</v>
      </c>
      <c r="G484">
        <v>3</v>
      </c>
      <c r="H484" t="s">
        <v>484</v>
      </c>
      <c r="I484" t="s">
        <v>407</v>
      </c>
      <c r="J484">
        <v>8</v>
      </c>
      <c r="K484">
        <v>7</v>
      </c>
      <c r="L484">
        <v>6</v>
      </c>
      <c r="M484">
        <v>4</v>
      </c>
      <c r="N484">
        <v>7</v>
      </c>
      <c r="O484">
        <v>4</v>
      </c>
      <c r="P484">
        <v>5</v>
      </c>
      <c r="Q484">
        <v>4</v>
      </c>
      <c r="R484">
        <v>6</v>
      </c>
      <c r="S484">
        <v>51</v>
      </c>
      <c r="T484">
        <v>16.32</v>
      </c>
      <c r="U484">
        <v>35</v>
      </c>
      <c r="V484">
        <v>1</v>
      </c>
      <c r="W484">
        <v>1</v>
      </c>
      <c r="X484">
        <v>1</v>
      </c>
      <c r="Y484">
        <v>1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0</v>
      </c>
      <c r="AF484">
        <v>2</v>
      </c>
      <c r="AG484">
        <v>0</v>
      </c>
      <c r="AH484">
        <v>2</v>
      </c>
      <c r="AI484">
        <v>0</v>
      </c>
      <c r="AJ484">
        <v>2</v>
      </c>
      <c r="AK484">
        <v>2</v>
      </c>
      <c r="AL484">
        <v>2</v>
      </c>
      <c r="AM484">
        <v>1</v>
      </c>
      <c r="AN484">
        <v>2</v>
      </c>
      <c r="AO484">
        <v>13</v>
      </c>
      <c r="AY484">
        <f>SUM(Upload_Indiv[[#This Row],[Bird1]:[Bird9]])</f>
        <v>0</v>
      </c>
      <c r="BI484">
        <f>SUM(Upload_Indiv[[#This Row],[Eagle1]:[Eagle9]])</f>
        <v>0</v>
      </c>
    </row>
    <row r="485" spans="1:61" x14ac:dyDescent="0.25">
      <c r="A485" t="s">
        <v>519</v>
      </c>
      <c r="B485" t="s">
        <v>468</v>
      </c>
      <c r="C485" s="119">
        <v>45810</v>
      </c>
      <c r="D485" t="s">
        <v>16</v>
      </c>
      <c r="E485" t="s">
        <v>20</v>
      </c>
      <c r="F485" t="s">
        <v>408</v>
      </c>
      <c r="G485">
        <v>4</v>
      </c>
      <c r="H485" t="s">
        <v>265</v>
      </c>
      <c r="I485" t="s">
        <v>407</v>
      </c>
      <c r="J485">
        <v>6</v>
      </c>
      <c r="K485">
        <v>8</v>
      </c>
      <c r="L485">
        <v>5</v>
      </c>
      <c r="M485">
        <v>5</v>
      </c>
      <c r="N485">
        <v>4</v>
      </c>
      <c r="O485">
        <v>8</v>
      </c>
      <c r="P485">
        <v>8</v>
      </c>
      <c r="Q485">
        <v>5</v>
      </c>
      <c r="R485">
        <v>6</v>
      </c>
      <c r="S485">
        <v>55</v>
      </c>
      <c r="T485">
        <v>18.43</v>
      </c>
      <c r="U485">
        <v>37</v>
      </c>
      <c r="V485">
        <v>1</v>
      </c>
      <c r="W485">
        <v>0</v>
      </c>
      <c r="X485">
        <v>1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2</v>
      </c>
      <c r="AF485">
        <v>0</v>
      </c>
      <c r="AG485">
        <v>2</v>
      </c>
      <c r="AH485">
        <v>2</v>
      </c>
      <c r="AI485">
        <v>2</v>
      </c>
      <c r="AJ485">
        <v>1</v>
      </c>
      <c r="AK485">
        <v>0</v>
      </c>
      <c r="AL485">
        <v>2</v>
      </c>
      <c r="AM485">
        <v>2</v>
      </c>
      <c r="AN485">
        <v>2</v>
      </c>
      <c r="AO485">
        <v>15</v>
      </c>
      <c r="AY485">
        <f>SUM(Upload_Indiv[[#This Row],[Bird1]:[Bird9]])</f>
        <v>0</v>
      </c>
      <c r="BI485">
        <f>SUM(Upload_Indiv[[#This Row],[Eagle1]:[Eagle9]])</f>
        <v>0</v>
      </c>
    </row>
    <row r="486" spans="1:61" x14ac:dyDescent="0.25">
      <c r="A486" t="s">
        <v>519</v>
      </c>
      <c r="B486" t="s">
        <v>468</v>
      </c>
      <c r="C486" s="119">
        <v>45810</v>
      </c>
      <c r="D486" t="s">
        <v>20</v>
      </c>
      <c r="E486" t="s">
        <v>16</v>
      </c>
      <c r="F486" t="s">
        <v>408</v>
      </c>
      <c r="G486">
        <v>1</v>
      </c>
      <c r="H486" t="s">
        <v>283</v>
      </c>
      <c r="I486" t="s">
        <v>407</v>
      </c>
      <c r="J486">
        <v>4</v>
      </c>
      <c r="K486">
        <v>6</v>
      </c>
      <c r="L486">
        <v>6</v>
      </c>
      <c r="M486">
        <v>3</v>
      </c>
      <c r="N486">
        <v>4</v>
      </c>
      <c r="O486">
        <v>5</v>
      </c>
      <c r="P486">
        <v>8</v>
      </c>
      <c r="Q486">
        <v>5</v>
      </c>
      <c r="R486">
        <v>5</v>
      </c>
      <c r="S486">
        <v>46</v>
      </c>
      <c r="T486">
        <v>6.53</v>
      </c>
      <c r="U486">
        <v>39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2</v>
      </c>
      <c r="AF486">
        <v>2</v>
      </c>
      <c r="AG486">
        <v>0</v>
      </c>
      <c r="AH486">
        <v>2</v>
      </c>
      <c r="AI486">
        <v>2</v>
      </c>
      <c r="AJ486">
        <v>2</v>
      </c>
      <c r="AK486">
        <v>2</v>
      </c>
      <c r="AL486">
        <v>2</v>
      </c>
      <c r="AM486">
        <v>1</v>
      </c>
      <c r="AN486">
        <v>2</v>
      </c>
      <c r="AO486">
        <v>17</v>
      </c>
      <c r="AY486">
        <f>SUM(Upload_Indiv[[#This Row],[Bird1]:[Bird9]])</f>
        <v>0</v>
      </c>
      <c r="BI486">
        <f>SUM(Upload_Indiv[[#This Row],[Eagle1]:[Eagle9]])</f>
        <v>0</v>
      </c>
    </row>
    <row r="487" spans="1:61" x14ac:dyDescent="0.25">
      <c r="A487" t="s">
        <v>519</v>
      </c>
      <c r="B487" t="s">
        <v>468</v>
      </c>
      <c r="C487" s="119">
        <v>45810</v>
      </c>
      <c r="D487" t="s">
        <v>20</v>
      </c>
      <c r="E487" t="s">
        <v>16</v>
      </c>
      <c r="F487" t="s">
        <v>408</v>
      </c>
      <c r="G487">
        <v>2</v>
      </c>
      <c r="H487" t="s">
        <v>153</v>
      </c>
      <c r="I487" t="s">
        <v>407</v>
      </c>
      <c r="J487">
        <v>5</v>
      </c>
      <c r="K487">
        <v>5</v>
      </c>
      <c r="L487">
        <v>5</v>
      </c>
      <c r="M487">
        <v>4</v>
      </c>
      <c r="N487">
        <v>5</v>
      </c>
      <c r="O487">
        <v>5</v>
      </c>
      <c r="P487">
        <v>7</v>
      </c>
      <c r="Q487">
        <v>5</v>
      </c>
      <c r="R487">
        <v>3</v>
      </c>
      <c r="S487">
        <v>44</v>
      </c>
      <c r="T487">
        <v>6.72</v>
      </c>
      <c r="U487">
        <v>37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1</v>
      </c>
      <c r="AF487">
        <v>1</v>
      </c>
      <c r="AG487">
        <v>1</v>
      </c>
      <c r="AH487">
        <v>1</v>
      </c>
      <c r="AI487">
        <v>1</v>
      </c>
      <c r="AJ487">
        <v>0</v>
      </c>
      <c r="AK487">
        <v>1</v>
      </c>
      <c r="AL487">
        <v>0</v>
      </c>
      <c r="AM487">
        <v>2</v>
      </c>
      <c r="AN487">
        <v>0</v>
      </c>
      <c r="AO487">
        <v>8</v>
      </c>
      <c r="AX487">
        <v>1</v>
      </c>
      <c r="AY487">
        <f>SUM(Upload_Indiv[[#This Row],[Bird1]:[Bird9]])</f>
        <v>1</v>
      </c>
      <c r="BI487">
        <f>SUM(Upload_Indiv[[#This Row],[Eagle1]:[Eagle9]])</f>
        <v>0</v>
      </c>
    </row>
    <row r="488" spans="1:61" x14ac:dyDescent="0.25">
      <c r="A488" t="s">
        <v>519</v>
      </c>
      <c r="B488" t="s">
        <v>468</v>
      </c>
      <c r="C488" s="119">
        <v>45810</v>
      </c>
      <c r="D488" t="s">
        <v>20</v>
      </c>
      <c r="E488" t="s">
        <v>16</v>
      </c>
      <c r="F488" t="s">
        <v>408</v>
      </c>
      <c r="G488">
        <v>3</v>
      </c>
      <c r="H488" t="s">
        <v>163</v>
      </c>
      <c r="I488" t="s">
        <v>407</v>
      </c>
      <c r="J488">
        <v>5</v>
      </c>
      <c r="K488">
        <v>7</v>
      </c>
      <c r="L488">
        <v>4</v>
      </c>
      <c r="M488">
        <v>4</v>
      </c>
      <c r="N488">
        <v>6</v>
      </c>
      <c r="O488">
        <v>7</v>
      </c>
      <c r="P488">
        <v>6</v>
      </c>
      <c r="Q488">
        <v>4</v>
      </c>
      <c r="R488">
        <v>5</v>
      </c>
      <c r="S488">
        <v>48</v>
      </c>
      <c r="T488">
        <v>8.26</v>
      </c>
      <c r="U488">
        <v>40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2</v>
      </c>
      <c r="AF488">
        <v>0</v>
      </c>
      <c r="AG488">
        <v>2</v>
      </c>
      <c r="AH488">
        <v>0</v>
      </c>
      <c r="AI488">
        <v>2</v>
      </c>
      <c r="AJ488">
        <v>0</v>
      </c>
      <c r="AK488">
        <v>0</v>
      </c>
      <c r="AL488">
        <v>0</v>
      </c>
      <c r="AM488">
        <v>1</v>
      </c>
      <c r="AN488">
        <v>0</v>
      </c>
      <c r="AO488">
        <v>7</v>
      </c>
      <c r="AY488">
        <f>SUM(Upload_Indiv[[#This Row],[Bird1]:[Bird9]])</f>
        <v>0</v>
      </c>
      <c r="BI488">
        <f>SUM(Upload_Indiv[[#This Row],[Eagle1]:[Eagle9]])</f>
        <v>0</v>
      </c>
    </row>
    <row r="489" spans="1:61" x14ac:dyDescent="0.25">
      <c r="A489" t="s">
        <v>519</v>
      </c>
      <c r="B489" t="s">
        <v>468</v>
      </c>
      <c r="C489" s="119">
        <v>45810</v>
      </c>
      <c r="D489" t="s">
        <v>20</v>
      </c>
      <c r="E489" t="s">
        <v>16</v>
      </c>
      <c r="F489" t="s">
        <v>408</v>
      </c>
      <c r="G489">
        <v>4</v>
      </c>
      <c r="H489" t="s">
        <v>286</v>
      </c>
      <c r="I489" t="s">
        <v>407</v>
      </c>
      <c r="J489">
        <v>6</v>
      </c>
      <c r="K489">
        <v>6</v>
      </c>
      <c r="L489">
        <v>7</v>
      </c>
      <c r="M489">
        <v>6</v>
      </c>
      <c r="N489">
        <v>5</v>
      </c>
      <c r="O489">
        <v>7</v>
      </c>
      <c r="P489">
        <v>6</v>
      </c>
      <c r="Q489">
        <v>5</v>
      </c>
      <c r="R489">
        <v>7</v>
      </c>
      <c r="S489">
        <v>55</v>
      </c>
      <c r="T489">
        <v>12.1</v>
      </c>
      <c r="U489">
        <v>43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2</v>
      </c>
      <c r="AG489">
        <v>0</v>
      </c>
      <c r="AH489">
        <v>0</v>
      </c>
      <c r="AI489">
        <v>0</v>
      </c>
      <c r="AJ489">
        <v>1</v>
      </c>
      <c r="AK489">
        <v>2</v>
      </c>
      <c r="AL489">
        <v>0</v>
      </c>
      <c r="AM489">
        <v>0</v>
      </c>
      <c r="AN489">
        <v>0</v>
      </c>
      <c r="AO489">
        <v>5</v>
      </c>
      <c r="AY489">
        <f>SUM(Upload_Indiv[[#This Row],[Bird1]:[Bird9]])</f>
        <v>0</v>
      </c>
      <c r="BI489">
        <f>SUM(Upload_Indiv[[#This Row],[Eagle1]:[Eagle9]])</f>
        <v>0</v>
      </c>
    </row>
    <row r="490" spans="1:61" x14ac:dyDescent="0.25">
      <c r="A490" t="s">
        <v>520</v>
      </c>
      <c r="B490" t="s">
        <v>468</v>
      </c>
      <c r="C490" s="119">
        <v>45810</v>
      </c>
      <c r="D490" t="s">
        <v>18</v>
      </c>
      <c r="E490" t="s">
        <v>30</v>
      </c>
      <c r="F490" t="s">
        <v>406</v>
      </c>
      <c r="G490">
        <v>1</v>
      </c>
      <c r="H490" t="s">
        <v>258</v>
      </c>
      <c r="I490" t="s">
        <v>407</v>
      </c>
      <c r="J490">
        <v>4</v>
      </c>
      <c r="K490">
        <v>4</v>
      </c>
      <c r="L490">
        <v>5</v>
      </c>
      <c r="M490">
        <v>6</v>
      </c>
      <c r="N490">
        <v>6</v>
      </c>
      <c r="O490">
        <v>6</v>
      </c>
      <c r="P490">
        <v>4</v>
      </c>
      <c r="Q490">
        <v>6</v>
      </c>
      <c r="R490">
        <v>5</v>
      </c>
      <c r="S490">
        <v>46</v>
      </c>
      <c r="T490">
        <v>7.49</v>
      </c>
      <c r="U490">
        <v>39</v>
      </c>
      <c r="V490">
        <v>1</v>
      </c>
      <c r="W490">
        <v>1</v>
      </c>
      <c r="X490">
        <v>0</v>
      </c>
      <c r="Y490">
        <v>1</v>
      </c>
      <c r="Z490">
        <v>1</v>
      </c>
      <c r="AA490">
        <v>1</v>
      </c>
      <c r="AB490">
        <v>0</v>
      </c>
      <c r="AC490">
        <v>1</v>
      </c>
      <c r="AD490">
        <v>1</v>
      </c>
      <c r="AE490">
        <v>2</v>
      </c>
      <c r="AF490">
        <v>1</v>
      </c>
      <c r="AG490">
        <v>0</v>
      </c>
      <c r="AH490">
        <v>1</v>
      </c>
      <c r="AI490">
        <v>0</v>
      </c>
      <c r="AJ490">
        <v>1</v>
      </c>
      <c r="AK490">
        <v>0</v>
      </c>
      <c r="AL490">
        <v>1</v>
      </c>
      <c r="AM490">
        <v>2</v>
      </c>
      <c r="AN490">
        <v>0</v>
      </c>
      <c r="AO490">
        <v>8</v>
      </c>
      <c r="AY490">
        <f>SUM(Upload_Indiv[[#This Row],[Bird1]:[Bird9]])</f>
        <v>0</v>
      </c>
      <c r="BI490">
        <f>SUM(Upload_Indiv[[#This Row],[Eagle1]:[Eagle9]])</f>
        <v>0</v>
      </c>
    </row>
    <row r="491" spans="1:61" x14ac:dyDescent="0.25">
      <c r="A491" t="s">
        <v>520</v>
      </c>
      <c r="B491" t="s">
        <v>468</v>
      </c>
      <c r="C491" s="119">
        <v>45810</v>
      </c>
      <c r="D491" t="s">
        <v>18</v>
      </c>
      <c r="E491" t="s">
        <v>30</v>
      </c>
      <c r="F491" t="s">
        <v>406</v>
      </c>
      <c r="G491">
        <v>2</v>
      </c>
      <c r="H491" t="s">
        <v>274</v>
      </c>
      <c r="I491" t="s">
        <v>407</v>
      </c>
      <c r="J491">
        <v>5</v>
      </c>
      <c r="K491">
        <v>3</v>
      </c>
      <c r="L491">
        <v>5</v>
      </c>
      <c r="M491">
        <v>5</v>
      </c>
      <c r="N491">
        <v>8</v>
      </c>
      <c r="O491">
        <v>6</v>
      </c>
      <c r="P491">
        <v>3</v>
      </c>
      <c r="Q491">
        <v>5</v>
      </c>
      <c r="R491">
        <v>7</v>
      </c>
      <c r="S491">
        <v>47</v>
      </c>
      <c r="T491">
        <v>9.02</v>
      </c>
      <c r="U491">
        <v>38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2</v>
      </c>
      <c r="AG491">
        <v>1</v>
      </c>
      <c r="AH491">
        <v>2</v>
      </c>
      <c r="AI491">
        <v>0</v>
      </c>
      <c r="AJ491">
        <v>1</v>
      </c>
      <c r="AK491">
        <v>2</v>
      </c>
      <c r="AL491">
        <v>2</v>
      </c>
      <c r="AM491">
        <v>0</v>
      </c>
      <c r="AN491">
        <v>1</v>
      </c>
      <c r="AO491">
        <v>12</v>
      </c>
      <c r="AY491">
        <f>SUM(Upload_Indiv[[#This Row],[Bird1]:[Bird9]])</f>
        <v>0</v>
      </c>
      <c r="BI491">
        <f>SUM(Upload_Indiv[[#This Row],[Eagle1]:[Eagle9]])</f>
        <v>0</v>
      </c>
    </row>
    <row r="492" spans="1:61" x14ac:dyDescent="0.25">
      <c r="A492" t="s">
        <v>520</v>
      </c>
      <c r="B492" t="s">
        <v>468</v>
      </c>
      <c r="C492" s="119">
        <v>45810</v>
      </c>
      <c r="D492" t="s">
        <v>18</v>
      </c>
      <c r="E492" t="s">
        <v>30</v>
      </c>
      <c r="F492" t="s">
        <v>406</v>
      </c>
      <c r="G492">
        <v>3</v>
      </c>
      <c r="H492" t="s">
        <v>276</v>
      </c>
      <c r="I492" t="s">
        <v>407</v>
      </c>
      <c r="J492">
        <v>6</v>
      </c>
      <c r="K492">
        <v>5</v>
      </c>
      <c r="L492">
        <v>5</v>
      </c>
      <c r="M492">
        <v>6</v>
      </c>
      <c r="N492">
        <v>5</v>
      </c>
      <c r="O492">
        <v>10</v>
      </c>
      <c r="P492">
        <v>4</v>
      </c>
      <c r="Q492">
        <v>7</v>
      </c>
      <c r="R492">
        <v>8</v>
      </c>
      <c r="S492">
        <v>56</v>
      </c>
      <c r="T492">
        <v>14.4</v>
      </c>
      <c r="U492">
        <v>42</v>
      </c>
      <c r="V492">
        <v>1</v>
      </c>
      <c r="W492">
        <v>1</v>
      </c>
      <c r="X492">
        <v>1</v>
      </c>
      <c r="Y492">
        <v>2</v>
      </c>
      <c r="Z492">
        <v>2</v>
      </c>
      <c r="AA492">
        <v>2</v>
      </c>
      <c r="AB492">
        <v>1</v>
      </c>
      <c r="AC492">
        <v>2</v>
      </c>
      <c r="AD492">
        <v>2</v>
      </c>
      <c r="AE492">
        <v>0</v>
      </c>
      <c r="AF492">
        <v>0</v>
      </c>
      <c r="AG492">
        <v>1</v>
      </c>
      <c r="AH492">
        <v>2</v>
      </c>
      <c r="AI492">
        <v>2</v>
      </c>
      <c r="AJ492">
        <v>0</v>
      </c>
      <c r="AK492">
        <v>1</v>
      </c>
      <c r="AL492">
        <v>1</v>
      </c>
      <c r="AM492">
        <v>0</v>
      </c>
      <c r="AN492">
        <v>0</v>
      </c>
      <c r="AO492">
        <v>7</v>
      </c>
      <c r="AY492">
        <f>SUM(Upload_Indiv[[#This Row],[Bird1]:[Bird9]])</f>
        <v>0</v>
      </c>
      <c r="BI492">
        <f>SUM(Upload_Indiv[[#This Row],[Eagle1]:[Eagle9]])</f>
        <v>0</v>
      </c>
    </row>
    <row r="493" spans="1:61" x14ac:dyDescent="0.25">
      <c r="A493" t="s">
        <v>520</v>
      </c>
      <c r="B493" t="s">
        <v>468</v>
      </c>
      <c r="C493" s="119">
        <v>45810</v>
      </c>
      <c r="D493" t="s">
        <v>18</v>
      </c>
      <c r="E493" t="s">
        <v>30</v>
      </c>
      <c r="F493" t="s">
        <v>406</v>
      </c>
      <c r="G493">
        <v>4</v>
      </c>
      <c r="H493" t="s">
        <v>278</v>
      </c>
      <c r="I493" t="s">
        <v>407</v>
      </c>
      <c r="J493">
        <v>5</v>
      </c>
      <c r="K493">
        <v>4</v>
      </c>
      <c r="L493">
        <v>5</v>
      </c>
      <c r="M493">
        <v>9</v>
      </c>
      <c r="N493">
        <v>8</v>
      </c>
      <c r="O493">
        <v>6</v>
      </c>
      <c r="P493">
        <v>4</v>
      </c>
      <c r="Q493">
        <v>7</v>
      </c>
      <c r="R493">
        <v>8</v>
      </c>
      <c r="S493">
        <v>56</v>
      </c>
      <c r="T493">
        <v>18.43</v>
      </c>
      <c r="U493">
        <v>38</v>
      </c>
      <c r="V493">
        <v>2</v>
      </c>
      <c r="W493">
        <v>2</v>
      </c>
      <c r="X493">
        <v>2</v>
      </c>
      <c r="Y493">
        <v>2</v>
      </c>
      <c r="Z493">
        <v>2</v>
      </c>
      <c r="AA493">
        <v>2</v>
      </c>
      <c r="AB493">
        <v>2</v>
      </c>
      <c r="AC493">
        <v>2</v>
      </c>
      <c r="AD493">
        <v>2</v>
      </c>
      <c r="AE493">
        <v>2</v>
      </c>
      <c r="AF493">
        <v>2</v>
      </c>
      <c r="AG493">
        <v>2</v>
      </c>
      <c r="AH493">
        <v>0</v>
      </c>
      <c r="AI493">
        <v>0</v>
      </c>
      <c r="AJ493">
        <v>2</v>
      </c>
      <c r="AK493">
        <v>2</v>
      </c>
      <c r="AL493">
        <v>1</v>
      </c>
      <c r="AM493">
        <v>0</v>
      </c>
      <c r="AN493">
        <v>1</v>
      </c>
      <c r="AO493">
        <v>12</v>
      </c>
      <c r="AY493">
        <f>SUM(Upload_Indiv[[#This Row],[Bird1]:[Bird9]])</f>
        <v>0</v>
      </c>
      <c r="BI493">
        <f>SUM(Upload_Indiv[[#This Row],[Eagle1]:[Eagle9]])</f>
        <v>0</v>
      </c>
    </row>
    <row r="494" spans="1:61" x14ac:dyDescent="0.25">
      <c r="A494" t="s">
        <v>520</v>
      </c>
      <c r="B494" t="s">
        <v>468</v>
      </c>
      <c r="C494" s="119">
        <v>45810</v>
      </c>
      <c r="D494" t="s">
        <v>30</v>
      </c>
      <c r="E494" t="s">
        <v>18</v>
      </c>
      <c r="F494" t="s">
        <v>406</v>
      </c>
      <c r="G494">
        <v>1</v>
      </c>
      <c r="H494" t="s">
        <v>323</v>
      </c>
      <c r="I494" t="s">
        <v>407</v>
      </c>
      <c r="J494">
        <v>4</v>
      </c>
      <c r="K494">
        <v>3</v>
      </c>
      <c r="L494">
        <v>4</v>
      </c>
      <c r="M494">
        <v>5</v>
      </c>
      <c r="N494">
        <v>4</v>
      </c>
      <c r="O494">
        <v>5</v>
      </c>
      <c r="P494">
        <v>3</v>
      </c>
      <c r="Q494">
        <v>5</v>
      </c>
      <c r="R494">
        <v>5</v>
      </c>
      <c r="S494">
        <v>38</v>
      </c>
      <c r="T494">
        <v>0</v>
      </c>
      <c r="U494">
        <v>38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2</v>
      </c>
      <c r="AH494">
        <v>1</v>
      </c>
      <c r="AI494">
        <v>2</v>
      </c>
      <c r="AJ494">
        <v>1</v>
      </c>
      <c r="AK494">
        <v>2</v>
      </c>
      <c r="AL494">
        <v>1</v>
      </c>
      <c r="AM494">
        <v>0</v>
      </c>
      <c r="AN494">
        <v>2</v>
      </c>
      <c r="AO494">
        <v>12</v>
      </c>
      <c r="AY494">
        <f>SUM(Upload_Indiv[[#This Row],[Bird1]:[Bird9]])</f>
        <v>0</v>
      </c>
      <c r="BI494">
        <f>SUM(Upload_Indiv[[#This Row],[Eagle1]:[Eagle9]])</f>
        <v>0</v>
      </c>
    </row>
    <row r="495" spans="1:61" x14ac:dyDescent="0.25">
      <c r="A495" t="s">
        <v>520</v>
      </c>
      <c r="B495" t="s">
        <v>468</v>
      </c>
      <c r="C495" s="119">
        <v>45810</v>
      </c>
      <c r="D495" t="s">
        <v>30</v>
      </c>
      <c r="E495" t="s">
        <v>18</v>
      </c>
      <c r="F495" t="s">
        <v>406</v>
      </c>
      <c r="G495">
        <v>2</v>
      </c>
      <c r="H495" t="s">
        <v>324</v>
      </c>
      <c r="I495" t="s">
        <v>407</v>
      </c>
      <c r="J495">
        <v>4</v>
      </c>
      <c r="K495">
        <v>3</v>
      </c>
      <c r="L495">
        <v>4</v>
      </c>
      <c r="M495">
        <v>5</v>
      </c>
      <c r="N495">
        <v>4</v>
      </c>
      <c r="O495">
        <v>5</v>
      </c>
      <c r="P495">
        <v>3</v>
      </c>
      <c r="Q495">
        <v>5</v>
      </c>
      <c r="R495">
        <v>5</v>
      </c>
      <c r="S495">
        <v>38</v>
      </c>
      <c r="T495">
        <v>0</v>
      </c>
      <c r="U495">
        <v>38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1</v>
      </c>
      <c r="AF495">
        <v>0</v>
      </c>
      <c r="AG495">
        <v>1</v>
      </c>
      <c r="AH495">
        <v>0</v>
      </c>
      <c r="AI495">
        <v>2</v>
      </c>
      <c r="AJ495">
        <v>1</v>
      </c>
      <c r="AK495">
        <v>0</v>
      </c>
      <c r="AL495">
        <v>0</v>
      </c>
      <c r="AM495">
        <v>2</v>
      </c>
      <c r="AN495">
        <v>1</v>
      </c>
      <c r="AO495">
        <v>8</v>
      </c>
      <c r="AY495">
        <f>SUM(Upload_Indiv[[#This Row],[Bird1]:[Bird9]])</f>
        <v>0</v>
      </c>
      <c r="BI495">
        <f>SUM(Upload_Indiv[[#This Row],[Eagle1]:[Eagle9]])</f>
        <v>0</v>
      </c>
    </row>
    <row r="496" spans="1:61" x14ac:dyDescent="0.25">
      <c r="A496" t="s">
        <v>520</v>
      </c>
      <c r="B496" t="s">
        <v>468</v>
      </c>
      <c r="C496" s="119">
        <v>45810</v>
      </c>
      <c r="D496" t="s">
        <v>30</v>
      </c>
      <c r="E496" t="s">
        <v>18</v>
      </c>
      <c r="F496" t="s">
        <v>406</v>
      </c>
      <c r="G496">
        <v>3</v>
      </c>
      <c r="H496" t="s">
        <v>325</v>
      </c>
      <c r="I496" t="s">
        <v>407</v>
      </c>
      <c r="J496">
        <v>4</v>
      </c>
      <c r="K496">
        <v>3</v>
      </c>
      <c r="L496">
        <v>4</v>
      </c>
      <c r="M496">
        <v>5</v>
      </c>
      <c r="N496">
        <v>4</v>
      </c>
      <c r="O496">
        <v>5</v>
      </c>
      <c r="P496">
        <v>3</v>
      </c>
      <c r="Q496">
        <v>5</v>
      </c>
      <c r="R496">
        <v>5</v>
      </c>
      <c r="S496">
        <v>38</v>
      </c>
      <c r="T496">
        <v>0</v>
      </c>
      <c r="U496">
        <v>38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2</v>
      </c>
      <c r="AF496">
        <v>2</v>
      </c>
      <c r="AG496">
        <v>1</v>
      </c>
      <c r="AH496">
        <v>0</v>
      </c>
      <c r="AI496">
        <v>0</v>
      </c>
      <c r="AJ496">
        <v>2</v>
      </c>
      <c r="AK496">
        <v>1</v>
      </c>
      <c r="AL496">
        <v>1</v>
      </c>
      <c r="AM496">
        <v>2</v>
      </c>
      <c r="AN496">
        <v>2</v>
      </c>
      <c r="AO496">
        <v>13</v>
      </c>
      <c r="AY496">
        <f>SUM(Upload_Indiv[[#This Row],[Bird1]:[Bird9]])</f>
        <v>0</v>
      </c>
      <c r="BI496">
        <f>SUM(Upload_Indiv[[#This Row],[Eagle1]:[Eagle9]])</f>
        <v>0</v>
      </c>
    </row>
    <row r="497" spans="1:61" x14ac:dyDescent="0.25">
      <c r="A497" t="s">
        <v>520</v>
      </c>
      <c r="B497" t="s">
        <v>468</v>
      </c>
      <c r="C497" s="119">
        <v>45810</v>
      </c>
      <c r="D497" t="s">
        <v>30</v>
      </c>
      <c r="E497" t="s">
        <v>18</v>
      </c>
      <c r="F497" t="s">
        <v>406</v>
      </c>
      <c r="G497">
        <v>4</v>
      </c>
      <c r="H497" t="s">
        <v>326</v>
      </c>
      <c r="I497" t="s">
        <v>407</v>
      </c>
      <c r="J497">
        <v>4</v>
      </c>
      <c r="K497">
        <v>3</v>
      </c>
      <c r="L497">
        <v>4</v>
      </c>
      <c r="M497">
        <v>5</v>
      </c>
      <c r="N497">
        <v>4</v>
      </c>
      <c r="O497">
        <v>5</v>
      </c>
      <c r="P497">
        <v>3</v>
      </c>
      <c r="Q497">
        <v>5</v>
      </c>
      <c r="R497">
        <v>5</v>
      </c>
      <c r="S497">
        <v>38</v>
      </c>
      <c r="T497">
        <v>0</v>
      </c>
      <c r="U497">
        <v>38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2</v>
      </c>
      <c r="AI497">
        <v>2</v>
      </c>
      <c r="AJ497">
        <v>0</v>
      </c>
      <c r="AK497">
        <v>0</v>
      </c>
      <c r="AL497">
        <v>1</v>
      </c>
      <c r="AM497">
        <v>2</v>
      </c>
      <c r="AN497">
        <v>1</v>
      </c>
      <c r="AO497">
        <v>8</v>
      </c>
      <c r="AY497">
        <f>SUM(Upload_Indiv[[#This Row],[Bird1]:[Bird9]])</f>
        <v>0</v>
      </c>
      <c r="BI497">
        <f>SUM(Upload_Indiv[[#This Row],[Eagle1]:[Eagle9]])</f>
        <v>0</v>
      </c>
    </row>
    <row r="498" spans="1:61" x14ac:dyDescent="0.25">
      <c r="A498" t="s">
        <v>524</v>
      </c>
      <c r="B498" t="s">
        <v>470</v>
      </c>
      <c r="C498" s="119">
        <v>45824</v>
      </c>
      <c r="D498" t="s">
        <v>26</v>
      </c>
      <c r="E498" t="s">
        <v>22</v>
      </c>
      <c r="F498" t="s">
        <v>408</v>
      </c>
      <c r="G498">
        <v>1</v>
      </c>
      <c r="H498" t="s">
        <v>146</v>
      </c>
      <c r="I498" t="s">
        <v>407</v>
      </c>
      <c r="J498">
        <v>5</v>
      </c>
      <c r="K498">
        <v>5</v>
      </c>
      <c r="L498">
        <v>4</v>
      </c>
      <c r="M498">
        <v>4</v>
      </c>
      <c r="N498">
        <v>4</v>
      </c>
      <c r="O498">
        <v>4</v>
      </c>
      <c r="P498">
        <v>6</v>
      </c>
      <c r="Q498">
        <v>3</v>
      </c>
      <c r="R498">
        <v>5</v>
      </c>
      <c r="S498">
        <v>40</v>
      </c>
      <c r="T498">
        <v>3.07</v>
      </c>
      <c r="U498">
        <v>37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2</v>
      </c>
      <c r="AG498">
        <v>2</v>
      </c>
      <c r="AH498">
        <v>1</v>
      </c>
      <c r="AI498">
        <v>2</v>
      </c>
      <c r="AJ498">
        <v>0</v>
      </c>
      <c r="AK498">
        <v>1</v>
      </c>
      <c r="AL498">
        <v>1</v>
      </c>
      <c r="AM498">
        <v>0</v>
      </c>
      <c r="AN498">
        <v>2</v>
      </c>
      <c r="AO498">
        <v>12</v>
      </c>
      <c r="AY498">
        <f>SUM(Upload_Indiv[[#This Row],[Bird1]:[Bird9]])</f>
        <v>0</v>
      </c>
      <c r="BI498">
        <f>SUM(Upload_Indiv[[#This Row],[Eagle1]:[Eagle9]])</f>
        <v>0</v>
      </c>
    </row>
    <row r="499" spans="1:61" x14ac:dyDescent="0.25">
      <c r="A499" t="s">
        <v>524</v>
      </c>
      <c r="B499" t="s">
        <v>470</v>
      </c>
      <c r="C499" s="119">
        <v>45824</v>
      </c>
      <c r="D499" t="s">
        <v>26</v>
      </c>
      <c r="E499" t="s">
        <v>22</v>
      </c>
      <c r="F499" t="s">
        <v>408</v>
      </c>
      <c r="G499">
        <v>2</v>
      </c>
      <c r="H499" t="s">
        <v>311</v>
      </c>
      <c r="I499" t="s">
        <v>407</v>
      </c>
      <c r="J499">
        <v>5</v>
      </c>
      <c r="K499">
        <v>4</v>
      </c>
      <c r="L499">
        <v>6</v>
      </c>
      <c r="M499">
        <v>4</v>
      </c>
      <c r="N499">
        <v>4</v>
      </c>
      <c r="O499">
        <v>4</v>
      </c>
      <c r="P499">
        <v>6</v>
      </c>
      <c r="Q499">
        <v>3</v>
      </c>
      <c r="R499">
        <v>6</v>
      </c>
      <c r="S499">
        <v>42</v>
      </c>
      <c r="T499">
        <v>3.84</v>
      </c>
      <c r="U499">
        <v>38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2</v>
      </c>
      <c r="AF499">
        <v>2</v>
      </c>
      <c r="AG499">
        <v>1</v>
      </c>
      <c r="AH499">
        <v>1</v>
      </c>
      <c r="AI499">
        <v>2</v>
      </c>
      <c r="AJ499">
        <v>0</v>
      </c>
      <c r="AK499">
        <v>0</v>
      </c>
      <c r="AL499">
        <v>1</v>
      </c>
      <c r="AM499">
        <v>0</v>
      </c>
      <c r="AN499">
        <v>1</v>
      </c>
      <c r="AO499">
        <v>10</v>
      </c>
      <c r="AQ499">
        <v>1</v>
      </c>
      <c r="AY499">
        <f>SUM(Upload_Indiv[[#This Row],[Bird1]:[Bird9]])</f>
        <v>1</v>
      </c>
      <c r="BI499">
        <f>SUM(Upload_Indiv[[#This Row],[Eagle1]:[Eagle9]])</f>
        <v>0</v>
      </c>
    </row>
    <row r="500" spans="1:61" x14ac:dyDescent="0.25">
      <c r="A500" t="s">
        <v>524</v>
      </c>
      <c r="B500" t="s">
        <v>470</v>
      </c>
      <c r="C500" s="119">
        <v>45824</v>
      </c>
      <c r="D500" t="s">
        <v>26</v>
      </c>
      <c r="E500" t="s">
        <v>22</v>
      </c>
      <c r="F500" t="s">
        <v>408</v>
      </c>
      <c r="G500">
        <v>3</v>
      </c>
      <c r="H500" t="s">
        <v>100</v>
      </c>
      <c r="I500" t="s">
        <v>407</v>
      </c>
      <c r="J500">
        <v>5</v>
      </c>
      <c r="K500">
        <v>8</v>
      </c>
      <c r="L500">
        <v>5</v>
      </c>
      <c r="M500">
        <v>5</v>
      </c>
      <c r="N500">
        <v>4</v>
      </c>
      <c r="O500">
        <v>4</v>
      </c>
      <c r="P500">
        <v>7</v>
      </c>
      <c r="Q500">
        <v>4</v>
      </c>
      <c r="R500">
        <v>5</v>
      </c>
      <c r="S500">
        <v>47</v>
      </c>
      <c r="T500">
        <v>5.57</v>
      </c>
      <c r="U500">
        <v>41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2</v>
      </c>
      <c r="AJ500">
        <v>2</v>
      </c>
      <c r="AK500">
        <v>0</v>
      </c>
      <c r="AL500">
        <v>0</v>
      </c>
      <c r="AM500">
        <v>2</v>
      </c>
      <c r="AN500">
        <v>0</v>
      </c>
      <c r="AO500">
        <v>6</v>
      </c>
      <c r="AY500">
        <f>SUM(Upload_Indiv[[#This Row],[Bird1]:[Bird9]])</f>
        <v>0</v>
      </c>
      <c r="BI500">
        <f>SUM(Upload_Indiv[[#This Row],[Eagle1]:[Eagle9]])</f>
        <v>0</v>
      </c>
    </row>
    <row r="501" spans="1:61" x14ac:dyDescent="0.25">
      <c r="A501" t="s">
        <v>524</v>
      </c>
      <c r="B501" t="s">
        <v>470</v>
      </c>
      <c r="C501" s="119">
        <v>45824</v>
      </c>
      <c r="D501" t="s">
        <v>26</v>
      </c>
      <c r="E501" t="s">
        <v>22</v>
      </c>
      <c r="F501" t="s">
        <v>408</v>
      </c>
      <c r="G501">
        <v>4</v>
      </c>
      <c r="H501" t="s">
        <v>309</v>
      </c>
      <c r="I501" t="s">
        <v>407</v>
      </c>
      <c r="J501">
        <v>7</v>
      </c>
      <c r="K501">
        <v>6</v>
      </c>
      <c r="L501">
        <v>7</v>
      </c>
      <c r="M501">
        <v>5</v>
      </c>
      <c r="N501">
        <v>7</v>
      </c>
      <c r="O501">
        <v>6</v>
      </c>
      <c r="P501">
        <v>9</v>
      </c>
      <c r="Q501">
        <v>7</v>
      </c>
      <c r="R501">
        <v>7</v>
      </c>
      <c r="S501">
        <v>61</v>
      </c>
      <c r="T501">
        <v>15.94</v>
      </c>
      <c r="U501">
        <v>45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0</v>
      </c>
      <c r="AC501">
        <v>0</v>
      </c>
      <c r="AD501">
        <v>0</v>
      </c>
      <c r="AE501">
        <v>2</v>
      </c>
      <c r="AF501">
        <v>2</v>
      </c>
      <c r="AG501">
        <v>0</v>
      </c>
      <c r="AH501">
        <v>0</v>
      </c>
      <c r="AI501">
        <v>1</v>
      </c>
      <c r="AJ501">
        <v>2</v>
      </c>
      <c r="AK501">
        <v>0</v>
      </c>
      <c r="AL501">
        <v>0</v>
      </c>
      <c r="AM501">
        <v>0</v>
      </c>
      <c r="AN501">
        <v>0</v>
      </c>
      <c r="AO501">
        <v>7</v>
      </c>
      <c r="AY501">
        <f>SUM(Upload_Indiv[[#This Row],[Bird1]:[Bird9]])</f>
        <v>0</v>
      </c>
      <c r="BI501">
        <f>SUM(Upload_Indiv[[#This Row],[Eagle1]:[Eagle9]])</f>
        <v>0</v>
      </c>
    </row>
    <row r="502" spans="1:61" x14ac:dyDescent="0.25">
      <c r="A502" t="s">
        <v>524</v>
      </c>
      <c r="B502" t="s">
        <v>470</v>
      </c>
      <c r="C502" s="119">
        <v>45824</v>
      </c>
      <c r="D502" t="s">
        <v>22</v>
      </c>
      <c r="E502" t="s">
        <v>26</v>
      </c>
      <c r="F502" t="s">
        <v>408</v>
      </c>
      <c r="G502">
        <v>1</v>
      </c>
      <c r="H502" t="s">
        <v>156</v>
      </c>
      <c r="I502" t="s">
        <v>407</v>
      </c>
      <c r="J502">
        <v>5</v>
      </c>
      <c r="K502">
        <v>6</v>
      </c>
      <c r="L502">
        <v>5</v>
      </c>
      <c r="M502">
        <v>4</v>
      </c>
      <c r="N502">
        <v>6</v>
      </c>
      <c r="O502">
        <v>4</v>
      </c>
      <c r="P502">
        <v>6</v>
      </c>
      <c r="Q502">
        <v>3</v>
      </c>
      <c r="R502">
        <v>4</v>
      </c>
      <c r="S502">
        <v>43</v>
      </c>
      <c r="T502">
        <v>4.22</v>
      </c>
      <c r="U502">
        <v>39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0</v>
      </c>
      <c r="AC502">
        <v>0</v>
      </c>
      <c r="AD502">
        <v>0</v>
      </c>
      <c r="AE502">
        <v>1</v>
      </c>
      <c r="AF502">
        <v>0</v>
      </c>
      <c r="AG502">
        <v>0</v>
      </c>
      <c r="AH502">
        <v>1</v>
      </c>
      <c r="AI502">
        <v>0</v>
      </c>
      <c r="AJ502">
        <v>2</v>
      </c>
      <c r="AK502">
        <v>1</v>
      </c>
      <c r="AL502">
        <v>1</v>
      </c>
      <c r="AM502">
        <v>2</v>
      </c>
      <c r="AN502">
        <v>0</v>
      </c>
      <c r="AO502">
        <v>8</v>
      </c>
      <c r="AY502">
        <f>SUM(Upload_Indiv[[#This Row],[Bird1]:[Bird9]])</f>
        <v>0</v>
      </c>
      <c r="BI502">
        <f>SUM(Upload_Indiv[[#This Row],[Eagle1]:[Eagle9]])</f>
        <v>0</v>
      </c>
    </row>
    <row r="503" spans="1:61" x14ac:dyDescent="0.25">
      <c r="A503" t="s">
        <v>524</v>
      </c>
      <c r="B503" t="s">
        <v>470</v>
      </c>
      <c r="C503" s="119">
        <v>45824</v>
      </c>
      <c r="D503" t="s">
        <v>22</v>
      </c>
      <c r="E503" t="s">
        <v>26</v>
      </c>
      <c r="F503" t="s">
        <v>408</v>
      </c>
      <c r="G503">
        <v>2</v>
      </c>
      <c r="H503" t="s">
        <v>294</v>
      </c>
      <c r="I503" t="s">
        <v>407</v>
      </c>
      <c r="J503">
        <v>6</v>
      </c>
      <c r="K503">
        <v>6</v>
      </c>
      <c r="L503">
        <v>6</v>
      </c>
      <c r="M503">
        <v>4</v>
      </c>
      <c r="N503">
        <v>5</v>
      </c>
      <c r="O503">
        <v>4</v>
      </c>
      <c r="P503">
        <v>5</v>
      </c>
      <c r="Q503">
        <v>3</v>
      </c>
      <c r="R503">
        <v>4</v>
      </c>
      <c r="S503">
        <v>43</v>
      </c>
      <c r="T503">
        <v>4.8</v>
      </c>
      <c r="U503">
        <v>38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1</v>
      </c>
      <c r="AH503">
        <v>1</v>
      </c>
      <c r="AI503">
        <v>0</v>
      </c>
      <c r="AJ503">
        <v>2</v>
      </c>
      <c r="AK503">
        <v>2</v>
      </c>
      <c r="AL503">
        <v>1</v>
      </c>
      <c r="AM503">
        <v>2</v>
      </c>
      <c r="AN503">
        <v>1</v>
      </c>
      <c r="AO503">
        <v>10</v>
      </c>
      <c r="AY503">
        <f>SUM(Upload_Indiv[[#This Row],[Bird1]:[Bird9]])</f>
        <v>0</v>
      </c>
      <c r="BI503">
        <f>SUM(Upload_Indiv[[#This Row],[Eagle1]:[Eagle9]])</f>
        <v>0</v>
      </c>
    </row>
    <row r="504" spans="1:61" x14ac:dyDescent="0.25">
      <c r="A504" t="s">
        <v>524</v>
      </c>
      <c r="B504" t="s">
        <v>470</v>
      </c>
      <c r="C504" s="119">
        <v>45824</v>
      </c>
      <c r="D504" t="s">
        <v>22</v>
      </c>
      <c r="E504" t="s">
        <v>26</v>
      </c>
      <c r="F504" t="s">
        <v>408</v>
      </c>
      <c r="G504">
        <v>3</v>
      </c>
      <c r="H504" t="s">
        <v>148</v>
      </c>
      <c r="I504" t="s">
        <v>407</v>
      </c>
      <c r="J504">
        <v>5</v>
      </c>
      <c r="K504">
        <v>6</v>
      </c>
      <c r="L504">
        <v>4</v>
      </c>
      <c r="M504">
        <v>5</v>
      </c>
      <c r="N504">
        <v>8</v>
      </c>
      <c r="O504">
        <v>6</v>
      </c>
      <c r="P504">
        <v>7</v>
      </c>
      <c r="Q504">
        <v>4</v>
      </c>
      <c r="R504">
        <v>9</v>
      </c>
      <c r="S504">
        <v>54</v>
      </c>
      <c r="T504">
        <v>13.63</v>
      </c>
      <c r="U504">
        <v>40</v>
      </c>
      <c r="V504">
        <v>1</v>
      </c>
      <c r="W504">
        <v>1</v>
      </c>
      <c r="X504">
        <v>1</v>
      </c>
      <c r="Y504">
        <v>1</v>
      </c>
      <c r="Z504">
        <v>0</v>
      </c>
      <c r="AA504">
        <v>1</v>
      </c>
      <c r="AB504">
        <v>1</v>
      </c>
      <c r="AC504">
        <v>1</v>
      </c>
      <c r="AD504">
        <v>1</v>
      </c>
      <c r="AE504">
        <v>2</v>
      </c>
      <c r="AF504">
        <v>2</v>
      </c>
      <c r="AG504">
        <v>2</v>
      </c>
      <c r="AH504">
        <v>2</v>
      </c>
      <c r="AI504">
        <v>0</v>
      </c>
      <c r="AJ504">
        <v>0</v>
      </c>
      <c r="AK504">
        <v>2</v>
      </c>
      <c r="AL504">
        <v>2</v>
      </c>
      <c r="AM504">
        <v>0</v>
      </c>
      <c r="AN504">
        <v>2</v>
      </c>
      <c r="AO504">
        <v>14</v>
      </c>
      <c r="AY504">
        <f>SUM(Upload_Indiv[[#This Row],[Bird1]:[Bird9]])</f>
        <v>0</v>
      </c>
      <c r="BI504">
        <f>SUM(Upload_Indiv[[#This Row],[Eagle1]:[Eagle9]])</f>
        <v>0</v>
      </c>
    </row>
    <row r="505" spans="1:61" x14ac:dyDescent="0.25">
      <c r="A505" t="s">
        <v>524</v>
      </c>
      <c r="B505" t="s">
        <v>470</v>
      </c>
      <c r="C505" s="119">
        <v>45824</v>
      </c>
      <c r="D505" t="s">
        <v>22</v>
      </c>
      <c r="E505" t="s">
        <v>26</v>
      </c>
      <c r="F505" t="s">
        <v>408</v>
      </c>
      <c r="G505">
        <v>4</v>
      </c>
      <c r="H505" t="s">
        <v>158</v>
      </c>
      <c r="I505" t="s">
        <v>407</v>
      </c>
      <c r="J505">
        <v>8</v>
      </c>
      <c r="K505">
        <v>7</v>
      </c>
      <c r="L505">
        <v>6</v>
      </c>
      <c r="M505">
        <v>4</v>
      </c>
      <c r="N505">
        <v>7</v>
      </c>
      <c r="O505">
        <v>6</v>
      </c>
      <c r="P505">
        <v>6</v>
      </c>
      <c r="Q505">
        <v>5</v>
      </c>
      <c r="R505">
        <v>5</v>
      </c>
      <c r="S505">
        <v>54</v>
      </c>
      <c r="T505">
        <v>14.59</v>
      </c>
      <c r="U505">
        <v>39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2</v>
      </c>
      <c r="AH505">
        <v>2</v>
      </c>
      <c r="AI505">
        <v>1</v>
      </c>
      <c r="AJ505">
        <v>0</v>
      </c>
      <c r="AK505">
        <v>2</v>
      </c>
      <c r="AL505">
        <v>2</v>
      </c>
      <c r="AM505">
        <v>2</v>
      </c>
      <c r="AN505">
        <v>2</v>
      </c>
      <c r="AO505">
        <v>13</v>
      </c>
      <c r="AY505">
        <f>SUM(Upload_Indiv[[#This Row],[Bird1]:[Bird9]])</f>
        <v>0</v>
      </c>
      <c r="BI505">
        <f>SUM(Upload_Indiv[[#This Row],[Eagle1]:[Eagle9]])</f>
        <v>0</v>
      </c>
    </row>
    <row r="506" spans="1:61" x14ac:dyDescent="0.25">
      <c r="A506" t="s">
        <v>525</v>
      </c>
      <c r="B506" t="s">
        <v>470</v>
      </c>
      <c r="C506" s="119">
        <v>45824</v>
      </c>
      <c r="D506" t="s">
        <v>20</v>
      </c>
      <c r="E506" t="s">
        <v>28</v>
      </c>
      <c r="F506" t="s">
        <v>406</v>
      </c>
      <c r="G506">
        <v>1</v>
      </c>
      <c r="H506" t="s">
        <v>283</v>
      </c>
      <c r="I506" t="s">
        <v>407</v>
      </c>
      <c r="J506">
        <v>5</v>
      </c>
      <c r="K506">
        <v>3</v>
      </c>
      <c r="L506">
        <v>5</v>
      </c>
      <c r="M506">
        <v>5</v>
      </c>
      <c r="N506">
        <v>4</v>
      </c>
      <c r="O506">
        <v>7</v>
      </c>
      <c r="P506">
        <v>3</v>
      </c>
      <c r="Q506">
        <v>6</v>
      </c>
      <c r="R506">
        <v>7</v>
      </c>
      <c r="S506">
        <v>45</v>
      </c>
      <c r="T506">
        <v>6.72</v>
      </c>
      <c r="U506">
        <v>38</v>
      </c>
      <c r="V506">
        <v>1</v>
      </c>
      <c r="W506">
        <v>1</v>
      </c>
      <c r="X506">
        <v>0</v>
      </c>
      <c r="Y506">
        <v>1</v>
      </c>
      <c r="Z506">
        <v>1</v>
      </c>
      <c r="AA506">
        <v>1</v>
      </c>
      <c r="AB506">
        <v>0</v>
      </c>
      <c r="AC506">
        <v>1</v>
      </c>
      <c r="AD506">
        <v>1</v>
      </c>
      <c r="AE506">
        <v>1</v>
      </c>
      <c r="AF506">
        <v>2</v>
      </c>
      <c r="AG506">
        <v>0</v>
      </c>
      <c r="AH506">
        <v>2</v>
      </c>
      <c r="AI506">
        <v>2</v>
      </c>
      <c r="AJ506">
        <v>0</v>
      </c>
      <c r="AK506">
        <v>1</v>
      </c>
      <c r="AL506">
        <v>1</v>
      </c>
      <c r="AM506">
        <v>1</v>
      </c>
      <c r="AN506">
        <v>2</v>
      </c>
      <c r="AO506">
        <v>12</v>
      </c>
      <c r="AY506">
        <f>SUM(Upload_Indiv[[#This Row],[Bird1]:[Bird9]])</f>
        <v>0</v>
      </c>
      <c r="BI506">
        <f>SUM(Upload_Indiv[[#This Row],[Eagle1]:[Eagle9]])</f>
        <v>0</v>
      </c>
    </row>
    <row r="507" spans="1:61" x14ac:dyDescent="0.25">
      <c r="A507" t="s">
        <v>525</v>
      </c>
      <c r="B507" t="s">
        <v>470</v>
      </c>
      <c r="C507" s="119">
        <v>45824</v>
      </c>
      <c r="D507" t="s">
        <v>20</v>
      </c>
      <c r="E507" t="s">
        <v>28</v>
      </c>
      <c r="F507" t="s">
        <v>406</v>
      </c>
      <c r="G507">
        <v>2</v>
      </c>
      <c r="H507" t="s">
        <v>153</v>
      </c>
      <c r="I507" t="s">
        <v>407</v>
      </c>
      <c r="J507">
        <v>5</v>
      </c>
      <c r="K507">
        <v>4</v>
      </c>
      <c r="L507">
        <v>5</v>
      </c>
      <c r="M507">
        <v>5</v>
      </c>
      <c r="N507">
        <v>4</v>
      </c>
      <c r="O507">
        <v>6</v>
      </c>
      <c r="P507">
        <v>4</v>
      </c>
      <c r="Q507">
        <v>5</v>
      </c>
      <c r="R507">
        <v>8</v>
      </c>
      <c r="S507">
        <v>46</v>
      </c>
      <c r="T507">
        <v>7.87</v>
      </c>
      <c r="U507">
        <v>38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1</v>
      </c>
      <c r="AF507">
        <v>1</v>
      </c>
      <c r="AG507">
        <v>2</v>
      </c>
      <c r="AH507">
        <v>1</v>
      </c>
      <c r="AI507">
        <v>1</v>
      </c>
      <c r="AJ507">
        <v>0</v>
      </c>
      <c r="AK507">
        <v>2</v>
      </c>
      <c r="AL507">
        <v>1</v>
      </c>
      <c r="AM507">
        <v>2</v>
      </c>
      <c r="AN507">
        <v>2</v>
      </c>
      <c r="AO507">
        <v>13</v>
      </c>
      <c r="AY507">
        <f>SUM(Upload_Indiv[[#This Row],[Bird1]:[Bird9]])</f>
        <v>0</v>
      </c>
      <c r="BI507">
        <f>SUM(Upload_Indiv[[#This Row],[Eagle1]:[Eagle9]])</f>
        <v>0</v>
      </c>
    </row>
    <row r="508" spans="1:61" x14ac:dyDescent="0.25">
      <c r="A508" t="s">
        <v>525</v>
      </c>
      <c r="B508" t="s">
        <v>470</v>
      </c>
      <c r="C508" s="119">
        <v>45824</v>
      </c>
      <c r="D508" t="s">
        <v>20</v>
      </c>
      <c r="E508" t="s">
        <v>28</v>
      </c>
      <c r="F508" t="s">
        <v>406</v>
      </c>
      <c r="G508">
        <v>3</v>
      </c>
      <c r="H508" t="s">
        <v>286</v>
      </c>
      <c r="I508" t="s">
        <v>407</v>
      </c>
      <c r="J508">
        <v>8</v>
      </c>
      <c r="K508">
        <v>4</v>
      </c>
      <c r="L508">
        <v>5</v>
      </c>
      <c r="M508">
        <v>6</v>
      </c>
      <c r="N508">
        <v>5</v>
      </c>
      <c r="O508">
        <v>6</v>
      </c>
      <c r="P508">
        <v>3</v>
      </c>
      <c r="Q508">
        <v>5</v>
      </c>
      <c r="R508">
        <v>8</v>
      </c>
      <c r="S508">
        <v>50</v>
      </c>
      <c r="T508">
        <v>12.1</v>
      </c>
      <c r="U508">
        <v>38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2</v>
      </c>
      <c r="AG508">
        <v>2</v>
      </c>
      <c r="AH508">
        <v>1</v>
      </c>
      <c r="AI508">
        <v>2</v>
      </c>
      <c r="AJ508">
        <v>2</v>
      </c>
      <c r="AK508">
        <v>2</v>
      </c>
      <c r="AL508">
        <v>0</v>
      </c>
      <c r="AM508">
        <v>0</v>
      </c>
      <c r="AN508">
        <v>2</v>
      </c>
      <c r="AO508">
        <v>13</v>
      </c>
      <c r="AY508">
        <f>SUM(Upload_Indiv[[#This Row],[Bird1]:[Bird9]])</f>
        <v>0</v>
      </c>
      <c r="BI508">
        <f>SUM(Upload_Indiv[[#This Row],[Eagle1]:[Eagle9]])</f>
        <v>0</v>
      </c>
    </row>
    <row r="509" spans="1:61" x14ac:dyDescent="0.25">
      <c r="A509" t="s">
        <v>525</v>
      </c>
      <c r="B509" t="s">
        <v>470</v>
      </c>
      <c r="C509" s="119">
        <v>45824</v>
      </c>
      <c r="D509" t="s">
        <v>20</v>
      </c>
      <c r="E509" t="s">
        <v>28</v>
      </c>
      <c r="F509" t="s">
        <v>406</v>
      </c>
      <c r="G509">
        <v>4</v>
      </c>
      <c r="H509" t="s">
        <v>513</v>
      </c>
      <c r="I509" t="s">
        <v>407</v>
      </c>
      <c r="J509">
        <v>3</v>
      </c>
      <c r="K509">
        <v>4</v>
      </c>
      <c r="L509">
        <v>5</v>
      </c>
      <c r="M509">
        <v>8</v>
      </c>
      <c r="N509">
        <v>5</v>
      </c>
      <c r="O509">
        <v>6</v>
      </c>
      <c r="P509">
        <v>4</v>
      </c>
      <c r="Q509">
        <v>5</v>
      </c>
      <c r="R509">
        <v>7</v>
      </c>
      <c r="S509">
        <v>47</v>
      </c>
      <c r="T509">
        <v>9.56</v>
      </c>
      <c r="U509">
        <v>37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2</v>
      </c>
      <c r="AF509">
        <v>1</v>
      </c>
      <c r="AG509">
        <v>1</v>
      </c>
      <c r="AH509">
        <v>0</v>
      </c>
      <c r="AI509">
        <v>1</v>
      </c>
      <c r="AJ509">
        <v>2</v>
      </c>
      <c r="AK509">
        <v>0</v>
      </c>
      <c r="AL509">
        <v>2</v>
      </c>
      <c r="AM509">
        <v>0</v>
      </c>
      <c r="AN509">
        <v>2</v>
      </c>
      <c r="AO509">
        <v>11</v>
      </c>
      <c r="AP509">
        <v>1</v>
      </c>
      <c r="AY509">
        <f>SUM(Upload_Indiv[[#This Row],[Bird1]:[Bird9]])</f>
        <v>1</v>
      </c>
      <c r="BI509">
        <f>SUM(Upload_Indiv[[#This Row],[Eagle1]:[Eagle9]])</f>
        <v>0</v>
      </c>
    </row>
    <row r="510" spans="1:61" x14ac:dyDescent="0.25">
      <c r="A510" t="s">
        <v>525</v>
      </c>
      <c r="B510" t="s">
        <v>470</v>
      </c>
      <c r="C510" s="119">
        <v>45824</v>
      </c>
      <c r="D510" t="s">
        <v>28</v>
      </c>
      <c r="E510" t="s">
        <v>20</v>
      </c>
      <c r="F510" t="s">
        <v>406</v>
      </c>
      <c r="G510">
        <v>1</v>
      </c>
      <c r="H510" t="s">
        <v>322</v>
      </c>
      <c r="I510" t="s">
        <v>407</v>
      </c>
      <c r="J510">
        <v>4</v>
      </c>
      <c r="K510">
        <v>3</v>
      </c>
      <c r="L510">
        <v>4</v>
      </c>
      <c r="M510">
        <v>5</v>
      </c>
      <c r="N510">
        <v>5</v>
      </c>
      <c r="O510">
        <v>5</v>
      </c>
      <c r="P510">
        <v>3</v>
      </c>
      <c r="Q510">
        <v>5</v>
      </c>
      <c r="R510">
        <v>6</v>
      </c>
      <c r="S510">
        <v>40</v>
      </c>
      <c r="T510">
        <v>0</v>
      </c>
      <c r="U510">
        <v>40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1</v>
      </c>
      <c r="AF510">
        <v>0</v>
      </c>
      <c r="AG510">
        <v>2</v>
      </c>
      <c r="AH510">
        <v>0</v>
      </c>
      <c r="AI510">
        <v>0</v>
      </c>
      <c r="AJ510">
        <v>2</v>
      </c>
      <c r="AK510">
        <v>1</v>
      </c>
      <c r="AL510">
        <v>1</v>
      </c>
      <c r="AM510">
        <v>1</v>
      </c>
      <c r="AN510">
        <v>0</v>
      </c>
      <c r="AO510">
        <v>8</v>
      </c>
      <c r="AY510">
        <f>SUM(Upload_Indiv[[#This Row],[Bird1]:[Bird9]])</f>
        <v>0</v>
      </c>
      <c r="BI510">
        <f>SUM(Upload_Indiv[[#This Row],[Eagle1]:[Eagle9]])</f>
        <v>0</v>
      </c>
    </row>
    <row r="511" spans="1:61" x14ac:dyDescent="0.25">
      <c r="A511" t="s">
        <v>525</v>
      </c>
      <c r="B511" t="s">
        <v>470</v>
      </c>
      <c r="C511" s="119">
        <v>45824</v>
      </c>
      <c r="D511" t="s">
        <v>28</v>
      </c>
      <c r="E511" t="s">
        <v>20</v>
      </c>
      <c r="F511" t="s">
        <v>406</v>
      </c>
      <c r="G511">
        <v>2</v>
      </c>
      <c r="H511" t="s">
        <v>320</v>
      </c>
      <c r="I511" t="s">
        <v>407</v>
      </c>
      <c r="J511">
        <v>6</v>
      </c>
      <c r="K511">
        <v>5</v>
      </c>
      <c r="L511">
        <v>7</v>
      </c>
      <c r="M511">
        <v>6</v>
      </c>
      <c r="N511">
        <v>5</v>
      </c>
      <c r="O511">
        <v>6</v>
      </c>
      <c r="P511">
        <v>6</v>
      </c>
      <c r="Q511">
        <v>6</v>
      </c>
      <c r="R511">
        <v>10</v>
      </c>
      <c r="S511">
        <v>57</v>
      </c>
      <c r="T511">
        <v>15.55</v>
      </c>
      <c r="U511">
        <v>41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0</v>
      </c>
      <c r="AC511">
        <v>1</v>
      </c>
      <c r="AD511">
        <v>1</v>
      </c>
      <c r="AE511">
        <v>1</v>
      </c>
      <c r="AF511">
        <v>1</v>
      </c>
      <c r="AG511">
        <v>0</v>
      </c>
      <c r="AH511">
        <v>1</v>
      </c>
      <c r="AI511">
        <v>1</v>
      </c>
      <c r="AJ511">
        <v>2</v>
      </c>
      <c r="AK511">
        <v>0</v>
      </c>
      <c r="AL511">
        <v>1</v>
      </c>
      <c r="AM511">
        <v>0</v>
      </c>
      <c r="AN511">
        <v>0</v>
      </c>
      <c r="AO511">
        <v>7</v>
      </c>
      <c r="AY511">
        <f>SUM(Upload_Indiv[[#This Row],[Bird1]:[Bird9]])</f>
        <v>0</v>
      </c>
      <c r="BI511">
        <f>SUM(Upload_Indiv[[#This Row],[Eagle1]:[Eagle9]])</f>
        <v>0</v>
      </c>
    </row>
    <row r="512" spans="1:61" x14ac:dyDescent="0.25">
      <c r="A512" t="s">
        <v>525</v>
      </c>
      <c r="B512" t="s">
        <v>470</v>
      </c>
      <c r="C512" s="119">
        <v>45824</v>
      </c>
      <c r="D512" t="s">
        <v>28</v>
      </c>
      <c r="E512" t="s">
        <v>20</v>
      </c>
      <c r="F512" t="s">
        <v>406</v>
      </c>
      <c r="G512">
        <v>3</v>
      </c>
      <c r="H512" t="s">
        <v>317</v>
      </c>
      <c r="I512" t="s">
        <v>407</v>
      </c>
      <c r="J512">
        <v>6</v>
      </c>
      <c r="K512">
        <v>6</v>
      </c>
      <c r="L512">
        <v>7</v>
      </c>
      <c r="M512">
        <v>7</v>
      </c>
      <c r="N512">
        <v>7</v>
      </c>
      <c r="O512">
        <v>9</v>
      </c>
      <c r="P512">
        <v>5</v>
      </c>
      <c r="Q512">
        <v>5</v>
      </c>
      <c r="R512">
        <v>6</v>
      </c>
      <c r="S512">
        <v>58</v>
      </c>
      <c r="T512">
        <v>16.7</v>
      </c>
      <c r="U512">
        <v>41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1</v>
      </c>
      <c r="AB512">
        <v>0</v>
      </c>
      <c r="AC512">
        <v>1</v>
      </c>
      <c r="AD512">
        <v>1</v>
      </c>
      <c r="AE512">
        <v>2</v>
      </c>
      <c r="AF512">
        <v>0</v>
      </c>
      <c r="AG512">
        <v>0</v>
      </c>
      <c r="AH512">
        <v>1</v>
      </c>
      <c r="AI512">
        <v>0</v>
      </c>
      <c r="AJ512">
        <v>0</v>
      </c>
      <c r="AK512">
        <v>0</v>
      </c>
      <c r="AL512">
        <v>2</v>
      </c>
      <c r="AM512">
        <v>2</v>
      </c>
      <c r="AN512">
        <v>0</v>
      </c>
      <c r="AO512">
        <v>7</v>
      </c>
      <c r="AY512">
        <f>SUM(Upload_Indiv[[#This Row],[Bird1]:[Bird9]])</f>
        <v>0</v>
      </c>
      <c r="BI512">
        <f>SUM(Upload_Indiv[[#This Row],[Eagle1]:[Eagle9]])</f>
        <v>0</v>
      </c>
    </row>
    <row r="513" spans="1:61" x14ac:dyDescent="0.25">
      <c r="A513" t="s">
        <v>525</v>
      </c>
      <c r="B513" t="s">
        <v>470</v>
      </c>
      <c r="C513" s="119">
        <v>45824</v>
      </c>
      <c r="D513" t="s">
        <v>28</v>
      </c>
      <c r="E513" t="s">
        <v>20</v>
      </c>
      <c r="F513" t="s">
        <v>406</v>
      </c>
      <c r="G513">
        <v>4</v>
      </c>
      <c r="H513" t="s">
        <v>101</v>
      </c>
      <c r="I513" t="s">
        <v>407</v>
      </c>
      <c r="J513">
        <v>7</v>
      </c>
      <c r="K513">
        <v>5</v>
      </c>
      <c r="L513">
        <v>6</v>
      </c>
      <c r="M513">
        <v>7</v>
      </c>
      <c r="N513">
        <v>6</v>
      </c>
      <c r="O513">
        <v>9</v>
      </c>
      <c r="P513">
        <v>4</v>
      </c>
      <c r="Q513">
        <v>7</v>
      </c>
      <c r="R513">
        <v>7</v>
      </c>
      <c r="S513">
        <v>58</v>
      </c>
      <c r="T513">
        <v>18.239999999999998</v>
      </c>
      <c r="U513">
        <v>40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0</v>
      </c>
      <c r="AF513">
        <v>1</v>
      </c>
      <c r="AG513">
        <v>1</v>
      </c>
      <c r="AH513">
        <v>2</v>
      </c>
      <c r="AI513">
        <v>1</v>
      </c>
      <c r="AJ513">
        <v>0</v>
      </c>
      <c r="AK513">
        <v>2</v>
      </c>
      <c r="AL513">
        <v>0</v>
      </c>
      <c r="AM513">
        <v>2</v>
      </c>
      <c r="AN513">
        <v>0</v>
      </c>
      <c r="AO513">
        <v>9</v>
      </c>
      <c r="AY513">
        <f>SUM(Upload_Indiv[[#This Row],[Bird1]:[Bird9]])</f>
        <v>0</v>
      </c>
      <c r="BI513">
        <f>SUM(Upload_Indiv[[#This Row],[Eagle1]:[Eagle9]])</f>
        <v>0</v>
      </c>
    </row>
    <row r="514" spans="1:61" x14ac:dyDescent="0.25">
      <c r="A514" t="s">
        <v>526</v>
      </c>
      <c r="B514" t="s">
        <v>470</v>
      </c>
      <c r="C514" s="119">
        <v>45824</v>
      </c>
      <c r="D514" t="s">
        <v>18</v>
      </c>
      <c r="E514" t="s">
        <v>16</v>
      </c>
      <c r="F514" t="s">
        <v>406</v>
      </c>
      <c r="G514">
        <v>1</v>
      </c>
      <c r="H514" t="s">
        <v>272</v>
      </c>
      <c r="I514" t="s">
        <v>407</v>
      </c>
      <c r="J514">
        <v>5</v>
      </c>
      <c r="K514">
        <v>4</v>
      </c>
      <c r="L514">
        <v>4</v>
      </c>
      <c r="M514">
        <v>6</v>
      </c>
      <c r="N514">
        <v>5</v>
      </c>
      <c r="O514">
        <v>5</v>
      </c>
      <c r="P514">
        <v>4</v>
      </c>
      <c r="Q514">
        <v>5</v>
      </c>
      <c r="R514">
        <v>5</v>
      </c>
      <c r="S514">
        <v>43</v>
      </c>
      <c r="T514">
        <v>8.64</v>
      </c>
      <c r="U514">
        <v>34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2</v>
      </c>
      <c r="AF514">
        <v>0</v>
      </c>
      <c r="AG514">
        <v>2</v>
      </c>
      <c r="AH514">
        <v>1</v>
      </c>
      <c r="AI514">
        <v>0</v>
      </c>
      <c r="AJ514">
        <v>2</v>
      </c>
      <c r="AK514">
        <v>1</v>
      </c>
      <c r="AL514">
        <v>1</v>
      </c>
      <c r="AM514">
        <v>2</v>
      </c>
      <c r="AN514">
        <v>2</v>
      </c>
      <c r="AO514">
        <v>13</v>
      </c>
      <c r="AY514">
        <f>SUM(Upload_Indiv[[#This Row],[Bird1]:[Bird9]])</f>
        <v>0</v>
      </c>
      <c r="BI514">
        <f>SUM(Upload_Indiv[[#This Row],[Eagle1]:[Eagle9]])</f>
        <v>0</v>
      </c>
    </row>
    <row r="515" spans="1:61" x14ac:dyDescent="0.25">
      <c r="A515" t="s">
        <v>526</v>
      </c>
      <c r="B515" t="s">
        <v>470</v>
      </c>
      <c r="C515" s="119">
        <v>45824</v>
      </c>
      <c r="D515" t="s">
        <v>18</v>
      </c>
      <c r="E515" t="s">
        <v>16</v>
      </c>
      <c r="F515" t="s">
        <v>406</v>
      </c>
      <c r="G515">
        <v>2</v>
      </c>
      <c r="H515" t="s">
        <v>274</v>
      </c>
      <c r="I515" t="s">
        <v>407</v>
      </c>
      <c r="J515">
        <v>5</v>
      </c>
      <c r="K515">
        <v>5</v>
      </c>
      <c r="L515">
        <v>5</v>
      </c>
      <c r="M515">
        <v>5</v>
      </c>
      <c r="N515">
        <v>4</v>
      </c>
      <c r="O515">
        <v>6</v>
      </c>
      <c r="P515">
        <v>4</v>
      </c>
      <c r="Q515">
        <v>4</v>
      </c>
      <c r="R515">
        <v>7</v>
      </c>
      <c r="S515">
        <v>45</v>
      </c>
      <c r="T515">
        <v>9.6</v>
      </c>
      <c r="U515">
        <v>35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1</v>
      </c>
      <c r="AF515">
        <v>1</v>
      </c>
      <c r="AG515">
        <v>2</v>
      </c>
      <c r="AH515">
        <v>0</v>
      </c>
      <c r="AI515">
        <v>2</v>
      </c>
      <c r="AJ515">
        <v>1</v>
      </c>
      <c r="AK515">
        <v>2</v>
      </c>
      <c r="AL515">
        <v>1</v>
      </c>
      <c r="AM515">
        <v>0</v>
      </c>
      <c r="AN515">
        <v>2</v>
      </c>
      <c r="AO515">
        <v>12</v>
      </c>
      <c r="AY515">
        <f>SUM(Upload_Indiv[[#This Row],[Bird1]:[Bird9]])</f>
        <v>0</v>
      </c>
      <c r="BI515">
        <f>SUM(Upload_Indiv[[#This Row],[Eagle1]:[Eagle9]])</f>
        <v>0</v>
      </c>
    </row>
    <row r="516" spans="1:61" x14ac:dyDescent="0.25">
      <c r="A516" t="s">
        <v>526</v>
      </c>
      <c r="B516" t="s">
        <v>470</v>
      </c>
      <c r="C516" s="119">
        <v>45824</v>
      </c>
      <c r="D516" t="s">
        <v>18</v>
      </c>
      <c r="E516" t="s">
        <v>16</v>
      </c>
      <c r="F516" t="s">
        <v>406</v>
      </c>
      <c r="G516">
        <v>3</v>
      </c>
      <c r="H516" t="s">
        <v>276</v>
      </c>
      <c r="I516" t="s">
        <v>407</v>
      </c>
      <c r="J516">
        <v>6</v>
      </c>
      <c r="K516">
        <v>5</v>
      </c>
      <c r="L516">
        <v>6</v>
      </c>
      <c r="M516">
        <v>6</v>
      </c>
      <c r="N516">
        <v>5</v>
      </c>
      <c r="O516">
        <v>9</v>
      </c>
      <c r="P516">
        <v>4</v>
      </c>
      <c r="Q516">
        <v>6</v>
      </c>
      <c r="R516">
        <v>7</v>
      </c>
      <c r="S516">
        <v>54</v>
      </c>
      <c r="T516">
        <v>14.4</v>
      </c>
      <c r="U516">
        <v>40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1</v>
      </c>
      <c r="AF516">
        <v>1</v>
      </c>
      <c r="AG516">
        <v>1</v>
      </c>
      <c r="AH516">
        <v>2</v>
      </c>
      <c r="AI516">
        <v>2</v>
      </c>
      <c r="AJ516">
        <v>0</v>
      </c>
      <c r="AK516">
        <v>1</v>
      </c>
      <c r="AL516">
        <v>0</v>
      </c>
      <c r="AM516">
        <v>1</v>
      </c>
      <c r="AN516">
        <v>0</v>
      </c>
      <c r="AO516">
        <v>9</v>
      </c>
      <c r="AY516">
        <f>SUM(Upload_Indiv[[#This Row],[Bird1]:[Bird9]])</f>
        <v>0</v>
      </c>
      <c r="BI516">
        <f>SUM(Upload_Indiv[[#This Row],[Eagle1]:[Eagle9]])</f>
        <v>0</v>
      </c>
    </row>
    <row r="517" spans="1:61" x14ac:dyDescent="0.25">
      <c r="A517" t="s">
        <v>526</v>
      </c>
      <c r="B517" t="s">
        <v>470</v>
      </c>
      <c r="C517" s="119">
        <v>45824</v>
      </c>
      <c r="D517" t="s">
        <v>18</v>
      </c>
      <c r="E517" t="s">
        <v>16</v>
      </c>
      <c r="F517" t="s">
        <v>406</v>
      </c>
      <c r="G517">
        <v>4</v>
      </c>
      <c r="H517" t="s">
        <v>278</v>
      </c>
      <c r="I517" t="s">
        <v>407</v>
      </c>
      <c r="J517">
        <v>5</v>
      </c>
      <c r="K517">
        <v>5</v>
      </c>
      <c r="L517">
        <v>6</v>
      </c>
      <c r="M517">
        <v>9</v>
      </c>
      <c r="N517">
        <v>5</v>
      </c>
      <c r="O517">
        <v>9</v>
      </c>
      <c r="P517">
        <v>3</v>
      </c>
      <c r="Q517">
        <v>6</v>
      </c>
      <c r="R517">
        <v>7</v>
      </c>
      <c r="S517">
        <v>55</v>
      </c>
      <c r="T517">
        <v>18.05</v>
      </c>
      <c r="U517">
        <v>37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</v>
      </c>
      <c r="AF517">
        <v>1</v>
      </c>
      <c r="AG517">
        <v>0</v>
      </c>
      <c r="AH517">
        <v>0</v>
      </c>
      <c r="AI517">
        <v>2</v>
      </c>
      <c r="AJ517">
        <v>0</v>
      </c>
      <c r="AK517">
        <v>2</v>
      </c>
      <c r="AL517">
        <v>1</v>
      </c>
      <c r="AM517">
        <v>2</v>
      </c>
      <c r="AN517">
        <v>2</v>
      </c>
      <c r="AO517">
        <v>12</v>
      </c>
      <c r="AY517">
        <f>SUM(Upload_Indiv[[#This Row],[Bird1]:[Bird9]])</f>
        <v>0</v>
      </c>
      <c r="BI517">
        <f>SUM(Upload_Indiv[[#This Row],[Eagle1]:[Eagle9]])</f>
        <v>0</v>
      </c>
    </row>
    <row r="518" spans="1:61" x14ac:dyDescent="0.25">
      <c r="A518" t="s">
        <v>526</v>
      </c>
      <c r="B518" t="s">
        <v>470</v>
      </c>
      <c r="C518" s="119">
        <v>45824</v>
      </c>
      <c r="D518" t="s">
        <v>16</v>
      </c>
      <c r="E518" t="s">
        <v>18</v>
      </c>
      <c r="F518" t="s">
        <v>406</v>
      </c>
      <c r="G518">
        <v>1</v>
      </c>
      <c r="H518" t="s">
        <v>485</v>
      </c>
      <c r="I518" t="s">
        <v>407</v>
      </c>
      <c r="J518">
        <v>7</v>
      </c>
      <c r="K518">
        <v>3</v>
      </c>
      <c r="L518">
        <v>5</v>
      </c>
      <c r="M518">
        <v>6</v>
      </c>
      <c r="N518">
        <v>4</v>
      </c>
      <c r="O518">
        <v>7</v>
      </c>
      <c r="P518">
        <v>4</v>
      </c>
      <c r="Q518">
        <v>5</v>
      </c>
      <c r="R518">
        <v>7</v>
      </c>
      <c r="S518">
        <v>48</v>
      </c>
      <c r="T518">
        <v>8.64</v>
      </c>
      <c r="U518">
        <v>39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2</v>
      </c>
      <c r="AG518">
        <v>0</v>
      </c>
      <c r="AH518">
        <v>1</v>
      </c>
      <c r="AI518">
        <v>2</v>
      </c>
      <c r="AJ518">
        <v>0</v>
      </c>
      <c r="AK518">
        <v>1</v>
      </c>
      <c r="AL518">
        <v>1</v>
      </c>
      <c r="AM518">
        <v>0</v>
      </c>
      <c r="AN518">
        <v>0</v>
      </c>
      <c r="AO518">
        <v>7</v>
      </c>
      <c r="AY518">
        <f>SUM(Upload_Indiv[[#This Row],[Bird1]:[Bird9]])</f>
        <v>0</v>
      </c>
      <c r="BI518">
        <f>SUM(Upload_Indiv[[#This Row],[Eagle1]:[Eagle9]])</f>
        <v>0</v>
      </c>
    </row>
    <row r="519" spans="1:61" x14ac:dyDescent="0.25">
      <c r="A519" t="s">
        <v>526</v>
      </c>
      <c r="B519" t="s">
        <v>470</v>
      </c>
      <c r="C519" s="119">
        <v>45824</v>
      </c>
      <c r="D519" t="s">
        <v>16</v>
      </c>
      <c r="E519" t="s">
        <v>18</v>
      </c>
      <c r="F519" t="s">
        <v>406</v>
      </c>
      <c r="G519">
        <v>2</v>
      </c>
      <c r="H519" t="s">
        <v>267</v>
      </c>
      <c r="I519" t="s">
        <v>407</v>
      </c>
      <c r="J519">
        <v>5</v>
      </c>
      <c r="K519">
        <v>5</v>
      </c>
      <c r="L519">
        <v>8</v>
      </c>
      <c r="M519">
        <v>5</v>
      </c>
      <c r="N519">
        <v>5</v>
      </c>
      <c r="O519">
        <v>6</v>
      </c>
      <c r="P519">
        <v>5</v>
      </c>
      <c r="Q519">
        <v>5</v>
      </c>
      <c r="R519">
        <v>6</v>
      </c>
      <c r="S519">
        <v>50</v>
      </c>
      <c r="T519">
        <v>11.33</v>
      </c>
      <c r="U519">
        <v>39</v>
      </c>
      <c r="V519">
        <v>0</v>
      </c>
      <c r="W519">
        <v>0</v>
      </c>
      <c r="X519">
        <v>0</v>
      </c>
      <c r="Y519">
        <v>1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</v>
      </c>
      <c r="AF519">
        <v>1</v>
      </c>
      <c r="AG519">
        <v>0</v>
      </c>
      <c r="AH519">
        <v>2</v>
      </c>
      <c r="AI519">
        <v>0</v>
      </c>
      <c r="AJ519">
        <v>1</v>
      </c>
      <c r="AK519">
        <v>0</v>
      </c>
      <c r="AL519">
        <v>1</v>
      </c>
      <c r="AM519">
        <v>2</v>
      </c>
      <c r="AN519">
        <v>0</v>
      </c>
      <c r="AO519">
        <v>8</v>
      </c>
      <c r="AY519">
        <f>SUM(Upload_Indiv[[#This Row],[Bird1]:[Bird9]])</f>
        <v>0</v>
      </c>
      <c r="BI519">
        <f>SUM(Upload_Indiv[[#This Row],[Eagle1]:[Eagle9]])</f>
        <v>0</v>
      </c>
    </row>
    <row r="520" spans="1:61" x14ac:dyDescent="0.25">
      <c r="A520" t="s">
        <v>526</v>
      </c>
      <c r="B520" t="s">
        <v>470</v>
      </c>
      <c r="C520" s="119">
        <v>45824</v>
      </c>
      <c r="D520" t="s">
        <v>16</v>
      </c>
      <c r="E520" t="s">
        <v>18</v>
      </c>
      <c r="F520" t="s">
        <v>406</v>
      </c>
      <c r="G520">
        <v>3</v>
      </c>
      <c r="H520" t="s">
        <v>484</v>
      </c>
      <c r="I520" t="s">
        <v>407</v>
      </c>
      <c r="J520">
        <v>6</v>
      </c>
      <c r="K520">
        <v>5</v>
      </c>
      <c r="L520">
        <v>6</v>
      </c>
      <c r="M520">
        <v>8</v>
      </c>
      <c r="N520">
        <v>6</v>
      </c>
      <c r="O520">
        <v>7</v>
      </c>
      <c r="P520">
        <v>4</v>
      </c>
      <c r="Q520">
        <v>6</v>
      </c>
      <c r="R520">
        <v>7</v>
      </c>
      <c r="S520">
        <v>55</v>
      </c>
      <c r="T520">
        <v>15.68</v>
      </c>
      <c r="U520">
        <v>39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0</v>
      </c>
      <c r="AE520">
        <v>1</v>
      </c>
      <c r="AF520">
        <v>1</v>
      </c>
      <c r="AG520">
        <v>1</v>
      </c>
      <c r="AH520">
        <v>0</v>
      </c>
      <c r="AI520">
        <v>0</v>
      </c>
      <c r="AJ520">
        <v>2</v>
      </c>
      <c r="AK520">
        <v>1</v>
      </c>
      <c r="AL520">
        <v>2</v>
      </c>
      <c r="AM520">
        <v>1</v>
      </c>
      <c r="AN520">
        <v>2</v>
      </c>
      <c r="AO520">
        <v>11</v>
      </c>
      <c r="AY520">
        <f>SUM(Upload_Indiv[[#This Row],[Bird1]:[Bird9]])</f>
        <v>0</v>
      </c>
      <c r="BI520">
        <f>SUM(Upload_Indiv[[#This Row],[Eagle1]:[Eagle9]])</f>
        <v>0</v>
      </c>
    </row>
    <row r="521" spans="1:61" x14ac:dyDescent="0.25">
      <c r="A521" t="s">
        <v>526</v>
      </c>
      <c r="B521" t="s">
        <v>470</v>
      </c>
      <c r="C521" s="119">
        <v>45824</v>
      </c>
      <c r="D521" t="s">
        <v>16</v>
      </c>
      <c r="E521" t="s">
        <v>18</v>
      </c>
      <c r="F521" t="s">
        <v>406</v>
      </c>
      <c r="G521">
        <v>4</v>
      </c>
      <c r="H521" t="s">
        <v>265</v>
      </c>
      <c r="I521" t="s">
        <v>407</v>
      </c>
      <c r="J521">
        <v>7</v>
      </c>
      <c r="K521">
        <v>5</v>
      </c>
      <c r="L521">
        <v>5</v>
      </c>
      <c r="M521">
        <v>7</v>
      </c>
      <c r="N521">
        <v>9</v>
      </c>
      <c r="O521">
        <v>8</v>
      </c>
      <c r="P521">
        <v>4</v>
      </c>
      <c r="Q521">
        <v>7</v>
      </c>
      <c r="R521">
        <v>8</v>
      </c>
      <c r="S521">
        <v>60</v>
      </c>
      <c r="T521">
        <v>18.62</v>
      </c>
      <c r="U521">
        <v>41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0</v>
      </c>
      <c r="AE521">
        <v>0</v>
      </c>
      <c r="AF521">
        <v>1</v>
      </c>
      <c r="AG521">
        <v>2</v>
      </c>
      <c r="AH521">
        <v>2</v>
      </c>
      <c r="AI521">
        <v>0</v>
      </c>
      <c r="AJ521">
        <v>2</v>
      </c>
      <c r="AK521">
        <v>0</v>
      </c>
      <c r="AL521">
        <v>1</v>
      </c>
      <c r="AM521">
        <v>0</v>
      </c>
      <c r="AN521">
        <v>0</v>
      </c>
      <c r="AO521">
        <v>8</v>
      </c>
      <c r="AY521">
        <f>SUM(Upload_Indiv[[#This Row],[Bird1]:[Bird9]])</f>
        <v>0</v>
      </c>
      <c r="BI521">
        <f>SUM(Upload_Indiv[[#This Row],[Eagle1]:[Eagle9]])</f>
        <v>0</v>
      </c>
    </row>
    <row r="522" spans="1:61" x14ac:dyDescent="0.25">
      <c r="A522" t="s">
        <v>527</v>
      </c>
      <c r="B522" t="s">
        <v>470</v>
      </c>
      <c r="C522" s="119">
        <v>45824</v>
      </c>
      <c r="D522" t="s">
        <v>24</v>
      </c>
      <c r="E522" t="s">
        <v>30</v>
      </c>
      <c r="F522" t="s">
        <v>408</v>
      </c>
      <c r="G522">
        <v>1</v>
      </c>
      <c r="H522" t="s">
        <v>298</v>
      </c>
      <c r="I522" t="s">
        <v>407</v>
      </c>
      <c r="J522">
        <v>5</v>
      </c>
      <c r="K522">
        <v>6</v>
      </c>
      <c r="L522">
        <v>5</v>
      </c>
      <c r="M522">
        <v>3</v>
      </c>
      <c r="N522">
        <v>5</v>
      </c>
      <c r="O522">
        <v>5</v>
      </c>
      <c r="P522">
        <v>7</v>
      </c>
      <c r="Q522">
        <v>4</v>
      </c>
      <c r="R522">
        <v>6</v>
      </c>
      <c r="S522">
        <v>46</v>
      </c>
      <c r="T522">
        <v>7.68</v>
      </c>
      <c r="U522">
        <v>38</v>
      </c>
      <c r="V522">
        <v>1</v>
      </c>
      <c r="W522">
        <v>1</v>
      </c>
      <c r="X522">
        <v>1</v>
      </c>
      <c r="Y522">
        <v>1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2</v>
      </c>
      <c r="AF522">
        <v>1</v>
      </c>
      <c r="AG522">
        <v>1</v>
      </c>
      <c r="AH522">
        <v>2</v>
      </c>
      <c r="AI522">
        <v>0</v>
      </c>
      <c r="AJ522">
        <v>2</v>
      </c>
      <c r="AK522">
        <v>0</v>
      </c>
      <c r="AL522">
        <v>1</v>
      </c>
      <c r="AM522">
        <v>0</v>
      </c>
      <c r="AN522">
        <v>1</v>
      </c>
      <c r="AO522">
        <v>10</v>
      </c>
      <c r="AY522">
        <f>SUM(Upload_Indiv[[#This Row],[Bird1]:[Bird9]])</f>
        <v>0</v>
      </c>
      <c r="BI522">
        <f>SUM(Upload_Indiv[[#This Row],[Eagle1]:[Eagle9]])</f>
        <v>0</v>
      </c>
    </row>
    <row r="523" spans="1:61" x14ac:dyDescent="0.25">
      <c r="A523" t="s">
        <v>527</v>
      </c>
      <c r="B523" t="s">
        <v>470</v>
      </c>
      <c r="C523" s="119">
        <v>45824</v>
      </c>
      <c r="D523" t="s">
        <v>24</v>
      </c>
      <c r="E523" t="s">
        <v>30</v>
      </c>
      <c r="F523" t="s">
        <v>408</v>
      </c>
      <c r="G523">
        <v>2</v>
      </c>
      <c r="H523" t="s">
        <v>300</v>
      </c>
      <c r="I523" t="s">
        <v>407</v>
      </c>
      <c r="J523">
        <v>7</v>
      </c>
      <c r="K523">
        <v>7</v>
      </c>
      <c r="L523">
        <v>5</v>
      </c>
      <c r="M523">
        <v>4</v>
      </c>
      <c r="N523">
        <v>5</v>
      </c>
      <c r="O523">
        <v>6</v>
      </c>
      <c r="P523">
        <v>8</v>
      </c>
      <c r="Q523">
        <v>6</v>
      </c>
      <c r="R523">
        <v>6</v>
      </c>
      <c r="S523">
        <v>54</v>
      </c>
      <c r="T523">
        <v>9.02</v>
      </c>
      <c r="U523">
        <v>45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0</v>
      </c>
      <c r="AF523">
        <v>0</v>
      </c>
      <c r="AG523">
        <v>1</v>
      </c>
      <c r="AH523">
        <v>1</v>
      </c>
      <c r="AI523">
        <v>1</v>
      </c>
      <c r="AJ523">
        <v>1</v>
      </c>
      <c r="AK523">
        <v>0</v>
      </c>
      <c r="AL523">
        <v>0</v>
      </c>
      <c r="AM523">
        <v>0</v>
      </c>
      <c r="AN523">
        <v>0</v>
      </c>
      <c r="AO523">
        <v>4</v>
      </c>
      <c r="AY523">
        <f>SUM(Upload_Indiv[[#This Row],[Bird1]:[Bird9]])</f>
        <v>0</v>
      </c>
      <c r="BI523">
        <f>SUM(Upload_Indiv[[#This Row],[Eagle1]:[Eagle9]])</f>
        <v>0</v>
      </c>
    </row>
    <row r="524" spans="1:61" x14ac:dyDescent="0.25">
      <c r="A524" t="s">
        <v>527</v>
      </c>
      <c r="B524" t="s">
        <v>470</v>
      </c>
      <c r="C524" s="119">
        <v>45824</v>
      </c>
      <c r="D524" t="s">
        <v>24</v>
      </c>
      <c r="E524" t="s">
        <v>30</v>
      </c>
      <c r="F524" t="s">
        <v>408</v>
      </c>
      <c r="G524">
        <v>3</v>
      </c>
      <c r="H524" t="s">
        <v>106</v>
      </c>
      <c r="I524" t="s">
        <v>407</v>
      </c>
      <c r="J524">
        <v>6</v>
      </c>
      <c r="K524">
        <v>7</v>
      </c>
      <c r="L524">
        <v>5</v>
      </c>
      <c r="M524">
        <v>5</v>
      </c>
      <c r="N524">
        <v>5</v>
      </c>
      <c r="O524">
        <v>5</v>
      </c>
      <c r="P524">
        <v>6</v>
      </c>
      <c r="Q524">
        <v>4</v>
      </c>
      <c r="R524">
        <v>6</v>
      </c>
      <c r="S524">
        <v>49</v>
      </c>
      <c r="T524">
        <v>16.7</v>
      </c>
      <c r="U524">
        <v>32</v>
      </c>
      <c r="V524">
        <v>2</v>
      </c>
      <c r="W524">
        <v>2</v>
      </c>
      <c r="X524">
        <v>2</v>
      </c>
      <c r="Y524">
        <v>2</v>
      </c>
      <c r="Z524">
        <v>1</v>
      </c>
      <c r="AA524">
        <v>2</v>
      </c>
      <c r="AB524">
        <v>2</v>
      </c>
      <c r="AC524">
        <v>2</v>
      </c>
      <c r="AD524">
        <v>2</v>
      </c>
      <c r="AE524">
        <v>2</v>
      </c>
      <c r="AF524">
        <v>1</v>
      </c>
      <c r="AG524">
        <v>2</v>
      </c>
      <c r="AH524">
        <v>1</v>
      </c>
      <c r="AI524">
        <v>1</v>
      </c>
      <c r="AJ524">
        <v>2</v>
      </c>
      <c r="AK524">
        <v>2</v>
      </c>
      <c r="AL524">
        <v>2</v>
      </c>
      <c r="AM524">
        <v>1</v>
      </c>
      <c r="AN524">
        <v>2</v>
      </c>
      <c r="AO524">
        <v>16</v>
      </c>
      <c r="AY524">
        <f>SUM(Upload_Indiv[[#This Row],[Bird1]:[Bird9]])</f>
        <v>0</v>
      </c>
      <c r="BI524">
        <f>SUM(Upload_Indiv[[#This Row],[Eagle1]:[Eagle9]])</f>
        <v>0</v>
      </c>
    </row>
    <row r="525" spans="1:61" x14ac:dyDescent="0.25">
      <c r="A525" t="s">
        <v>527</v>
      </c>
      <c r="B525" t="s">
        <v>470</v>
      </c>
      <c r="C525" s="119">
        <v>45824</v>
      </c>
      <c r="D525" t="s">
        <v>24</v>
      </c>
      <c r="E525" t="s">
        <v>30</v>
      </c>
      <c r="F525" t="s">
        <v>408</v>
      </c>
      <c r="G525">
        <v>4</v>
      </c>
      <c r="H525" t="s">
        <v>479</v>
      </c>
      <c r="I525" t="s">
        <v>407</v>
      </c>
      <c r="J525">
        <v>8</v>
      </c>
      <c r="K525">
        <v>9</v>
      </c>
      <c r="L525">
        <v>7</v>
      </c>
      <c r="M525">
        <v>5</v>
      </c>
      <c r="N525">
        <v>7</v>
      </c>
      <c r="O525">
        <v>8</v>
      </c>
      <c r="P525">
        <v>9</v>
      </c>
      <c r="Q525">
        <v>7</v>
      </c>
      <c r="R525">
        <v>9</v>
      </c>
      <c r="S525">
        <v>69</v>
      </c>
      <c r="T525">
        <v>20</v>
      </c>
      <c r="U525">
        <v>49</v>
      </c>
      <c r="V525">
        <v>3</v>
      </c>
      <c r="W525">
        <v>2</v>
      </c>
      <c r="X525">
        <v>2</v>
      </c>
      <c r="Y525">
        <v>2</v>
      </c>
      <c r="Z525">
        <v>2</v>
      </c>
      <c r="AA525">
        <v>3</v>
      </c>
      <c r="AB525">
        <v>2</v>
      </c>
      <c r="AC525">
        <v>2</v>
      </c>
      <c r="AD525">
        <v>2</v>
      </c>
      <c r="AE525">
        <v>1</v>
      </c>
      <c r="AF525">
        <v>0</v>
      </c>
      <c r="AG525">
        <v>0</v>
      </c>
      <c r="AH525">
        <v>1</v>
      </c>
      <c r="AI525">
        <v>0</v>
      </c>
      <c r="AJ525">
        <v>1</v>
      </c>
      <c r="AK525">
        <v>0</v>
      </c>
      <c r="AL525">
        <v>0</v>
      </c>
      <c r="AM525">
        <v>0</v>
      </c>
      <c r="AN525">
        <v>0</v>
      </c>
      <c r="AO525">
        <v>3</v>
      </c>
      <c r="AY525">
        <f>SUM(Upload_Indiv[[#This Row],[Bird1]:[Bird9]])</f>
        <v>0</v>
      </c>
      <c r="BI525">
        <f>SUM(Upload_Indiv[[#This Row],[Eagle1]:[Eagle9]])</f>
        <v>0</v>
      </c>
    </row>
    <row r="526" spans="1:61" x14ac:dyDescent="0.25">
      <c r="A526" t="s">
        <v>527</v>
      </c>
      <c r="B526" t="s">
        <v>470</v>
      </c>
      <c r="C526" s="119">
        <v>45824</v>
      </c>
      <c r="D526" t="s">
        <v>30</v>
      </c>
      <c r="E526" t="s">
        <v>24</v>
      </c>
      <c r="F526" t="s">
        <v>408</v>
      </c>
      <c r="G526">
        <v>1</v>
      </c>
      <c r="H526" t="s">
        <v>323</v>
      </c>
      <c r="I526" t="s">
        <v>407</v>
      </c>
      <c r="J526">
        <v>5</v>
      </c>
      <c r="K526">
        <v>5</v>
      </c>
      <c r="L526">
        <v>4</v>
      </c>
      <c r="M526">
        <v>3</v>
      </c>
      <c r="N526">
        <v>4</v>
      </c>
      <c r="O526">
        <v>5</v>
      </c>
      <c r="P526">
        <v>5</v>
      </c>
      <c r="Q526">
        <v>3</v>
      </c>
      <c r="R526">
        <v>4</v>
      </c>
      <c r="S526">
        <v>38</v>
      </c>
      <c r="T526">
        <v>0</v>
      </c>
      <c r="U526">
        <v>38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1</v>
      </c>
      <c r="AG526">
        <v>1</v>
      </c>
      <c r="AH526">
        <v>0</v>
      </c>
      <c r="AI526">
        <v>2</v>
      </c>
      <c r="AJ526">
        <v>0</v>
      </c>
      <c r="AK526">
        <v>2</v>
      </c>
      <c r="AL526">
        <v>1</v>
      </c>
      <c r="AM526">
        <v>2</v>
      </c>
      <c r="AN526">
        <v>1</v>
      </c>
      <c r="AO526">
        <v>10</v>
      </c>
      <c r="AY526">
        <f>SUM(Upload_Indiv[[#This Row],[Bird1]:[Bird9]])</f>
        <v>0</v>
      </c>
      <c r="BI526">
        <f>SUM(Upload_Indiv[[#This Row],[Eagle1]:[Eagle9]])</f>
        <v>0</v>
      </c>
    </row>
    <row r="527" spans="1:61" x14ac:dyDescent="0.25">
      <c r="A527" t="s">
        <v>527</v>
      </c>
      <c r="B527" t="s">
        <v>470</v>
      </c>
      <c r="C527" s="119">
        <v>45824</v>
      </c>
      <c r="D527" t="s">
        <v>30</v>
      </c>
      <c r="E527" t="s">
        <v>24</v>
      </c>
      <c r="F527" t="s">
        <v>408</v>
      </c>
      <c r="G527">
        <v>2</v>
      </c>
      <c r="H527" t="s">
        <v>324</v>
      </c>
      <c r="I527" t="s">
        <v>407</v>
      </c>
      <c r="J527">
        <v>5</v>
      </c>
      <c r="K527">
        <v>5</v>
      </c>
      <c r="L527">
        <v>4</v>
      </c>
      <c r="M527">
        <v>3</v>
      </c>
      <c r="N527">
        <v>4</v>
      </c>
      <c r="O527">
        <v>5</v>
      </c>
      <c r="P527">
        <v>5</v>
      </c>
      <c r="Q527">
        <v>3</v>
      </c>
      <c r="R527">
        <v>4</v>
      </c>
      <c r="S527">
        <v>38</v>
      </c>
      <c r="T527">
        <v>0</v>
      </c>
      <c r="U527">
        <v>38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2</v>
      </c>
      <c r="AF527">
        <v>2</v>
      </c>
      <c r="AG527">
        <v>1</v>
      </c>
      <c r="AH527">
        <v>1</v>
      </c>
      <c r="AI527">
        <v>1</v>
      </c>
      <c r="AJ527">
        <v>1</v>
      </c>
      <c r="AK527">
        <v>2</v>
      </c>
      <c r="AL527">
        <v>2</v>
      </c>
      <c r="AM527">
        <v>2</v>
      </c>
      <c r="AN527">
        <v>2</v>
      </c>
      <c r="AO527">
        <v>16</v>
      </c>
      <c r="AY527">
        <f>SUM(Upload_Indiv[[#This Row],[Bird1]:[Bird9]])</f>
        <v>0</v>
      </c>
      <c r="BI527">
        <f>SUM(Upload_Indiv[[#This Row],[Eagle1]:[Eagle9]])</f>
        <v>0</v>
      </c>
    </row>
    <row r="528" spans="1:61" x14ac:dyDescent="0.25">
      <c r="A528" t="s">
        <v>527</v>
      </c>
      <c r="B528" t="s">
        <v>470</v>
      </c>
      <c r="C528" s="119">
        <v>45824</v>
      </c>
      <c r="D528" t="s">
        <v>30</v>
      </c>
      <c r="E528" t="s">
        <v>24</v>
      </c>
      <c r="F528" t="s">
        <v>408</v>
      </c>
      <c r="G528">
        <v>3</v>
      </c>
      <c r="H528" t="s">
        <v>325</v>
      </c>
      <c r="I528" t="s">
        <v>407</v>
      </c>
      <c r="J528">
        <v>5</v>
      </c>
      <c r="K528">
        <v>5</v>
      </c>
      <c r="L528">
        <v>4</v>
      </c>
      <c r="M528">
        <v>3</v>
      </c>
      <c r="N528">
        <v>4</v>
      </c>
      <c r="O528">
        <v>5</v>
      </c>
      <c r="P528">
        <v>5</v>
      </c>
      <c r="Q528">
        <v>3</v>
      </c>
      <c r="R528">
        <v>4</v>
      </c>
      <c r="S528">
        <v>38</v>
      </c>
      <c r="T528">
        <v>0</v>
      </c>
      <c r="U528">
        <v>38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1</v>
      </c>
      <c r="AG528">
        <v>0</v>
      </c>
      <c r="AH528">
        <v>1</v>
      </c>
      <c r="AI528">
        <v>1</v>
      </c>
      <c r="AJ528">
        <v>0</v>
      </c>
      <c r="AK528">
        <v>0</v>
      </c>
      <c r="AL528">
        <v>0</v>
      </c>
      <c r="AM528">
        <v>1</v>
      </c>
      <c r="AN528">
        <v>0</v>
      </c>
      <c r="AO528">
        <v>4</v>
      </c>
      <c r="AY528">
        <f>SUM(Upload_Indiv[[#This Row],[Bird1]:[Bird9]])</f>
        <v>0</v>
      </c>
      <c r="BI528">
        <f>SUM(Upload_Indiv[[#This Row],[Eagle1]:[Eagle9]])</f>
        <v>0</v>
      </c>
    </row>
    <row r="529" spans="1:61" x14ac:dyDescent="0.25">
      <c r="A529" t="s">
        <v>527</v>
      </c>
      <c r="B529" t="s">
        <v>470</v>
      </c>
      <c r="C529" s="119">
        <v>45824</v>
      </c>
      <c r="D529" t="s">
        <v>30</v>
      </c>
      <c r="E529" t="s">
        <v>24</v>
      </c>
      <c r="F529" t="s">
        <v>408</v>
      </c>
      <c r="G529">
        <v>4</v>
      </c>
      <c r="H529" t="s">
        <v>326</v>
      </c>
      <c r="I529" t="s">
        <v>407</v>
      </c>
      <c r="J529">
        <v>5</v>
      </c>
      <c r="K529">
        <v>5</v>
      </c>
      <c r="L529">
        <v>4</v>
      </c>
      <c r="M529">
        <v>3</v>
      </c>
      <c r="N529">
        <v>4</v>
      </c>
      <c r="O529">
        <v>5</v>
      </c>
      <c r="P529">
        <v>5</v>
      </c>
      <c r="Q529">
        <v>3</v>
      </c>
      <c r="R529">
        <v>4</v>
      </c>
      <c r="S529">
        <v>38</v>
      </c>
      <c r="T529">
        <v>0</v>
      </c>
      <c r="U529">
        <v>38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1</v>
      </c>
      <c r="AF529">
        <v>2</v>
      </c>
      <c r="AG529">
        <v>2</v>
      </c>
      <c r="AH529">
        <v>1</v>
      </c>
      <c r="AI529">
        <v>2</v>
      </c>
      <c r="AJ529">
        <v>1</v>
      </c>
      <c r="AK529">
        <v>2</v>
      </c>
      <c r="AL529">
        <v>2</v>
      </c>
      <c r="AM529">
        <v>2</v>
      </c>
      <c r="AN529">
        <v>2</v>
      </c>
      <c r="AO529">
        <v>17</v>
      </c>
      <c r="AY529">
        <f>SUM(Upload_Indiv[[#This Row],[Bird1]:[Bird9]])</f>
        <v>0</v>
      </c>
      <c r="BI529">
        <f>SUM(Upload_Indiv[[#This Row],[Eagle1]:[Eagle9]])</f>
        <v>0</v>
      </c>
    </row>
  </sheetData>
  <phoneticPr fontId="33" type="noConversion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4A42E-977F-40B7-A271-BD20555625B7}">
  <sheetPr codeName="Sheet25"/>
  <dimension ref="A1:I133"/>
  <sheetViews>
    <sheetView workbookViewId="0"/>
  </sheetViews>
  <sheetFormatPr defaultRowHeight="13.2" x14ac:dyDescent="0.25"/>
  <cols>
    <col min="1" max="1" width="35.77734375" bestFit="1" customWidth="1"/>
    <col min="2" max="2" width="7.5546875" bestFit="1" customWidth="1"/>
    <col min="3" max="3" width="8.77734375" bestFit="1" customWidth="1"/>
    <col min="4" max="5" width="17.109375" bestFit="1" customWidth="1"/>
    <col min="6" max="6" width="12.44140625" bestFit="1" customWidth="1"/>
    <col min="7" max="7" width="9.33203125" bestFit="1" customWidth="1"/>
    <col min="8" max="9" width="15.5546875" bestFit="1" customWidth="1"/>
  </cols>
  <sheetData>
    <row r="1" spans="1:9" x14ac:dyDescent="0.25">
      <c r="A1" t="s">
        <v>350</v>
      </c>
      <c r="B1" t="s">
        <v>7</v>
      </c>
      <c r="C1" t="s">
        <v>114</v>
      </c>
      <c r="D1" t="s">
        <v>8</v>
      </c>
      <c r="E1" t="s">
        <v>351</v>
      </c>
      <c r="F1" t="s">
        <v>352</v>
      </c>
      <c r="G1" t="s">
        <v>409</v>
      </c>
      <c r="H1" t="s">
        <v>410</v>
      </c>
      <c r="I1" t="s">
        <v>411</v>
      </c>
    </row>
    <row r="2" spans="1:9" x14ac:dyDescent="0.25">
      <c r="A2" t="s">
        <v>476</v>
      </c>
      <c r="B2" t="s">
        <v>405</v>
      </c>
      <c r="C2" s="119">
        <v>45761</v>
      </c>
      <c r="D2" t="s">
        <v>26</v>
      </c>
      <c r="E2" t="s">
        <v>30</v>
      </c>
      <c r="F2" t="s">
        <v>408</v>
      </c>
      <c r="G2">
        <v>163</v>
      </c>
      <c r="H2">
        <v>0</v>
      </c>
      <c r="I2">
        <v>28</v>
      </c>
    </row>
    <row r="3" spans="1:9" x14ac:dyDescent="0.25">
      <c r="A3" t="s">
        <v>476</v>
      </c>
      <c r="B3" t="s">
        <v>405</v>
      </c>
      <c r="C3" s="119">
        <v>45761</v>
      </c>
      <c r="D3" t="s">
        <v>30</v>
      </c>
      <c r="E3" t="s">
        <v>26</v>
      </c>
      <c r="F3" t="s">
        <v>408</v>
      </c>
      <c r="G3">
        <v>152</v>
      </c>
      <c r="H3">
        <v>4</v>
      </c>
      <c r="I3">
        <v>56</v>
      </c>
    </row>
    <row r="4" spans="1:9" x14ac:dyDescent="0.25">
      <c r="A4" t="s">
        <v>482</v>
      </c>
      <c r="B4" t="s">
        <v>405</v>
      </c>
      <c r="C4" s="119">
        <v>45761</v>
      </c>
      <c r="D4" t="s">
        <v>20</v>
      </c>
      <c r="E4" t="s">
        <v>18</v>
      </c>
      <c r="F4" t="s">
        <v>406</v>
      </c>
      <c r="G4">
        <v>164</v>
      </c>
      <c r="H4">
        <v>4</v>
      </c>
      <c r="I4">
        <v>48</v>
      </c>
    </row>
    <row r="5" spans="1:9" x14ac:dyDescent="0.25">
      <c r="A5" t="s">
        <v>482</v>
      </c>
      <c r="B5" t="s">
        <v>405</v>
      </c>
      <c r="C5" s="119">
        <v>45761</v>
      </c>
      <c r="D5" t="s">
        <v>18</v>
      </c>
      <c r="E5" t="s">
        <v>20</v>
      </c>
      <c r="F5" t="s">
        <v>406</v>
      </c>
      <c r="G5">
        <v>171</v>
      </c>
      <c r="H5">
        <v>0</v>
      </c>
      <c r="I5">
        <v>36</v>
      </c>
    </row>
    <row r="6" spans="1:9" x14ac:dyDescent="0.25">
      <c r="A6" t="s">
        <v>483</v>
      </c>
      <c r="B6" t="s">
        <v>405</v>
      </c>
      <c r="C6" s="119">
        <v>45761</v>
      </c>
      <c r="D6" t="s">
        <v>16</v>
      </c>
      <c r="E6" t="s">
        <v>22</v>
      </c>
      <c r="F6" t="s">
        <v>406</v>
      </c>
      <c r="G6">
        <v>171</v>
      </c>
      <c r="H6">
        <v>4</v>
      </c>
      <c r="I6">
        <v>47</v>
      </c>
    </row>
    <row r="7" spans="1:9" x14ac:dyDescent="0.25">
      <c r="A7" t="s">
        <v>483</v>
      </c>
      <c r="B7" t="s">
        <v>405</v>
      </c>
      <c r="C7" s="119">
        <v>45761</v>
      </c>
      <c r="D7" t="s">
        <v>22</v>
      </c>
      <c r="E7" t="s">
        <v>16</v>
      </c>
      <c r="F7" t="s">
        <v>406</v>
      </c>
      <c r="G7">
        <v>181</v>
      </c>
      <c r="H7">
        <v>0</v>
      </c>
      <c r="I7">
        <v>37</v>
      </c>
    </row>
    <row r="8" spans="1:9" x14ac:dyDescent="0.25">
      <c r="A8" t="s">
        <v>477</v>
      </c>
      <c r="B8" t="s">
        <v>405</v>
      </c>
      <c r="C8" s="119">
        <v>45761</v>
      </c>
      <c r="D8" t="s">
        <v>24</v>
      </c>
      <c r="E8" t="s">
        <v>28</v>
      </c>
      <c r="F8" t="s">
        <v>408</v>
      </c>
      <c r="G8">
        <v>189</v>
      </c>
      <c r="H8">
        <v>0</v>
      </c>
      <c r="I8">
        <v>27</v>
      </c>
    </row>
    <row r="9" spans="1:9" x14ac:dyDescent="0.25">
      <c r="A9" t="s">
        <v>477</v>
      </c>
      <c r="B9" t="s">
        <v>405</v>
      </c>
      <c r="C9" s="119">
        <v>45761</v>
      </c>
      <c r="D9" t="s">
        <v>28</v>
      </c>
      <c r="E9" t="s">
        <v>24</v>
      </c>
      <c r="F9" t="s">
        <v>408</v>
      </c>
      <c r="G9">
        <v>168</v>
      </c>
      <c r="H9">
        <v>4</v>
      </c>
      <c r="I9">
        <v>57</v>
      </c>
    </row>
    <row r="10" spans="1:9" x14ac:dyDescent="0.25">
      <c r="A10" t="s">
        <v>529</v>
      </c>
      <c r="B10" t="s">
        <v>471</v>
      </c>
      <c r="C10" s="119">
        <v>45831</v>
      </c>
      <c r="D10" t="s">
        <v>26</v>
      </c>
      <c r="E10" t="s">
        <v>16</v>
      </c>
      <c r="F10" t="s">
        <v>408</v>
      </c>
      <c r="G10">
        <v>142</v>
      </c>
      <c r="H10">
        <v>4</v>
      </c>
      <c r="I10">
        <v>54</v>
      </c>
    </row>
    <row r="11" spans="1:9" x14ac:dyDescent="0.25">
      <c r="A11" t="s">
        <v>529</v>
      </c>
      <c r="B11" t="s">
        <v>471</v>
      </c>
      <c r="C11" s="119">
        <v>45831</v>
      </c>
      <c r="D11" t="s">
        <v>16</v>
      </c>
      <c r="E11" t="s">
        <v>26</v>
      </c>
      <c r="F11" t="s">
        <v>408</v>
      </c>
      <c r="G11">
        <v>161</v>
      </c>
      <c r="H11">
        <v>0</v>
      </c>
      <c r="I11">
        <v>30</v>
      </c>
    </row>
    <row r="12" spans="1:9" x14ac:dyDescent="0.25">
      <c r="A12" t="s">
        <v>532</v>
      </c>
      <c r="B12" t="s">
        <v>471</v>
      </c>
      <c r="C12" s="119">
        <v>45831</v>
      </c>
      <c r="D12" t="s">
        <v>28</v>
      </c>
      <c r="E12" t="s">
        <v>30</v>
      </c>
      <c r="F12" t="s">
        <v>408</v>
      </c>
      <c r="G12">
        <v>152</v>
      </c>
      <c r="H12">
        <v>2</v>
      </c>
      <c r="I12">
        <v>41</v>
      </c>
    </row>
    <row r="13" spans="1:9" x14ac:dyDescent="0.25">
      <c r="A13" t="s">
        <v>532</v>
      </c>
      <c r="B13" t="s">
        <v>471</v>
      </c>
      <c r="C13" s="119">
        <v>45831</v>
      </c>
      <c r="D13" t="s">
        <v>30</v>
      </c>
      <c r="E13" t="s">
        <v>28</v>
      </c>
      <c r="F13" t="s">
        <v>408</v>
      </c>
      <c r="G13">
        <v>152</v>
      </c>
      <c r="H13">
        <v>2</v>
      </c>
      <c r="I13">
        <v>43</v>
      </c>
    </row>
    <row r="14" spans="1:9" x14ac:dyDescent="0.25">
      <c r="A14" t="s">
        <v>530</v>
      </c>
      <c r="B14" t="s">
        <v>471</v>
      </c>
      <c r="C14" s="119">
        <v>45831</v>
      </c>
      <c r="D14" t="s">
        <v>20</v>
      </c>
      <c r="E14" t="s">
        <v>22</v>
      </c>
      <c r="F14" t="s">
        <v>406</v>
      </c>
      <c r="G14">
        <v>154</v>
      </c>
      <c r="H14">
        <v>0</v>
      </c>
      <c r="I14">
        <v>32</v>
      </c>
    </row>
    <row r="15" spans="1:9" x14ac:dyDescent="0.25">
      <c r="A15" t="s">
        <v>530</v>
      </c>
      <c r="B15" t="s">
        <v>471</v>
      </c>
      <c r="C15" s="119">
        <v>45831</v>
      </c>
      <c r="D15" t="s">
        <v>22</v>
      </c>
      <c r="E15" t="s">
        <v>20</v>
      </c>
      <c r="F15" t="s">
        <v>406</v>
      </c>
      <c r="G15">
        <v>147</v>
      </c>
      <c r="H15">
        <v>4</v>
      </c>
      <c r="I15">
        <v>52</v>
      </c>
    </row>
    <row r="16" spans="1:9" x14ac:dyDescent="0.25">
      <c r="A16" t="s">
        <v>531</v>
      </c>
      <c r="B16" t="s">
        <v>471</v>
      </c>
      <c r="C16" s="119">
        <v>45831</v>
      </c>
      <c r="D16" t="s">
        <v>18</v>
      </c>
      <c r="E16" t="s">
        <v>24</v>
      </c>
      <c r="F16" t="s">
        <v>406</v>
      </c>
      <c r="G16">
        <v>151</v>
      </c>
      <c r="H16">
        <v>4</v>
      </c>
      <c r="I16">
        <v>48</v>
      </c>
    </row>
    <row r="17" spans="1:9" x14ac:dyDescent="0.25">
      <c r="A17" t="s">
        <v>531</v>
      </c>
      <c r="B17" t="s">
        <v>471</v>
      </c>
      <c r="C17" s="119">
        <v>45831</v>
      </c>
      <c r="D17" t="s">
        <v>24</v>
      </c>
      <c r="E17" t="s">
        <v>18</v>
      </c>
      <c r="F17" t="s">
        <v>406</v>
      </c>
      <c r="G17">
        <v>157</v>
      </c>
      <c r="H17">
        <v>0</v>
      </c>
      <c r="I17">
        <v>24</v>
      </c>
    </row>
    <row r="18" spans="1:9" x14ac:dyDescent="0.25">
      <c r="A18" t="s">
        <v>537</v>
      </c>
      <c r="B18" t="s">
        <v>533</v>
      </c>
      <c r="C18" s="119">
        <v>45838</v>
      </c>
      <c r="D18" t="s">
        <v>22</v>
      </c>
      <c r="E18" t="s">
        <v>30</v>
      </c>
      <c r="F18" t="s">
        <v>406</v>
      </c>
      <c r="G18">
        <v>155</v>
      </c>
      <c r="H18">
        <v>0</v>
      </c>
      <c r="I18">
        <v>42</v>
      </c>
    </row>
    <row r="19" spans="1:9" x14ac:dyDescent="0.25">
      <c r="A19" t="s">
        <v>537</v>
      </c>
      <c r="B19" t="s">
        <v>533</v>
      </c>
      <c r="C19" s="119">
        <v>45838</v>
      </c>
      <c r="D19" t="s">
        <v>30</v>
      </c>
      <c r="E19" t="s">
        <v>22</v>
      </c>
      <c r="F19" t="s">
        <v>406</v>
      </c>
      <c r="G19">
        <v>152</v>
      </c>
      <c r="H19">
        <v>4</v>
      </c>
      <c r="I19">
        <v>42</v>
      </c>
    </row>
    <row r="20" spans="1:9" x14ac:dyDescent="0.25">
      <c r="A20" t="s">
        <v>534</v>
      </c>
      <c r="B20" t="s">
        <v>533</v>
      </c>
      <c r="C20" s="119">
        <v>45838</v>
      </c>
      <c r="D20" t="s">
        <v>26</v>
      </c>
      <c r="E20" t="s">
        <v>18</v>
      </c>
      <c r="F20" t="s">
        <v>406</v>
      </c>
      <c r="G20">
        <v>162</v>
      </c>
      <c r="H20">
        <v>0</v>
      </c>
      <c r="I20">
        <v>36</v>
      </c>
    </row>
    <row r="21" spans="1:9" x14ac:dyDescent="0.25">
      <c r="A21" t="s">
        <v>534</v>
      </c>
      <c r="B21" t="s">
        <v>533</v>
      </c>
      <c r="C21" s="119">
        <v>45838</v>
      </c>
      <c r="D21" t="s">
        <v>18</v>
      </c>
      <c r="E21" t="s">
        <v>26</v>
      </c>
      <c r="F21" t="s">
        <v>406</v>
      </c>
      <c r="G21">
        <v>151</v>
      </c>
      <c r="H21">
        <v>4</v>
      </c>
      <c r="I21">
        <v>48</v>
      </c>
    </row>
    <row r="22" spans="1:9" x14ac:dyDescent="0.25">
      <c r="A22" t="s">
        <v>535</v>
      </c>
      <c r="B22" t="s">
        <v>533</v>
      </c>
      <c r="C22" s="119">
        <v>45838</v>
      </c>
      <c r="D22" t="s">
        <v>28</v>
      </c>
      <c r="E22" t="s">
        <v>16</v>
      </c>
      <c r="F22" t="s">
        <v>408</v>
      </c>
      <c r="G22">
        <v>150</v>
      </c>
      <c r="H22">
        <v>2</v>
      </c>
      <c r="I22">
        <v>40</v>
      </c>
    </row>
    <row r="23" spans="1:9" x14ac:dyDescent="0.25">
      <c r="A23" t="s">
        <v>535</v>
      </c>
      <c r="B23" t="s">
        <v>533</v>
      </c>
      <c r="C23" s="119">
        <v>45838</v>
      </c>
      <c r="D23" t="s">
        <v>16</v>
      </c>
      <c r="E23" t="s">
        <v>28</v>
      </c>
      <c r="F23" t="s">
        <v>408</v>
      </c>
      <c r="G23">
        <v>150</v>
      </c>
      <c r="H23">
        <v>2</v>
      </c>
      <c r="I23">
        <v>44</v>
      </c>
    </row>
    <row r="24" spans="1:9" x14ac:dyDescent="0.25">
      <c r="A24" t="s">
        <v>536</v>
      </c>
      <c r="B24" t="s">
        <v>533</v>
      </c>
      <c r="C24" s="119">
        <v>45838</v>
      </c>
      <c r="D24" t="s">
        <v>24</v>
      </c>
      <c r="E24" t="s">
        <v>20</v>
      </c>
      <c r="F24" t="s">
        <v>408</v>
      </c>
      <c r="G24">
        <v>154</v>
      </c>
      <c r="H24">
        <v>0</v>
      </c>
      <c r="I24">
        <v>35</v>
      </c>
    </row>
    <row r="25" spans="1:9" x14ac:dyDescent="0.25">
      <c r="A25" t="s">
        <v>536</v>
      </c>
      <c r="B25" t="s">
        <v>533</v>
      </c>
      <c r="C25" s="119">
        <v>45838</v>
      </c>
      <c r="D25" t="s">
        <v>20</v>
      </c>
      <c r="E25" t="s">
        <v>24</v>
      </c>
      <c r="F25" t="s">
        <v>408</v>
      </c>
      <c r="G25">
        <v>153</v>
      </c>
      <c r="H25">
        <v>4</v>
      </c>
      <c r="I25">
        <v>49</v>
      </c>
    </row>
    <row r="26" spans="1:9" x14ac:dyDescent="0.25">
      <c r="A26" t="s">
        <v>539</v>
      </c>
      <c r="B26" t="s">
        <v>540</v>
      </c>
      <c r="C26" s="119">
        <v>45852</v>
      </c>
      <c r="D26" t="s">
        <v>26</v>
      </c>
      <c r="E26" t="s">
        <v>28</v>
      </c>
      <c r="F26" t="s">
        <v>408</v>
      </c>
      <c r="G26">
        <v>150</v>
      </c>
      <c r="H26">
        <v>4</v>
      </c>
      <c r="I26">
        <v>52</v>
      </c>
    </row>
    <row r="27" spans="1:9" x14ac:dyDescent="0.25">
      <c r="A27" t="s">
        <v>539</v>
      </c>
      <c r="B27" t="s">
        <v>540</v>
      </c>
      <c r="C27" s="119">
        <v>45852</v>
      </c>
      <c r="D27" t="s">
        <v>28</v>
      </c>
      <c r="E27" t="s">
        <v>26</v>
      </c>
      <c r="F27" t="s">
        <v>408</v>
      </c>
      <c r="G27">
        <v>170</v>
      </c>
      <c r="H27">
        <v>0</v>
      </c>
      <c r="I27">
        <v>32</v>
      </c>
    </row>
    <row r="28" spans="1:9" x14ac:dyDescent="0.25">
      <c r="A28" t="s">
        <v>541</v>
      </c>
      <c r="B28" t="s">
        <v>540</v>
      </c>
      <c r="C28" s="119">
        <v>45852</v>
      </c>
      <c r="D28" t="s">
        <v>20</v>
      </c>
      <c r="E28" t="s">
        <v>30</v>
      </c>
      <c r="F28" t="s">
        <v>408</v>
      </c>
      <c r="G28">
        <v>155</v>
      </c>
      <c r="H28">
        <v>0</v>
      </c>
      <c r="I28">
        <v>40</v>
      </c>
    </row>
    <row r="29" spans="1:9" x14ac:dyDescent="0.25">
      <c r="A29" t="s">
        <v>541</v>
      </c>
      <c r="B29" t="s">
        <v>540</v>
      </c>
      <c r="C29" s="119">
        <v>45852</v>
      </c>
      <c r="D29" t="s">
        <v>30</v>
      </c>
      <c r="E29" t="s">
        <v>20</v>
      </c>
      <c r="F29" t="s">
        <v>408</v>
      </c>
      <c r="G29">
        <v>152</v>
      </c>
      <c r="H29">
        <v>4</v>
      </c>
      <c r="I29">
        <v>44</v>
      </c>
    </row>
    <row r="30" spans="1:9" x14ac:dyDescent="0.25">
      <c r="A30" t="s">
        <v>543</v>
      </c>
      <c r="B30" t="s">
        <v>540</v>
      </c>
      <c r="C30" s="119">
        <v>45852</v>
      </c>
      <c r="D30" t="s">
        <v>18</v>
      </c>
      <c r="E30" t="s">
        <v>22</v>
      </c>
      <c r="F30" t="s">
        <v>406</v>
      </c>
      <c r="G30">
        <v>140</v>
      </c>
      <c r="H30">
        <v>4</v>
      </c>
      <c r="I30">
        <v>54</v>
      </c>
    </row>
    <row r="31" spans="1:9" x14ac:dyDescent="0.25">
      <c r="A31" t="s">
        <v>543</v>
      </c>
      <c r="B31" t="s">
        <v>540</v>
      </c>
      <c r="C31" s="119">
        <v>45852</v>
      </c>
      <c r="D31" t="s">
        <v>22</v>
      </c>
      <c r="E31" t="s">
        <v>18</v>
      </c>
      <c r="F31" t="s">
        <v>406</v>
      </c>
      <c r="G31">
        <v>155</v>
      </c>
      <c r="H31">
        <v>0</v>
      </c>
      <c r="I31">
        <v>20</v>
      </c>
    </row>
    <row r="32" spans="1:9" x14ac:dyDescent="0.25">
      <c r="A32" t="s">
        <v>542</v>
      </c>
      <c r="B32" t="s">
        <v>540</v>
      </c>
      <c r="C32" s="119">
        <v>45852</v>
      </c>
      <c r="D32" t="s">
        <v>24</v>
      </c>
      <c r="E32" t="s">
        <v>16</v>
      </c>
      <c r="F32" t="s">
        <v>406</v>
      </c>
      <c r="G32">
        <v>117</v>
      </c>
      <c r="H32">
        <v>0</v>
      </c>
      <c r="I32">
        <v>34</v>
      </c>
    </row>
    <row r="33" spans="1:9" x14ac:dyDescent="0.25">
      <c r="A33" t="s">
        <v>542</v>
      </c>
      <c r="B33" t="s">
        <v>540</v>
      </c>
      <c r="C33" s="119">
        <v>45852</v>
      </c>
      <c r="D33" t="s">
        <v>16</v>
      </c>
      <c r="E33" t="s">
        <v>24</v>
      </c>
      <c r="F33" t="s">
        <v>406</v>
      </c>
      <c r="G33">
        <v>115</v>
      </c>
      <c r="H33">
        <v>4</v>
      </c>
      <c r="I33">
        <v>50</v>
      </c>
    </row>
    <row r="34" spans="1:9" x14ac:dyDescent="0.25">
      <c r="A34" t="s">
        <v>547</v>
      </c>
      <c r="B34" t="s">
        <v>545</v>
      </c>
      <c r="C34" s="119">
        <v>45859</v>
      </c>
      <c r="D34" t="s">
        <v>22</v>
      </c>
      <c r="E34" t="s">
        <v>28</v>
      </c>
      <c r="F34" t="s">
        <v>406</v>
      </c>
      <c r="G34">
        <v>150</v>
      </c>
      <c r="H34">
        <v>2</v>
      </c>
      <c r="I34">
        <v>42</v>
      </c>
    </row>
    <row r="35" spans="1:9" x14ac:dyDescent="0.25">
      <c r="A35" t="s">
        <v>547</v>
      </c>
      <c r="B35" t="s">
        <v>545</v>
      </c>
      <c r="C35" s="119">
        <v>45859</v>
      </c>
      <c r="D35" t="s">
        <v>28</v>
      </c>
      <c r="E35" t="s">
        <v>22</v>
      </c>
      <c r="F35" t="s">
        <v>406</v>
      </c>
      <c r="G35">
        <v>150</v>
      </c>
      <c r="H35">
        <v>2</v>
      </c>
      <c r="I35">
        <v>42</v>
      </c>
    </row>
    <row r="36" spans="1:9" x14ac:dyDescent="0.25">
      <c r="A36" t="s">
        <v>544</v>
      </c>
      <c r="B36" t="s">
        <v>545</v>
      </c>
      <c r="C36" s="119">
        <v>45859</v>
      </c>
      <c r="D36" t="s">
        <v>20</v>
      </c>
      <c r="E36" t="s">
        <v>16</v>
      </c>
      <c r="F36" t="s">
        <v>406</v>
      </c>
      <c r="G36">
        <v>150</v>
      </c>
      <c r="H36">
        <v>4</v>
      </c>
      <c r="I36">
        <v>51</v>
      </c>
    </row>
    <row r="37" spans="1:9" x14ac:dyDescent="0.25">
      <c r="A37" t="s">
        <v>544</v>
      </c>
      <c r="B37" t="s">
        <v>545</v>
      </c>
      <c r="C37" s="119">
        <v>45859</v>
      </c>
      <c r="D37" t="s">
        <v>16</v>
      </c>
      <c r="E37" t="s">
        <v>20</v>
      </c>
      <c r="F37" t="s">
        <v>406</v>
      </c>
      <c r="G37">
        <v>166</v>
      </c>
      <c r="H37">
        <v>0</v>
      </c>
      <c r="I37">
        <v>33</v>
      </c>
    </row>
    <row r="38" spans="1:9" x14ac:dyDescent="0.25">
      <c r="A38" t="s">
        <v>548</v>
      </c>
      <c r="B38" t="s">
        <v>545</v>
      </c>
      <c r="C38" s="119">
        <v>45859</v>
      </c>
      <c r="D38" t="s">
        <v>18</v>
      </c>
      <c r="E38" t="s">
        <v>30</v>
      </c>
      <c r="F38" t="s">
        <v>408</v>
      </c>
      <c r="G38">
        <v>154</v>
      </c>
      <c r="H38">
        <v>0</v>
      </c>
      <c r="I38">
        <v>38</v>
      </c>
    </row>
    <row r="39" spans="1:9" x14ac:dyDescent="0.25">
      <c r="A39" t="s">
        <v>548</v>
      </c>
      <c r="B39" t="s">
        <v>545</v>
      </c>
      <c r="C39" s="119">
        <v>45859</v>
      </c>
      <c r="D39" t="s">
        <v>30</v>
      </c>
      <c r="E39" t="s">
        <v>18</v>
      </c>
      <c r="F39" t="s">
        <v>408</v>
      </c>
      <c r="G39">
        <v>152</v>
      </c>
      <c r="H39">
        <v>4</v>
      </c>
      <c r="I39">
        <v>46</v>
      </c>
    </row>
    <row r="40" spans="1:9" x14ac:dyDescent="0.25">
      <c r="A40" t="s">
        <v>546</v>
      </c>
      <c r="B40" t="s">
        <v>545</v>
      </c>
      <c r="C40" s="119">
        <v>45859</v>
      </c>
      <c r="D40" t="s">
        <v>24</v>
      </c>
      <c r="E40" t="s">
        <v>26</v>
      </c>
      <c r="F40" t="s">
        <v>408</v>
      </c>
      <c r="G40">
        <v>146</v>
      </c>
      <c r="H40">
        <v>4</v>
      </c>
      <c r="I40">
        <v>47</v>
      </c>
    </row>
    <row r="41" spans="1:9" x14ac:dyDescent="0.25">
      <c r="A41" t="s">
        <v>546</v>
      </c>
      <c r="B41" t="s">
        <v>545</v>
      </c>
      <c r="C41" s="119">
        <v>45859</v>
      </c>
      <c r="D41" t="s">
        <v>26</v>
      </c>
      <c r="E41" t="s">
        <v>24</v>
      </c>
      <c r="F41" t="s">
        <v>408</v>
      </c>
      <c r="G41">
        <v>154</v>
      </c>
      <c r="H41">
        <v>0</v>
      </c>
      <c r="I41">
        <v>37</v>
      </c>
    </row>
    <row r="42" spans="1:9" x14ac:dyDescent="0.25">
      <c r="A42" t="s">
        <v>549</v>
      </c>
      <c r="B42" t="s">
        <v>550</v>
      </c>
      <c r="C42" s="119">
        <v>45866</v>
      </c>
      <c r="D42" t="s">
        <v>26</v>
      </c>
      <c r="E42" t="s">
        <v>30</v>
      </c>
      <c r="F42" t="s">
        <v>406</v>
      </c>
      <c r="G42">
        <v>0</v>
      </c>
      <c r="H42">
        <v>2</v>
      </c>
      <c r="I42">
        <v>58</v>
      </c>
    </row>
    <row r="43" spans="1:9" x14ac:dyDescent="0.25">
      <c r="A43" t="s">
        <v>549</v>
      </c>
      <c r="B43" t="s">
        <v>550</v>
      </c>
      <c r="C43" s="119">
        <v>45866</v>
      </c>
      <c r="D43" t="s">
        <v>30</v>
      </c>
      <c r="E43" t="s">
        <v>26</v>
      </c>
      <c r="F43" t="s">
        <v>406</v>
      </c>
      <c r="G43">
        <v>0</v>
      </c>
      <c r="H43">
        <v>2</v>
      </c>
      <c r="I43">
        <v>26</v>
      </c>
    </row>
    <row r="44" spans="1:9" x14ac:dyDescent="0.25">
      <c r="A44" t="s">
        <v>551</v>
      </c>
      <c r="B44" t="s">
        <v>550</v>
      </c>
      <c r="C44" s="119">
        <v>45866</v>
      </c>
      <c r="D44" t="s">
        <v>20</v>
      </c>
      <c r="E44" t="s">
        <v>18</v>
      </c>
      <c r="F44" t="s">
        <v>408</v>
      </c>
      <c r="G44">
        <v>0</v>
      </c>
      <c r="H44">
        <v>2</v>
      </c>
      <c r="I44">
        <v>33</v>
      </c>
    </row>
    <row r="45" spans="1:9" x14ac:dyDescent="0.25">
      <c r="A45" t="s">
        <v>551</v>
      </c>
      <c r="B45" t="s">
        <v>550</v>
      </c>
      <c r="C45" s="119">
        <v>45866</v>
      </c>
      <c r="D45" t="s">
        <v>18</v>
      </c>
      <c r="E45" t="s">
        <v>20</v>
      </c>
      <c r="F45" t="s">
        <v>408</v>
      </c>
      <c r="G45">
        <v>0</v>
      </c>
      <c r="H45">
        <v>2</v>
      </c>
      <c r="I45">
        <v>51</v>
      </c>
    </row>
    <row r="46" spans="1:9" x14ac:dyDescent="0.25">
      <c r="A46" t="s">
        <v>552</v>
      </c>
      <c r="B46" t="s">
        <v>550</v>
      </c>
      <c r="C46" s="119">
        <v>45866</v>
      </c>
      <c r="D46" t="s">
        <v>16</v>
      </c>
      <c r="E46" t="s">
        <v>22</v>
      </c>
      <c r="F46" t="s">
        <v>408</v>
      </c>
      <c r="G46">
        <v>82</v>
      </c>
      <c r="H46">
        <v>0</v>
      </c>
      <c r="I46">
        <v>37</v>
      </c>
    </row>
    <row r="47" spans="1:9" x14ac:dyDescent="0.25">
      <c r="A47" t="s">
        <v>552</v>
      </c>
      <c r="B47" t="s">
        <v>550</v>
      </c>
      <c r="C47" s="119">
        <v>45866</v>
      </c>
      <c r="D47" t="s">
        <v>22</v>
      </c>
      <c r="E47" t="s">
        <v>16</v>
      </c>
      <c r="F47" t="s">
        <v>408</v>
      </c>
      <c r="G47">
        <v>75</v>
      </c>
      <c r="H47">
        <v>4</v>
      </c>
      <c r="I47">
        <v>47</v>
      </c>
    </row>
    <row r="48" spans="1:9" x14ac:dyDescent="0.25">
      <c r="A48" t="s">
        <v>553</v>
      </c>
      <c r="B48" t="s">
        <v>550</v>
      </c>
      <c r="C48" s="119">
        <v>45866</v>
      </c>
      <c r="D48" t="s">
        <v>24</v>
      </c>
      <c r="E48" t="s">
        <v>28</v>
      </c>
      <c r="F48" t="s">
        <v>406</v>
      </c>
      <c r="G48">
        <v>72</v>
      </c>
      <c r="H48">
        <v>4</v>
      </c>
      <c r="I48">
        <v>47</v>
      </c>
    </row>
    <row r="49" spans="1:9" x14ac:dyDescent="0.25">
      <c r="A49" t="s">
        <v>553</v>
      </c>
      <c r="B49" t="s">
        <v>550</v>
      </c>
      <c r="C49" s="119">
        <v>45866</v>
      </c>
      <c r="D49" t="s">
        <v>28</v>
      </c>
      <c r="E49" t="s">
        <v>24</v>
      </c>
      <c r="F49" t="s">
        <v>406</v>
      </c>
      <c r="G49">
        <v>73</v>
      </c>
      <c r="H49">
        <v>0</v>
      </c>
      <c r="I49">
        <v>33</v>
      </c>
    </row>
    <row r="50" spans="1:9" x14ac:dyDescent="0.25">
      <c r="A50" t="s">
        <v>560</v>
      </c>
      <c r="B50" t="s">
        <v>558</v>
      </c>
      <c r="C50" s="119">
        <v>45873</v>
      </c>
      <c r="D50" t="s">
        <v>22</v>
      </c>
      <c r="E50" t="s">
        <v>24</v>
      </c>
      <c r="F50" t="s">
        <v>408</v>
      </c>
      <c r="G50">
        <v>160</v>
      </c>
      <c r="H50">
        <v>0</v>
      </c>
      <c r="I50">
        <v>38</v>
      </c>
    </row>
    <row r="51" spans="1:9" x14ac:dyDescent="0.25">
      <c r="A51" t="s">
        <v>560</v>
      </c>
      <c r="B51" t="s">
        <v>558</v>
      </c>
      <c r="C51" s="119">
        <v>45873</v>
      </c>
      <c r="D51" t="s">
        <v>24</v>
      </c>
      <c r="E51" t="s">
        <v>22</v>
      </c>
      <c r="F51" t="s">
        <v>408</v>
      </c>
      <c r="G51">
        <v>157</v>
      </c>
      <c r="H51">
        <v>4</v>
      </c>
      <c r="I51">
        <v>46</v>
      </c>
    </row>
    <row r="52" spans="1:9" x14ac:dyDescent="0.25">
      <c r="A52" t="s">
        <v>557</v>
      </c>
      <c r="B52" t="s">
        <v>558</v>
      </c>
      <c r="C52" s="119">
        <v>45873</v>
      </c>
      <c r="D52" t="s">
        <v>18</v>
      </c>
      <c r="E52" t="s">
        <v>28</v>
      </c>
      <c r="F52" t="s">
        <v>408</v>
      </c>
      <c r="G52">
        <v>160</v>
      </c>
      <c r="H52">
        <v>2</v>
      </c>
      <c r="I52">
        <v>47</v>
      </c>
    </row>
    <row r="53" spans="1:9" x14ac:dyDescent="0.25">
      <c r="A53" t="s">
        <v>557</v>
      </c>
      <c r="B53" t="s">
        <v>558</v>
      </c>
      <c r="C53" s="119">
        <v>45873</v>
      </c>
      <c r="D53" t="s">
        <v>28</v>
      </c>
      <c r="E53" t="s">
        <v>18</v>
      </c>
      <c r="F53" t="s">
        <v>408</v>
      </c>
      <c r="G53">
        <v>160</v>
      </c>
      <c r="H53">
        <v>2</v>
      </c>
      <c r="I53">
        <v>37</v>
      </c>
    </row>
    <row r="54" spans="1:9" x14ac:dyDescent="0.25">
      <c r="A54" t="s">
        <v>559</v>
      </c>
      <c r="B54" t="s">
        <v>558</v>
      </c>
      <c r="C54" s="119">
        <v>45873</v>
      </c>
      <c r="D54" t="s">
        <v>20</v>
      </c>
      <c r="E54" t="s">
        <v>26</v>
      </c>
      <c r="F54" t="s">
        <v>406</v>
      </c>
      <c r="G54">
        <v>139</v>
      </c>
      <c r="H54">
        <v>4</v>
      </c>
      <c r="I54">
        <v>53</v>
      </c>
    </row>
    <row r="55" spans="1:9" x14ac:dyDescent="0.25">
      <c r="A55" t="s">
        <v>559</v>
      </c>
      <c r="B55" t="s">
        <v>558</v>
      </c>
      <c r="C55" s="119">
        <v>45873</v>
      </c>
      <c r="D55" t="s">
        <v>26</v>
      </c>
      <c r="E55" t="s">
        <v>20</v>
      </c>
      <c r="F55" t="s">
        <v>406</v>
      </c>
      <c r="G55">
        <v>152</v>
      </c>
      <c r="H55">
        <v>0</v>
      </c>
      <c r="I55">
        <v>31</v>
      </c>
    </row>
    <row r="56" spans="1:9" x14ac:dyDescent="0.25">
      <c r="A56" t="s">
        <v>561</v>
      </c>
      <c r="B56" t="s">
        <v>558</v>
      </c>
      <c r="C56" s="119">
        <v>45873</v>
      </c>
      <c r="D56" t="s">
        <v>16</v>
      </c>
      <c r="E56" t="s">
        <v>30</v>
      </c>
      <c r="F56" t="s">
        <v>406</v>
      </c>
      <c r="G56">
        <v>141</v>
      </c>
      <c r="H56">
        <v>4</v>
      </c>
      <c r="I56">
        <v>53</v>
      </c>
    </row>
    <row r="57" spans="1:9" x14ac:dyDescent="0.25">
      <c r="A57" t="s">
        <v>561</v>
      </c>
      <c r="B57" t="s">
        <v>558</v>
      </c>
      <c r="C57" s="119">
        <v>45873</v>
      </c>
      <c r="D57" t="s">
        <v>30</v>
      </c>
      <c r="E57" t="s">
        <v>16</v>
      </c>
      <c r="F57" t="s">
        <v>406</v>
      </c>
      <c r="G57">
        <v>152</v>
      </c>
      <c r="H57">
        <v>0</v>
      </c>
      <c r="I57">
        <v>31</v>
      </c>
    </row>
    <row r="58" spans="1:9" x14ac:dyDescent="0.25">
      <c r="A58" t="s">
        <v>566</v>
      </c>
      <c r="B58" t="s">
        <v>563</v>
      </c>
      <c r="C58" s="119">
        <v>45880</v>
      </c>
      <c r="D58" t="s">
        <v>22</v>
      </c>
      <c r="E58" t="s">
        <v>28</v>
      </c>
      <c r="F58" t="s">
        <v>408</v>
      </c>
      <c r="G58">
        <v>157</v>
      </c>
      <c r="H58">
        <v>0</v>
      </c>
      <c r="I58">
        <v>38</v>
      </c>
    </row>
    <row r="59" spans="1:9" x14ac:dyDescent="0.25">
      <c r="A59" t="s">
        <v>566</v>
      </c>
      <c r="B59" t="s">
        <v>563</v>
      </c>
      <c r="C59" s="119">
        <v>45880</v>
      </c>
      <c r="D59" t="s">
        <v>28</v>
      </c>
      <c r="E59" t="s">
        <v>22</v>
      </c>
      <c r="F59" t="s">
        <v>408</v>
      </c>
      <c r="G59">
        <v>155</v>
      </c>
      <c r="H59">
        <v>4</v>
      </c>
      <c r="I59">
        <v>46</v>
      </c>
    </row>
    <row r="60" spans="1:9" x14ac:dyDescent="0.25">
      <c r="A60" t="s">
        <v>565</v>
      </c>
      <c r="B60" t="s">
        <v>563</v>
      </c>
      <c r="C60" s="119">
        <v>45880</v>
      </c>
      <c r="D60" t="s">
        <v>20</v>
      </c>
      <c r="E60" t="s">
        <v>16</v>
      </c>
      <c r="F60" t="s">
        <v>406</v>
      </c>
      <c r="G60">
        <v>157</v>
      </c>
      <c r="H60">
        <v>0</v>
      </c>
      <c r="I60">
        <v>35</v>
      </c>
    </row>
    <row r="61" spans="1:9" x14ac:dyDescent="0.25">
      <c r="A61" t="s">
        <v>565</v>
      </c>
      <c r="B61" t="s">
        <v>563</v>
      </c>
      <c r="C61" s="119">
        <v>45880</v>
      </c>
      <c r="D61" t="s">
        <v>16</v>
      </c>
      <c r="E61" t="s">
        <v>20</v>
      </c>
      <c r="F61" t="s">
        <v>406</v>
      </c>
      <c r="G61">
        <v>151</v>
      </c>
      <c r="H61">
        <v>4</v>
      </c>
      <c r="I61">
        <v>49</v>
      </c>
    </row>
    <row r="62" spans="1:9" x14ac:dyDescent="0.25">
      <c r="A62" t="s">
        <v>562</v>
      </c>
      <c r="B62" t="s">
        <v>563</v>
      </c>
      <c r="C62" s="119">
        <v>45880</v>
      </c>
      <c r="D62" t="s">
        <v>18</v>
      </c>
      <c r="E62" t="s">
        <v>26</v>
      </c>
      <c r="F62" t="s">
        <v>408</v>
      </c>
      <c r="G62">
        <v>148</v>
      </c>
      <c r="H62">
        <v>0</v>
      </c>
      <c r="I62">
        <v>39</v>
      </c>
    </row>
    <row r="63" spans="1:9" x14ac:dyDescent="0.25">
      <c r="A63" t="s">
        <v>562</v>
      </c>
      <c r="B63" t="s">
        <v>563</v>
      </c>
      <c r="C63" s="119">
        <v>45880</v>
      </c>
      <c r="D63" t="s">
        <v>26</v>
      </c>
      <c r="E63" t="s">
        <v>18</v>
      </c>
      <c r="F63" t="s">
        <v>408</v>
      </c>
      <c r="G63">
        <v>144</v>
      </c>
      <c r="H63">
        <v>4</v>
      </c>
      <c r="I63">
        <v>45</v>
      </c>
    </row>
    <row r="64" spans="1:9" x14ac:dyDescent="0.25">
      <c r="A64" t="s">
        <v>564</v>
      </c>
      <c r="B64" t="s">
        <v>563</v>
      </c>
      <c r="C64" s="119">
        <v>45880</v>
      </c>
      <c r="D64" t="s">
        <v>24</v>
      </c>
      <c r="E64" t="s">
        <v>30</v>
      </c>
      <c r="F64" t="s">
        <v>406</v>
      </c>
      <c r="G64">
        <v>141</v>
      </c>
      <c r="H64">
        <v>4</v>
      </c>
      <c r="I64">
        <v>56</v>
      </c>
    </row>
    <row r="65" spans="1:9" x14ac:dyDescent="0.25">
      <c r="A65" t="s">
        <v>564</v>
      </c>
      <c r="B65" t="s">
        <v>563</v>
      </c>
      <c r="C65" s="119">
        <v>45880</v>
      </c>
      <c r="D65" t="s">
        <v>30</v>
      </c>
      <c r="E65" t="s">
        <v>24</v>
      </c>
      <c r="F65" t="s">
        <v>406</v>
      </c>
      <c r="G65">
        <v>152</v>
      </c>
      <c r="H65">
        <v>0</v>
      </c>
      <c r="I65">
        <v>28</v>
      </c>
    </row>
    <row r="66" spans="1:9" x14ac:dyDescent="0.25">
      <c r="A66" t="s">
        <v>572</v>
      </c>
      <c r="B66" t="s">
        <v>570</v>
      </c>
      <c r="C66" s="119">
        <v>45887</v>
      </c>
      <c r="D66" t="s">
        <v>22</v>
      </c>
      <c r="E66" t="s">
        <v>30</v>
      </c>
      <c r="F66" t="s">
        <v>408</v>
      </c>
      <c r="G66">
        <v>154</v>
      </c>
      <c r="H66">
        <v>0</v>
      </c>
      <c r="I66">
        <v>39</v>
      </c>
    </row>
    <row r="67" spans="1:9" x14ac:dyDescent="0.25">
      <c r="A67" t="s">
        <v>572</v>
      </c>
      <c r="B67" t="s">
        <v>570</v>
      </c>
      <c r="C67" s="119">
        <v>45887</v>
      </c>
      <c r="D67" t="s">
        <v>30</v>
      </c>
      <c r="E67" t="s">
        <v>22</v>
      </c>
      <c r="F67" t="s">
        <v>408</v>
      </c>
      <c r="G67">
        <v>152</v>
      </c>
      <c r="H67">
        <v>4</v>
      </c>
      <c r="I67">
        <v>45</v>
      </c>
    </row>
    <row r="68" spans="1:9" x14ac:dyDescent="0.25">
      <c r="A68" t="s">
        <v>569</v>
      </c>
      <c r="B68" t="s">
        <v>570</v>
      </c>
      <c r="C68" s="119">
        <v>45887</v>
      </c>
      <c r="D68" t="s">
        <v>26</v>
      </c>
      <c r="E68" t="s">
        <v>30</v>
      </c>
      <c r="F68" t="s">
        <v>406</v>
      </c>
      <c r="G68">
        <v>166</v>
      </c>
      <c r="H68">
        <v>0</v>
      </c>
      <c r="I68">
        <v>30</v>
      </c>
    </row>
    <row r="69" spans="1:9" x14ac:dyDescent="0.25">
      <c r="A69" t="s">
        <v>569</v>
      </c>
      <c r="B69" t="s">
        <v>570</v>
      </c>
      <c r="C69" s="119">
        <v>45887</v>
      </c>
      <c r="D69" t="s">
        <v>30</v>
      </c>
      <c r="E69" t="s">
        <v>26</v>
      </c>
      <c r="F69" t="s">
        <v>406</v>
      </c>
      <c r="G69">
        <v>152</v>
      </c>
      <c r="H69">
        <v>4</v>
      </c>
      <c r="I69">
        <v>54</v>
      </c>
    </row>
    <row r="70" spans="1:9" x14ac:dyDescent="0.25">
      <c r="A70" t="s">
        <v>574</v>
      </c>
      <c r="B70" t="s">
        <v>570</v>
      </c>
      <c r="C70" s="119">
        <v>45887</v>
      </c>
      <c r="D70" t="s">
        <v>28</v>
      </c>
      <c r="E70" t="s">
        <v>30</v>
      </c>
      <c r="F70" t="s">
        <v>406</v>
      </c>
      <c r="G70">
        <v>135</v>
      </c>
      <c r="H70">
        <v>4</v>
      </c>
      <c r="I70">
        <v>4</v>
      </c>
    </row>
    <row r="71" spans="1:9" x14ac:dyDescent="0.25">
      <c r="A71" t="s">
        <v>574</v>
      </c>
      <c r="B71" t="s">
        <v>570</v>
      </c>
      <c r="C71" s="119">
        <v>45887</v>
      </c>
      <c r="D71" t="s">
        <v>30</v>
      </c>
      <c r="E71" t="s">
        <v>28</v>
      </c>
      <c r="F71" t="s">
        <v>406</v>
      </c>
      <c r="G71">
        <v>152</v>
      </c>
      <c r="H71">
        <v>0</v>
      </c>
      <c r="I71">
        <v>40</v>
      </c>
    </row>
    <row r="72" spans="1:9" x14ac:dyDescent="0.25">
      <c r="A72" t="s">
        <v>571</v>
      </c>
      <c r="B72" t="s">
        <v>570</v>
      </c>
      <c r="C72" s="119">
        <v>45887</v>
      </c>
      <c r="D72" t="s">
        <v>20</v>
      </c>
      <c r="E72" t="s">
        <v>30</v>
      </c>
      <c r="F72" t="s">
        <v>408</v>
      </c>
      <c r="G72">
        <v>150</v>
      </c>
      <c r="H72">
        <v>4</v>
      </c>
      <c r="I72">
        <v>4</v>
      </c>
    </row>
    <row r="73" spans="1:9" x14ac:dyDescent="0.25">
      <c r="A73" t="s">
        <v>571</v>
      </c>
      <c r="B73" t="s">
        <v>570</v>
      </c>
      <c r="C73" s="119">
        <v>45887</v>
      </c>
      <c r="D73" t="s">
        <v>30</v>
      </c>
      <c r="E73" t="s">
        <v>20</v>
      </c>
      <c r="F73" t="s">
        <v>408</v>
      </c>
      <c r="G73">
        <v>152</v>
      </c>
      <c r="H73">
        <v>0</v>
      </c>
      <c r="I73">
        <v>40</v>
      </c>
    </row>
    <row r="74" spans="1:9" x14ac:dyDescent="0.25">
      <c r="A74" t="s">
        <v>575</v>
      </c>
      <c r="B74" t="s">
        <v>570</v>
      </c>
      <c r="C74" s="119">
        <v>45887</v>
      </c>
      <c r="D74" t="s">
        <v>18</v>
      </c>
      <c r="E74" t="s">
        <v>30</v>
      </c>
      <c r="F74" t="s">
        <v>408</v>
      </c>
      <c r="G74">
        <v>153</v>
      </c>
      <c r="H74">
        <v>0</v>
      </c>
      <c r="I74">
        <v>43</v>
      </c>
    </row>
    <row r="75" spans="1:9" x14ac:dyDescent="0.25">
      <c r="A75" t="s">
        <v>575</v>
      </c>
      <c r="B75" t="s">
        <v>570</v>
      </c>
      <c r="C75" s="119">
        <v>45887</v>
      </c>
      <c r="D75" t="s">
        <v>30</v>
      </c>
      <c r="E75" t="s">
        <v>18</v>
      </c>
      <c r="F75" t="s">
        <v>408</v>
      </c>
      <c r="G75">
        <v>152</v>
      </c>
      <c r="H75">
        <v>4</v>
      </c>
      <c r="I75">
        <v>41</v>
      </c>
    </row>
    <row r="76" spans="1:9" x14ac:dyDescent="0.25">
      <c r="A76" t="s">
        <v>573</v>
      </c>
      <c r="B76" t="s">
        <v>570</v>
      </c>
      <c r="C76" s="119">
        <v>45887</v>
      </c>
      <c r="D76" t="s">
        <v>24</v>
      </c>
      <c r="E76" t="s">
        <v>30</v>
      </c>
      <c r="F76" t="s">
        <v>408</v>
      </c>
      <c r="G76">
        <v>146</v>
      </c>
      <c r="H76">
        <v>4</v>
      </c>
      <c r="I76">
        <v>50</v>
      </c>
    </row>
    <row r="77" spans="1:9" x14ac:dyDescent="0.25">
      <c r="A77" t="s">
        <v>573</v>
      </c>
      <c r="B77" t="s">
        <v>570</v>
      </c>
      <c r="C77" s="119">
        <v>45887</v>
      </c>
      <c r="D77" t="s">
        <v>30</v>
      </c>
      <c r="E77" t="s">
        <v>24</v>
      </c>
      <c r="F77" t="s">
        <v>408</v>
      </c>
      <c r="G77">
        <v>152</v>
      </c>
      <c r="H77">
        <v>0</v>
      </c>
      <c r="I77">
        <v>34</v>
      </c>
    </row>
    <row r="78" spans="1:9" x14ac:dyDescent="0.25">
      <c r="A78" t="s">
        <v>487</v>
      </c>
      <c r="B78" t="s">
        <v>463</v>
      </c>
      <c r="C78" s="119">
        <v>45768</v>
      </c>
      <c r="D78" t="s">
        <v>26</v>
      </c>
      <c r="E78" t="s">
        <v>22</v>
      </c>
      <c r="F78" t="s">
        <v>406</v>
      </c>
      <c r="G78">
        <v>171</v>
      </c>
      <c r="H78">
        <v>4</v>
      </c>
      <c r="I78">
        <v>51</v>
      </c>
    </row>
    <row r="79" spans="1:9" x14ac:dyDescent="0.25">
      <c r="A79" t="s">
        <v>487</v>
      </c>
      <c r="B79" t="s">
        <v>463</v>
      </c>
      <c r="C79" s="119">
        <v>45768</v>
      </c>
      <c r="D79" t="s">
        <v>22</v>
      </c>
      <c r="E79" t="s">
        <v>26</v>
      </c>
      <c r="F79" t="s">
        <v>406</v>
      </c>
      <c r="G79">
        <v>176</v>
      </c>
      <c r="H79">
        <v>0</v>
      </c>
      <c r="I79">
        <v>33</v>
      </c>
    </row>
    <row r="80" spans="1:9" x14ac:dyDescent="0.25">
      <c r="A80" t="s">
        <v>488</v>
      </c>
      <c r="B80" t="s">
        <v>463</v>
      </c>
      <c r="C80" s="119">
        <v>45768</v>
      </c>
      <c r="D80" t="s">
        <v>20</v>
      </c>
      <c r="E80" t="s">
        <v>28</v>
      </c>
      <c r="F80" t="s">
        <v>408</v>
      </c>
      <c r="G80">
        <v>159</v>
      </c>
      <c r="H80">
        <v>4</v>
      </c>
      <c r="I80">
        <v>54</v>
      </c>
    </row>
    <row r="81" spans="1:9" x14ac:dyDescent="0.25">
      <c r="A81" t="s">
        <v>488</v>
      </c>
      <c r="B81" t="s">
        <v>463</v>
      </c>
      <c r="C81" s="119">
        <v>45768</v>
      </c>
      <c r="D81" t="s">
        <v>28</v>
      </c>
      <c r="E81" t="s">
        <v>20</v>
      </c>
      <c r="F81" t="s">
        <v>408</v>
      </c>
      <c r="G81">
        <v>174</v>
      </c>
      <c r="H81">
        <v>0</v>
      </c>
      <c r="I81">
        <v>30</v>
      </c>
    </row>
    <row r="82" spans="1:9" x14ac:dyDescent="0.25">
      <c r="A82" t="s">
        <v>489</v>
      </c>
      <c r="B82" t="s">
        <v>463</v>
      </c>
      <c r="C82" s="119">
        <v>45768</v>
      </c>
      <c r="D82" t="s">
        <v>16</v>
      </c>
      <c r="E82" t="s">
        <v>18</v>
      </c>
      <c r="F82" t="s">
        <v>408</v>
      </c>
      <c r="G82">
        <v>162</v>
      </c>
      <c r="H82">
        <v>4</v>
      </c>
      <c r="I82">
        <v>50</v>
      </c>
    </row>
    <row r="83" spans="1:9" x14ac:dyDescent="0.25">
      <c r="A83" t="s">
        <v>489</v>
      </c>
      <c r="B83" t="s">
        <v>463</v>
      </c>
      <c r="C83" s="119">
        <v>45768</v>
      </c>
      <c r="D83" t="s">
        <v>18</v>
      </c>
      <c r="E83" t="s">
        <v>16</v>
      </c>
      <c r="F83" t="s">
        <v>408</v>
      </c>
      <c r="G83">
        <v>177</v>
      </c>
      <c r="H83">
        <v>0</v>
      </c>
      <c r="I83">
        <v>34</v>
      </c>
    </row>
    <row r="84" spans="1:9" x14ac:dyDescent="0.25">
      <c r="A84" t="s">
        <v>490</v>
      </c>
      <c r="B84" t="s">
        <v>463</v>
      </c>
      <c r="C84" s="119">
        <v>45768</v>
      </c>
      <c r="D84" t="s">
        <v>24</v>
      </c>
      <c r="E84" t="s">
        <v>30</v>
      </c>
      <c r="F84" t="s">
        <v>406</v>
      </c>
      <c r="G84">
        <v>174</v>
      </c>
      <c r="H84">
        <v>0</v>
      </c>
      <c r="I84">
        <v>23</v>
      </c>
    </row>
    <row r="85" spans="1:9" x14ac:dyDescent="0.25">
      <c r="A85" t="s">
        <v>490</v>
      </c>
      <c r="B85" t="s">
        <v>463</v>
      </c>
      <c r="C85" s="119">
        <v>45768</v>
      </c>
      <c r="D85" t="s">
        <v>30</v>
      </c>
      <c r="E85" t="s">
        <v>24</v>
      </c>
      <c r="F85" t="s">
        <v>406</v>
      </c>
      <c r="G85">
        <v>152</v>
      </c>
      <c r="H85">
        <v>4</v>
      </c>
      <c r="I85">
        <v>61</v>
      </c>
    </row>
    <row r="86" spans="1:9" x14ac:dyDescent="0.25">
      <c r="A86" t="s">
        <v>492</v>
      </c>
      <c r="B86" t="s">
        <v>464</v>
      </c>
      <c r="C86" s="119">
        <v>45775</v>
      </c>
      <c r="D86" t="s">
        <v>20</v>
      </c>
      <c r="E86" t="s">
        <v>22</v>
      </c>
      <c r="F86" t="s">
        <v>408</v>
      </c>
      <c r="G86">
        <v>160</v>
      </c>
      <c r="H86">
        <v>4</v>
      </c>
      <c r="I86">
        <v>50</v>
      </c>
    </row>
    <row r="87" spans="1:9" x14ac:dyDescent="0.25">
      <c r="A87" t="s">
        <v>492</v>
      </c>
      <c r="B87" t="s">
        <v>464</v>
      </c>
      <c r="C87" s="119">
        <v>45775</v>
      </c>
      <c r="D87" t="s">
        <v>22</v>
      </c>
      <c r="E87" t="s">
        <v>20</v>
      </c>
      <c r="F87" t="s">
        <v>408</v>
      </c>
      <c r="G87">
        <v>161</v>
      </c>
      <c r="H87">
        <v>0</v>
      </c>
      <c r="I87">
        <v>34</v>
      </c>
    </row>
    <row r="88" spans="1:9" x14ac:dyDescent="0.25">
      <c r="A88" t="s">
        <v>493</v>
      </c>
      <c r="B88" t="s">
        <v>464</v>
      </c>
      <c r="C88" s="119">
        <v>45775</v>
      </c>
      <c r="D88" t="s">
        <v>26</v>
      </c>
      <c r="E88" t="s">
        <v>16</v>
      </c>
      <c r="F88" t="s">
        <v>406</v>
      </c>
      <c r="G88">
        <v>163</v>
      </c>
      <c r="H88">
        <v>4</v>
      </c>
      <c r="I88">
        <v>44</v>
      </c>
    </row>
    <row r="89" spans="1:9" x14ac:dyDescent="0.25">
      <c r="A89" t="s">
        <v>493</v>
      </c>
      <c r="B89" t="s">
        <v>464</v>
      </c>
      <c r="C89" s="119">
        <v>45775</v>
      </c>
      <c r="D89" t="s">
        <v>16</v>
      </c>
      <c r="E89" t="s">
        <v>26</v>
      </c>
      <c r="F89" t="s">
        <v>406</v>
      </c>
      <c r="G89">
        <v>164</v>
      </c>
      <c r="H89">
        <v>0</v>
      </c>
      <c r="I89">
        <v>40</v>
      </c>
    </row>
    <row r="90" spans="1:9" x14ac:dyDescent="0.25">
      <c r="A90" t="s">
        <v>494</v>
      </c>
      <c r="B90" t="s">
        <v>464</v>
      </c>
      <c r="C90" s="119">
        <v>45775</v>
      </c>
      <c r="D90" t="s">
        <v>28</v>
      </c>
      <c r="E90" t="s">
        <v>30</v>
      </c>
      <c r="F90" t="s">
        <v>406</v>
      </c>
      <c r="G90">
        <v>172</v>
      </c>
      <c r="H90">
        <v>0</v>
      </c>
      <c r="I90">
        <v>23</v>
      </c>
    </row>
    <row r="91" spans="1:9" x14ac:dyDescent="0.25">
      <c r="A91" t="s">
        <v>494</v>
      </c>
      <c r="B91" t="s">
        <v>464</v>
      </c>
      <c r="C91" s="119">
        <v>45775</v>
      </c>
      <c r="D91" t="s">
        <v>30</v>
      </c>
      <c r="E91" t="s">
        <v>28</v>
      </c>
      <c r="F91" t="s">
        <v>406</v>
      </c>
      <c r="G91">
        <v>152</v>
      </c>
      <c r="H91">
        <v>4</v>
      </c>
      <c r="I91">
        <v>61</v>
      </c>
    </row>
    <row r="92" spans="1:9" x14ac:dyDescent="0.25">
      <c r="A92" t="s">
        <v>498</v>
      </c>
      <c r="B92" t="s">
        <v>464</v>
      </c>
      <c r="C92" s="119">
        <v>45775</v>
      </c>
      <c r="D92" t="s">
        <v>18</v>
      </c>
      <c r="E92" t="s">
        <v>24</v>
      </c>
      <c r="F92" t="s">
        <v>408</v>
      </c>
      <c r="G92">
        <v>171</v>
      </c>
      <c r="H92">
        <v>4</v>
      </c>
      <c r="I92">
        <v>56</v>
      </c>
    </row>
    <row r="93" spans="1:9" x14ac:dyDescent="0.25">
      <c r="A93" t="s">
        <v>498</v>
      </c>
      <c r="B93" t="s">
        <v>464</v>
      </c>
      <c r="C93" s="119">
        <v>45775</v>
      </c>
      <c r="D93" t="s">
        <v>24</v>
      </c>
      <c r="E93" t="s">
        <v>18</v>
      </c>
      <c r="F93" t="s">
        <v>408</v>
      </c>
      <c r="G93">
        <v>197</v>
      </c>
      <c r="H93">
        <v>0</v>
      </c>
      <c r="I93">
        <v>28</v>
      </c>
    </row>
    <row r="94" spans="1:9" x14ac:dyDescent="0.25">
      <c r="A94" t="s">
        <v>504</v>
      </c>
      <c r="B94" t="s">
        <v>465</v>
      </c>
      <c r="C94" s="119">
        <v>45782</v>
      </c>
      <c r="D94" t="s">
        <v>22</v>
      </c>
      <c r="E94" t="s">
        <v>30</v>
      </c>
      <c r="F94" t="s">
        <v>408</v>
      </c>
      <c r="G94">
        <v>179</v>
      </c>
      <c r="H94">
        <v>0</v>
      </c>
      <c r="I94">
        <v>23</v>
      </c>
    </row>
    <row r="95" spans="1:9" x14ac:dyDescent="0.25">
      <c r="A95" t="s">
        <v>504</v>
      </c>
      <c r="B95" t="s">
        <v>465</v>
      </c>
      <c r="C95" s="119">
        <v>45782</v>
      </c>
      <c r="D95" t="s">
        <v>30</v>
      </c>
      <c r="E95" t="s">
        <v>22</v>
      </c>
      <c r="F95" t="s">
        <v>408</v>
      </c>
      <c r="G95">
        <v>152</v>
      </c>
      <c r="H95">
        <v>4</v>
      </c>
      <c r="I95">
        <v>61</v>
      </c>
    </row>
    <row r="96" spans="1:9" x14ac:dyDescent="0.25">
      <c r="A96" t="s">
        <v>505</v>
      </c>
      <c r="B96" t="s">
        <v>465</v>
      </c>
      <c r="C96" s="119">
        <v>45782</v>
      </c>
      <c r="D96" t="s">
        <v>26</v>
      </c>
      <c r="E96" t="s">
        <v>18</v>
      </c>
      <c r="F96" t="s">
        <v>408</v>
      </c>
      <c r="G96">
        <v>150</v>
      </c>
      <c r="H96">
        <v>4</v>
      </c>
      <c r="I96">
        <v>49</v>
      </c>
    </row>
    <row r="97" spans="1:9" x14ac:dyDescent="0.25">
      <c r="A97" t="s">
        <v>505</v>
      </c>
      <c r="B97" t="s">
        <v>465</v>
      </c>
      <c r="C97" s="119">
        <v>45782</v>
      </c>
      <c r="D97" t="s">
        <v>18</v>
      </c>
      <c r="E97" t="s">
        <v>26</v>
      </c>
      <c r="F97" t="s">
        <v>408</v>
      </c>
      <c r="G97">
        <v>168</v>
      </c>
      <c r="H97">
        <v>0</v>
      </c>
      <c r="I97">
        <v>35</v>
      </c>
    </row>
    <row r="98" spans="1:9" x14ac:dyDescent="0.25">
      <c r="A98" t="s">
        <v>506</v>
      </c>
      <c r="B98" t="s">
        <v>465</v>
      </c>
      <c r="C98" s="119">
        <v>45782</v>
      </c>
      <c r="D98" t="s">
        <v>20</v>
      </c>
      <c r="E98" t="s">
        <v>24</v>
      </c>
      <c r="F98" t="s">
        <v>406</v>
      </c>
      <c r="G98">
        <v>160</v>
      </c>
      <c r="H98">
        <v>4</v>
      </c>
      <c r="I98">
        <v>50</v>
      </c>
    </row>
    <row r="99" spans="1:9" x14ac:dyDescent="0.25">
      <c r="A99" t="s">
        <v>506</v>
      </c>
      <c r="B99" t="s">
        <v>465</v>
      </c>
      <c r="C99" s="119">
        <v>45782</v>
      </c>
      <c r="D99" t="s">
        <v>24</v>
      </c>
      <c r="E99" t="s">
        <v>20</v>
      </c>
      <c r="F99" t="s">
        <v>406</v>
      </c>
      <c r="G99">
        <v>182</v>
      </c>
      <c r="H99">
        <v>0</v>
      </c>
      <c r="I99">
        <v>34</v>
      </c>
    </row>
    <row r="100" spans="1:9" x14ac:dyDescent="0.25">
      <c r="A100" t="s">
        <v>507</v>
      </c>
      <c r="B100" t="s">
        <v>465</v>
      </c>
      <c r="C100" s="119">
        <v>45782</v>
      </c>
      <c r="D100" t="s">
        <v>16</v>
      </c>
      <c r="E100" t="s">
        <v>28</v>
      </c>
      <c r="F100" t="s">
        <v>406</v>
      </c>
      <c r="G100">
        <v>159</v>
      </c>
      <c r="H100">
        <v>2</v>
      </c>
      <c r="I100">
        <v>32</v>
      </c>
    </row>
    <row r="101" spans="1:9" x14ac:dyDescent="0.25">
      <c r="A101" t="s">
        <v>507</v>
      </c>
      <c r="B101" t="s">
        <v>465</v>
      </c>
      <c r="C101" s="119">
        <v>45782</v>
      </c>
      <c r="D101" t="s">
        <v>28</v>
      </c>
      <c r="E101" t="s">
        <v>16</v>
      </c>
      <c r="F101" t="s">
        <v>406</v>
      </c>
      <c r="G101">
        <v>159</v>
      </c>
      <c r="H101">
        <v>2</v>
      </c>
      <c r="I101">
        <v>34</v>
      </c>
    </row>
    <row r="102" spans="1:9" x14ac:dyDescent="0.25">
      <c r="A102" t="s">
        <v>508</v>
      </c>
      <c r="B102" t="s">
        <v>466</v>
      </c>
      <c r="C102" s="119">
        <v>45789</v>
      </c>
      <c r="D102" t="s">
        <v>22</v>
      </c>
      <c r="E102" t="s">
        <v>24</v>
      </c>
      <c r="F102" t="s">
        <v>406</v>
      </c>
      <c r="G102">
        <v>151</v>
      </c>
      <c r="H102">
        <v>4</v>
      </c>
      <c r="I102">
        <v>51</v>
      </c>
    </row>
    <row r="103" spans="1:9" x14ac:dyDescent="0.25">
      <c r="A103" t="s">
        <v>508</v>
      </c>
      <c r="B103" t="s">
        <v>466</v>
      </c>
      <c r="C103" s="119">
        <v>45789</v>
      </c>
      <c r="D103" t="s">
        <v>24</v>
      </c>
      <c r="E103" t="s">
        <v>22</v>
      </c>
      <c r="F103" t="s">
        <v>406</v>
      </c>
      <c r="G103">
        <v>172</v>
      </c>
      <c r="H103">
        <v>0</v>
      </c>
      <c r="I103">
        <v>33</v>
      </c>
    </row>
    <row r="104" spans="1:9" x14ac:dyDescent="0.25">
      <c r="A104" t="s">
        <v>509</v>
      </c>
      <c r="B104" t="s">
        <v>466</v>
      </c>
      <c r="C104" s="119">
        <v>45789</v>
      </c>
      <c r="D104" t="s">
        <v>26</v>
      </c>
      <c r="E104" t="s">
        <v>20</v>
      </c>
      <c r="F104" t="s">
        <v>408</v>
      </c>
      <c r="G104">
        <v>157</v>
      </c>
      <c r="H104">
        <v>4</v>
      </c>
      <c r="I104">
        <v>46</v>
      </c>
    </row>
    <row r="105" spans="1:9" x14ac:dyDescent="0.25">
      <c r="A105" t="s">
        <v>509</v>
      </c>
      <c r="B105" t="s">
        <v>466</v>
      </c>
      <c r="C105" s="119">
        <v>45789</v>
      </c>
      <c r="D105" t="s">
        <v>20</v>
      </c>
      <c r="E105" t="s">
        <v>26</v>
      </c>
      <c r="F105" t="s">
        <v>408</v>
      </c>
      <c r="G105">
        <v>163</v>
      </c>
      <c r="H105">
        <v>0</v>
      </c>
      <c r="I105">
        <v>38</v>
      </c>
    </row>
    <row r="106" spans="1:9" x14ac:dyDescent="0.25">
      <c r="A106" t="s">
        <v>510</v>
      </c>
      <c r="B106" t="s">
        <v>466</v>
      </c>
      <c r="C106" s="119">
        <v>45789</v>
      </c>
      <c r="D106" t="s">
        <v>16</v>
      </c>
      <c r="E106" t="s">
        <v>30</v>
      </c>
      <c r="F106" t="s">
        <v>408</v>
      </c>
      <c r="G106">
        <v>168</v>
      </c>
      <c r="H106">
        <v>0</v>
      </c>
      <c r="I106">
        <v>32</v>
      </c>
    </row>
    <row r="107" spans="1:9" x14ac:dyDescent="0.25">
      <c r="A107" t="s">
        <v>510</v>
      </c>
      <c r="B107" t="s">
        <v>466</v>
      </c>
      <c r="C107" s="119">
        <v>45789</v>
      </c>
      <c r="D107" t="s">
        <v>30</v>
      </c>
      <c r="E107" t="s">
        <v>16</v>
      </c>
      <c r="F107" t="s">
        <v>408</v>
      </c>
      <c r="G107">
        <v>152</v>
      </c>
      <c r="H107">
        <v>4</v>
      </c>
      <c r="I107">
        <v>52</v>
      </c>
    </row>
    <row r="108" spans="1:9" x14ac:dyDescent="0.25">
      <c r="A108" t="s">
        <v>511</v>
      </c>
      <c r="B108" t="s">
        <v>466</v>
      </c>
      <c r="C108" s="119">
        <v>45789</v>
      </c>
      <c r="D108" t="s">
        <v>18</v>
      </c>
      <c r="E108" t="s">
        <v>28</v>
      </c>
      <c r="F108" t="s">
        <v>406</v>
      </c>
      <c r="G108">
        <v>157</v>
      </c>
      <c r="H108">
        <v>4</v>
      </c>
      <c r="I108">
        <v>53</v>
      </c>
    </row>
    <row r="109" spans="1:9" x14ac:dyDescent="0.25">
      <c r="A109" t="s">
        <v>511</v>
      </c>
      <c r="B109" t="s">
        <v>466</v>
      </c>
      <c r="C109" s="119">
        <v>45789</v>
      </c>
      <c r="D109" t="s">
        <v>28</v>
      </c>
      <c r="E109" t="s">
        <v>18</v>
      </c>
      <c r="F109" t="s">
        <v>406</v>
      </c>
      <c r="G109">
        <v>174</v>
      </c>
      <c r="H109">
        <v>0</v>
      </c>
      <c r="I109">
        <v>31</v>
      </c>
    </row>
    <row r="110" spans="1:9" x14ac:dyDescent="0.25">
      <c r="A110" t="s">
        <v>514</v>
      </c>
      <c r="B110" t="s">
        <v>467</v>
      </c>
      <c r="C110" s="119">
        <v>45796</v>
      </c>
      <c r="D110" t="s">
        <v>22</v>
      </c>
      <c r="E110" t="s">
        <v>18</v>
      </c>
      <c r="F110" t="s">
        <v>408</v>
      </c>
      <c r="G110">
        <v>172</v>
      </c>
      <c r="H110">
        <v>0</v>
      </c>
      <c r="I110">
        <v>30</v>
      </c>
    </row>
    <row r="111" spans="1:9" x14ac:dyDescent="0.25">
      <c r="A111" t="s">
        <v>514</v>
      </c>
      <c r="B111" t="s">
        <v>467</v>
      </c>
      <c r="C111" s="119">
        <v>45796</v>
      </c>
      <c r="D111" t="s">
        <v>18</v>
      </c>
      <c r="E111" t="s">
        <v>22</v>
      </c>
      <c r="F111" t="s">
        <v>408</v>
      </c>
      <c r="G111">
        <v>163</v>
      </c>
      <c r="H111">
        <v>4</v>
      </c>
      <c r="I111">
        <v>39</v>
      </c>
    </row>
    <row r="112" spans="1:9" x14ac:dyDescent="0.25">
      <c r="A112" t="s">
        <v>512</v>
      </c>
      <c r="B112" t="s">
        <v>467</v>
      </c>
      <c r="C112" s="119">
        <v>45796</v>
      </c>
      <c r="D112" t="s">
        <v>26</v>
      </c>
      <c r="E112" t="s">
        <v>28</v>
      </c>
      <c r="F112" t="s">
        <v>406</v>
      </c>
      <c r="G112">
        <v>153</v>
      </c>
      <c r="H112">
        <v>4</v>
      </c>
      <c r="I112">
        <v>58</v>
      </c>
    </row>
    <row r="113" spans="1:9" x14ac:dyDescent="0.25">
      <c r="A113" t="s">
        <v>512</v>
      </c>
      <c r="B113" t="s">
        <v>467</v>
      </c>
      <c r="C113" s="119">
        <v>45796</v>
      </c>
      <c r="D113" t="s">
        <v>28</v>
      </c>
      <c r="E113" t="s">
        <v>26</v>
      </c>
      <c r="F113" t="s">
        <v>406</v>
      </c>
      <c r="G113">
        <v>182</v>
      </c>
      <c r="H113">
        <v>0</v>
      </c>
      <c r="I113">
        <v>26</v>
      </c>
    </row>
    <row r="114" spans="1:9" x14ac:dyDescent="0.25">
      <c r="A114" t="s">
        <v>515</v>
      </c>
      <c r="B114" t="s">
        <v>467</v>
      </c>
      <c r="C114" s="119">
        <v>45796</v>
      </c>
      <c r="D114" t="s">
        <v>20</v>
      </c>
      <c r="E114" t="s">
        <v>30</v>
      </c>
      <c r="F114" t="s">
        <v>406</v>
      </c>
      <c r="G114">
        <v>155</v>
      </c>
      <c r="H114">
        <v>0</v>
      </c>
      <c r="I114">
        <v>38</v>
      </c>
    </row>
    <row r="115" spans="1:9" x14ac:dyDescent="0.25">
      <c r="A115" t="s">
        <v>515</v>
      </c>
      <c r="B115" t="s">
        <v>467</v>
      </c>
      <c r="C115" s="119">
        <v>45796</v>
      </c>
      <c r="D115" t="s">
        <v>30</v>
      </c>
      <c r="E115" t="s">
        <v>20</v>
      </c>
      <c r="F115" t="s">
        <v>406</v>
      </c>
      <c r="G115">
        <v>152</v>
      </c>
      <c r="H115">
        <v>4</v>
      </c>
      <c r="I115">
        <v>46</v>
      </c>
    </row>
    <row r="116" spans="1:9" x14ac:dyDescent="0.25">
      <c r="A116" t="s">
        <v>516</v>
      </c>
      <c r="B116" t="s">
        <v>467</v>
      </c>
      <c r="C116" s="119">
        <v>45796</v>
      </c>
      <c r="D116" t="s">
        <v>16</v>
      </c>
      <c r="E116" t="s">
        <v>24</v>
      </c>
      <c r="F116" t="s">
        <v>408</v>
      </c>
      <c r="G116">
        <v>155</v>
      </c>
      <c r="H116">
        <v>4</v>
      </c>
      <c r="I116">
        <v>50</v>
      </c>
    </row>
    <row r="117" spans="1:9" x14ac:dyDescent="0.25">
      <c r="A117" t="s">
        <v>516</v>
      </c>
      <c r="B117" t="s">
        <v>467</v>
      </c>
      <c r="C117" s="119">
        <v>45796</v>
      </c>
      <c r="D117" t="s">
        <v>24</v>
      </c>
      <c r="E117" t="s">
        <v>16</v>
      </c>
      <c r="F117" t="s">
        <v>408</v>
      </c>
      <c r="G117">
        <v>165</v>
      </c>
      <c r="H117">
        <v>0</v>
      </c>
      <c r="I117">
        <v>34</v>
      </c>
    </row>
    <row r="118" spans="1:9" x14ac:dyDescent="0.25">
      <c r="A118" t="s">
        <v>517</v>
      </c>
      <c r="B118" t="s">
        <v>468</v>
      </c>
      <c r="C118" s="119">
        <v>45810</v>
      </c>
      <c r="D118" t="s">
        <v>22</v>
      </c>
      <c r="E118" t="s">
        <v>28</v>
      </c>
      <c r="F118" t="s">
        <v>408</v>
      </c>
      <c r="G118">
        <v>162</v>
      </c>
      <c r="H118">
        <v>0</v>
      </c>
      <c r="I118">
        <v>33</v>
      </c>
    </row>
    <row r="119" spans="1:9" x14ac:dyDescent="0.25">
      <c r="A119" t="s">
        <v>517</v>
      </c>
      <c r="B119" t="s">
        <v>468</v>
      </c>
      <c r="C119" s="119">
        <v>45810</v>
      </c>
      <c r="D119" t="s">
        <v>28</v>
      </c>
      <c r="E119" t="s">
        <v>22</v>
      </c>
      <c r="F119" t="s">
        <v>408</v>
      </c>
      <c r="G119">
        <v>160</v>
      </c>
      <c r="H119">
        <v>4</v>
      </c>
      <c r="I119">
        <v>51</v>
      </c>
    </row>
    <row r="120" spans="1:9" x14ac:dyDescent="0.25">
      <c r="A120" t="s">
        <v>518</v>
      </c>
      <c r="B120" t="s">
        <v>468</v>
      </c>
      <c r="C120" s="119">
        <v>45810</v>
      </c>
      <c r="D120" t="s">
        <v>26</v>
      </c>
      <c r="E120" t="s">
        <v>24</v>
      </c>
      <c r="F120" t="s">
        <v>406</v>
      </c>
      <c r="G120">
        <v>154</v>
      </c>
      <c r="H120">
        <v>4</v>
      </c>
      <c r="I120">
        <v>55</v>
      </c>
    </row>
    <row r="121" spans="1:9" x14ac:dyDescent="0.25">
      <c r="A121" t="s">
        <v>518</v>
      </c>
      <c r="B121" t="s">
        <v>468</v>
      </c>
      <c r="C121" s="119">
        <v>45810</v>
      </c>
      <c r="D121" t="s">
        <v>24</v>
      </c>
      <c r="E121" t="s">
        <v>26</v>
      </c>
      <c r="F121" t="s">
        <v>406</v>
      </c>
      <c r="G121">
        <v>170</v>
      </c>
      <c r="H121">
        <v>0</v>
      </c>
      <c r="I121">
        <v>29</v>
      </c>
    </row>
    <row r="122" spans="1:9" x14ac:dyDescent="0.25">
      <c r="A122" t="s">
        <v>519</v>
      </c>
      <c r="B122" t="s">
        <v>468</v>
      </c>
      <c r="C122" s="119">
        <v>45810</v>
      </c>
      <c r="D122" t="s">
        <v>16</v>
      </c>
      <c r="E122" t="s">
        <v>20</v>
      </c>
      <c r="F122" t="s">
        <v>408</v>
      </c>
      <c r="G122">
        <v>158</v>
      </c>
      <c r="H122">
        <v>4</v>
      </c>
      <c r="I122">
        <v>47</v>
      </c>
    </row>
    <row r="123" spans="1:9" x14ac:dyDescent="0.25">
      <c r="A123" t="s">
        <v>519</v>
      </c>
      <c r="B123" t="s">
        <v>468</v>
      </c>
      <c r="C123" s="119">
        <v>45810</v>
      </c>
      <c r="D123" t="s">
        <v>20</v>
      </c>
      <c r="E123" t="s">
        <v>16</v>
      </c>
      <c r="F123" t="s">
        <v>408</v>
      </c>
      <c r="G123">
        <v>159</v>
      </c>
      <c r="H123">
        <v>0</v>
      </c>
      <c r="I123">
        <v>37</v>
      </c>
    </row>
    <row r="124" spans="1:9" x14ac:dyDescent="0.25">
      <c r="A124" t="s">
        <v>520</v>
      </c>
      <c r="B124" t="s">
        <v>468</v>
      </c>
      <c r="C124" s="119">
        <v>45810</v>
      </c>
      <c r="D124" t="s">
        <v>18</v>
      </c>
      <c r="E124" t="s">
        <v>30</v>
      </c>
      <c r="F124" t="s">
        <v>406</v>
      </c>
      <c r="G124">
        <v>157</v>
      </c>
      <c r="H124">
        <v>0</v>
      </c>
      <c r="I124">
        <v>39</v>
      </c>
    </row>
    <row r="125" spans="1:9" x14ac:dyDescent="0.25">
      <c r="A125" t="s">
        <v>520</v>
      </c>
      <c r="B125" t="s">
        <v>468</v>
      </c>
      <c r="C125" s="119">
        <v>45810</v>
      </c>
      <c r="D125" t="s">
        <v>30</v>
      </c>
      <c r="E125" t="s">
        <v>18</v>
      </c>
      <c r="F125" t="s">
        <v>406</v>
      </c>
      <c r="G125">
        <v>152</v>
      </c>
      <c r="H125">
        <v>4</v>
      </c>
      <c r="I125">
        <v>45</v>
      </c>
    </row>
    <row r="126" spans="1:9" x14ac:dyDescent="0.25">
      <c r="A126" t="s">
        <v>524</v>
      </c>
      <c r="B126" t="s">
        <v>470</v>
      </c>
      <c r="C126" s="119">
        <v>45824</v>
      </c>
      <c r="D126" t="s">
        <v>26</v>
      </c>
      <c r="E126" t="s">
        <v>22</v>
      </c>
      <c r="F126" t="s">
        <v>408</v>
      </c>
      <c r="G126">
        <v>161</v>
      </c>
      <c r="H126">
        <v>0</v>
      </c>
      <c r="I126">
        <v>35</v>
      </c>
    </row>
    <row r="127" spans="1:9" x14ac:dyDescent="0.25">
      <c r="A127" t="s">
        <v>524</v>
      </c>
      <c r="B127" t="s">
        <v>470</v>
      </c>
      <c r="C127" s="119">
        <v>45824</v>
      </c>
      <c r="D127" t="s">
        <v>22</v>
      </c>
      <c r="E127" t="s">
        <v>26</v>
      </c>
      <c r="F127" t="s">
        <v>408</v>
      </c>
      <c r="G127">
        <v>156</v>
      </c>
      <c r="H127">
        <v>4</v>
      </c>
      <c r="I127">
        <v>49</v>
      </c>
    </row>
    <row r="128" spans="1:9" x14ac:dyDescent="0.25">
      <c r="A128" t="s">
        <v>525</v>
      </c>
      <c r="B128" t="s">
        <v>470</v>
      </c>
      <c r="C128" s="119">
        <v>45824</v>
      </c>
      <c r="D128" t="s">
        <v>20</v>
      </c>
      <c r="E128" t="s">
        <v>28</v>
      </c>
      <c r="F128" t="s">
        <v>406</v>
      </c>
      <c r="G128">
        <v>151</v>
      </c>
      <c r="H128">
        <v>4</v>
      </c>
      <c r="I128">
        <v>53</v>
      </c>
    </row>
    <row r="129" spans="1:9" x14ac:dyDescent="0.25">
      <c r="A129" t="s">
        <v>525</v>
      </c>
      <c r="B129" t="s">
        <v>470</v>
      </c>
      <c r="C129" s="119">
        <v>45824</v>
      </c>
      <c r="D129" t="s">
        <v>28</v>
      </c>
      <c r="E129" t="s">
        <v>20</v>
      </c>
      <c r="F129" t="s">
        <v>406</v>
      </c>
      <c r="G129">
        <v>162</v>
      </c>
      <c r="H129">
        <v>0</v>
      </c>
      <c r="I129">
        <v>23</v>
      </c>
    </row>
    <row r="130" spans="1:9" x14ac:dyDescent="0.25">
      <c r="A130" t="s">
        <v>526</v>
      </c>
      <c r="B130" t="s">
        <v>470</v>
      </c>
      <c r="C130" s="119">
        <v>45824</v>
      </c>
      <c r="D130" t="s">
        <v>18</v>
      </c>
      <c r="E130" t="s">
        <v>16</v>
      </c>
      <c r="F130" t="s">
        <v>406</v>
      </c>
      <c r="G130">
        <v>146</v>
      </c>
      <c r="H130">
        <v>4</v>
      </c>
      <c r="I130">
        <v>50</v>
      </c>
    </row>
    <row r="131" spans="1:9" x14ac:dyDescent="0.25">
      <c r="A131" t="s">
        <v>526</v>
      </c>
      <c r="B131" t="s">
        <v>470</v>
      </c>
      <c r="C131" s="119">
        <v>45824</v>
      </c>
      <c r="D131" t="s">
        <v>16</v>
      </c>
      <c r="E131" t="s">
        <v>18</v>
      </c>
      <c r="F131" t="s">
        <v>406</v>
      </c>
      <c r="G131">
        <v>158</v>
      </c>
      <c r="H131">
        <v>0</v>
      </c>
      <c r="I131">
        <v>34</v>
      </c>
    </row>
    <row r="132" spans="1:9" x14ac:dyDescent="0.25">
      <c r="A132" t="s">
        <v>527</v>
      </c>
      <c r="B132" t="s">
        <v>470</v>
      </c>
      <c r="C132" s="119">
        <v>45824</v>
      </c>
      <c r="D132" t="s">
        <v>24</v>
      </c>
      <c r="E132" t="s">
        <v>30</v>
      </c>
      <c r="F132" t="s">
        <v>408</v>
      </c>
      <c r="G132">
        <v>164</v>
      </c>
      <c r="H132">
        <v>0</v>
      </c>
      <c r="I132">
        <v>33</v>
      </c>
    </row>
    <row r="133" spans="1:9" x14ac:dyDescent="0.25">
      <c r="A133" t="s">
        <v>527</v>
      </c>
      <c r="B133" t="s">
        <v>470</v>
      </c>
      <c r="C133" s="119">
        <v>45824</v>
      </c>
      <c r="D133" t="s">
        <v>30</v>
      </c>
      <c r="E133" t="s">
        <v>24</v>
      </c>
      <c r="F133" t="s">
        <v>408</v>
      </c>
      <c r="G133">
        <v>152</v>
      </c>
      <c r="H133">
        <v>4</v>
      </c>
      <c r="I133">
        <v>51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8B4CE-B5B0-4531-B765-0974B93E64D5}">
  <sheetPr codeName="Sheet26"/>
  <dimension ref="A1:CG15"/>
  <sheetViews>
    <sheetView workbookViewId="0"/>
  </sheetViews>
  <sheetFormatPr defaultRowHeight="13.2" x14ac:dyDescent="0.25"/>
  <cols>
    <col min="2" max="2" width="17.109375" bestFit="1" customWidth="1"/>
    <col min="3" max="4" width="7.5546875" customWidth="1"/>
    <col min="6" max="6" width="20.5546875" customWidth="1"/>
    <col min="7" max="9" width="7.5546875" customWidth="1"/>
    <col min="10" max="10" width="20.5546875" customWidth="1"/>
    <col min="11" max="12" width="7.5546875" customWidth="1"/>
    <col min="13" max="13" width="7.5546875" style="2" customWidth="1"/>
    <col min="14" max="14" width="20.5546875" customWidth="1"/>
    <col min="15" max="17" width="7.5546875" customWidth="1"/>
    <col min="18" max="18" width="20.5546875" customWidth="1"/>
    <col min="19" max="21" width="7.5546875" customWidth="1"/>
    <col min="22" max="22" width="20.5546875" customWidth="1"/>
    <col min="23" max="25" width="7.5546875" customWidth="1"/>
    <col min="26" max="26" width="20.5546875" customWidth="1"/>
    <col min="27" max="29" width="7.5546875" customWidth="1"/>
    <col min="30" max="30" width="20.5546875" customWidth="1"/>
    <col min="31" max="33" width="7.5546875" customWidth="1"/>
    <col min="34" max="34" width="20.5546875" customWidth="1"/>
    <col min="35" max="37" width="7.5546875" customWidth="1"/>
    <col min="38" max="38" width="20.5546875" customWidth="1"/>
    <col min="39" max="41" width="7.5546875" customWidth="1"/>
    <col min="42" max="42" width="20.5546875" customWidth="1"/>
    <col min="43" max="45" width="7.5546875" customWidth="1"/>
    <col min="46" max="46" width="20.5546875" customWidth="1"/>
    <col min="47" max="49" width="7.5546875" customWidth="1"/>
    <col min="50" max="50" width="20.5546875" customWidth="1"/>
    <col min="51" max="53" width="7.5546875" customWidth="1"/>
    <col min="54" max="54" width="20.5546875" customWidth="1"/>
    <col min="55" max="57" width="7.5546875" customWidth="1"/>
    <col min="58" max="58" width="20.5546875" customWidth="1"/>
    <col min="59" max="61" width="7.5546875" customWidth="1"/>
    <col min="62" max="62" width="20.5546875" customWidth="1"/>
    <col min="63" max="65" width="7.5546875" customWidth="1"/>
    <col min="66" max="66" width="20.5546875" customWidth="1"/>
    <col min="67" max="69" width="7.5546875" customWidth="1"/>
    <col min="70" max="70" width="20.5546875" customWidth="1"/>
    <col min="71" max="73" width="7.5546875" customWidth="1"/>
    <col min="74" max="74" width="20.5546875" customWidth="1"/>
    <col min="75" max="77" width="7.5546875" customWidth="1"/>
    <col min="78" max="78" width="20.5546875" customWidth="1"/>
    <col min="79" max="81" width="7.5546875" customWidth="1"/>
  </cols>
  <sheetData>
    <row r="1" spans="1:85" x14ac:dyDescent="0.25">
      <c r="A1" s="130" t="s">
        <v>412</v>
      </c>
      <c r="B1" s="131"/>
      <c r="C1" s="223" t="s">
        <v>9</v>
      </c>
      <c r="D1" s="223"/>
      <c r="E1" s="223"/>
      <c r="F1" s="224">
        <v>44669</v>
      </c>
      <c r="G1" s="224"/>
      <c r="H1" s="224"/>
      <c r="I1" s="224"/>
      <c r="J1" s="225">
        <f>F1+7</f>
        <v>44676</v>
      </c>
      <c r="K1" s="225"/>
      <c r="L1" s="225"/>
      <c r="M1" s="225"/>
      <c r="N1" s="224">
        <f>J1+7</f>
        <v>44683</v>
      </c>
      <c r="O1" s="224"/>
      <c r="P1" s="224"/>
      <c r="Q1" s="224"/>
      <c r="R1" s="225">
        <f>N1+7</f>
        <v>44690</v>
      </c>
      <c r="S1" s="225"/>
      <c r="T1" s="225"/>
      <c r="U1" s="225"/>
      <c r="V1" s="224">
        <f>R1+7</f>
        <v>44697</v>
      </c>
      <c r="W1" s="224"/>
      <c r="X1" s="224"/>
      <c r="Y1" s="224"/>
      <c r="Z1" s="225">
        <f>V1+7</f>
        <v>44704</v>
      </c>
      <c r="AA1" s="225"/>
      <c r="AB1" s="225"/>
      <c r="AC1" s="225"/>
      <c r="AD1" s="224">
        <f>Z1+7</f>
        <v>44711</v>
      </c>
      <c r="AE1" s="224"/>
      <c r="AF1" s="224"/>
      <c r="AG1" s="224"/>
      <c r="AH1" s="225">
        <f>AD1+7</f>
        <v>44718</v>
      </c>
      <c r="AI1" s="225"/>
      <c r="AJ1" s="225"/>
      <c r="AK1" s="225"/>
      <c r="AL1" s="224">
        <f>AD1+14</f>
        <v>44725</v>
      </c>
      <c r="AM1" s="224"/>
      <c r="AN1" s="224"/>
      <c r="AO1" s="224"/>
      <c r="AP1" s="226">
        <f>AL1+7</f>
        <v>44732</v>
      </c>
      <c r="AQ1" s="226"/>
      <c r="AR1" s="226"/>
      <c r="AS1" s="226"/>
      <c r="AT1" s="224">
        <f>AP1+7</f>
        <v>44739</v>
      </c>
      <c r="AU1" s="224"/>
      <c r="AV1" s="224"/>
      <c r="AW1" s="224"/>
      <c r="AX1" s="225">
        <f>AT1+7</f>
        <v>44746</v>
      </c>
      <c r="AY1" s="225"/>
      <c r="AZ1" s="225"/>
      <c r="BA1" s="225"/>
      <c r="BB1" s="224">
        <f>AX1+14</f>
        <v>44760</v>
      </c>
      <c r="BC1" s="224"/>
      <c r="BD1" s="224"/>
      <c r="BE1" s="224"/>
      <c r="BF1" s="226">
        <f>BB1+7</f>
        <v>44767</v>
      </c>
      <c r="BG1" s="226"/>
      <c r="BH1" s="226"/>
      <c r="BI1" s="226"/>
      <c r="BJ1" s="224">
        <f>BF1+7</f>
        <v>44774</v>
      </c>
      <c r="BK1" s="224"/>
      <c r="BL1" s="224"/>
      <c r="BM1" s="224"/>
      <c r="BN1" s="226">
        <f>BJ1+7</f>
        <v>44781</v>
      </c>
      <c r="BO1" s="226"/>
      <c r="BP1" s="226"/>
      <c r="BQ1" s="226"/>
      <c r="BR1" s="224">
        <f>BN1+7</f>
        <v>44788</v>
      </c>
      <c r="BS1" s="224"/>
      <c r="BT1" s="224"/>
      <c r="BU1" s="224"/>
      <c r="BV1" s="226">
        <f>BR1+7</f>
        <v>44795</v>
      </c>
      <c r="BW1" s="226"/>
      <c r="BX1" s="226"/>
      <c r="BY1" s="226"/>
      <c r="BZ1" s="224">
        <f>BV1+7</f>
        <v>44802</v>
      </c>
      <c r="CA1" s="224"/>
      <c r="CB1" s="224"/>
      <c r="CC1" s="224"/>
      <c r="CD1" s="448"/>
      <c r="CE1" s="448"/>
      <c r="CF1" s="448"/>
      <c r="CG1" s="448"/>
    </row>
    <row r="2" spans="1:85" x14ac:dyDescent="0.25">
      <c r="A2" s="132" t="s">
        <v>413</v>
      </c>
      <c r="B2" s="133" t="s">
        <v>137</v>
      </c>
      <c r="C2" s="134" t="s">
        <v>86</v>
      </c>
      <c r="D2" s="134" t="s">
        <v>144</v>
      </c>
      <c r="E2" s="134" t="s">
        <v>414</v>
      </c>
      <c r="F2" s="128" t="s">
        <v>351</v>
      </c>
      <c r="G2" s="128" t="s">
        <v>86</v>
      </c>
      <c r="H2" s="128" t="s">
        <v>144</v>
      </c>
      <c r="I2" s="128" t="s">
        <v>414</v>
      </c>
      <c r="J2" s="129" t="s">
        <v>351</v>
      </c>
      <c r="K2" s="129" t="s">
        <v>86</v>
      </c>
      <c r="L2" s="129" t="s">
        <v>144</v>
      </c>
      <c r="M2" s="129" t="s">
        <v>414</v>
      </c>
      <c r="N2" s="128" t="s">
        <v>351</v>
      </c>
      <c r="O2" s="128" t="s">
        <v>86</v>
      </c>
      <c r="P2" s="128" t="s">
        <v>144</v>
      </c>
      <c r="Q2" s="128" t="s">
        <v>414</v>
      </c>
      <c r="R2" s="129" t="s">
        <v>351</v>
      </c>
      <c r="S2" s="129" t="s">
        <v>86</v>
      </c>
      <c r="T2" s="129" t="s">
        <v>144</v>
      </c>
      <c r="U2" s="129" t="s">
        <v>414</v>
      </c>
      <c r="V2" s="128" t="s">
        <v>351</v>
      </c>
      <c r="W2" s="128" t="s">
        <v>86</v>
      </c>
      <c r="X2" s="128" t="s">
        <v>144</v>
      </c>
      <c r="Y2" s="128" t="s">
        <v>414</v>
      </c>
      <c r="Z2" s="129" t="s">
        <v>351</v>
      </c>
      <c r="AA2" s="129" t="s">
        <v>86</v>
      </c>
      <c r="AB2" s="129" t="s">
        <v>144</v>
      </c>
      <c r="AC2" s="129" t="s">
        <v>414</v>
      </c>
      <c r="AD2" s="128" t="s">
        <v>351</v>
      </c>
      <c r="AE2" s="128" t="s">
        <v>86</v>
      </c>
      <c r="AF2" s="128" t="s">
        <v>144</v>
      </c>
      <c r="AG2" s="128" t="s">
        <v>414</v>
      </c>
      <c r="AH2" s="129" t="s">
        <v>351</v>
      </c>
      <c r="AI2" s="129" t="s">
        <v>86</v>
      </c>
      <c r="AJ2" s="129" t="s">
        <v>144</v>
      </c>
      <c r="AK2" s="129" t="s">
        <v>414</v>
      </c>
      <c r="AL2" s="128" t="s">
        <v>351</v>
      </c>
      <c r="AM2" s="128" t="s">
        <v>86</v>
      </c>
      <c r="AN2" s="128" t="s">
        <v>144</v>
      </c>
      <c r="AO2" s="128" t="s">
        <v>414</v>
      </c>
      <c r="AP2" s="129" t="s">
        <v>351</v>
      </c>
      <c r="AQ2" s="129" t="s">
        <v>86</v>
      </c>
      <c r="AR2" s="129" t="s">
        <v>144</v>
      </c>
      <c r="AS2" s="129" t="s">
        <v>414</v>
      </c>
      <c r="AT2" s="128" t="s">
        <v>351</v>
      </c>
      <c r="AU2" s="128" t="s">
        <v>86</v>
      </c>
      <c r="AV2" s="128" t="s">
        <v>144</v>
      </c>
      <c r="AW2" s="128" t="s">
        <v>414</v>
      </c>
      <c r="AX2" s="129" t="s">
        <v>351</v>
      </c>
      <c r="AY2" s="129" t="s">
        <v>86</v>
      </c>
      <c r="AZ2" s="129" t="s">
        <v>144</v>
      </c>
      <c r="BA2" s="129" t="s">
        <v>414</v>
      </c>
      <c r="BB2" s="128" t="s">
        <v>351</v>
      </c>
      <c r="BC2" s="128" t="s">
        <v>86</v>
      </c>
      <c r="BD2" s="128" t="s">
        <v>144</v>
      </c>
      <c r="BE2" s="128" t="s">
        <v>414</v>
      </c>
      <c r="BF2" s="129" t="s">
        <v>351</v>
      </c>
      <c r="BG2" s="129" t="s">
        <v>86</v>
      </c>
      <c r="BH2" s="129" t="s">
        <v>144</v>
      </c>
      <c r="BI2" s="129" t="s">
        <v>414</v>
      </c>
      <c r="BJ2" s="128" t="s">
        <v>351</v>
      </c>
      <c r="BK2" s="128" t="s">
        <v>86</v>
      </c>
      <c r="BL2" s="128" t="s">
        <v>144</v>
      </c>
      <c r="BM2" s="128" t="s">
        <v>414</v>
      </c>
      <c r="BN2" s="129" t="s">
        <v>351</v>
      </c>
      <c r="BO2" s="129" t="s">
        <v>86</v>
      </c>
      <c r="BP2" s="129" t="s">
        <v>144</v>
      </c>
      <c r="BQ2" s="129" t="s">
        <v>414</v>
      </c>
      <c r="BR2" s="128" t="s">
        <v>351</v>
      </c>
      <c r="BS2" s="128" t="s">
        <v>86</v>
      </c>
      <c r="BT2" s="128" t="s">
        <v>144</v>
      </c>
      <c r="BU2" s="128" t="s">
        <v>414</v>
      </c>
      <c r="BV2" s="129" t="s">
        <v>351</v>
      </c>
      <c r="BW2" s="129" t="s">
        <v>86</v>
      </c>
      <c r="BX2" s="129" t="s">
        <v>144</v>
      </c>
      <c r="BY2" s="129" t="s">
        <v>414</v>
      </c>
      <c r="BZ2" s="128" t="s">
        <v>351</v>
      </c>
      <c r="CA2" s="128" t="s">
        <v>86</v>
      </c>
      <c r="CB2" s="128" t="s">
        <v>144</v>
      </c>
      <c r="CC2" s="128" t="s">
        <v>414</v>
      </c>
      <c r="CD2" s="127"/>
      <c r="CE2" s="127"/>
      <c r="CF2" s="127"/>
      <c r="CG2" s="127"/>
    </row>
    <row r="3" spans="1:85" x14ac:dyDescent="0.25">
      <c r="A3" s="135">
        <v>1</v>
      </c>
      <c r="B3" s="136" t="e">
        <f>Standings!#REF!</f>
        <v>#REF!</v>
      </c>
      <c r="C3" s="137" t="e">
        <f t="shared" ref="C3:C13" si="0">SUMIF($F$2:$CC$2,"Points",$F3:$CC3)</f>
        <v>#REF!</v>
      </c>
      <c r="D3" s="137" t="e">
        <f t="shared" ref="D3:D13" si="1">SUMIF($F$2:$CC$2,"Net",$F3:$CC3)</f>
        <v>#REF!</v>
      </c>
      <c r="E3" s="137" t="e">
        <f t="shared" ref="E3:E13" si="2">SUMIF($F$2:$CC$2,"Opp Net",$F3:$CC3)</f>
        <v>#REF!</v>
      </c>
      <c r="F3" s="125" t="e" cm="1">
        <f t="array" ref="F3">INDEX(Upload_Team[Opponent],MATCH('Opp Low Net'!F$1&amp;'Opp Low Net'!$B3,Upload_Team[[Date]:[Date]]&amp;Upload_Team[[Team]:[Team]],0))</f>
        <v>#REF!</v>
      </c>
      <c r="G3" s="125" t="e" cm="1">
        <f t="array" ref="G3">INDEX(Upload_Team[Tm Tot Points],MATCH('Opp Low Net'!F$1&amp;'Opp Low Net'!$B3,Upload_Team[[Date]:[Date]]&amp;Upload_Team[[Team]:[Team]],0))</f>
        <v>#REF!</v>
      </c>
      <c r="H3" s="125" t="e" cm="1">
        <f t="array" ref="H3">INDEX(Upload_Team[Tm Net],MATCH('Opp Low Net'!F$1&amp;'Opp Low Net'!$B3,Upload_Team[[Date]:[Date]]&amp;Upload_Team[[Team]:[Team]],0))</f>
        <v>#REF!</v>
      </c>
      <c r="I3" s="125" t="e" cm="1">
        <f t="array" ref="I3">INDEX(Upload_Team[Tm Net],MATCH('Opp Low Net'!F$1&amp;'Opp Low Net'!F3,Upload_Team[[Date]:[Date]]&amp;Upload_Team[[Team]:[Team]],0))</f>
        <v>#REF!</v>
      </c>
      <c r="J3" s="123" t="e" cm="1">
        <f t="array" ref="J3">INDEX(Upload_Team[Opponent],MATCH('Opp Low Net'!J$1&amp;'Opp Low Net'!$B3,Upload_Team[[Date]:[Date]]&amp;Upload_Team[[Team]:[Team]],0))</f>
        <v>#REF!</v>
      </c>
      <c r="K3" s="124" t="e" cm="1">
        <f t="array" ref="K3">INDEX(Upload_Team[Tm Tot Points],MATCH('Opp Low Net'!J$1&amp;'Opp Low Net'!$B3,Upload_Team[[Date]:[Date]]&amp;Upload_Team[[Team]:[Team]],0))</f>
        <v>#REF!</v>
      </c>
      <c r="L3" s="124" t="e" cm="1">
        <f t="array" ref="L3">INDEX(Upload_Team[Tm Net],MATCH('Opp Low Net'!J$1&amp;'Opp Low Net'!$B3,Upload_Team[[Date]:[Date]]&amp;Upload_Team[[Team]:[Team]],0))</f>
        <v>#REF!</v>
      </c>
      <c r="M3" s="124" t="e" cm="1">
        <f t="array" ref="M3">INDEX(Upload_Team[Tm Net],MATCH('Opp Low Net'!J$1&amp;'Opp Low Net'!J3,Upload_Team[[Date]:[Date]]&amp;Upload_Team[[Team]:[Team]],0))</f>
        <v>#REF!</v>
      </c>
      <c r="N3" s="125"/>
      <c r="O3" s="126"/>
      <c r="P3" s="126"/>
      <c r="Q3" s="125"/>
      <c r="R3" s="123"/>
      <c r="S3" s="123"/>
      <c r="T3" s="123"/>
      <c r="U3" s="123"/>
      <c r="V3" s="125"/>
      <c r="W3" s="126"/>
      <c r="X3" s="126"/>
      <c r="Y3" s="125"/>
      <c r="Z3" s="123"/>
      <c r="AA3" s="124"/>
      <c r="AB3" s="124"/>
      <c r="AC3" s="123"/>
      <c r="AD3" s="227"/>
      <c r="AE3" s="228"/>
      <c r="AF3" s="228"/>
      <c r="AG3" s="228"/>
      <c r="AH3" s="123"/>
      <c r="AI3" s="123"/>
      <c r="AJ3" s="123"/>
      <c r="AK3" s="123"/>
      <c r="AL3" s="125"/>
      <c r="AM3" s="126"/>
      <c r="AN3" s="126"/>
      <c r="AO3" s="125"/>
      <c r="AP3" s="123"/>
      <c r="AQ3" s="124"/>
      <c r="AR3" s="124"/>
      <c r="AS3" s="123"/>
      <c r="AT3" s="125"/>
      <c r="AU3" s="126"/>
      <c r="AV3" s="126"/>
      <c r="AW3" s="125"/>
      <c r="AX3" s="123"/>
      <c r="AY3" s="123"/>
      <c r="AZ3" s="123"/>
      <c r="BA3" s="123"/>
      <c r="BB3" s="125"/>
      <c r="BC3" s="126"/>
      <c r="BD3" s="126"/>
      <c r="BE3" s="125"/>
      <c r="BF3" s="123"/>
      <c r="BG3" s="124"/>
      <c r="BH3" s="124"/>
      <c r="BI3" s="123"/>
      <c r="BJ3" s="125"/>
      <c r="BK3" s="126"/>
      <c r="BL3" s="126"/>
      <c r="BM3" s="125"/>
      <c r="BN3" s="123"/>
      <c r="BO3" s="123"/>
      <c r="BP3" s="123"/>
      <c r="BQ3" s="123"/>
      <c r="BR3" s="125"/>
      <c r="BS3" s="126"/>
      <c r="BT3" s="126"/>
      <c r="BU3" s="125"/>
      <c r="BV3" s="123"/>
      <c r="BW3" s="124"/>
      <c r="BX3" s="124"/>
      <c r="BY3" s="123"/>
      <c r="BZ3" s="125"/>
      <c r="CA3" s="126"/>
      <c r="CB3" s="126"/>
      <c r="CC3" s="125"/>
    </row>
    <row r="4" spans="1:85" x14ac:dyDescent="0.25">
      <c r="A4" s="135">
        <v>2</v>
      </c>
      <c r="B4" s="136" t="e">
        <f>Standings!#REF!</f>
        <v>#REF!</v>
      </c>
      <c r="C4" s="137" t="e">
        <f t="shared" si="0"/>
        <v>#REF!</v>
      </c>
      <c r="D4" s="137" t="e">
        <f t="shared" si="1"/>
        <v>#REF!</v>
      </c>
      <c r="E4" s="137" t="e">
        <f t="shared" si="2"/>
        <v>#REF!</v>
      </c>
      <c r="F4" s="125" t="e" cm="1">
        <f t="array" ref="F4">INDEX(Upload_Team[Opponent],MATCH('Opp Low Net'!F$1&amp;'Opp Low Net'!$B4,Upload_Team[[Date]:[Date]]&amp;Upload_Team[[Team]:[Team]],0))</f>
        <v>#REF!</v>
      </c>
      <c r="G4" s="125" t="e" cm="1">
        <f t="array" ref="G4">INDEX(Upload_Team[Tm Tot Points],MATCH('Opp Low Net'!F$1&amp;'Opp Low Net'!$B4,Upload_Team[[Date]:[Date]]&amp;Upload_Team[[Team]:[Team]],0))</f>
        <v>#REF!</v>
      </c>
      <c r="H4" s="125" t="e" cm="1">
        <f t="array" ref="H4">INDEX(Upload_Team[Tm Net],MATCH('Opp Low Net'!F$1&amp;'Opp Low Net'!$B4,Upload_Team[[Date]:[Date]]&amp;Upload_Team[[Team]:[Team]],0))</f>
        <v>#REF!</v>
      </c>
      <c r="I4" s="125" t="e" cm="1">
        <f t="array" ref="I4">INDEX(Upload_Team[Tm Net],MATCH('Opp Low Net'!F$1&amp;'Opp Low Net'!F4,Upload_Team[[Date]:[Date]]&amp;Upload_Team[[Team]:[Team]],0))</f>
        <v>#REF!</v>
      </c>
      <c r="J4" s="123" t="e" cm="1">
        <f t="array" ref="J4">INDEX(Upload_Team[Opponent],MATCH('Opp Low Net'!J$1&amp;'Opp Low Net'!$B4,Upload_Team[[Date]:[Date]]&amp;Upload_Team[[Team]:[Team]],0))</f>
        <v>#REF!</v>
      </c>
      <c r="K4" s="124" t="e" cm="1">
        <f t="array" ref="K4">INDEX(Upload_Team[Tm Tot Points],MATCH('Opp Low Net'!J$1&amp;'Opp Low Net'!$B4,Upload_Team[[Date]:[Date]]&amp;Upload_Team[[Team]:[Team]],0))</f>
        <v>#REF!</v>
      </c>
      <c r="L4" s="124" t="e" cm="1">
        <f t="array" ref="L4">INDEX(Upload_Team[Tm Net],MATCH('Opp Low Net'!J$1&amp;'Opp Low Net'!$B4,Upload_Team[[Date]:[Date]]&amp;Upload_Team[[Team]:[Team]],0))</f>
        <v>#REF!</v>
      </c>
      <c r="M4" s="124" t="e" cm="1">
        <f t="array" ref="M4">INDEX(Upload_Team[Tm Net],MATCH('Opp Low Net'!J$1&amp;'Opp Low Net'!J4,Upload_Team[[Date]:[Date]]&amp;Upload_Team[[Team]:[Team]],0))</f>
        <v>#REF!</v>
      </c>
      <c r="N4" s="125"/>
      <c r="O4" s="126"/>
      <c r="P4" s="126"/>
      <c r="Q4" s="125"/>
      <c r="R4" s="123"/>
      <c r="S4" s="123"/>
      <c r="T4" s="123"/>
      <c r="U4" s="123"/>
      <c r="V4" s="125"/>
      <c r="W4" s="126"/>
      <c r="X4" s="126"/>
      <c r="Y4" s="125"/>
      <c r="Z4" s="123"/>
      <c r="AA4" s="124"/>
      <c r="AB4" s="124"/>
      <c r="AC4" s="123"/>
      <c r="AD4" s="228"/>
      <c r="AE4" s="228"/>
      <c r="AF4" s="228"/>
      <c r="AG4" s="228"/>
      <c r="AH4" s="123"/>
      <c r="AI4" s="123"/>
      <c r="AJ4" s="123"/>
      <c r="AK4" s="123"/>
      <c r="AL4" s="125"/>
      <c r="AM4" s="126"/>
      <c r="AN4" s="126"/>
      <c r="AO4" s="125"/>
      <c r="AP4" s="123"/>
      <c r="AQ4" s="124"/>
      <c r="AR4" s="124"/>
      <c r="AS4" s="123"/>
      <c r="AT4" s="125"/>
      <c r="AU4" s="126"/>
      <c r="AV4" s="126"/>
      <c r="AW4" s="125"/>
      <c r="AX4" s="123"/>
      <c r="AY4" s="123"/>
      <c r="AZ4" s="123"/>
      <c r="BA4" s="123"/>
      <c r="BB4" s="125"/>
      <c r="BC4" s="126"/>
      <c r="BD4" s="126"/>
      <c r="BE4" s="125"/>
      <c r="BF4" s="123"/>
      <c r="BG4" s="124"/>
      <c r="BH4" s="124"/>
      <c r="BI4" s="123"/>
      <c r="BJ4" s="125"/>
      <c r="BK4" s="126"/>
      <c r="BL4" s="126"/>
      <c r="BM4" s="125"/>
      <c r="BN4" s="123"/>
      <c r="BO4" s="123"/>
      <c r="BP4" s="123"/>
      <c r="BQ4" s="123"/>
      <c r="BR4" s="125"/>
      <c r="BS4" s="126"/>
      <c r="BT4" s="126"/>
      <c r="BU4" s="125"/>
      <c r="BV4" s="123"/>
      <c r="BW4" s="124"/>
      <c r="BX4" s="124"/>
      <c r="BY4" s="123"/>
      <c r="BZ4" s="125"/>
      <c r="CA4" s="126"/>
      <c r="CB4" s="126"/>
      <c r="CC4" s="125"/>
    </row>
    <row r="5" spans="1:85" x14ac:dyDescent="0.25">
      <c r="A5" s="135">
        <v>3</v>
      </c>
      <c r="B5" s="136" t="e">
        <f>Standings!#REF!</f>
        <v>#REF!</v>
      </c>
      <c r="C5" s="137" t="e">
        <f t="shared" si="0"/>
        <v>#REF!</v>
      </c>
      <c r="D5" s="137" t="e">
        <f t="shared" si="1"/>
        <v>#REF!</v>
      </c>
      <c r="E5" s="137" t="e">
        <f t="shared" si="2"/>
        <v>#REF!</v>
      </c>
      <c r="F5" s="125" t="e" cm="1">
        <f t="array" ref="F5">INDEX(Upload_Team[Opponent],MATCH('Opp Low Net'!F$1&amp;'Opp Low Net'!$B5,Upload_Team[[Date]:[Date]]&amp;Upload_Team[[Team]:[Team]],0))</f>
        <v>#REF!</v>
      </c>
      <c r="G5" s="125" t="e" cm="1">
        <f t="array" ref="G5">INDEX(Upload_Team[Tm Tot Points],MATCH('Opp Low Net'!F$1&amp;'Opp Low Net'!$B5,Upload_Team[[Date]:[Date]]&amp;Upload_Team[[Team]:[Team]],0))</f>
        <v>#REF!</v>
      </c>
      <c r="H5" s="125" t="e" cm="1">
        <f t="array" ref="H5">INDEX(Upload_Team[Tm Net],MATCH('Opp Low Net'!F$1&amp;'Opp Low Net'!$B5,Upload_Team[[Date]:[Date]]&amp;Upload_Team[[Team]:[Team]],0))</f>
        <v>#REF!</v>
      </c>
      <c r="I5" s="125" t="e" cm="1">
        <f t="array" ref="I5">INDEX(Upload_Team[Tm Net],MATCH('Opp Low Net'!F$1&amp;'Opp Low Net'!F5,Upload_Team[[Date]:[Date]]&amp;Upload_Team[[Team]:[Team]],0))</f>
        <v>#REF!</v>
      </c>
      <c r="J5" s="123" t="e" cm="1">
        <f t="array" ref="J5">INDEX(Upload_Team[Opponent],MATCH('Opp Low Net'!J$1&amp;'Opp Low Net'!$B5,Upload_Team[[Date]:[Date]]&amp;Upload_Team[[Team]:[Team]],0))</f>
        <v>#REF!</v>
      </c>
      <c r="K5" s="124" t="e" cm="1">
        <f t="array" ref="K5">INDEX(Upload_Team[Tm Tot Points],MATCH('Opp Low Net'!J$1&amp;'Opp Low Net'!$B5,Upload_Team[[Date]:[Date]]&amp;Upload_Team[[Team]:[Team]],0))</f>
        <v>#REF!</v>
      </c>
      <c r="L5" s="124" t="e" cm="1">
        <f t="array" ref="L5">INDEX(Upload_Team[Tm Net],MATCH('Opp Low Net'!J$1&amp;'Opp Low Net'!$B5,Upload_Team[[Date]:[Date]]&amp;Upload_Team[[Team]:[Team]],0))</f>
        <v>#REF!</v>
      </c>
      <c r="M5" s="124" t="e" cm="1">
        <f t="array" ref="M5">INDEX(Upload_Team[Tm Net],MATCH('Opp Low Net'!J$1&amp;'Opp Low Net'!J5,Upload_Team[[Date]:[Date]]&amp;Upload_Team[[Team]:[Team]],0))</f>
        <v>#REF!</v>
      </c>
      <c r="N5" s="125"/>
      <c r="O5" s="126"/>
      <c r="P5" s="126"/>
      <c r="Q5" s="125"/>
      <c r="R5" s="123"/>
      <c r="S5" s="123"/>
      <c r="T5" s="123"/>
      <c r="U5" s="123"/>
      <c r="V5" s="125"/>
      <c r="W5" s="126"/>
      <c r="X5" s="126"/>
      <c r="Y5" s="125"/>
      <c r="Z5" s="123"/>
      <c r="AA5" s="124"/>
      <c r="AB5" s="124"/>
      <c r="AC5" s="123"/>
      <c r="AD5" s="228"/>
      <c r="AE5" s="228"/>
      <c r="AF5" s="228"/>
      <c r="AG5" s="228"/>
      <c r="AH5" s="123"/>
      <c r="AI5" s="123"/>
      <c r="AJ5" s="123"/>
      <c r="AK5" s="123"/>
      <c r="AL5" s="125"/>
      <c r="AM5" s="126"/>
      <c r="AN5" s="126"/>
      <c r="AO5" s="125"/>
      <c r="AP5" s="123"/>
      <c r="AQ5" s="124"/>
      <c r="AR5" s="124"/>
      <c r="AS5" s="123"/>
      <c r="AT5" s="125"/>
      <c r="AU5" s="126"/>
      <c r="AV5" s="126"/>
      <c r="AW5" s="125"/>
      <c r="AX5" s="123"/>
      <c r="AY5" s="123"/>
      <c r="AZ5" s="123"/>
      <c r="BA5" s="123"/>
      <c r="BB5" s="125"/>
      <c r="BC5" s="126"/>
      <c r="BD5" s="126"/>
      <c r="BE5" s="125"/>
      <c r="BF5" s="123"/>
      <c r="BG5" s="124"/>
      <c r="BH5" s="124"/>
      <c r="BI5" s="123"/>
      <c r="BJ5" s="125"/>
      <c r="BK5" s="126"/>
      <c r="BL5" s="126"/>
      <c r="BM5" s="125"/>
      <c r="BN5" s="123"/>
      <c r="BO5" s="123"/>
      <c r="BP5" s="123"/>
      <c r="BQ5" s="123"/>
      <c r="BR5" s="125"/>
      <c r="BS5" s="126"/>
      <c r="BT5" s="126"/>
      <c r="BU5" s="125"/>
      <c r="BV5" s="123"/>
      <c r="BW5" s="124"/>
      <c r="BX5" s="124"/>
      <c r="BY5" s="123"/>
      <c r="BZ5" s="125"/>
      <c r="CA5" s="126"/>
      <c r="CB5" s="126"/>
      <c r="CC5" s="125"/>
    </row>
    <row r="6" spans="1:85" x14ac:dyDescent="0.25">
      <c r="A6" s="135">
        <v>4</v>
      </c>
      <c r="B6" s="136" t="e">
        <f>Standings!#REF!</f>
        <v>#REF!</v>
      </c>
      <c r="C6" s="137" t="e">
        <f t="shared" si="0"/>
        <v>#REF!</v>
      </c>
      <c r="D6" s="137" t="e">
        <f t="shared" si="1"/>
        <v>#REF!</v>
      </c>
      <c r="E6" s="137" t="e">
        <f t="shared" si="2"/>
        <v>#REF!</v>
      </c>
      <c r="F6" s="125" t="e" cm="1">
        <f t="array" ref="F6">INDEX(Upload_Team[Opponent],MATCH('Opp Low Net'!F$1&amp;'Opp Low Net'!$B6,Upload_Team[[Date]:[Date]]&amp;Upload_Team[[Team]:[Team]],0))</f>
        <v>#REF!</v>
      </c>
      <c r="G6" s="125" t="e" cm="1">
        <f t="array" ref="G6">INDEX(Upload_Team[Tm Tot Points],MATCH('Opp Low Net'!F$1&amp;'Opp Low Net'!$B6,Upload_Team[[Date]:[Date]]&amp;Upload_Team[[Team]:[Team]],0))</f>
        <v>#REF!</v>
      </c>
      <c r="H6" s="125" t="e" cm="1">
        <f t="array" ref="H6">INDEX(Upload_Team[Tm Net],MATCH('Opp Low Net'!F$1&amp;'Opp Low Net'!$B6,Upload_Team[[Date]:[Date]]&amp;Upload_Team[[Team]:[Team]],0))</f>
        <v>#REF!</v>
      </c>
      <c r="I6" s="125" t="e" cm="1">
        <f t="array" ref="I6">INDEX(Upload_Team[Tm Net],MATCH('Opp Low Net'!F$1&amp;'Opp Low Net'!F6,Upload_Team[[Date]:[Date]]&amp;Upload_Team[[Team]:[Team]],0))</f>
        <v>#REF!</v>
      </c>
      <c r="J6" s="123" t="e" cm="1">
        <f t="array" ref="J6">INDEX(Upload_Team[Opponent],MATCH('Opp Low Net'!J$1&amp;'Opp Low Net'!$B6,Upload_Team[[Date]:[Date]]&amp;Upload_Team[[Team]:[Team]],0))</f>
        <v>#REF!</v>
      </c>
      <c r="K6" s="124" t="e" cm="1">
        <f t="array" ref="K6">INDEX(Upload_Team[Tm Tot Points],MATCH('Opp Low Net'!J$1&amp;'Opp Low Net'!$B6,Upload_Team[[Date]:[Date]]&amp;Upload_Team[[Team]:[Team]],0))</f>
        <v>#REF!</v>
      </c>
      <c r="L6" s="124" t="e" cm="1">
        <f t="array" ref="L6">INDEX(Upload_Team[Tm Net],MATCH('Opp Low Net'!J$1&amp;'Opp Low Net'!$B6,Upload_Team[[Date]:[Date]]&amp;Upload_Team[[Team]:[Team]],0))</f>
        <v>#REF!</v>
      </c>
      <c r="M6" s="124" t="e" cm="1">
        <f t="array" ref="M6">INDEX(Upload_Team[Tm Net],MATCH('Opp Low Net'!J$1&amp;'Opp Low Net'!J6,Upload_Team[[Date]:[Date]]&amp;Upload_Team[[Team]:[Team]],0))</f>
        <v>#REF!</v>
      </c>
      <c r="N6" s="125"/>
      <c r="O6" s="126"/>
      <c r="P6" s="126"/>
      <c r="Q6" s="125"/>
      <c r="R6" s="123"/>
      <c r="S6" s="123"/>
      <c r="T6" s="123"/>
      <c r="U6" s="123"/>
      <c r="V6" s="125"/>
      <c r="W6" s="126"/>
      <c r="X6" s="126"/>
      <c r="Y6" s="125"/>
      <c r="Z6" s="123"/>
      <c r="AA6" s="124"/>
      <c r="AB6" s="124"/>
      <c r="AC6" s="123"/>
      <c r="AD6" s="228"/>
      <c r="AE6" s="228"/>
      <c r="AF6" s="228"/>
      <c r="AG6" s="228"/>
      <c r="AH6" s="123"/>
      <c r="AI6" s="123"/>
      <c r="AJ6" s="123"/>
      <c r="AK6" s="123"/>
      <c r="AL6" s="125"/>
      <c r="AM6" s="126"/>
      <c r="AN6" s="126"/>
      <c r="AO6" s="125"/>
      <c r="AP6" s="123"/>
      <c r="AQ6" s="124"/>
      <c r="AR6" s="124"/>
      <c r="AS6" s="123"/>
      <c r="AT6" s="125"/>
      <c r="AU6" s="126"/>
      <c r="AV6" s="126"/>
      <c r="AW6" s="125"/>
      <c r="AX6" s="123"/>
      <c r="AY6" s="123"/>
      <c r="AZ6" s="123"/>
      <c r="BA6" s="123"/>
      <c r="BB6" s="125"/>
      <c r="BC6" s="126"/>
      <c r="BD6" s="126"/>
      <c r="BE6" s="125"/>
      <c r="BF6" s="123"/>
      <c r="BG6" s="124"/>
      <c r="BH6" s="124"/>
      <c r="BI6" s="123"/>
      <c r="BJ6" s="125"/>
      <c r="BK6" s="126"/>
      <c r="BL6" s="126"/>
      <c r="BM6" s="125"/>
      <c r="BN6" s="123"/>
      <c r="BO6" s="123"/>
      <c r="BP6" s="123"/>
      <c r="BQ6" s="123"/>
      <c r="BR6" s="125"/>
      <c r="BS6" s="126"/>
      <c r="BT6" s="126"/>
      <c r="BU6" s="125"/>
      <c r="BV6" s="123"/>
      <c r="BW6" s="124"/>
      <c r="BX6" s="124"/>
      <c r="BY6" s="123"/>
      <c r="BZ6" s="125"/>
      <c r="CA6" s="126"/>
      <c r="CB6" s="126"/>
      <c r="CC6" s="125"/>
    </row>
    <row r="7" spans="1:85" x14ac:dyDescent="0.25">
      <c r="A7" s="135">
        <v>5</v>
      </c>
      <c r="B7" s="136" t="e">
        <f>Standings!#REF!</f>
        <v>#REF!</v>
      </c>
      <c r="C7" s="137" t="e">
        <f t="shared" si="0"/>
        <v>#REF!</v>
      </c>
      <c r="D7" s="137" t="e">
        <f t="shared" si="1"/>
        <v>#REF!</v>
      </c>
      <c r="E7" s="137" t="e">
        <f t="shared" si="2"/>
        <v>#REF!</v>
      </c>
      <c r="F7" s="219" t="e" cm="1">
        <f t="array" ref="F7">INDEX(Upload_Team[Opponent],MATCH('Opp Low Net'!F$1&amp;'Opp Low Net'!$B7,Upload_Team[[Date]:[Date]]&amp;Upload_Team[[Team]:[Team]],0))</f>
        <v>#REF!</v>
      </c>
      <c r="G7" s="219" t="e" cm="1">
        <f t="array" ref="G7">INDEX(Upload_Team[Tm Tot Points],MATCH('Opp Low Net'!F$1&amp;'Opp Low Net'!$B7,Upload_Team[[Date]:[Date]]&amp;Upload_Team[[Team]:[Team]],0))</f>
        <v>#REF!</v>
      </c>
      <c r="H7" s="219" t="e" cm="1">
        <f t="array" ref="H7">INDEX(Upload_Team[Tm Net],MATCH('Opp Low Net'!F$1&amp;'Opp Low Net'!$B7,Upload_Team[[Date]:[Date]]&amp;Upload_Team[[Team]:[Team]],0))</f>
        <v>#REF!</v>
      </c>
      <c r="I7" s="219" t="e" cm="1">
        <f t="array" ref="I7">INDEX(Upload_Team[Tm Net],MATCH('Opp Low Net'!F$1&amp;'Opp Low Net'!F7,Upload_Team[[Date]:[Date]]&amp;Upload_Team[[Team]:[Team]],0))</f>
        <v>#REF!</v>
      </c>
      <c r="J7" s="123" t="e" cm="1">
        <f t="array" ref="J7">INDEX(Upload_Team[Opponent],MATCH('Opp Low Net'!J$1&amp;'Opp Low Net'!$B7,Upload_Team[[Date]:[Date]]&amp;Upload_Team[[Team]:[Team]],0))</f>
        <v>#REF!</v>
      </c>
      <c r="K7" s="124" t="e" cm="1">
        <f t="array" ref="K7">INDEX(Upload_Team[Tm Tot Points],MATCH('Opp Low Net'!J$1&amp;'Opp Low Net'!$B7,Upload_Team[[Date]:[Date]]&amp;Upload_Team[[Team]:[Team]],0))</f>
        <v>#REF!</v>
      </c>
      <c r="L7" s="124" t="e" cm="1">
        <f t="array" ref="L7">INDEX(Upload_Team[Tm Net],MATCH('Opp Low Net'!J$1&amp;'Opp Low Net'!$B7,Upload_Team[[Date]:[Date]]&amp;Upload_Team[[Team]:[Team]],0))</f>
        <v>#REF!</v>
      </c>
      <c r="M7" s="124" t="e" cm="1">
        <f t="array" ref="M7">INDEX(Upload_Team[Tm Net],MATCH('Opp Low Net'!J$1&amp;'Opp Low Net'!J7,Upload_Team[[Date]:[Date]]&amp;Upload_Team[[Team]:[Team]],0))</f>
        <v>#REF!</v>
      </c>
      <c r="N7" s="125"/>
      <c r="O7" s="126"/>
      <c r="P7" s="126"/>
      <c r="Q7" s="125"/>
      <c r="R7" s="143"/>
      <c r="S7" s="143"/>
      <c r="T7" s="143"/>
      <c r="U7" s="143"/>
      <c r="V7" s="125"/>
      <c r="W7" s="126"/>
      <c r="X7" s="126"/>
      <c r="Y7" s="125"/>
      <c r="Z7" s="123"/>
      <c r="AA7" s="124"/>
      <c r="AB7" s="124"/>
      <c r="AC7" s="123"/>
      <c r="AD7" s="228"/>
      <c r="AE7" s="228"/>
      <c r="AF7" s="228"/>
      <c r="AG7" s="228"/>
      <c r="AH7" s="143"/>
      <c r="AI7" s="143"/>
      <c r="AJ7" s="143"/>
      <c r="AK7" s="143"/>
      <c r="AL7" s="125"/>
      <c r="AM7" s="126"/>
      <c r="AN7" s="126"/>
      <c r="AO7" s="125"/>
      <c r="AP7" s="123"/>
      <c r="AQ7" s="124"/>
      <c r="AR7" s="124"/>
      <c r="AS7" s="123"/>
      <c r="AT7" s="125"/>
      <c r="AU7" s="126"/>
      <c r="AV7" s="126"/>
      <c r="AW7" s="125"/>
      <c r="AX7" s="123"/>
      <c r="AY7" s="123"/>
      <c r="AZ7" s="123"/>
      <c r="BA7" s="123"/>
      <c r="BB7" s="125"/>
      <c r="BC7" s="126"/>
      <c r="BD7" s="126"/>
      <c r="BE7" s="125"/>
      <c r="BF7" s="123"/>
      <c r="BG7" s="124"/>
      <c r="BH7" s="124"/>
      <c r="BI7" s="123"/>
      <c r="BJ7" s="125"/>
      <c r="BK7" s="126"/>
      <c r="BL7" s="126"/>
      <c r="BM7" s="125"/>
      <c r="BN7" s="123"/>
      <c r="BO7" s="123"/>
      <c r="BP7" s="123"/>
      <c r="BQ7" s="123"/>
      <c r="BR7" s="125"/>
      <c r="BS7" s="126"/>
      <c r="BT7" s="126"/>
      <c r="BU7" s="125"/>
      <c r="BV7" s="123"/>
      <c r="BW7" s="124"/>
      <c r="BX7" s="124"/>
      <c r="BY7" s="123"/>
      <c r="BZ7" s="125"/>
      <c r="CA7" s="126"/>
      <c r="CB7" s="126"/>
      <c r="CC7" s="125"/>
    </row>
    <row r="8" spans="1:85" x14ac:dyDescent="0.25">
      <c r="A8" s="135">
        <v>6</v>
      </c>
      <c r="B8" s="136" t="e">
        <f>Standings!#REF!</f>
        <v>#REF!</v>
      </c>
      <c r="C8" s="137" t="e">
        <f t="shared" si="0"/>
        <v>#REF!</v>
      </c>
      <c r="D8" s="137" t="e">
        <f t="shared" si="1"/>
        <v>#REF!</v>
      </c>
      <c r="E8" s="137" t="e">
        <f t="shared" si="2"/>
        <v>#REF!</v>
      </c>
      <c r="F8" s="125" t="e" cm="1">
        <f t="array" ref="F8">INDEX(Upload_Team[Opponent],MATCH('Opp Low Net'!F$1&amp;'Opp Low Net'!$B8,Upload_Team[[Date]:[Date]]&amp;Upload_Team[[Team]:[Team]],0))</f>
        <v>#REF!</v>
      </c>
      <c r="G8" s="125" t="e" cm="1">
        <f t="array" ref="G8">INDEX(Upload_Team[Tm Tot Points],MATCH('Opp Low Net'!F$1&amp;'Opp Low Net'!$B8,Upload_Team[[Date]:[Date]]&amp;Upload_Team[[Team]:[Team]],0))</f>
        <v>#REF!</v>
      </c>
      <c r="H8" s="125" t="e" cm="1">
        <f t="array" ref="H8">INDEX(Upload_Team[Tm Net],MATCH('Opp Low Net'!F$1&amp;'Opp Low Net'!$B8,Upload_Team[[Date]:[Date]]&amp;Upload_Team[[Team]:[Team]],0))</f>
        <v>#REF!</v>
      </c>
      <c r="I8" s="125" t="e" cm="1">
        <f t="array" ref="I8">INDEX(Upload_Team[Tm Net],MATCH('Opp Low Net'!F$1&amp;'Opp Low Net'!F8,Upload_Team[[Date]:[Date]]&amp;Upload_Team[[Team]:[Team]],0))</f>
        <v>#REF!</v>
      </c>
      <c r="J8" s="123" t="e" cm="1">
        <f t="array" ref="J8">INDEX(Upload_Team[Opponent],MATCH('Opp Low Net'!J$1&amp;'Opp Low Net'!$B8,Upload_Team[[Date]:[Date]]&amp;Upload_Team[[Team]:[Team]],0))</f>
        <v>#REF!</v>
      </c>
      <c r="K8" s="124" t="e" cm="1">
        <f t="array" ref="K8">INDEX(Upload_Team[Tm Tot Points],MATCH('Opp Low Net'!J$1&amp;'Opp Low Net'!$B8,Upload_Team[[Date]:[Date]]&amp;Upload_Team[[Team]:[Team]],0))</f>
        <v>#REF!</v>
      </c>
      <c r="L8" s="124" t="e" cm="1">
        <f t="array" ref="L8">INDEX(Upload_Team[Tm Net],MATCH('Opp Low Net'!J$1&amp;'Opp Low Net'!$B8,Upload_Team[[Date]:[Date]]&amp;Upload_Team[[Team]:[Team]],0))</f>
        <v>#REF!</v>
      </c>
      <c r="M8" s="124" t="e" cm="1">
        <f t="array" ref="M8">INDEX(Upload_Team[Tm Net],MATCH('Opp Low Net'!J$1&amp;'Opp Low Net'!J8,Upload_Team[[Date]:[Date]]&amp;Upload_Team[[Team]:[Team]],0))</f>
        <v>#REF!</v>
      </c>
      <c r="N8" s="125"/>
      <c r="O8" s="126"/>
      <c r="P8" s="126"/>
      <c r="Q8" s="125"/>
      <c r="R8" s="123"/>
      <c r="S8" s="123"/>
      <c r="T8" s="123"/>
      <c r="U8" s="123"/>
      <c r="V8" s="125"/>
      <c r="W8" s="126"/>
      <c r="X8" s="126"/>
      <c r="Y8" s="125"/>
      <c r="Z8" s="123"/>
      <c r="AA8" s="124"/>
      <c r="AB8" s="124"/>
      <c r="AC8" s="123"/>
      <c r="AD8" s="227" t="s">
        <v>415</v>
      </c>
      <c r="AE8" s="228"/>
      <c r="AF8" s="228"/>
      <c r="AG8" s="228"/>
      <c r="AH8" s="123"/>
      <c r="AI8" s="123"/>
      <c r="AJ8" s="123"/>
      <c r="AK8" s="123"/>
      <c r="AL8" s="227" t="s">
        <v>416</v>
      </c>
      <c r="AM8" s="231"/>
      <c r="AN8" s="231"/>
      <c r="AO8" s="231"/>
      <c r="AP8" s="123"/>
      <c r="AQ8" s="124"/>
      <c r="AR8" s="124"/>
      <c r="AS8" s="123"/>
      <c r="AT8" s="125"/>
      <c r="AU8" s="126"/>
      <c r="AV8" s="126"/>
      <c r="AW8" s="125"/>
      <c r="AX8" s="229" t="s">
        <v>415</v>
      </c>
      <c r="AY8" s="230"/>
      <c r="AZ8" s="230"/>
      <c r="BA8" s="230"/>
      <c r="BB8" s="125"/>
      <c r="BC8" s="126"/>
      <c r="BD8" s="126"/>
      <c r="BE8" s="125"/>
      <c r="BF8" s="123"/>
      <c r="BG8" s="124"/>
      <c r="BH8" s="124"/>
      <c r="BI8" s="123"/>
      <c r="BJ8" s="125"/>
      <c r="BK8" s="126"/>
      <c r="BL8" s="126"/>
      <c r="BM8" s="125"/>
      <c r="BN8" s="123"/>
      <c r="BO8" s="123"/>
      <c r="BP8" s="123"/>
      <c r="BQ8" s="123"/>
      <c r="BR8" s="125"/>
      <c r="BS8" s="126"/>
      <c r="BT8" s="126"/>
      <c r="BU8" s="125"/>
      <c r="BV8" s="123"/>
      <c r="BW8" s="124"/>
      <c r="BX8" s="124"/>
      <c r="BY8" s="123"/>
      <c r="BZ8" s="227" t="s">
        <v>417</v>
      </c>
      <c r="CA8" s="231"/>
      <c r="CB8" s="231"/>
      <c r="CC8" s="231"/>
    </row>
    <row r="9" spans="1:85" x14ac:dyDescent="0.25">
      <c r="A9" s="135">
        <v>7</v>
      </c>
      <c r="B9" s="136" t="e">
        <f>Standings!#REF!</f>
        <v>#REF!</v>
      </c>
      <c r="C9" s="137" t="e">
        <f t="shared" si="0"/>
        <v>#REF!</v>
      </c>
      <c r="D9" s="137" t="e">
        <f t="shared" si="1"/>
        <v>#REF!</v>
      </c>
      <c r="E9" s="137" t="e">
        <f t="shared" si="2"/>
        <v>#REF!</v>
      </c>
      <c r="F9" s="125" t="e" cm="1">
        <f t="array" ref="F9">INDEX(Upload_Team[Opponent],MATCH('Opp Low Net'!F$1&amp;'Opp Low Net'!$B9,Upload_Team[[Date]:[Date]]&amp;Upload_Team[[Team]:[Team]],0))</f>
        <v>#REF!</v>
      </c>
      <c r="G9" s="125" t="e" cm="1">
        <f t="array" ref="G9">INDEX(Upload_Team[Tm Tot Points],MATCH('Opp Low Net'!F$1&amp;'Opp Low Net'!$B9,Upload_Team[[Date]:[Date]]&amp;Upload_Team[[Team]:[Team]],0))</f>
        <v>#REF!</v>
      </c>
      <c r="H9" s="125" t="e" cm="1">
        <f t="array" ref="H9">INDEX(Upload_Team[Tm Net],MATCH('Opp Low Net'!F$1&amp;'Opp Low Net'!$B9,Upload_Team[[Date]:[Date]]&amp;Upload_Team[[Team]:[Team]],0))</f>
        <v>#REF!</v>
      </c>
      <c r="I9" s="125" t="e" cm="1">
        <f t="array" ref="I9">INDEX(Upload_Team[Tm Net],MATCH('Opp Low Net'!F$1&amp;'Opp Low Net'!F9,Upload_Team[[Date]:[Date]]&amp;Upload_Team[[Team]:[Team]],0))</f>
        <v>#REF!</v>
      </c>
      <c r="J9" s="123" t="e" cm="1">
        <f t="array" ref="J9">INDEX(Upload_Team[Opponent],MATCH('Opp Low Net'!J$1&amp;'Opp Low Net'!$B9,Upload_Team[[Date]:[Date]]&amp;Upload_Team[[Team]:[Team]],0))</f>
        <v>#REF!</v>
      </c>
      <c r="K9" s="124" t="e" cm="1">
        <f t="array" ref="K9">INDEX(Upload_Team[Tm Tot Points],MATCH('Opp Low Net'!J$1&amp;'Opp Low Net'!$B9,Upload_Team[[Date]:[Date]]&amp;Upload_Team[[Team]:[Team]],0))</f>
        <v>#REF!</v>
      </c>
      <c r="L9" s="124" t="e" cm="1">
        <f t="array" ref="L9">INDEX(Upload_Team[Tm Net],MATCH('Opp Low Net'!J$1&amp;'Opp Low Net'!$B9,Upload_Team[[Date]:[Date]]&amp;Upload_Team[[Team]:[Team]],0))</f>
        <v>#REF!</v>
      </c>
      <c r="M9" s="124" t="e" cm="1">
        <f t="array" ref="M9">INDEX(Upload_Team[Tm Net],MATCH('Opp Low Net'!J$1&amp;'Opp Low Net'!J9,Upload_Team[[Date]:[Date]]&amp;Upload_Team[[Team]:[Team]],0))</f>
        <v>#REF!</v>
      </c>
      <c r="N9" s="125"/>
      <c r="O9" s="126"/>
      <c r="P9" s="126"/>
      <c r="Q9" s="125"/>
      <c r="R9" s="123"/>
      <c r="S9" s="123"/>
      <c r="T9" s="123"/>
      <c r="U9" s="123"/>
      <c r="V9" s="125"/>
      <c r="W9" s="126"/>
      <c r="X9" s="126"/>
      <c r="Y9" s="125"/>
      <c r="Z9" s="123"/>
      <c r="AA9" s="124"/>
      <c r="AB9" s="124"/>
      <c r="AC9" s="123"/>
      <c r="AD9" s="228"/>
      <c r="AE9" s="228"/>
      <c r="AF9" s="228"/>
      <c r="AG9" s="228"/>
      <c r="AH9" s="123"/>
      <c r="AI9" s="123"/>
      <c r="AJ9" s="123"/>
      <c r="AK9" s="123"/>
      <c r="AL9" s="125"/>
      <c r="AM9" s="126"/>
      <c r="AN9" s="126"/>
      <c r="AO9" s="125"/>
      <c r="AP9" s="123"/>
      <c r="AQ9" s="124"/>
      <c r="AR9" s="124"/>
      <c r="AS9" s="123"/>
      <c r="AT9" s="125"/>
      <c r="AU9" s="126"/>
      <c r="AV9" s="126"/>
      <c r="AW9" s="125"/>
      <c r="AX9" s="123"/>
      <c r="AY9" s="123"/>
      <c r="AZ9" s="123"/>
      <c r="BA9" s="123"/>
      <c r="BB9" s="125"/>
      <c r="BC9" s="126"/>
      <c r="BD9" s="126"/>
      <c r="BE9" s="125"/>
      <c r="BF9" s="123"/>
      <c r="BG9" s="124"/>
      <c r="BH9" s="124"/>
      <c r="BI9" s="123"/>
      <c r="BJ9" s="125"/>
      <c r="BK9" s="126"/>
      <c r="BL9" s="126"/>
      <c r="BM9" s="125"/>
      <c r="BN9" s="123"/>
      <c r="BO9" s="123"/>
      <c r="BP9" s="123"/>
      <c r="BQ9" s="123"/>
      <c r="BR9" s="125"/>
      <c r="BS9" s="126"/>
      <c r="BT9" s="126"/>
      <c r="BU9" s="125"/>
      <c r="BV9" s="123"/>
      <c r="BW9" s="124"/>
      <c r="BX9" s="124"/>
      <c r="BY9" s="123"/>
      <c r="BZ9" s="125"/>
      <c r="CA9" s="126"/>
      <c r="CB9" s="126"/>
      <c r="CC9" s="125"/>
    </row>
    <row r="10" spans="1:85" x14ac:dyDescent="0.25">
      <c r="A10" s="135">
        <v>8</v>
      </c>
      <c r="B10" s="136" t="e">
        <f>Standings!#REF!</f>
        <v>#REF!</v>
      </c>
      <c r="C10" s="137" t="e">
        <f t="shared" si="0"/>
        <v>#REF!</v>
      </c>
      <c r="D10" s="137" t="e">
        <f t="shared" si="1"/>
        <v>#REF!</v>
      </c>
      <c r="E10" s="137" t="e">
        <f t="shared" si="2"/>
        <v>#REF!</v>
      </c>
      <c r="F10" s="125" t="e" cm="1">
        <f t="array" ref="F10">INDEX(Upload_Team[Opponent],MATCH('Opp Low Net'!F$1&amp;'Opp Low Net'!$B10,Upload_Team[[Date]:[Date]]&amp;Upload_Team[[Team]:[Team]],0))</f>
        <v>#REF!</v>
      </c>
      <c r="G10" s="125" t="e" cm="1">
        <f t="array" ref="G10">INDEX(Upload_Team[Tm Tot Points],MATCH('Opp Low Net'!F$1&amp;'Opp Low Net'!$B10,Upload_Team[[Date]:[Date]]&amp;Upload_Team[[Team]:[Team]],0))</f>
        <v>#REF!</v>
      </c>
      <c r="H10" s="125" t="e" cm="1">
        <f t="array" ref="H10">INDEX(Upload_Team[Tm Net],MATCH('Opp Low Net'!F$1&amp;'Opp Low Net'!$B10,Upload_Team[[Date]:[Date]]&amp;Upload_Team[[Team]:[Team]],0))</f>
        <v>#REF!</v>
      </c>
      <c r="I10" s="125" t="e" cm="1">
        <f t="array" ref="I10">INDEX(Upload_Team[Tm Net],MATCH('Opp Low Net'!F$1&amp;'Opp Low Net'!F10,Upload_Team[[Date]:[Date]]&amp;Upload_Team[[Team]:[Team]],0))</f>
        <v>#REF!</v>
      </c>
      <c r="J10" s="123" t="e" cm="1">
        <f t="array" ref="J10">INDEX(Upload_Team[Opponent],MATCH('Opp Low Net'!J$1&amp;'Opp Low Net'!$B10,Upload_Team[[Date]:[Date]]&amp;Upload_Team[[Team]:[Team]],0))</f>
        <v>#REF!</v>
      </c>
      <c r="K10" s="124" t="e" cm="1">
        <f t="array" ref="K10">INDEX(Upload_Team[Tm Tot Points],MATCH('Opp Low Net'!J$1&amp;'Opp Low Net'!$B10,Upload_Team[[Date]:[Date]]&amp;Upload_Team[[Team]:[Team]],0))</f>
        <v>#REF!</v>
      </c>
      <c r="L10" s="124" t="e" cm="1">
        <f t="array" ref="L10">INDEX(Upload_Team[Tm Net],MATCH('Opp Low Net'!J$1&amp;'Opp Low Net'!$B10,Upload_Team[[Date]:[Date]]&amp;Upload_Team[[Team]:[Team]],0))</f>
        <v>#REF!</v>
      </c>
      <c r="M10" s="124" t="e" cm="1">
        <f t="array" ref="M10">INDEX(Upload_Team[Tm Net],MATCH('Opp Low Net'!J$1&amp;'Opp Low Net'!J10,Upload_Team[[Date]:[Date]]&amp;Upload_Team[[Team]:[Team]],0))</f>
        <v>#REF!</v>
      </c>
      <c r="N10" s="125"/>
      <c r="O10" s="126"/>
      <c r="P10" s="126"/>
      <c r="Q10" s="125"/>
      <c r="R10" s="123"/>
      <c r="S10" s="123"/>
      <c r="T10" s="123"/>
      <c r="U10" s="123"/>
      <c r="V10" s="125"/>
      <c r="W10" s="126"/>
      <c r="X10" s="126"/>
      <c r="Y10" s="125"/>
      <c r="Z10" s="123"/>
      <c r="AA10" s="124"/>
      <c r="AB10" s="124"/>
      <c r="AC10" s="123"/>
      <c r="AD10" s="228"/>
      <c r="AE10" s="228"/>
      <c r="AF10" s="228"/>
      <c r="AG10" s="228"/>
      <c r="AH10" s="123"/>
      <c r="AI10" s="123"/>
      <c r="AJ10" s="123"/>
      <c r="AK10" s="123"/>
      <c r="AL10" s="125"/>
      <c r="AM10" s="126"/>
      <c r="AN10" s="126"/>
      <c r="AO10" s="125"/>
      <c r="AP10" s="123"/>
      <c r="AQ10" s="124"/>
      <c r="AR10" s="124"/>
      <c r="AS10" s="123"/>
      <c r="AT10" s="125"/>
      <c r="AU10" s="126"/>
      <c r="AV10" s="126"/>
      <c r="AW10" s="125"/>
      <c r="AX10" s="123"/>
      <c r="AY10" s="123"/>
      <c r="AZ10" s="123"/>
      <c r="BA10" s="123"/>
      <c r="BB10" s="125"/>
      <c r="BC10" s="126"/>
      <c r="BD10" s="126"/>
      <c r="BE10" s="125"/>
      <c r="BF10" s="123"/>
      <c r="BG10" s="124"/>
      <c r="BH10" s="124"/>
      <c r="BI10" s="123"/>
      <c r="BJ10" s="125"/>
      <c r="BK10" s="126"/>
      <c r="BL10" s="126"/>
      <c r="BM10" s="125"/>
      <c r="BN10" s="123"/>
      <c r="BO10" s="123"/>
      <c r="BP10" s="123"/>
      <c r="BQ10" s="123"/>
      <c r="BR10" s="125"/>
      <c r="BS10" s="126"/>
      <c r="BT10" s="126"/>
      <c r="BU10" s="125"/>
      <c r="BV10" s="123"/>
      <c r="BW10" s="124"/>
      <c r="BX10" s="124"/>
      <c r="BY10" s="123"/>
      <c r="BZ10" s="125"/>
      <c r="CA10" s="126"/>
      <c r="CB10" s="126"/>
      <c r="CC10" s="125"/>
    </row>
    <row r="11" spans="1:85" x14ac:dyDescent="0.25">
      <c r="A11" s="135">
        <v>9</v>
      </c>
      <c r="B11" s="136" t="e">
        <f>Standings!#REF!</f>
        <v>#REF!</v>
      </c>
      <c r="C11" s="137" t="e">
        <f t="shared" si="0"/>
        <v>#REF!</v>
      </c>
      <c r="D11" s="137" t="e">
        <f t="shared" si="1"/>
        <v>#REF!</v>
      </c>
      <c r="E11" s="137" t="e">
        <f t="shared" si="2"/>
        <v>#REF!</v>
      </c>
      <c r="F11" s="125" t="e" cm="1">
        <f t="array" ref="F11">INDEX(Upload_Team[Opponent],MATCH('Opp Low Net'!F$1&amp;'Opp Low Net'!$B11,Upload_Team[[Date]:[Date]]&amp;Upload_Team[[Team]:[Team]],0))</f>
        <v>#REF!</v>
      </c>
      <c r="G11" s="125" t="e" cm="1">
        <f t="array" ref="G11">INDEX(Upload_Team[Tm Tot Points],MATCH('Opp Low Net'!F$1&amp;'Opp Low Net'!$B11,Upload_Team[[Date]:[Date]]&amp;Upload_Team[[Team]:[Team]],0))</f>
        <v>#REF!</v>
      </c>
      <c r="H11" s="125" t="e" cm="1">
        <f t="array" ref="H11">INDEX(Upload_Team[Tm Net],MATCH('Opp Low Net'!F$1&amp;'Opp Low Net'!$B11,Upload_Team[[Date]:[Date]]&amp;Upload_Team[[Team]:[Team]],0))</f>
        <v>#REF!</v>
      </c>
      <c r="I11" s="125" t="e" cm="1">
        <f t="array" ref="I11">INDEX(Upload_Team[Tm Net],MATCH('Opp Low Net'!F$1&amp;'Opp Low Net'!F11,Upload_Team[[Date]:[Date]]&amp;Upload_Team[[Team]:[Team]],0))</f>
        <v>#REF!</v>
      </c>
      <c r="J11" s="123" t="e" cm="1">
        <f t="array" ref="J11">INDEX(Upload_Team[Opponent],MATCH('Opp Low Net'!J$1&amp;'Opp Low Net'!$B11,Upload_Team[[Date]:[Date]]&amp;Upload_Team[[Team]:[Team]],0))</f>
        <v>#REF!</v>
      </c>
      <c r="K11" s="124" t="e" cm="1">
        <f t="array" ref="K11">INDEX(Upload_Team[Tm Tot Points],MATCH('Opp Low Net'!J$1&amp;'Opp Low Net'!$B11,Upload_Team[[Date]:[Date]]&amp;Upload_Team[[Team]:[Team]],0))</f>
        <v>#REF!</v>
      </c>
      <c r="L11" s="124" t="e" cm="1">
        <f t="array" ref="L11">INDEX(Upload_Team[Tm Net],MATCH('Opp Low Net'!J$1&amp;'Opp Low Net'!$B11,Upload_Team[[Date]:[Date]]&amp;Upload_Team[[Team]:[Team]],0))</f>
        <v>#REF!</v>
      </c>
      <c r="M11" s="124" t="e" cm="1">
        <f t="array" ref="M11">INDEX(Upload_Team[Tm Net],MATCH('Opp Low Net'!J$1&amp;'Opp Low Net'!J11,Upload_Team[[Date]:[Date]]&amp;Upload_Team[[Team]:[Team]],0))</f>
        <v>#REF!</v>
      </c>
      <c r="N11" s="125"/>
      <c r="O11" s="126"/>
      <c r="P11" s="126"/>
      <c r="Q11" s="125"/>
      <c r="R11" s="123"/>
      <c r="S11" s="123"/>
      <c r="T11" s="123"/>
      <c r="U11" s="123"/>
      <c r="V11" s="125"/>
      <c r="W11" s="126"/>
      <c r="X11" s="126"/>
      <c r="Y11" s="125"/>
      <c r="Z11" s="123"/>
      <c r="AA11" s="124"/>
      <c r="AB11" s="124"/>
      <c r="AC11" s="123"/>
      <c r="AD11" s="228"/>
      <c r="AE11" s="228"/>
      <c r="AF11" s="228"/>
      <c r="AG11" s="228"/>
      <c r="AH11" s="123"/>
      <c r="AI11" s="123"/>
      <c r="AJ11" s="123"/>
      <c r="AK11" s="123"/>
      <c r="AL11" s="125"/>
      <c r="AM11" s="126"/>
      <c r="AN11" s="126"/>
      <c r="AO11" s="125"/>
      <c r="AP11" s="123"/>
      <c r="AQ11" s="124"/>
      <c r="AR11" s="124"/>
      <c r="AS11" s="123"/>
      <c r="AT11" s="125"/>
      <c r="AU11" s="126"/>
      <c r="AV11" s="126"/>
      <c r="AW11" s="125"/>
      <c r="AX11" s="123"/>
      <c r="AY11" s="123"/>
      <c r="AZ11" s="123"/>
      <c r="BA11" s="123"/>
      <c r="BB11" s="125"/>
      <c r="BC11" s="126"/>
      <c r="BD11" s="126"/>
      <c r="BE11" s="125"/>
      <c r="BF11" s="123"/>
      <c r="BG11" s="124"/>
      <c r="BH11" s="124"/>
      <c r="BI11" s="123"/>
      <c r="BJ11" s="125"/>
      <c r="BK11" s="126"/>
      <c r="BL11" s="126"/>
      <c r="BM11" s="125"/>
      <c r="BN11" s="123"/>
      <c r="BO11" s="123"/>
      <c r="BP11" s="123"/>
      <c r="BQ11" s="123"/>
      <c r="BR11" s="125"/>
      <c r="BS11" s="126"/>
      <c r="BT11" s="126"/>
      <c r="BU11" s="125"/>
      <c r="BV11" s="123"/>
      <c r="BW11" s="124"/>
      <c r="BX11" s="124"/>
      <c r="BY11" s="123"/>
      <c r="BZ11" s="125"/>
      <c r="CA11" s="126"/>
      <c r="CB11" s="126"/>
      <c r="CC11" s="125"/>
    </row>
    <row r="12" spans="1:85" x14ac:dyDescent="0.25">
      <c r="A12" s="135">
        <v>10</v>
      </c>
      <c r="B12" s="136" t="e">
        <f>Standings!#REF!</f>
        <v>#REF!</v>
      </c>
      <c r="C12" s="137" t="e">
        <f t="shared" si="0"/>
        <v>#REF!</v>
      </c>
      <c r="D12" s="137" t="e">
        <f t="shared" si="1"/>
        <v>#REF!</v>
      </c>
      <c r="E12" s="137" t="e">
        <f t="shared" si="2"/>
        <v>#REF!</v>
      </c>
      <c r="F12" s="125" t="e" cm="1">
        <f t="array" ref="F12">INDEX(Upload_Team[Opponent],MATCH('Opp Low Net'!F$1&amp;'Opp Low Net'!$B12,Upload_Team[[Date]:[Date]]&amp;Upload_Team[[Team]:[Team]],0))</f>
        <v>#REF!</v>
      </c>
      <c r="G12" s="125" t="e" cm="1">
        <f t="array" ref="G12">INDEX(Upload_Team[Tm Tot Points],MATCH('Opp Low Net'!F$1&amp;'Opp Low Net'!$B12,Upload_Team[[Date]:[Date]]&amp;Upload_Team[[Team]:[Team]],0))</f>
        <v>#REF!</v>
      </c>
      <c r="H12" s="125" t="e" cm="1">
        <f t="array" ref="H12">INDEX(Upload_Team[Tm Net],MATCH('Opp Low Net'!F$1&amp;'Opp Low Net'!$B12,Upload_Team[[Date]:[Date]]&amp;Upload_Team[[Team]:[Team]],0))</f>
        <v>#REF!</v>
      </c>
      <c r="I12" s="125" t="e" cm="1">
        <f t="array" ref="I12">INDEX(Upload_Team[Tm Net],MATCH('Opp Low Net'!F$1&amp;'Opp Low Net'!F12,Upload_Team[[Date]:[Date]]&amp;Upload_Team[[Team]:[Team]],0))</f>
        <v>#REF!</v>
      </c>
      <c r="J12" s="123" t="e" cm="1">
        <f t="array" ref="J12">INDEX(Upload_Team[Opponent],MATCH('Opp Low Net'!J$1&amp;'Opp Low Net'!$B12,Upload_Team[[Date]:[Date]]&amp;Upload_Team[[Team]:[Team]],0))</f>
        <v>#REF!</v>
      </c>
      <c r="K12" s="124" t="e" cm="1">
        <f t="array" ref="K12">INDEX(Upload_Team[Tm Tot Points],MATCH('Opp Low Net'!J$1&amp;'Opp Low Net'!$B12,Upload_Team[[Date]:[Date]]&amp;Upload_Team[[Team]:[Team]],0))</f>
        <v>#REF!</v>
      </c>
      <c r="L12" s="124" t="e" cm="1">
        <f t="array" ref="L12">INDEX(Upload_Team[Tm Net],MATCH('Opp Low Net'!J$1&amp;'Opp Low Net'!$B12,Upload_Team[[Date]:[Date]]&amp;Upload_Team[[Team]:[Team]],0))</f>
        <v>#REF!</v>
      </c>
      <c r="M12" s="124" t="e" cm="1">
        <f t="array" ref="M12">INDEX(Upload_Team[Tm Net],MATCH('Opp Low Net'!J$1&amp;'Opp Low Net'!J12,Upload_Team[[Date]:[Date]]&amp;Upload_Team[[Team]:[Team]],0))</f>
        <v>#REF!</v>
      </c>
      <c r="N12" s="125"/>
      <c r="O12" s="126"/>
      <c r="P12" s="126"/>
      <c r="Q12" s="125"/>
      <c r="R12" s="123"/>
      <c r="S12" s="123"/>
      <c r="T12" s="123"/>
      <c r="U12" s="123"/>
      <c r="V12" s="125"/>
      <c r="W12" s="126"/>
      <c r="X12" s="126"/>
      <c r="Y12" s="125"/>
      <c r="Z12" s="123"/>
      <c r="AA12" s="124"/>
      <c r="AB12" s="124"/>
      <c r="AC12" s="123"/>
      <c r="AD12" s="228"/>
      <c r="AE12" s="228"/>
      <c r="AF12" s="228"/>
      <c r="AG12" s="228"/>
      <c r="AH12" s="123"/>
      <c r="AI12" s="123"/>
      <c r="AJ12" s="123"/>
      <c r="AK12" s="123"/>
      <c r="AL12" s="125"/>
      <c r="AM12" s="126"/>
      <c r="AN12" s="126"/>
      <c r="AO12" s="125"/>
      <c r="AP12" s="123"/>
      <c r="AQ12" s="124"/>
      <c r="AR12" s="124"/>
      <c r="AS12" s="123"/>
      <c r="AT12" s="125"/>
      <c r="AU12" s="126"/>
      <c r="AV12" s="126"/>
      <c r="AW12" s="125"/>
      <c r="AX12" s="123"/>
      <c r="AY12" s="123"/>
      <c r="AZ12" s="123"/>
      <c r="BA12" s="123"/>
      <c r="BB12" s="125"/>
      <c r="BC12" s="126"/>
      <c r="BD12" s="126"/>
      <c r="BE12" s="125"/>
      <c r="BF12" s="123"/>
      <c r="BG12" s="124"/>
      <c r="BH12" s="124"/>
      <c r="BI12" s="123"/>
      <c r="BJ12" s="125"/>
      <c r="BK12" s="126"/>
      <c r="BL12" s="126"/>
      <c r="BM12" s="125"/>
      <c r="BN12" s="123"/>
      <c r="BO12" s="123"/>
      <c r="BP12" s="123"/>
      <c r="BQ12" s="123"/>
      <c r="BR12" s="125"/>
      <c r="BS12" s="126"/>
      <c r="BT12" s="126"/>
      <c r="BU12" s="125"/>
      <c r="BV12" s="123"/>
      <c r="BW12" s="124"/>
      <c r="BX12" s="124"/>
      <c r="BY12" s="123"/>
      <c r="BZ12" s="125"/>
      <c r="CA12" s="126"/>
      <c r="CB12" s="126"/>
      <c r="CC12" s="125"/>
    </row>
    <row r="13" spans="1:85" x14ac:dyDescent="0.25">
      <c r="A13" s="135">
        <v>11</v>
      </c>
      <c r="B13" s="136" t="str">
        <f ca="1">Standings!D8</f>
        <v>Blind Draw</v>
      </c>
      <c r="C13" s="137" t="e">
        <f t="shared" ca="1" si="0"/>
        <v>#N/A</v>
      </c>
      <c r="D13" s="137" t="e">
        <f t="shared" ca="1" si="1"/>
        <v>#N/A</v>
      </c>
      <c r="E13" s="137" t="e">
        <f t="shared" ca="1" si="2"/>
        <v>#N/A</v>
      </c>
      <c r="F13" s="125" t="e" cm="1">
        <f t="array" aca="1" ref="F13" ca="1">INDEX(Upload_Team[Opponent],MATCH('Opp Low Net'!F$1&amp;'Opp Low Net'!$B13,Upload_Team[[Date]:[Date]]&amp;Upload_Team[[Team]:[Team]],0))</f>
        <v>#N/A</v>
      </c>
      <c r="G13" s="125" t="e" cm="1">
        <f t="array" aca="1" ref="G13" ca="1">INDEX(Upload_Team[Tm Tot Points],MATCH('Opp Low Net'!F$1&amp;'Opp Low Net'!$B13,Upload_Team[[Date]:[Date]]&amp;Upload_Team[[Team]:[Team]],0))</f>
        <v>#N/A</v>
      </c>
      <c r="H13" s="125" t="e" cm="1">
        <f t="array" aca="1" ref="H13" ca="1">INDEX(Upload_Team[Tm Net],MATCH('Opp Low Net'!F$1&amp;'Opp Low Net'!$B13,Upload_Team[[Date]:[Date]]&amp;Upload_Team[[Team]:[Team]],0))</f>
        <v>#N/A</v>
      </c>
      <c r="I13" s="125" t="e" cm="1">
        <f t="array" aca="1" ref="I13" ca="1">INDEX(Upload_Team[Tm Net],MATCH('Opp Low Net'!F$1&amp;'Opp Low Net'!F13,Upload_Team[[Date]:[Date]]&amp;Upload_Team[[Team]:[Team]],0))</f>
        <v>#N/A</v>
      </c>
      <c r="J13" s="123" t="e" cm="1">
        <f t="array" aca="1" ref="J13" ca="1">INDEX(Upload_Team[Opponent],MATCH('Opp Low Net'!J$1&amp;'Opp Low Net'!$B13,Upload_Team[[Date]:[Date]]&amp;Upload_Team[[Team]:[Team]],0))</f>
        <v>#N/A</v>
      </c>
      <c r="K13" s="124" t="e" cm="1">
        <f t="array" aca="1" ref="K13" ca="1">INDEX(Upload_Team[Tm Tot Points],MATCH('Opp Low Net'!J$1&amp;'Opp Low Net'!$B13,Upload_Team[[Date]:[Date]]&amp;Upload_Team[[Team]:[Team]],0))</f>
        <v>#N/A</v>
      </c>
      <c r="L13" s="124" t="e" cm="1">
        <f t="array" aca="1" ref="L13" ca="1">INDEX(Upload_Team[Tm Net],MATCH('Opp Low Net'!J$1&amp;'Opp Low Net'!$B13,Upload_Team[[Date]:[Date]]&amp;Upload_Team[[Team]:[Team]],0))</f>
        <v>#N/A</v>
      </c>
      <c r="M13" s="124" t="e" cm="1">
        <f t="array" aca="1" ref="M13" ca="1">INDEX(Upload_Team[Tm Net],MATCH('Opp Low Net'!J$1&amp;'Opp Low Net'!J13,Upload_Team[[Date]:[Date]]&amp;Upload_Team[[Team]:[Team]],0))</f>
        <v>#N/A</v>
      </c>
      <c r="N13" s="125"/>
      <c r="O13" s="126"/>
      <c r="P13" s="126"/>
      <c r="Q13" s="125"/>
      <c r="R13" s="123"/>
      <c r="S13" s="123"/>
      <c r="T13" s="123"/>
      <c r="U13" s="123"/>
      <c r="V13" s="125"/>
      <c r="W13" s="126"/>
      <c r="X13" s="126"/>
      <c r="Y13" s="125"/>
      <c r="Z13" s="123"/>
      <c r="AA13" s="124"/>
      <c r="AB13" s="124"/>
      <c r="AC13" s="123"/>
      <c r="AD13" s="228"/>
      <c r="AE13" s="228"/>
      <c r="AF13" s="228"/>
      <c r="AG13" s="228"/>
      <c r="AH13" s="123"/>
      <c r="AI13" s="123"/>
      <c r="AJ13" s="123"/>
      <c r="AK13" s="123"/>
      <c r="AL13" s="125"/>
      <c r="AM13" s="126"/>
      <c r="AN13" s="126"/>
      <c r="AO13" s="125"/>
      <c r="AP13" s="123"/>
      <c r="AQ13" s="124"/>
      <c r="AR13" s="124"/>
      <c r="AS13" s="123"/>
      <c r="AT13" s="125"/>
      <c r="AU13" s="126"/>
      <c r="AV13" s="126"/>
      <c r="AW13" s="125"/>
      <c r="AX13" s="123"/>
      <c r="AY13" s="123"/>
      <c r="AZ13" s="123"/>
      <c r="BA13" s="123"/>
      <c r="BB13" s="125"/>
      <c r="BC13" s="126"/>
      <c r="BD13" s="126"/>
      <c r="BE13" s="125"/>
      <c r="BF13" s="123"/>
      <c r="BG13" s="124"/>
      <c r="BH13" s="124"/>
      <c r="BI13" s="123"/>
      <c r="BJ13" s="125"/>
      <c r="BK13" s="126"/>
      <c r="BL13" s="126"/>
      <c r="BM13" s="125"/>
      <c r="BN13" s="123"/>
      <c r="BO13" s="123"/>
      <c r="BP13" s="123"/>
      <c r="BQ13" s="123"/>
      <c r="BR13" s="125"/>
      <c r="BS13" s="126"/>
      <c r="BT13" s="126"/>
      <c r="BU13" s="125"/>
      <c r="BV13" s="123"/>
      <c r="BW13" s="124"/>
      <c r="BX13" s="124"/>
      <c r="BY13" s="123"/>
      <c r="BZ13" s="125"/>
      <c r="CA13" s="126"/>
      <c r="CB13" s="126"/>
      <c r="CC13" s="125"/>
    </row>
    <row r="15" spans="1:85" x14ac:dyDescent="0.25">
      <c r="D15">
        <f>5*4*36</f>
        <v>720</v>
      </c>
    </row>
  </sheetData>
  <sortState xmlns:xlrd2="http://schemas.microsoft.com/office/spreadsheetml/2017/richdata2" ref="A3:E12">
    <sortCondition descending="1" ref="C3:C12"/>
    <sortCondition ref="D3:D12"/>
  </sortState>
  <mergeCells count="2">
    <mergeCell ref="CD1:CE1"/>
    <mergeCell ref="CF1:CG1"/>
  </mergeCell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615C-52B3-4A82-BA11-15D0A5E78578}">
  <sheetPr codeName="Sheet27"/>
  <dimension ref="A1:V66"/>
  <sheetViews>
    <sheetView workbookViewId="0"/>
  </sheetViews>
  <sheetFormatPr defaultRowHeight="13.2" x14ac:dyDescent="0.25"/>
  <cols>
    <col min="1" max="1" width="27.21875" bestFit="1" customWidth="1"/>
    <col min="2" max="2" width="10.77734375" customWidth="1"/>
    <col min="3" max="3" width="6.88671875" bestFit="1" customWidth="1"/>
    <col min="4" max="11" width="4.5546875" customWidth="1"/>
    <col min="12" max="12" width="5.5546875" customWidth="1"/>
    <col min="13" max="21" width="4.5546875" customWidth="1"/>
    <col min="22" max="22" width="5.5546875" customWidth="1"/>
  </cols>
  <sheetData>
    <row r="1" spans="1:22" ht="15" customHeight="1" x14ac:dyDescent="0.25">
      <c r="C1" s="440" t="s">
        <v>408</v>
      </c>
      <c r="D1" s="450"/>
      <c r="E1" s="450"/>
      <c r="F1" s="450"/>
      <c r="G1" s="450"/>
      <c r="H1" s="450"/>
      <c r="I1" s="450"/>
      <c r="J1" s="450"/>
      <c r="K1" s="450"/>
      <c r="L1" s="2"/>
      <c r="M1" s="440" t="s">
        <v>1</v>
      </c>
      <c r="N1" s="450"/>
      <c r="O1" s="450"/>
      <c r="P1" s="450"/>
      <c r="Q1" s="450"/>
      <c r="R1" s="450"/>
      <c r="S1" s="450"/>
      <c r="T1" s="450"/>
      <c r="U1" s="450"/>
      <c r="V1" s="2"/>
    </row>
    <row r="2" spans="1:22" ht="15" customHeight="1" x14ac:dyDescent="0.25">
      <c r="B2" s="6" t="s">
        <v>94</v>
      </c>
      <c r="C2" s="2">
        <v>3</v>
      </c>
      <c r="D2" s="2">
        <v>13</v>
      </c>
      <c r="E2" s="2">
        <v>5</v>
      </c>
      <c r="F2" s="2">
        <v>15</v>
      </c>
      <c r="G2" s="2">
        <v>17</v>
      </c>
      <c r="H2" s="2">
        <v>1</v>
      </c>
      <c r="I2" s="2">
        <v>9</v>
      </c>
      <c r="J2" s="2">
        <v>11</v>
      </c>
      <c r="K2" s="2">
        <v>7</v>
      </c>
      <c r="L2" s="2"/>
      <c r="M2" s="2">
        <v>14</v>
      </c>
      <c r="N2" s="2">
        <v>12</v>
      </c>
      <c r="O2" s="2">
        <v>16</v>
      </c>
      <c r="P2" s="2">
        <v>4</v>
      </c>
      <c r="Q2" s="2">
        <v>6</v>
      </c>
      <c r="R2" s="2">
        <v>10</v>
      </c>
      <c r="S2" s="2">
        <v>18</v>
      </c>
      <c r="T2" s="2">
        <v>2</v>
      </c>
      <c r="U2" s="2">
        <v>8</v>
      </c>
      <c r="V2" s="2"/>
    </row>
    <row r="3" spans="1:22" ht="15" customHeight="1" x14ac:dyDescent="0.25">
      <c r="B3" s="6" t="s">
        <v>95</v>
      </c>
      <c r="C3" s="2">
        <v>4</v>
      </c>
      <c r="D3" s="2">
        <v>5</v>
      </c>
      <c r="E3" s="2">
        <v>4</v>
      </c>
      <c r="F3" s="2">
        <v>3</v>
      </c>
      <c r="G3" s="2">
        <v>4</v>
      </c>
      <c r="H3" s="2">
        <v>4</v>
      </c>
      <c r="I3" s="2">
        <v>5</v>
      </c>
      <c r="J3" s="2">
        <v>3</v>
      </c>
      <c r="K3" s="2">
        <v>4</v>
      </c>
      <c r="L3" s="2">
        <f>SUM(C3:K3)</f>
        <v>36</v>
      </c>
      <c r="M3" s="2">
        <v>4</v>
      </c>
      <c r="N3" s="2">
        <v>3</v>
      </c>
      <c r="O3" s="2">
        <v>4</v>
      </c>
      <c r="P3" s="2">
        <v>4</v>
      </c>
      <c r="Q3" s="2">
        <v>4</v>
      </c>
      <c r="R3" s="2">
        <v>5</v>
      </c>
      <c r="S3" s="2">
        <v>3</v>
      </c>
      <c r="T3" s="2">
        <v>4</v>
      </c>
      <c r="U3" s="2">
        <v>5</v>
      </c>
      <c r="V3" s="2">
        <f>SUM(M3:U3)</f>
        <v>36</v>
      </c>
    </row>
    <row r="4" spans="1:22" ht="15" customHeight="1" x14ac:dyDescent="0.25">
      <c r="B4" s="6" t="s">
        <v>96</v>
      </c>
      <c r="C4" s="449">
        <v>1</v>
      </c>
      <c r="D4" s="449">
        <v>2</v>
      </c>
      <c r="E4" s="449">
        <v>3</v>
      </c>
      <c r="F4" s="449">
        <v>4</v>
      </c>
      <c r="G4" s="449">
        <v>5</v>
      </c>
      <c r="H4" s="449">
        <v>6</v>
      </c>
      <c r="I4" s="449">
        <v>7</v>
      </c>
      <c r="J4" s="449">
        <v>8</v>
      </c>
      <c r="K4" s="449">
        <v>9</v>
      </c>
      <c r="L4" s="449" t="s">
        <v>418</v>
      </c>
      <c r="M4" s="449">
        <v>10</v>
      </c>
      <c r="N4" s="449">
        <v>11</v>
      </c>
      <c r="O4" s="449">
        <v>12</v>
      </c>
      <c r="P4" s="449">
        <v>13</v>
      </c>
      <c r="Q4" s="449">
        <v>14</v>
      </c>
      <c r="R4" s="449">
        <v>15</v>
      </c>
      <c r="S4" s="449">
        <v>16</v>
      </c>
      <c r="T4" s="449">
        <v>17</v>
      </c>
      <c r="U4" s="449">
        <v>18</v>
      </c>
      <c r="V4" s="449" t="s">
        <v>419</v>
      </c>
    </row>
    <row r="5" spans="1:22" ht="15" customHeight="1" x14ac:dyDescent="0.25">
      <c r="B5" t="s">
        <v>420</v>
      </c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49"/>
      <c r="P5" s="449"/>
      <c r="Q5" s="449"/>
      <c r="R5" s="449"/>
      <c r="S5" s="449"/>
      <c r="T5" s="449"/>
      <c r="U5" s="449"/>
      <c r="V5" s="449"/>
    </row>
    <row r="6" spans="1:22" ht="15" customHeight="1" x14ac:dyDescent="0.25">
      <c r="A6" t="s">
        <v>421</v>
      </c>
      <c r="B6" s="138">
        <f>AVERAGE(Upload_Indiv[Hdcp])</f>
        <v>9.5703809523809618</v>
      </c>
      <c r="C6" s="138">
        <f>IFERROR(AVERAGEIFS(Upload_Indiv[Score1],Upload_Indiv[[Side]:[Side]],"Raintree Front")-IF(TRUNC(ROUND($B6,0)/9,0)=2,2+IF((ROUND($B6,0)-18)*2&gt;=C$2,1,0),IF(TRUNC(ROUND($B6,0)/9,0)=1,1+IF((ROUND($B6,0)-9)*2&gt;=C$2,1,0),IF(TRUNC(ROUND($B6,0)/9,0)=0,IF(TRUNC(ROUND($B6,0)/9,0)=0,0+IF((ROUND($B6,0))*2&gt;=C$2,1,0),"Not"))))-C$3,"")</f>
        <v>0.72426470588235325</v>
      </c>
      <c r="D6" s="138">
        <f>IFERROR(AVERAGEIFS(Upload_Indiv[Score2],Upload_Indiv[[Side]:[Side]],"Raintree Front")-IF(TRUNC(ROUND($B6,0)/9,0)=2,2+IF((ROUND($B6,0)-18)*2&gt;=D$2,1,0),IF(TRUNC(ROUND($B6,0)/9,0)=1,1+IF((ROUND($B6,0)-9)*2&gt;=D$2,1,0),IF(TRUNC(ROUND($B6,0)/9,0)=0,IF(TRUNC(ROUND($B6,0)/9,0)=0,0+IF((ROUND($B6,0))*2&gt;=D$2,1,0),"Not"))))-D$3,"")</f>
        <v>8.8235294117646745E-2</v>
      </c>
      <c r="E6" s="138">
        <f>IFERROR(AVERAGEIFS(Upload_Indiv[Score3],Upload_Indiv[[Side]:[Side]],"Raintree Front")-IF(TRUNC(ROUND($B6,0)/9,0)=2,2+IF((ROUND($B6,0)-18)*2&gt;=E$2,1,0),IF(TRUNC(ROUND($B6,0)/9,0)=1,1+IF((ROUND($B6,0)-9)*2&gt;=E$2,1,0),IF(TRUNC(ROUND($B6,0)/9,0)=0,IF(TRUNC(ROUND($B6,0)/9,0)=0,0+IF((ROUND($B6,0))*2&gt;=E$2,1,0),"Not"))))-E$3,"")</f>
        <v>0.48161764705882337</v>
      </c>
      <c r="F6" s="138">
        <f>IFERROR(AVERAGEIFS(Upload_Indiv[Score4],Upload_Indiv[[Side]:[Side]],"Raintree Front")-IF(TRUNC(ROUND($B6,0)/9,0)=2,2+IF((ROUND($B6,0)-18)*2&gt;=F$2,1,0),IF(TRUNC(ROUND($B6,0)/9,0)=1,1+IF((ROUND($B6,0)-9)*2&gt;=F$2,1,0),IF(TRUNC(ROUND($B6,0)/9,0)=0,IF(TRUNC(ROUND($B6,0)/9,0)=0,0+IF((ROUND($B6,0))*2&gt;=F$2,1,0),"Not"))))-F$3,"")</f>
        <v>6.9852941176471006E-2</v>
      </c>
      <c r="G6" s="138">
        <f>IFERROR(AVERAGEIFS(Upload_Indiv[Score5],Upload_Indiv[[Side]:[Side]],"Raintree Front")-IF(TRUNC(ROUND($B6,0)/9,0)=2,2+IF((ROUND($B6,0)-18)*2&gt;=G$2,1,0),IF(TRUNC(ROUND($B6,0)/9,0)=1,1+IF((ROUND($B6,0)-9)*2&gt;=G$2,1,0),IF(TRUNC(ROUND($B6,0)/9,0)=0,IF(TRUNC(ROUND($B6,0)/9,0)=0,0+IF((ROUND($B6,0))*2&gt;=G$2,1,0),"Not"))))-G$3,"")</f>
        <v>0.38235294117647101</v>
      </c>
      <c r="H6" s="138">
        <f>IFERROR(AVERAGEIFS(Upload_Indiv[Score6],Upload_Indiv[[Side]:[Side]],"Raintree Front")-IF(TRUNC(ROUND($B6,0)/9,0)=2,2+IF((ROUND($B6,0)-18)*2&gt;=H$2,1,0),IF(TRUNC(ROUND($B6,0)/9,0)=1,1+IF((ROUND($B6,0)-9)*2&gt;=H$2,1,0),IF(TRUNC(ROUND($B6,0)/9,0)=0,IF(TRUNC(ROUND($B6,0)/9,0)=0,0+IF((ROUND($B6,0))*2&gt;=H$2,1,0),"Not"))))-H$3,"")</f>
        <v>-0.43014705882352899</v>
      </c>
      <c r="I6" s="138">
        <f>IFERROR(AVERAGEIFS(Upload_Indiv[Score7],Upload_Indiv[[Side]:[Side]],"Raintree Front")-IF(TRUNC(ROUND($B6,0)/9,0)=2,2+IF((ROUND($B6,0)-18)*2&gt;=I$2,1,0),IF(TRUNC(ROUND($B6,0)/9,0)=1,1+IF((ROUND($B6,0)-9)*2&gt;=I$2,1,0),IF(TRUNC(ROUND($B6,0)/9,0)=0,IF(TRUNC(ROUND($B6,0)/9,0)=0,0+IF((ROUND($B6,0))*2&gt;=I$2,1,0),"Not"))))-I$3,"")</f>
        <v>0.47794117647058787</v>
      </c>
      <c r="J6" s="138">
        <f>IFERROR(AVERAGEIFS(Upload_Indiv[Score8],Upload_Indiv[[Side]:[Side]],"Raintree Front")-IF(TRUNC(ROUND($B6,0)/9,0)=2,2+IF((ROUND($B6,0)-18)*2&gt;=J$2,1,0),IF(TRUNC(ROUND($B6,0)/9,0)=1,1+IF((ROUND($B6,0)-9)*2&gt;=J$2,1,0),IF(TRUNC(ROUND($B6,0)/9,0)=0,IF(TRUNC(ROUND($B6,0)/9,0)=0,0+IF((ROUND($B6,0))*2&gt;=J$2,1,0),"Not"))))-J$3,"")</f>
        <v>9.5588235294117752E-2</v>
      </c>
      <c r="K6" s="138">
        <f>IFERROR(AVERAGEIFS(Upload_Indiv[Score9],Upload_Indiv[[Side]:[Side]],"Raintree Front")-IF(TRUNC(ROUND($B6,0)/9,0)=2,2+IF((ROUND($B6,0)-18)*2&gt;=K$2,1,0),IF(TRUNC(ROUND($B6,0)/9,0)=1,1+IF((ROUND($B6,0)-9)*2&gt;=K$2,1,0),IF(TRUNC(ROUND($B6,0)/9,0)=0,IF(TRUNC(ROUND($B6,0)/9,0)=0,0+IF((ROUND($B6,0))*2&gt;=K$2,1,0),"Not"))))-K$3,"")</f>
        <v>0.16176470588235325</v>
      </c>
      <c r="L6" s="138">
        <f>SUM(C6:K6)</f>
        <v>2.0514705882352953</v>
      </c>
      <c r="M6" s="138">
        <f>IFERROR(AVERAGEIFS(Upload_Indiv[Score1],Upload_Indiv[[Side]:[Side]],"Raintree Back")-IF(TRUNC(ROUND($B6,0)/9,0)=2,2+IF((ROUND($B6,0)-18)*2&gt;=M$2,1,0),IF(TRUNC(ROUND($B6,0)/9,0)=1,1+IF((ROUND($B6,0)-9)*2&gt;=M$2,1,0),IF(TRUNC(ROUND($B6,0)/9,0)=0,IF(TRUNC(ROUND($B6,0)/9,0)=0,0+IF((ROUND($B6,0))*2&gt;=M$2,1,0),"Not"))))-M$3,"")</f>
        <v>1.171875E-2</v>
      </c>
      <c r="N6" s="138">
        <f>IFERROR(AVERAGEIFS(Upload_Indiv[Score2],Upload_Indiv[[Side]:[Side]],"Raintree Back")-IF(TRUNC(ROUND($B6,0)/9,0)=2,2+IF((ROUND($B6,0)-18)*2&gt;=N$2,1,0),IF(TRUNC(ROUND($B6,0)/9,0)=1,1+IF((ROUND($B6,0)-9)*2&gt;=N$2,1,0),IF(TRUNC(ROUND($B6,0)/9,0)=0,IF(TRUNC(ROUND($B6,0)/9,0)=0,0+IF((ROUND($B6,0))*2&gt;=N$2,1,0),"Not"))))-N$3,"")</f>
        <v>0.1796875</v>
      </c>
      <c r="O6" s="138">
        <f>IFERROR(AVERAGEIFS(Upload_Indiv[Score3],Upload_Indiv[[Side]:[Side]],"Raintree Back")-IF(TRUNC(ROUND($B6,0)/9,0)=2,2+IF((ROUND($B6,0)-18)*2&gt;=O$2,1,0),IF(TRUNC(ROUND($B6,0)/9,0)=1,1+IF((ROUND($B6,0)-9)*2&gt;=O$2,1,0),IF(TRUNC(ROUND($B6,0)/9,0)=0,IF(TRUNC(ROUND($B6,0)/9,0)=0,0+IF((ROUND($B6,0))*2&gt;=O$2,1,0),"Not"))))-O$3,"")</f>
        <v>0.25390625</v>
      </c>
      <c r="P6" s="138">
        <f>IFERROR(AVERAGEIFS(Upload_Indiv[Score4],Upload_Indiv[[Side]:[Side]],"Raintree Back")-IF(TRUNC(ROUND($B6,0)/9,0)=2,2+IF((ROUND($B6,0)-18)*2&gt;=P$2,1,0),IF(TRUNC(ROUND($B6,0)/9,0)=1,1+IF((ROUND($B6,0)-9)*2&gt;=P$2,1,0),IF(TRUNC(ROUND($B6,0)/9,0)=0,IF(TRUNC(ROUND($B6,0)/9,0)=0,0+IF((ROUND($B6,0))*2&gt;=P$2,1,0),"Not"))))-P$3,"")</f>
        <v>0.69921875</v>
      </c>
      <c r="Q6" s="138">
        <f>IFERROR(AVERAGEIFS(Upload_Indiv[Score5],Upload_Indiv[[Side]:[Side]],"Raintree Back")-IF(TRUNC(ROUND($B6,0)/9,0)=2,2+IF((ROUND($B6,0)-18)*2&gt;=Q$2,1,0),IF(TRUNC(ROUND($B6,0)/9,0)=1,1+IF((ROUND($B6,0)-9)*2&gt;=Q$2,1,0),IF(TRUNC(ROUND($B6,0)/9,0)=0,IF(TRUNC(ROUND($B6,0)/9,0)=0,0+IF((ROUND($B6,0))*2&gt;=Q$2,1,0),"Not"))))-Q$3,"")</f>
        <v>0.32421875</v>
      </c>
      <c r="R6" s="138">
        <f>IFERROR(AVERAGEIFS(Upload_Indiv[Score6],Upload_Indiv[[Side]:[Side]],"Raintree Back")-IF(TRUNC(ROUND($B6,0)/9,0)=2,2+IF((ROUND($B6,0)-18)*2&gt;=R$2,1,0),IF(TRUNC(ROUND($B6,0)/9,0)=1,1+IF((ROUND($B6,0)-9)*2&gt;=R$2,1,0),IF(TRUNC(ROUND($B6,0)/9,0)=0,IF(TRUNC(ROUND($B6,0)/9,0)=0,0+IF((ROUND($B6,0))*2&gt;=R$2,1,0),"Not"))))-R$3,"")</f>
        <v>0.1484375</v>
      </c>
      <c r="S6" s="138">
        <f>IFERROR(AVERAGEIFS(Upload_Indiv[Score7],Upload_Indiv[[Side]:[Side]],"Raintree Back")-IF(TRUNC(ROUND($B6,0)/9,0)=2,2+IF((ROUND($B6,0)-18)*2&gt;=S$2,1,0),IF(TRUNC(ROUND($B6,0)/9,0)=1,1+IF((ROUND($B6,0)-9)*2&gt;=S$2,1,0),IF(TRUNC(ROUND($B6,0)/9,0)=0,IF(TRUNC(ROUND($B6,0)/9,0)=0,0+IF((ROUND($B6,0))*2&gt;=S$2,1,0),"Not"))))-S$3,"")</f>
        <v>-0.13671875</v>
      </c>
      <c r="T6" s="138">
        <f>IFERROR(AVERAGEIFS(Upload_Indiv[Score8],Upload_Indiv[[Side]:[Side]],"Raintree Back")-IF(TRUNC(ROUND($B6,0)/9,0)=2,2+IF((ROUND($B6,0)-18)*2&gt;=T$2,1,0),IF(TRUNC(ROUND($B6,0)/9,0)=1,1+IF((ROUND($B6,0)-9)*2&gt;=T$2,1,0),IF(TRUNC(ROUND($B6,0)/9,0)=0,IF(TRUNC(ROUND($B6,0)/9,0)=0,0+IF((ROUND($B6,0))*2&gt;=T$2,1,0),"Not"))))-T$3,"")</f>
        <v>-0.4921875</v>
      </c>
      <c r="U6" s="138">
        <f>IFERROR(AVERAGEIFS(Upload_Indiv[Score9],Upload_Indiv[[Side]:[Side]],"Raintree Back")-IF(TRUNC(ROUND($B6,0)/9,0)=2,2+IF((ROUND($B6,0)-18)*2&gt;=U$2,1,0),IF(TRUNC(ROUND($B6,0)/9,0)=1,1+IF((ROUND($B6,0)-9)*2&gt;=U$2,1,0),IF(TRUNC(ROUND($B6,0)/9,0)=0,IF(TRUNC(ROUND($B6,0)/9,0)=0,0+IF((ROUND($B6,0))*2&gt;=U$2,1,0),"Not"))))-U$3,"")</f>
        <v>0.3125</v>
      </c>
      <c r="V6" s="138">
        <f>SUM(M6:U6)</f>
        <v>1.30078125</v>
      </c>
    </row>
    <row r="7" spans="1:22" ht="15" customHeight="1" x14ac:dyDescent="0.25">
      <c r="A7" s="120" t="s">
        <v>97</v>
      </c>
      <c r="B7" s="2"/>
    </row>
    <row r="8" spans="1:22" ht="15" customHeight="1" x14ac:dyDescent="0.25">
      <c r="A8" s="4" t="s">
        <v>163</v>
      </c>
      <c r="B8" s="138">
        <f>IFERROR(AVERAGEIFS(Upload_Indiv[Hdcp],Upload_Indiv[[Player]:[Player]],$A8),"")</f>
        <v>8.6821428571428587</v>
      </c>
      <c r="C8" s="138">
        <f>IFERROR(AVERAGEIFS(Upload_Indiv[Score1],Upload_Indiv[[Player]:[Player]],$A8,Upload_Indiv[[Side]:[Side]],"Raintree Front")-IF(TRUNC(ROUND($B8,0)/9,0)=2,2+IF((ROUND($B8,0)-18)*2&gt;=C$2,1,0),IF(TRUNC(ROUND($B8,0)/9,0)=1,1+IF((ROUND($B8,0)-9)*2&gt;=C$2,1,0),IF(TRUNC(ROUND($B8,0)/9,0)=0,IF(TRUNC(ROUND($B8,0)/9,0)=0,0+IF((ROUND($B8,0))*2&gt;=C$2,1,0),"Not"))))-C$3,"")</f>
        <v>-0.375</v>
      </c>
      <c r="D8" s="138">
        <f>IFERROR(AVERAGEIFS(Upload_Indiv[Score2],Upload_Indiv[[Player]:[Player]],$A8,Upload_Indiv[[Side]:[Side]],"Raintree Front")-IF(TRUNC(ROUND($B8,0)/9,0)=2,2+IF((ROUND($B8,0)-18)*2&gt;=D$2,1,0),IF(TRUNC(ROUND($B8,0)/9,0)=1,1+IF((ROUND($B8,0)-9)*2&gt;=D$2,1,0),IF(TRUNC(ROUND($B8,0)/9,0)=0,IF(TRUNC(ROUND($B8,0)/9,0)=0,0+IF((ROUND($B8,0))*2&gt;=D$2,1,0),"Not"))))-D$3,"")</f>
        <v>-0.875</v>
      </c>
      <c r="E8" s="138">
        <f>IFERROR(AVERAGEIFS(Upload_Indiv[Score3],Upload_Indiv[[Player]:[Player]],$A8,Upload_Indiv[[Side]:[Side]],"Raintree Front")-IF(TRUNC(ROUND($B8,0)/9,0)=2,2+IF((ROUND($B8,0)-18)*2&gt;=E$2,1,0),IF(TRUNC(ROUND($B8,0)/9,0)=1,1+IF((ROUND($B8,0)-9)*2&gt;=E$2,1,0),IF(TRUNC(ROUND($B8,0)/9,0)=0,IF(TRUNC(ROUND($B8,0)/9,0)=0,0+IF((ROUND($B8,0))*2&gt;=E$2,1,0),"Not"))))-E$3,"")</f>
        <v>0</v>
      </c>
      <c r="F8" s="138">
        <f>IFERROR(AVERAGEIFS(Upload_Indiv[Score4],Upload_Indiv[[Player]:[Player]],$A8,Upload_Indiv[[Side]:[Side]],"Raintree Front")-IF(TRUNC(ROUND($B8,0)/9,0)=2,2+IF((ROUND($B8,0)-18)*2&gt;=F$2,1,0),IF(TRUNC(ROUND($B8,0)/9,0)=1,1+IF((ROUND($B8,0)-9)*2&gt;=F$2,1,0),IF(TRUNC(ROUND($B8,0)/9,0)=0,IF(TRUNC(ROUND($B8,0)/9,0)=0,0+IF((ROUND($B8,0))*2&gt;=F$2,1,0),"Not"))))-F$3,"")</f>
        <v>-0.625</v>
      </c>
      <c r="G8" s="138">
        <f>IFERROR(AVERAGEIFS(Upload_Indiv[Score5],Upload_Indiv[[Player]:[Player]],$A8,Upload_Indiv[[Side]:[Side]],"Raintree Front")-IF(TRUNC(ROUND($B8,0)/9,0)=2,2+IF((ROUND($B8,0)-18)*2&gt;=G$2,1,0),IF(TRUNC(ROUND($B8,0)/9,0)=1,1+IF((ROUND($B8,0)-9)*2&gt;=G$2,1,0),IF(TRUNC(ROUND($B8,0)/9,0)=0,IF(TRUNC(ROUND($B8,0)/9,0)=0,0+IF((ROUND($B8,0))*2&gt;=G$2,1,0),"Not"))))-G$3,"")</f>
        <v>-0.875</v>
      </c>
      <c r="H8" s="138">
        <f>IFERROR(AVERAGEIFS(Upload_Indiv[Score6],Upload_Indiv[[Player]:[Player]],$A8,Upload_Indiv[[Side]:[Side]],"Raintree Front")-IF(TRUNC(ROUND($B8,0)/9,0)=2,2+IF((ROUND($B8,0)-18)*2&gt;=H$2,1,0),IF(TRUNC(ROUND($B8,0)/9,0)=1,1+IF((ROUND($B8,0)-9)*2&gt;=H$2,1,0),IF(TRUNC(ROUND($B8,0)/9,0)=0,IF(TRUNC(ROUND($B8,0)/9,0)=0,0+IF((ROUND($B8,0))*2&gt;=H$2,1,0),"Not"))))-H$3,"")</f>
        <v>-0.25</v>
      </c>
      <c r="I8" s="138">
        <f>IFERROR(AVERAGEIFS(Upload_Indiv[Score7],Upload_Indiv[[Player]:[Player]],$A8,Upload_Indiv[[Side]:[Side]],"Raintree Front")-IF(TRUNC(ROUND($B8,0)/9,0)=2,2+IF((ROUND($B8,0)-18)*2&gt;=I$2,1,0),IF(TRUNC(ROUND($B8,0)/9,0)=1,1+IF((ROUND($B8,0)-9)*2&gt;=I$2,1,0),IF(TRUNC(ROUND($B8,0)/9,0)=0,IF(TRUNC(ROUND($B8,0)/9,0)=0,0+IF((ROUND($B8,0))*2&gt;=I$2,1,0),"Not"))))-I$3,"")</f>
        <v>-1.625</v>
      </c>
      <c r="J8" s="138">
        <f>IFERROR(AVERAGEIFS(Upload_Indiv[Score8],Upload_Indiv[[Player]:[Player]],$A8,Upload_Indiv[[Side]:[Side]],"Raintree Front")-IF(TRUNC(ROUND($B8,0)/9,0)=2,2+IF((ROUND($B8,0)-18)*2&gt;=J$2,1,0),IF(TRUNC(ROUND($B8,0)/9,0)=1,1+IF((ROUND($B8,0)-9)*2&gt;=J$2,1,0),IF(TRUNC(ROUND($B8,0)/9,0)=0,IF(TRUNC(ROUND($B8,0)/9,0)=0,0+IF((ROUND($B8,0))*2&gt;=J$2,1,0),"Not"))))-J$3,"")</f>
        <v>-0.875</v>
      </c>
      <c r="K8" s="138">
        <f>IFERROR(AVERAGEIFS(Upload_Indiv[Score9],Upload_Indiv[[Player]:[Player]],$A8,Upload_Indiv[[Side]:[Side]],"Raintree Front")-IF(TRUNC(ROUND($B8,0)/9,0)=2,2+IF((ROUND($B8,0)-18)*2&gt;=K$2,1,0),IF(TRUNC(ROUND($B8,0)/9,0)=1,1+IF((ROUND($B8,0)-9)*2&gt;=K$2,1,0),IF(TRUNC(ROUND($B8,0)/9,0)=0,IF(TRUNC(ROUND($B8,0)/9,0)=0,0+IF((ROUND($B8,0))*2&gt;=K$2,1,0),"Not"))))-K$3,"")</f>
        <v>-1.125</v>
      </c>
      <c r="L8" s="138">
        <f>SUM(C8:K8)</f>
        <v>-6.625</v>
      </c>
      <c r="M8" s="138">
        <f>IFERROR(AVERAGEIFS(Upload_Indiv[Score1],Upload_Indiv[[Player]:[Player]],$A8,Upload_Indiv[[Side]:[Side]],"Raintree Back")-IF(TRUNC(ROUND($B8,0)/9,0)=2,2+IF((ROUND($B8,0)-18)*2&gt;=M$2,1,0),IF(TRUNC(ROUND($B8,0)/9,0)=1,1+IF((ROUND($B8,0)-9)*2&gt;=M$2,1,0),IF(TRUNC(ROUND($B8,0)/9,0)=0,IF(TRUNC(ROUND($B8,0)/9,0)=0,0+IF((ROUND($B8,0))*2&gt;=M$2,1,0),"Not"))))-M$3,"")</f>
        <v>-0.5</v>
      </c>
      <c r="N8" s="138">
        <f>IFERROR(AVERAGEIFS(Upload_Indiv[Score2],Upload_Indiv[[Player]:[Player]],$A8,Upload_Indiv[[Side]:[Side]],"Raintree Back")-IF(TRUNC(ROUND($B8,0)/9,0)=2,2+IF((ROUND($B8,0)-18)*2&gt;=N$2,1,0),IF(TRUNC(ROUND($B8,0)/9,0)=1,1+IF((ROUND($B8,0)-9)*2&gt;=N$2,1,0),IF(TRUNC(ROUND($B8,0)/9,0)=0,IF(TRUNC(ROUND($B8,0)/9,0)=0,0+IF((ROUND($B8,0))*2&gt;=N$2,1,0),"Not"))))-N$3,"")</f>
        <v>-0.16666666666666652</v>
      </c>
      <c r="O8" s="138">
        <f>IFERROR(AVERAGEIFS(Upload_Indiv[Score3],Upload_Indiv[[Player]:[Player]],$A8,Upload_Indiv[[Side]:[Side]],"Raintree Back")-IF(TRUNC(ROUND($B8,0)/9,0)=2,2+IF((ROUND($B8,0)-18)*2&gt;=O$2,1,0),IF(TRUNC(ROUND($B8,0)/9,0)=1,1+IF((ROUND($B8,0)-9)*2&gt;=O$2,1,0),IF(TRUNC(ROUND($B8,0)/9,0)=0,IF(TRUNC(ROUND($B8,0)/9,0)=0,0+IF((ROUND($B8,0))*2&gt;=O$2,1,0),"Not"))))-O$3,"")</f>
        <v>0.16666666666666696</v>
      </c>
      <c r="P8" s="138">
        <f>IFERROR(AVERAGEIFS(Upload_Indiv[Score4],Upload_Indiv[[Player]:[Player]],$A8,Upload_Indiv[[Side]:[Side]],"Raintree Back")-IF(TRUNC(ROUND($B8,0)/9,0)=2,2+IF((ROUND($B8,0)-18)*2&gt;=P$2,1,0),IF(TRUNC(ROUND($B8,0)/9,0)=1,1+IF((ROUND($B8,0)-9)*2&gt;=P$2,1,0),IF(TRUNC(ROUND($B8,0)/9,0)=0,IF(TRUNC(ROUND($B8,0)/9,0)=0,0+IF((ROUND($B8,0))*2&gt;=P$2,1,0),"Not"))))-P$3,"")</f>
        <v>0</v>
      </c>
      <c r="Q8" s="138">
        <f>IFERROR(AVERAGEIFS(Upload_Indiv[Score5],Upload_Indiv[[Player]:[Player]],$A8,Upload_Indiv[[Side]:[Side]],"Raintree Back")-IF(TRUNC(ROUND($B8,0)/9,0)=2,2+IF((ROUND($B8,0)-18)*2&gt;=Q$2,1,0),IF(TRUNC(ROUND($B8,0)/9,0)=1,1+IF((ROUND($B8,0)-9)*2&gt;=Q$2,1,0),IF(TRUNC(ROUND($B8,0)/9,0)=0,IF(TRUNC(ROUND($B8,0)/9,0)=0,0+IF((ROUND($B8,0))*2&gt;=Q$2,1,0),"Not"))))-Q$3,"")</f>
        <v>0.66666666666666696</v>
      </c>
      <c r="R8" s="138">
        <f>IFERROR(AVERAGEIFS(Upload_Indiv[Score6],Upload_Indiv[[Player]:[Player]],$A8,Upload_Indiv[[Side]:[Side]],"Raintree Back")-IF(TRUNC(ROUND($B8,0)/9,0)=2,2+IF((ROUND($B8,0)-18)*2&gt;=R$2,1,0),IF(TRUNC(ROUND($B8,0)/9,0)=1,1+IF((ROUND($B8,0)-9)*2&gt;=R$2,1,0),IF(TRUNC(ROUND($B8,0)/9,0)=0,IF(TRUNC(ROUND($B8,0)/9,0)=0,0+IF((ROUND($B8,0))*2&gt;=R$2,1,0),"Not"))))-R$3,"")</f>
        <v>-0.33333333333333304</v>
      </c>
      <c r="S8" s="138">
        <f>IFERROR(AVERAGEIFS(Upload_Indiv[Score7],Upload_Indiv[[Player]:[Player]],$A8,Upload_Indiv[[Side]:[Side]],"Raintree Back")-IF(TRUNC(ROUND($B8,0)/9,0)=2,2+IF((ROUND($B8,0)-18)*2&gt;=S$2,1,0),IF(TRUNC(ROUND($B8,0)/9,0)=1,1+IF((ROUND($B8,0)-9)*2&gt;=S$2,1,0),IF(TRUNC(ROUND($B8,0)/9,0)=0,IF(TRUNC(ROUND($B8,0)/9,0)=0,0+IF((ROUND($B8,0))*2&gt;=S$2,1,0),"Not"))))-S$3,"")</f>
        <v>0</v>
      </c>
      <c r="T8" s="138">
        <f>IFERROR(AVERAGEIFS(Upload_Indiv[Score8],Upload_Indiv[[Player]:[Player]],$A8,Upload_Indiv[[Side]:[Side]],"Raintree Back")-IF(TRUNC(ROUND($B8,0)/9,0)=2,2+IF((ROUND($B8,0)-18)*2&gt;=T$2,1,0),IF(TRUNC(ROUND($B8,0)/9,0)=1,1+IF((ROUND($B8,0)-9)*2&gt;=T$2,1,0),IF(TRUNC(ROUND($B8,0)/9,0)=0,IF(TRUNC(ROUND($B8,0)/9,0)=0,0+IF((ROUND($B8,0))*2&gt;=T$2,1,0),"Not"))))-T$3,"")</f>
        <v>-0.16666666666666696</v>
      </c>
      <c r="U8" s="138">
        <f>IFERROR(AVERAGEIFS(Upload_Indiv[Score9],Upload_Indiv[[Player]:[Player]],$A8,Upload_Indiv[[Side]:[Side]],"Raintree Back")-IF(TRUNC(ROUND($B8,0)/9,0)=2,2+IF((ROUND($B8,0)-18)*2&gt;=U$2,1,0),IF(TRUNC(ROUND($B8,0)/9,0)=1,1+IF((ROUND($B8,0)-9)*2&gt;=U$2,1,0),IF(TRUNC(ROUND($B8,0)/9,0)=0,IF(TRUNC(ROUND($B8,0)/9,0)=0,0+IF((ROUND($B8,0))*2&gt;=U$2,1,0),"Not"))))-U$3,"")</f>
        <v>1</v>
      </c>
      <c r="V8" s="138">
        <f>SUM(M8:U8)</f>
        <v>0.66666666666666741</v>
      </c>
    </row>
    <row r="9" spans="1:22" ht="15" customHeight="1" x14ac:dyDescent="0.25">
      <c r="A9" s="4" t="s">
        <v>153</v>
      </c>
      <c r="B9" s="138">
        <f>IFERROR(AVERAGEIFS(Upload_Indiv[Hdcp],Upload_Indiv[[Player]:[Player]],$A9),"")</f>
        <v>6.5146666666666677</v>
      </c>
      <c r="C9" s="138">
        <f>IFERROR(AVERAGEIFS(Upload_Indiv[Score1],Upload_Indiv[[Player]:[Player]],$A9,Upload_Indiv[[Side]:[Side]],"Raintree Front")-IF(TRUNC(ROUND($B9,0)/9,0)=2,2+IF((ROUND($B9,0)-18)*2&gt;=C$2,1,0),IF(TRUNC(ROUND($B9,0)/9,0)=1,1+IF((ROUND($B9,0)-9)*2&gt;=C$2,1,0),IF(TRUNC(ROUND($B9,0)/9,0)=0,IF(TRUNC(ROUND($B9,0)/9,0)=0,0+IF((ROUND($B9,0))*2&gt;=C$2,1,0),"Not"))))-C$3,"")</f>
        <v>-0.57142857142857117</v>
      </c>
      <c r="D9" s="138">
        <f>IFERROR(AVERAGEIFS(Upload_Indiv[Score2],Upload_Indiv[[Player]:[Player]],$A9,Upload_Indiv[[Side]:[Side]],"Raintree Front")-IF(TRUNC(ROUND($B9,0)/9,0)=2,2+IF((ROUND($B9,0)-18)*2&gt;=D$2,1,0),IF(TRUNC(ROUND($B9,0)/9,0)=1,1+IF((ROUND($B9,0)-9)*2&gt;=D$2,1,0),IF(TRUNC(ROUND($B9,0)/9,0)=0,IF(TRUNC(ROUND($B9,0)/9,0)=0,0+IF((ROUND($B9,0))*2&gt;=D$2,1,0),"Not"))))-D$3,"")</f>
        <v>-1.4285714285714288</v>
      </c>
      <c r="E9" s="138">
        <f>IFERROR(AVERAGEIFS(Upload_Indiv[Score3],Upload_Indiv[[Player]:[Player]],$A9,Upload_Indiv[[Side]:[Side]],"Raintree Front")-IF(TRUNC(ROUND($B9,0)/9,0)=2,2+IF((ROUND($B9,0)-18)*2&gt;=E$2,1,0),IF(TRUNC(ROUND($B9,0)/9,0)=1,1+IF((ROUND($B9,0)-9)*2&gt;=E$2,1,0),IF(TRUNC(ROUND($B9,0)/9,0)=0,IF(TRUNC(ROUND($B9,0)/9,0)=0,0+IF((ROUND($B9,0))*2&gt;=E$2,1,0),"Not"))))-E$3,"")</f>
        <v>-0.28571428571428559</v>
      </c>
      <c r="F9" s="138">
        <f>IFERROR(AVERAGEIFS(Upload_Indiv[Score4],Upload_Indiv[[Player]:[Player]],$A9,Upload_Indiv[[Side]:[Side]],"Raintree Front")-IF(TRUNC(ROUND($B9,0)/9,0)=2,2+IF((ROUND($B9,0)-18)*2&gt;=F$2,1,0),IF(TRUNC(ROUND($B9,0)/9,0)=1,1+IF((ROUND($B9,0)-9)*2&gt;=F$2,1,0),IF(TRUNC(ROUND($B9,0)/9,0)=0,IF(TRUNC(ROUND($B9,0)/9,0)=0,0+IF((ROUND($B9,0))*2&gt;=F$2,1,0),"Not"))))-F$3,"")</f>
        <v>0.57142857142857162</v>
      </c>
      <c r="G9" s="138">
        <f>IFERROR(AVERAGEIFS(Upload_Indiv[Score5],Upload_Indiv[[Player]:[Player]],$A9,Upload_Indiv[[Side]:[Side]],"Raintree Front")-IF(TRUNC(ROUND($B9,0)/9,0)=2,2+IF((ROUND($B9,0)-18)*2&gt;=G$2,1,0),IF(TRUNC(ROUND($B9,0)/9,0)=1,1+IF((ROUND($B9,0)-9)*2&gt;=G$2,1,0),IF(TRUNC(ROUND($B9,0)/9,0)=0,IF(TRUNC(ROUND($B9,0)/9,0)=0,0+IF((ROUND($B9,0))*2&gt;=G$2,1,0),"Not"))))-G$3,"")</f>
        <v>0.28571428571428559</v>
      </c>
      <c r="H9" s="138">
        <f>IFERROR(AVERAGEIFS(Upload_Indiv[Score6],Upload_Indiv[[Player]:[Player]],$A9,Upload_Indiv[[Side]:[Side]],"Raintree Front")-IF(TRUNC(ROUND($B9,0)/9,0)=2,2+IF((ROUND($B9,0)-18)*2&gt;=H$2,1,0),IF(TRUNC(ROUND($B9,0)/9,0)=1,1+IF((ROUND($B9,0)-9)*2&gt;=H$2,1,0),IF(TRUNC(ROUND($B9,0)/9,0)=0,IF(TRUNC(ROUND($B9,0)/9,0)=0,0+IF((ROUND($B9,0))*2&gt;=H$2,1,0),"Not"))))-H$3,"")</f>
        <v>-0.14285714285714324</v>
      </c>
      <c r="I9" s="138">
        <f>IFERROR(AVERAGEIFS(Upload_Indiv[Score7],Upload_Indiv[[Player]:[Player]],$A9,Upload_Indiv[[Side]:[Side]],"Raintree Front")-IF(TRUNC(ROUND($B9,0)/9,0)=2,2+IF((ROUND($B9,0)-18)*2&gt;=I$2,1,0),IF(TRUNC(ROUND($B9,0)/9,0)=1,1+IF((ROUND($B9,0)-9)*2&gt;=I$2,1,0),IF(TRUNC(ROUND($B9,0)/9,0)=0,IF(TRUNC(ROUND($B9,0)/9,0)=0,0+IF((ROUND($B9,0))*2&gt;=I$2,1,0),"Not"))))-I$3,"")</f>
        <v>-1.5714285714285712</v>
      </c>
      <c r="J9" s="138">
        <f>IFERROR(AVERAGEIFS(Upload_Indiv[Score8],Upload_Indiv[[Player]:[Player]],$A9,Upload_Indiv[[Side]:[Side]],"Raintree Front")-IF(TRUNC(ROUND($B9,0)/9,0)=2,2+IF((ROUND($B9,0)-18)*2&gt;=J$2,1,0),IF(TRUNC(ROUND($B9,0)/9,0)=1,1+IF((ROUND($B9,0)-9)*2&gt;=J$2,1,0),IF(TRUNC(ROUND($B9,0)/9,0)=0,IF(TRUNC(ROUND($B9,0)/9,0)=0,0+IF((ROUND($B9,0))*2&gt;=J$2,1,0),"Not"))))-J$3,"")</f>
        <v>-1.1428571428571428</v>
      </c>
      <c r="K9" s="138">
        <f>IFERROR(AVERAGEIFS(Upload_Indiv[Score9],Upload_Indiv[[Player]:[Player]],$A9,Upload_Indiv[[Side]:[Side]],"Raintree Front")-IF(TRUNC(ROUND($B9,0)/9,0)=2,2+IF((ROUND($B9,0)-18)*2&gt;=K$2,1,0),IF(TRUNC(ROUND($B9,0)/9,0)=1,1+IF((ROUND($B9,0)-9)*2&gt;=K$2,1,0),IF(TRUNC(ROUND($B9,0)/9,0)=0,IF(TRUNC(ROUND($B9,0)/9,0)=0,0+IF((ROUND($B9,0))*2&gt;=K$2,1,0),"Not"))))-K$3,"")</f>
        <v>-2</v>
      </c>
      <c r="L9" s="138">
        <f t="shared" ref="L9:L60" si="0">SUM(C9:K9)</f>
        <v>-6.2857142857142856</v>
      </c>
      <c r="M9" s="138">
        <f>IFERROR(AVERAGEIFS(Upload_Indiv[Score1],Upload_Indiv[[Player]:[Player]],$A9,Upload_Indiv[[Side]:[Side]],"Raintree Back")-IF(TRUNC(ROUND($B9,0)/9,0)=2,2+IF((ROUND($B9,0)-18)*2&gt;=M$2,1,0),IF(TRUNC(ROUND($B9,0)/9,0)=1,1+IF((ROUND($B9,0)-9)*2&gt;=M$2,1,0),IF(TRUNC(ROUND($B9,0)/9,0)=0,IF(TRUNC(ROUND($B9,0)/9,0)=0,0+IF((ROUND($B9,0))*2&gt;=M$2,1,0),"Not"))))-M$3,"")</f>
        <v>-0.625</v>
      </c>
      <c r="N9" s="138">
        <f>IFERROR(AVERAGEIFS(Upload_Indiv[Score2],Upload_Indiv[[Player]:[Player]],$A9,Upload_Indiv[[Side]:[Side]],"Raintree Back")-IF(TRUNC(ROUND($B9,0)/9,0)=2,2+IF((ROUND($B9,0)-18)*2&gt;=N$2,1,0),IF(TRUNC(ROUND($B9,0)/9,0)=1,1+IF((ROUND($B9,0)-9)*2&gt;=N$2,1,0),IF(TRUNC(ROUND($B9,0)/9,0)=0,IF(TRUNC(ROUND($B9,0)/9,0)=0,0+IF((ROUND($B9,0))*2&gt;=N$2,1,0),"Not"))))-N$3,"")</f>
        <v>0.125</v>
      </c>
      <c r="O9" s="138">
        <f>IFERROR(AVERAGEIFS(Upload_Indiv[Score3],Upload_Indiv[[Player]:[Player]],$A9,Upload_Indiv[[Side]:[Side]],"Raintree Back")-IF(TRUNC(ROUND($B9,0)/9,0)=2,2+IF((ROUND($B9,0)-18)*2&gt;=O$2,1,0),IF(TRUNC(ROUND($B9,0)/9,0)=1,1+IF((ROUND($B9,0)-9)*2&gt;=O$2,1,0),IF(TRUNC(ROUND($B9,0)/9,0)=0,IF(TRUNC(ROUND($B9,0)/9,0)=0,0+IF((ROUND($B9,0))*2&gt;=O$2,1,0),"Not"))))-O$3,"")</f>
        <v>1.25</v>
      </c>
      <c r="P9" s="138">
        <f>IFERROR(AVERAGEIFS(Upload_Indiv[Score4],Upload_Indiv[[Player]:[Player]],$A9,Upload_Indiv[[Side]:[Side]],"Raintree Back")-IF(TRUNC(ROUND($B9,0)/9,0)=2,2+IF((ROUND($B9,0)-18)*2&gt;=P$2,1,0),IF(TRUNC(ROUND($B9,0)/9,0)=1,1+IF((ROUND($B9,0)-9)*2&gt;=P$2,1,0),IF(TRUNC(ROUND($B9,0)/9,0)=0,IF(TRUNC(ROUND($B9,0)/9,0)=0,0+IF((ROUND($B9,0))*2&gt;=P$2,1,0),"Not"))))-P$3,"")</f>
        <v>0.375</v>
      </c>
      <c r="Q9" s="138">
        <f>IFERROR(AVERAGEIFS(Upload_Indiv[Score5],Upload_Indiv[[Player]:[Player]],$A9,Upload_Indiv[[Side]:[Side]],"Raintree Back")-IF(TRUNC(ROUND($B9,0)/9,0)=2,2+IF((ROUND($B9,0)-18)*2&gt;=Q$2,1,0),IF(TRUNC(ROUND($B9,0)/9,0)=1,1+IF((ROUND($B9,0)-9)*2&gt;=Q$2,1,0),IF(TRUNC(ROUND($B9,0)/9,0)=0,IF(TRUNC(ROUND($B9,0)/9,0)=0,0+IF((ROUND($B9,0))*2&gt;=Q$2,1,0),"Not"))))-Q$3,"")</f>
        <v>0.375</v>
      </c>
      <c r="R9" s="138">
        <f>IFERROR(AVERAGEIFS(Upload_Indiv[Score6],Upload_Indiv[[Player]:[Player]],$A9,Upload_Indiv[[Side]:[Side]],"Raintree Back")-IF(TRUNC(ROUND($B9,0)/9,0)=2,2+IF((ROUND($B9,0)-18)*2&gt;=R$2,1,0),IF(TRUNC(ROUND($B9,0)/9,0)=1,1+IF((ROUND($B9,0)-9)*2&gt;=R$2,1,0),IF(TRUNC(ROUND($B9,0)/9,0)=0,IF(TRUNC(ROUND($B9,0)/9,0)=0,0+IF((ROUND($B9,0))*2&gt;=R$2,1,0),"Not"))))-R$3,"")</f>
        <v>-0.75</v>
      </c>
      <c r="S9" s="138">
        <f>IFERROR(AVERAGEIFS(Upload_Indiv[Score7],Upload_Indiv[[Player]:[Player]],$A9,Upload_Indiv[[Side]:[Side]],"Raintree Back")-IF(TRUNC(ROUND($B9,0)/9,0)=2,2+IF((ROUND($B9,0)-18)*2&gt;=S$2,1,0),IF(TRUNC(ROUND($B9,0)/9,0)=1,1+IF((ROUND($B9,0)-9)*2&gt;=S$2,1,0),IF(TRUNC(ROUND($B9,0)/9,0)=0,IF(TRUNC(ROUND($B9,0)/9,0)=0,0+IF((ROUND($B9,0))*2&gt;=S$2,1,0),"Not"))))-S$3,"")</f>
        <v>0.75</v>
      </c>
      <c r="T9" s="138">
        <f>IFERROR(AVERAGEIFS(Upload_Indiv[Score8],Upload_Indiv[[Player]:[Player]],$A9,Upload_Indiv[[Side]:[Side]],"Raintree Back")-IF(TRUNC(ROUND($B9,0)/9,0)=2,2+IF((ROUND($B9,0)-18)*2&gt;=T$2,1,0),IF(TRUNC(ROUND($B9,0)/9,0)=1,1+IF((ROUND($B9,0)-9)*2&gt;=T$2,1,0),IF(TRUNC(ROUND($B9,0)/9,0)=0,IF(TRUNC(ROUND($B9,0)/9,0)=0,0+IF((ROUND($B9,0))*2&gt;=T$2,1,0),"Not"))))-T$3,"")</f>
        <v>-0.375</v>
      </c>
      <c r="U9" s="138">
        <f>IFERROR(AVERAGEIFS(Upload_Indiv[Score9],Upload_Indiv[[Player]:[Player]],$A9,Upload_Indiv[[Side]:[Side]],"Raintree Back")-IF(TRUNC(ROUND($B9,0)/9,0)=2,2+IF((ROUND($B9,0)-18)*2&gt;=U$2,1,0),IF(TRUNC(ROUND($B9,0)/9,0)=1,1+IF((ROUND($B9,0)-9)*2&gt;=U$2,1,0),IF(TRUNC(ROUND($B9,0)/9,0)=0,IF(TRUNC(ROUND($B9,0)/9,0)=0,0+IF((ROUND($B9,0))*2&gt;=U$2,1,0),"Not"))))-U$3,"")</f>
        <v>0.875</v>
      </c>
      <c r="V9" s="138">
        <f t="shared" ref="V9:V60" si="1">SUM(M9:U9)</f>
        <v>2</v>
      </c>
    </row>
    <row r="10" spans="1:22" ht="15" customHeight="1" x14ac:dyDescent="0.25">
      <c r="A10" s="4" t="s">
        <v>158</v>
      </c>
      <c r="B10" s="138">
        <f>IFERROR(AVERAGEIFS(Upload_Indiv[Hdcp],Upload_Indiv[[Player]:[Player]],$A10),"")</f>
        <v>14.245454545454548</v>
      </c>
      <c r="C10" s="138">
        <f>IFERROR(AVERAGEIFS(Upload_Indiv[Score1],Upload_Indiv[[Player]:[Player]],$A10,Upload_Indiv[[Side]:[Side]],"Raintree Front")-IF(TRUNC(ROUND($B10,0)/9,0)=2,2+IF((ROUND($B10,0)-18)*2&gt;=C$2,1,0),IF(TRUNC(ROUND($B10,0)/9,0)=1,1+IF((ROUND($B10,0)-9)*2&gt;=C$2,1,0),IF(TRUNC(ROUND($B10,0)/9,0)=0,IF(TRUNC(ROUND($B10,0)/9,0)=0,0+IF((ROUND($B10,0))*2&gt;=C$2,1,0),"Not"))))-C$3,"")</f>
        <v>0.33333333333333304</v>
      </c>
      <c r="D10" s="138">
        <f>IFERROR(AVERAGEIFS(Upload_Indiv[Score2],Upload_Indiv[[Player]:[Player]],$A10,Upload_Indiv[[Side]:[Side]],"Raintree Front")-IF(TRUNC(ROUND($B10,0)/9,0)=2,2+IF((ROUND($B10,0)-18)*2&gt;=D$2,1,0),IF(TRUNC(ROUND($B10,0)/9,0)=1,1+IF((ROUND($B10,0)-9)*2&gt;=D$2,1,0),IF(TRUNC(ROUND($B10,0)/9,0)=0,IF(TRUNC(ROUND($B10,0)/9,0)=0,0+IF((ROUND($B10,0))*2&gt;=D$2,1,0),"Not"))))-D$3,"")</f>
        <v>0.5</v>
      </c>
      <c r="E10" s="138">
        <f>IFERROR(AVERAGEIFS(Upload_Indiv[Score3],Upload_Indiv[[Player]:[Player]],$A10,Upload_Indiv[[Side]:[Side]],"Raintree Front")-IF(TRUNC(ROUND($B10,0)/9,0)=2,2+IF((ROUND($B10,0)-18)*2&gt;=E$2,1,0),IF(TRUNC(ROUND($B10,0)/9,0)=1,1+IF((ROUND($B10,0)-9)*2&gt;=E$2,1,0),IF(TRUNC(ROUND($B10,0)/9,0)=0,IF(TRUNC(ROUND($B10,0)/9,0)=0,0+IF((ROUND($B10,0))*2&gt;=E$2,1,0),"Not"))))-E$3,"")</f>
        <v>0.5</v>
      </c>
      <c r="F10" s="138">
        <f>IFERROR(AVERAGEIFS(Upload_Indiv[Score4],Upload_Indiv[[Player]:[Player]],$A10,Upload_Indiv[[Side]:[Side]],"Raintree Front")-IF(TRUNC(ROUND($B10,0)/9,0)=2,2+IF((ROUND($B10,0)-18)*2&gt;=F$2,1,0),IF(TRUNC(ROUND($B10,0)/9,0)=1,1+IF((ROUND($B10,0)-9)*2&gt;=F$2,1,0),IF(TRUNC(ROUND($B10,0)/9,0)=0,IF(TRUNC(ROUND($B10,0)/9,0)=0,0+IF((ROUND($B10,0))*2&gt;=F$2,1,0),"Not"))))-F$3,"")</f>
        <v>0.83333333333333304</v>
      </c>
      <c r="G10" s="138">
        <f>IFERROR(AVERAGEIFS(Upload_Indiv[Score5],Upload_Indiv[[Player]:[Player]],$A10,Upload_Indiv[[Side]:[Side]],"Raintree Front")-IF(TRUNC(ROUND($B10,0)/9,0)=2,2+IF((ROUND($B10,0)-18)*2&gt;=G$2,1,0),IF(TRUNC(ROUND($B10,0)/9,0)=1,1+IF((ROUND($B10,0)-9)*2&gt;=G$2,1,0),IF(TRUNC(ROUND($B10,0)/9,0)=0,IF(TRUNC(ROUND($B10,0)/9,0)=0,0+IF((ROUND($B10,0))*2&gt;=G$2,1,0),"Not"))))-G$3,"")</f>
        <v>1.333333333333333</v>
      </c>
      <c r="H10" s="138">
        <f>IFERROR(AVERAGEIFS(Upload_Indiv[Score6],Upload_Indiv[[Player]:[Player]],$A10,Upload_Indiv[[Side]:[Side]],"Raintree Front")-IF(TRUNC(ROUND($B10,0)/9,0)=2,2+IF((ROUND($B10,0)-18)*2&gt;=H$2,1,0),IF(TRUNC(ROUND($B10,0)/9,0)=1,1+IF((ROUND($B10,0)-9)*2&gt;=H$2,1,0),IF(TRUNC(ROUND($B10,0)/9,0)=0,IF(TRUNC(ROUND($B10,0)/9,0)=0,0+IF((ROUND($B10,0))*2&gt;=H$2,1,0),"Not"))))-H$3,"")</f>
        <v>0</v>
      </c>
      <c r="I10" s="138">
        <f>IFERROR(AVERAGEIFS(Upload_Indiv[Score7],Upload_Indiv[[Player]:[Player]],$A10,Upload_Indiv[[Side]:[Side]],"Raintree Front")-IF(TRUNC(ROUND($B10,0)/9,0)=2,2+IF((ROUND($B10,0)-18)*2&gt;=I$2,1,0),IF(TRUNC(ROUND($B10,0)/9,0)=1,1+IF((ROUND($B10,0)-9)*2&gt;=I$2,1,0),IF(TRUNC(ROUND($B10,0)/9,0)=0,IF(TRUNC(ROUND($B10,0)/9,0)=0,0+IF((ROUND($B10,0))*2&gt;=I$2,1,0),"Not"))))-I$3,"")</f>
        <v>0.16666666666666696</v>
      </c>
      <c r="J10" s="138">
        <f>IFERROR(AVERAGEIFS(Upload_Indiv[Score8],Upload_Indiv[[Player]:[Player]],$A10,Upload_Indiv[[Side]:[Side]],"Raintree Front")-IF(TRUNC(ROUND($B10,0)/9,0)=2,2+IF((ROUND($B10,0)-18)*2&gt;=J$2,1,0),IF(TRUNC(ROUND($B10,0)/9,0)=1,1+IF((ROUND($B10,0)-9)*2&gt;=J$2,1,0),IF(TRUNC(ROUND($B10,0)/9,0)=0,IF(TRUNC(ROUND($B10,0)/9,0)=0,0+IF((ROUND($B10,0))*2&gt;=J$2,1,0),"Not"))))-J$3,"")</f>
        <v>0.66666666666666696</v>
      </c>
      <c r="K10" s="138">
        <f>IFERROR(AVERAGEIFS(Upload_Indiv[Score9],Upload_Indiv[[Player]:[Player]],$A10,Upload_Indiv[[Side]:[Side]],"Raintree Front")-IF(TRUNC(ROUND($B10,0)/9,0)=2,2+IF((ROUND($B10,0)-18)*2&gt;=K$2,1,0),IF(TRUNC(ROUND($B10,0)/9,0)=1,1+IF((ROUND($B10,0)-9)*2&gt;=K$2,1,0),IF(TRUNC(ROUND($B10,0)/9,0)=0,IF(TRUNC(ROUND($B10,0)/9,0)=0,0+IF((ROUND($B10,0))*2&gt;=K$2,1,0),"Not"))))-K$3,"")</f>
        <v>-1.333333333333333</v>
      </c>
      <c r="L10" s="138">
        <f t="shared" si="0"/>
        <v>3</v>
      </c>
      <c r="M10" s="138">
        <f>IFERROR(AVERAGEIFS(Upload_Indiv[Score1],Upload_Indiv[[Player]:[Player]],$A10,Upload_Indiv[[Side]:[Side]],"Raintree Back")-IF(TRUNC(ROUND($B10,0)/9,0)=2,2+IF((ROUND($B10,0)-18)*2&gt;=M$2,1,0),IF(TRUNC(ROUND($B10,0)/9,0)=1,1+IF((ROUND($B10,0)-9)*2&gt;=M$2,1,0),IF(TRUNC(ROUND($B10,0)/9,0)=0,IF(TRUNC(ROUND($B10,0)/9,0)=0,0+IF((ROUND($B10,0))*2&gt;=M$2,1,0),"Not"))))-M$3,"")</f>
        <v>1.7999999999999998</v>
      </c>
      <c r="N10" s="138">
        <f>IFERROR(AVERAGEIFS(Upload_Indiv[Score2],Upload_Indiv[[Player]:[Player]],$A10,Upload_Indiv[[Side]:[Side]],"Raintree Back")-IF(TRUNC(ROUND($B10,0)/9,0)=2,2+IF((ROUND($B10,0)-18)*2&gt;=N$2,1,0),IF(TRUNC(ROUND($B10,0)/9,0)=1,1+IF((ROUND($B10,0)-9)*2&gt;=N$2,1,0),IF(TRUNC(ROUND($B10,0)/9,0)=0,IF(TRUNC(ROUND($B10,0)/9,0)=0,0+IF((ROUND($B10,0))*2&gt;=N$2,1,0),"Not"))))-N$3,"")</f>
        <v>0.79999999999999982</v>
      </c>
      <c r="O10" s="138">
        <f>IFERROR(AVERAGEIFS(Upload_Indiv[Score3],Upload_Indiv[[Player]:[Player]],$A10,Upload_Indiv[[Side]:[Side]],"Raintree Back")-IF(TRUNC(ROUND($B10,0)/9,0)=2,2+IF((ROUND($B10,0)-18)*2&gt;=O$2,1,0),IF(TRUNC(ROUND($B10,0)/9,0)=1,1+IF((ROUND($B10,0)-9)*2&gt;=O$2,1,0),IF(TRUNC(ROUND($B10,0)/9,0)=0,IF(TRUNC(ROUND($B10,0)/9,0)=0,0+IF((ROUND($B10,0))*2&gt;=O$2,1,0),"Not"))))-O$3,"")</f>
        <v>1.4000000000000004</v>
      </c>
      <c r="P10" s="138">
        <f>IFERROR(AVERAGEIFS(Upload_Indiv[Score4],Upload_Indiv[[Player]:[Player]],$A10,Upload_Indiv[[Side]:[Side]],"Raintree Back")-IF(TRUNC(ROUND($B10,0)/9,0)=2,2+IF((ROUND($B10,0)-18)*2&gt;=P$2,1,0),IF(TRUNC(ROUND($B10,0)/9,0)=1,1+IF((ROUND($B10,0)-9)*2&gt;=P$2,1,0),IF(TRUNC(ROUND($B10,0)/9,0)=0,IF(TRUNC(ROUND($B10,0)/9,0)=0,0+IF((ROUND($B10,0))*2&gt;=P$2,1,0),"Not"))))-P$3,"")</f>
        <v>0.20000000000000018</v>
      </c>
      <c r="Q10" s="138">
        <f>IFERROR(AVERAGEIFS(Upload_Indiv[Score5],Upload_Indiv[[Player]:[Player]],$A10,Upload_Indiv[[Side]:[Side]],"Raintree Back")-IF(TRUNC(ROUND($B10,0)/9,0)=2,2+IF((ROUND($B10,0)-18)*2&gt;=Q$2,1,0),IF(TRUNC(ROUND($B10,0)/9,0)=1,1+IF((ROUND($B10,0)-9)*2&gt;=Q$2,1,0),IF(TRUNC(ROUND($B10,0)/9,0)=0,IF(TRUNC(ROUND($B10,0)/9,0)=0,0+IF((ROUND($B10,0))*2&gt;=Q$2,1,0),"Not"))))-Q$3,"")</f>
        <v>0.79999999999999982</v>
      </c>
      <c r="R10" s="138">
        <f>IFERROR(AVERAGEIFS(Upload_Indiv[Score6],Upload_Indiv[[Player]:[Player]],$A10,Upload_Indiv[[Side]:[Side]],"Raintree Back")-IF(TRUNC(ROUND($B10,0)/9,0)=2,2+IF((ROUND($B10,0)-18)*2&gt;=R$2,1,0),IF(TRUNC(ROUND($B10,0)/9,0)=1,1+IF((ROUND($B10,0)-9)*2&gt;=R$2,1,0),IF(TRUNC(ROUND($B10,0)/9,0)=0,IF(TRUNC(ROUND($B10,0)/9,0)=0,0+IF((ROUND($B10,0))*2&gt;=R$2,1,0),"Not"))))-R$3,"")</f>
        <v>-1.2000000000000002</v>
      </c>
      <c r="S10" s="138">
        <f>IFERROR(AVERAGEIFS(Upload_Indiv[Score7],Upload_Indiv[[Player]:[Player]],$A10,Upload_Indiv[[Side]:[Side]],"Raintree Back")-IF(TRUNC(ROUND($B10,0)/9,0)=2,2+IF((ROUND($B10,0)-18)*2&gt;=S$2,1,0),IF(TRUNC(ROUND($B10,0)/9,0)=1,1+IF((ROUND($B10,0)-9)*2&gt;=S$2,1,0),IF(TRUNC(ROUND($B10,0)/9,0)=0,IF(TRUNC(ROUND($B10,0)/9,0)=0,0+IF((ROUND($B10,0))*2&gt;=S$2,1,0),"Not"))))-S$3,"")</f>
        <v>-0.20000000000000018</v>
      </c>
      <c r="T10" s="138">
        <f>IFERROR(AVERAGEIFS(Upload_Indiv[Score8],Upload_Indiv[[Player]:[Player]],$A10,Upload_Indiv[[Side]:[Side]],"Raintree Back")-IF(TRUNC(ROUND($B10,0)/9,0)=2,2+IF((ROUND($B10,0)-18)*2&gt;=T$2,1,0),IF(TRUNC(ROUND($B10,0)/9,0)=1,1+IF((ROUND($B10,0)-9)*2&gt;=T$2,1,0),IF(TRUNC(ROUND($B10,0)/9,0)=0,IF(TRUNC(ROUND($B10,0)/9,0)=0,0+IF((ROUND($B10,0))*2&gt;=T$2,1,0),"Not"))))-T$3,"")</f>
        <v>0.59999999999999964</v>
      </c>
      <c r="U10" s="138">
        <f>IFERROR(AVERAGEIFS(Upload_Indiv[Score9],Upload_Indiv[[Player]:[Player]],$A10,Upload_Indiv[[Side]:[Side]],"Raintree Back")-IF(TRUNC(ROUND($B10,0)/9,0)=2,2+IF((ROUND($B10,0)-18)*2&gt;=U$2,1,0),IF(TRUNC(ROUND($B10,0)/9,0)=1,1+IF((ROUND($B10,0)-9)*2&gt;=U$2,1,0),IF(TRUNC(ROUND($B10,0)/9,0)=0,IF(TRUNC(ROUND($B10,0)/9,0)=0,0+IF((ROUND($B10,0))*2&gt;=U$2,1,0),"Not"))))-U$3,"")</f>
        <v>0.59999999999999964</v>
      </c>
      <c r="V10" s="138">
        <f t="shared" si="1"/>
        <v>4.7999999999999989</v>
      </c>
    </row>
    <row r="11" spans="1:22" ht="15" customHeight="1" x14ac:dyDescent="0.25">
      <c r="A11" s="4" t="s">
        <v>283</v>
      </c>
      <c r="B11" s="138">
        <f>IFERROR(AVERAGEIFS(Upload_Indiv[Hdcp],Upload_Indiv[[Player]:[Player]],$A11),"")</f>
        <v>6.9506666666666677</v>
      </c>
      <c r="C11" s="138">
        <f>IFERROR(AVERAGEIFS(Upload_Indiv[Score1],Upload_Indiv[[Player]:[Player]],$A11,Upload_Indiv[[Side]:[Side]],"Raintree Front")-IF(TRUNC(ROUND($B11,0)/9,0)=2,2+IF((ROUND($B11,0)-18)*2&gt;=C$2,1,0),IF(TRUNC(ROUND($B11,0)/9,0)=1,1+IF((ROUND($B11,0)-9)*2&gt;=C$2,1,0),IF(TRUNC(ROUND($B11,0)/9,0)=0,IF(TRUNC(ROUND($B11,0)/9,0)=0,0+IF((ROUND($B11,0))*2&gt;=C$2,1,0),"Not"))))-C$3,"")</f>
        <v>-0.57142857142857117</v>
      </c>
      <c r="D11" s="138">
        <f>IFERROR(AVERAGEIFS(Upload_Indiv[Score2],Upload_Indiv[[Player]:[Player]],$A11,Upload_Indiv[[Side]:[Side]],"Raintree Front")-IF(TRUNC(ROUND($B11,0)/9,0)=2,2+IF((ROUND($B11,0)-18)*2&gt;=D$2,1,0),IF(TRUNC(ROUND($B11,0)/9,0)=1,1+IF((ROUND($B11,0)-9)*2&gt;=D$2,1,0),IF(TRUNC(ROUND($B11,0)/9,0)=0,IF(TRUNC(ROUND($B11,0)/9,0)=0,0+IF((ROUND($B11,0))*2&gt;=D$2,1,0),"Not"))))-D$3,"")</f>
        <v>-1.5714285714285712</v>
      </c>
      <c r="E11" s="138">
        <f>IFERROR(AVERAGEIFS(Upload_Indiv[Score3],Upload_Indiv[[Player]:[Player]],$A11,Upload_Indiv[[Side]:[Side]],"Raintree Front")-IF(TRUNC(ROUND($B11,0)/9,0)=2,2+IF((ROUND($B11,0)-18)*2&gt;=E$2,1,0),IF(TRUNC(ROUND($B11,0)/9,0)=1,1+IF((ROUND($B11,0)-9)*2&gt;=E$2,1,0),IF(TRUNC(ROUND($B11,0)/9,0)=0,IF(TRUNC(ROUND($B11,0)/9,0)=0,0+IF((ROUND($B11,0))*2&gt;=E$2,1,0),"Not"))))-E$3,"")</f>
        <v>-0.28571428571428559</v>
      </c>
      <c r="F11" s="138">
        <f>IFERROR(AVERAGEIFS(Upload_Indiv[Score4],Upload_Indiv[[Player]:[Player]],$A11,Upload_Indiv[[Side]:[Side]],"Raintree Front")-IF(TRUNC(ROUND($B11,0)/9,0)=2,2+IF((ROUND($B11,0)-18)*2&gt;=F$2,1,0),IF(TRUNC(ROUND($B11,0)/9,0)=1,1+IF((ROUND($B11,0)-9)*2&gt;=F$2,1,0),IF(TRUNC(ROUND($B11,0)/9,0)=0,IF(TRUNC(ROUND($B11,0)/9,0)=0,0+IF((ROUND($B11,0))*2&gt;=F$2,1,0),"Not"))))-F$3,"")</f>
        <v>0.14285714285714279</v>
      </c>
      <c r="G11" s="138">
        <f>IFERROR(AVERAGEIFS(Upload_Indiv[Score5],Upload_Indiv[[Player]:[Player]],$A11,Upload_Indiv[[Side]:[Side]],"Raintree Front")-IF(TRUNC(ROUND($B11,0)/9,0)=2,2+IF((ROUND($B11,0)-18)*2&gt;=G$2,1,0),IF(TRUNC(ROUND($B11,0)/9,0)=1,1+IF((ROUND($B11,0)-9)*2&gt;=G$2,1,0),IF(TRUNC(ROUND($B11,0)/9,0)=0,IF(TRUNC(ROUND($B11,0)/9,0)=0,0+IF((ROUND($B11,0))*2&gt;=G$2,1,0),"Not"))))-G$3,"")</f>
        <v>0.57142857142857117</v>
      </c>
      <c r="H11" s="138">
        <f>IFERROR(AVERAGEIFS(Upload_Indiv[Score6],Upload_Indiv[[Player]:[Player]],$A11,Upload_Indiv[[Side]:[Side]],"Raintree Front")-IF(TRUNC(ROUND($B11,0)/9,0)=2,2+IF((ROUND($B11,0)-18)*2&gt;=H$2,1,0),IF(TRUNC(ROUND($B11,0)/9,0)=1,1+IF((ROUND($B11,0)-9)*2&gt;=H$2,1,0),IF(TRUNC(ROUND($B11,0)/9,0)=0,IF(TRUNC(ROUND($B11,0)/9,0)=0,0+IF((ROUND($B11,0))*2&gt;=H$2,1,0),"Not"))))-H$3,"")</f>
        <v>-0.42857142857142883</v>
      </c>
      <c r="I11" s="138">
        <f>IFERROR(AVERAGEIFS(Upload_Indiv[Score7],Upload_Indiv[[Player]:[Player]],$A11,Upload_Indiv[[Side]:[Side]],"Raintree Front")-IF(TRUNC(ROUND($B11,0)/9,0)=2,2+IF((ROUND($B11,0)-18)*2&gt;=I$2,1,0),IF(TRUNC(ROUND($B11,0)/9,0)=1,1+IF((ROUND($B11,0)-9)*2&gt;=I$2,1,0),IF(TRUNC(ROUND($B11,0)/9,0)=0,IF(TRUNC(ROUND($B11,0)/9,0)=0,0+IF((ROUND($B11,0))*2&gt;=I$2,1,0),"Not"))))-I$3,"")</f>
        <v>-0.14285714285714324</v>
      </c>
      <c r="J11" s="138">
        <f>IFERROR(AVERAGEIFS(Upload_Indiv[Score8],Upload_Indiv[[Player]:[Player]],$A11,Upload_Indiv[[Side]:[Side]],"Raintree Front")-IF(TRUNC(ROUND($B11,0)/9,0)=2,2+IF((ROUND($B11,0)-18)*2&gt;=J$2,1,0),IF(TRUNC(ROUND($B11,0)/9,0)=1,1+IF((ROUND($B11,0)-9)*2&gt;=J$2,1,0),IF(TRUNC(ROUND($B11,0)/9,0)=0,IF(TRUNC(ROUND($B11,0)/9,0)=0,0+IF((ROUND($B11,0))*2&gt;=J$2,1,0),"Not"))))-J$3,"")</f>
        <v>-0.71428571428571441</v>
      </c>
      <c r="K11" s="138">
        <f>IFERROR(AVERAGEIFS(Upload_Indiv[Score9],Upload_Indiv[[Player]:[Player]],$A11,Upload_Indiv[[Side]:[Side]],"Raintree Front")-IF(TRUNC(ROUND($B11,0)/9,0)=2,2+IF((ROUND($B11,0)-18)*2&gt;=K$2,1,0),IF(TRUNC(ROUND($B11,0)/9,0)=1,1+IF((ROUND($B11,0)-9)*2&gt;=K$2,1,0),IF(TRUNC(ROUND($B11,0)/9,0)=0,IF(TRUNC(ROUND($B11,0)/9,0)=0,0+IF((ROUND($B11,0))*2&gt;=K$2,1,0),"Not"))))-K$3,"")</f>
        <v>-1.5714285714285716</v>
      </c>
      <c r="L11" s="138">
        <f t="shared" si="0"/>
        <v>-4.5714285714285721</v>
      </c>
      <c r="M11" s="138">
        <f>IFERROR(AVERAGEIFS(Upload_Indiv[Score1],Upload_Indiv[[Player]:[Player]],$A11,Upload_Indiv[[Side]:[Side]],"Raintree Back")-IF(TRUNC(ROUND($B11,0)/9,0)=2,2+IF((ROUND($B11,0)-18)*2&gt;=M$2,1,0),IF(TRUNC(ROUND($B11,0)/9,0)=1,1+IF((ROUND($B11,0)-9)*2&gt;=M$2,1,0),IF(TRUNC(ROUND($B11,0)/9,0)=0,IF(TRUNC(ROUND($B11,0)/9,0)=0,0+IF((ROUND($B11,0))*2&gt;=M$2,1,0),"Not"))))-M$3,"")</f>
        <v>0.125</v>
      </c>
      <c r="N11" s="138">
        <f>IFERROR(AVERAGEIFS(Upload_Indiv[Score2],Upload_Indiv[[Player]:[Player]],$A11,Upload_Indiv[[Side]:[Side]],"Raintree Back")-IF(TRUNC(ROUND($B11,0)/9,0)=2,2+IF((ROUND($B11,0)-18)*2&gt;=N$2,1,0),IF(TRUNC(ROUND($B11,0)/9,0)=1,1+IF((ROUND($B11,0)-9)*2&gt;=N$2,1,0),IF(TRUNC(ROUND($B11,0)/9,0)=0,IF(TRUNC(ROUND($B11,0)/9,0)=0,0+IF((ROUND($B11,0))*2&gt;=N$2,1,0),"Not"))))-N$3,"")</f>
        <v>-0.375</v>
      </c>
      <c r="O11" s="138">
        <f>IFERROR(AVERAGEIFS(Upload_Indiv[Score3],Upload_Indiv[[Player]:[Player]],$A11,Upload_Indiv[[Side]:[Side]],"Raintree Back")-IF(TRUNC(ROUND($B11,0)/9,0)=2,2+IF((ROUND($B11,0)-18)*2&gt;=O$2,1,0),IF(TRUNC(ROUND($B11,0)/9,0)=1,1+IF((ROUND($B11,0)-9)*2&gt;=O$2,1,0),IF(TRUNC(ROUND($B11,0)/9,0)=0,IF(TRUNC(ROUND($B11,0)/9,0)=0,0+IF((ROUND($B11,0))*2&gt;=O$2,1,0),"Not"))))-O$3,"")</f>
        <v>0.5</v>
      </c>
      <c r="P11" s="138">
        <f>IFERROR(AVERAGEIFS(Upload_Indiv[Score4],Upload_Indiv[[Player]:[Player]],$A11,Upload_Indiv[[Side]:[Side]],"Raintree Back")-IF(TRUNC(ROUND($B11,0)/9,0)=2,2+IF((ROUND($B11,0)-18)*2&gt;=P$2,1,0),IF(TRUNC(ROUND($B11,0)/9,0)=1,1+IF((ROUND($B11,0)-9)*2&gt;=P$2,1,0),IF(TRUNC(ROUND($B11,0)/9,0)=0,IF(TRUNC(ROUND($B11,0)/9,0)=0,0+IF((ROUND($B11,0))*2&gt;=P$2,1,0),"Not"))))-P$3,"")</f>
        <v>0.625</v>
      </c>
      <c r="Q11" s="138">
        <f>IFERROR(AVERAGEIFS(Upload_Indiv[Score5],Upload_Indiv[[Player]:[Player]],$A11,Upload_Indiv[[Side]:[Side]],"Raintree Back")-IF(TRUNC(ROUND($B11,0)/9,0)=2,2+IF((ROUND($B11,0)-18)*2&gt;=Q$2,1,0),IF(TRUNC(ROUND($B11,0)/9,0)=1,1+IF((ROUND($B11,0)-9)*2&gt;=Q$2,1,0),IF(TRUNC(ROUND($B11,0)/9,0)=0,IF(TRUNC(ROUND($B11,0)/9,0)=0,0+IF((ROUND($B11,0))*2&gt;=Q$2,1,0),"Not"))))-Q$3,"")</f>
        <v>0.875</v>
      </c>
      <c r="R11" s="138">
        <f>IFERROR(AVERAGEIFS(Upload_Indiv[Score6],Upload_Indiv[[Player]:[Player]],$A11,Upload_Indiv[[Side]:[Side]],"Raintree Back")-IF(TRUNC(ROUND($B11,0)/9,0)=2,2+IF((ROUND($B11,0)-18)*2&gt;=R$2,1,0),IF(TRUNC(ROUND($B11,0)/9,0)=1,1+IF((ROUND($B11,0)-9)*2&gt;=R$2,1,0),IF(TRUNC(ROUND($B11,0)/9,0)=0,IF(TRUNC(ROUND($B11,0)/9,0)=0,0+IF((ROUND($B11,0))*2&gt;=R$2,1,0),"Not"))))-R$3,"")</f>
        <v>0.25</v>
      </c>
      <c r="S11" s="138">
        <f>IFERROR(AVERAGEIFS(Upload_Indiv[Score7],Upload_Indiv[[Player]:[Player]],$A11,Upload_Indiv[[Side]:[Side]],"Raintree Back")-IF(TRUNC(ROUND($B11,0)/9,0)=2,2+IF((ROUND($B11,0)-18)*2&gt;=S$2,1,0),IF(TRUNC(ROUND($B11,0)/9,0)=1,1+IF((ROUND($B11,0)-9)*2&gt;=S$2,1,0),IF(TRUNC(ROUND($B11,0)/9,0)=0,IF(TRUNC(ROUND($B11,0)/9,0)=0,0+IF((ROUND($B11,0))*2&gt;=S$2,1,0),"Not"))))-S$3,"")</f>
        <v>0.5</v>
      </c>
      <c r="T11" s="138">
        <f>IFERROR(AVERAGEIFS(Upload_Indiv[Score8],Upload_Indiv[[Player]:[Player]],$A11,Upload_Indiv[[Side]:[Side]],"Raintree Back")-IF(TRUNC(ROUND($B11,0)/9,0)=2,2+IF((ROUND($B11,0)-18)*2&gt;=T$2,1,0),IF(TRUNC(ROUND($B11,0)/9,0)=1,1+IF((ROUND($B11,0)-9)*2&gt;=T$2,1,0),IF(TRUNC(ROUND($B11,0)/9,0)=0,IF(TRUNC(ROUND($B11,0)/9,0)=0,0+IF((ROUND($B11,0))*2&gt;=T$2,1,0),"Not"))))-T$3,"")</f>
        <v>0.125</v>
      </c>
      <c r="U11" s="138">
        <f>IFERROR(AVERAGEIFS(Upload_Indiv[Score9],Upload_Indiv[[Player]:[Player]],$A11,Upload_Indiv[[Side]:[Side]],"Raintree Back")-IF(TRUNC(ROUND($B11,0)/9,0)=2,2+IF((ROUND($B11,0)-18)*2&gt;=U$2,1,0),IF(TRUNC(ROUND($B11,0)/9,0)=1,1+IF((ROUND($B11,0)-9)*2&gt;=U$2,1,0),IF(TRUNC(ROUND($B11,0)/9,0)=0,IF(TRUNC(ROUND($B11,0)/9,0)=0,0+IF((ROUND($B11,0))*2&gt;=U$2,1,0),"Not"))))-U$3,"")</f>
        <v>0.5</v>
      </c>
      <c r="V11" s="138">
        <f t="shared" si="1"/>
        <v>3.125</v>
      </c>
    </row>
    <row r="12" spans="1:22" ht="15" customHeight="1" x14ac:dyDescent="0.25">
      <c r="A12" s="4" t="s">
        <v>155</v>
      </c>
      <c r="B12" s="138">
        <f>IFERROR(AVERAGEIFS(Upload_Indiv[Hdcp],Upload_Indiv[[Player]:[Player]],$A12),"")</f>
        <v>7.8099999999999987</v>
      </c>
      <c r="C12" s="138">
        <f>IFERROR(AVERAGEIFS(Upload_Indiv[Score1],Upload_Indiv[[Player]:[Player]],$A12,Upload_Indiv[[Side]:[Side]],"Raintree Front")-IF(TRUNC(ROUND($B12,0)/9,0)=2,2+IF((ROUND($B12,0)-18)*2&gt;=C$2,1,0),IF(TRUNC(ROUND($B12,0)/9,0)=1,1+IF((ROUND($B12,0)-9)*2&gt;=C$2,1,0),IF(TRUNC(ROUND($B12,0)/9,0)=0,IF(TRUNC(ROUND($B12,0)/9,0)=0,0+IF((ROUND($B12,0))*2&gt;=C$2,1,0),"Not"))))-C$3,"")</f>
        <v>0.20000000000000018</v>
      </c>
      <c r="D12" s="138">
        <f>IFERROR(AVERAGEIFS(Upload_Indiv[Score2],Upload_Indiv[[Player]:[Player]],$A12,Upload_Indiv[[Side]:[Side]],"Raintree Front")-IF(TRUNC(ROUND($B12,0)/9,0)=2,2+IF((ROUND($B12,0)-18)*2&gt;=D$2,1,0),IF(TRUNC(ROUND($B12,0)/9,0)=1,1+IF((ROUND($B12,0)-9)*2&gt;=D$2,1,0),IF(TRUNC(ROUND($B12,0)/9,0)=0,IF(TRUNC(ROUND($B12,0)/9,0)=0,0+IF((ROUND($B12,0))*2&gt;=D$2,1,0),"Not"))))-D$3,"")</f>
        <v>1</v>
      </c>
      <c r="E12" s="138">
        <f>IFERROR(AVERAGEIFS(Upload_Indiv[Score3],Upload_Indiv[[Player]:[Player]],$A12,Upload_Indiv[[Side]:[Side]],"Raintree Front")-IF(TRUNC(ROUND($B12,0)/9,0)=2,2+IF((ROUND($B12,0)-18)*2&gt;=E$2,1,0),IF(TRUNC(ROUND($B12,0)/9,0)=1,1+IF((ROUND($B12,0)-9)*2&gt;=E$2,1,0),IF(TRUNC(ROUND($B12,0)/9,0)=0,IF(TRUNC(ROUND($B12,0)/9,0)=0,0+IF((ROUND($B12,0))*2&gt;=E$2,1,0),"Not"))))-E$3,"")</f>
        <v>1.4000000000000004</v>
      </c>
      <c r="F12" s="138">
        <f>IFERROR(AVERAGEIFS(Upload_Indiv[Score4],Upload_Indiv[[Player]:[Player]],$A12,Upload_Indiv[[Side]:[Side]],"Raintree Front")-IF(TRUNC(ROUND($B12,0)/9,0)=2,2+IF((ROUND($B12,0)-18)*2&gt;=F$2,1,0),IF(TRUNC(ROUND($B12,0)/9,0)=1,1+IF((ROUND($B12,0)-9)*2&gt;=F$2,1,0),IF(TRUNC(ROUND($B12,0)/9,0)=0,IF(TRUNC(ROUND($B12,0)/9,0)=0,0+IF((ROUND($B12,0))*2&gt;=F$2,1,0),"Not"))))-F$3,"")</f>
        <v>0.40000000000000036</v>
      </c>
      <c r="G12" s="138">
        <f>IFERROR(AVERAGEIFS(Upload_Indiv[Score5],Upload_Indiv[[Player]:[Player]],$A12,Upload_Indiv[[Side]:[Side]],"Raintree Front")-IF(TRUNC(ROUND($B12,0)/9,0)=2,2+IF((ROUND($B12,0)-18)*2&gt;=G$2,1,0),IF(TRUNC(ROUND($B12,0)/9,0)=1,1+IF((ROUND($B12,0)-9)*2&gt;=G$2,1,0),IF(TRUNC(ROUND($B12,0)/9,0)=0,IF(TRUNC(ROUND($B12,0)/9,0)=0,0+IF((ROUND($B12,0))*2&gt;=G$2,1,0),"Not"))))-G$3,"")</f>
        <v>1.2000000000000002</v>
      </c>
      <c r="H12" s="138">
        <f>IFERROR(AVERAGEIFS(Upload_Indiv[Score6],Upload_Indiv[[Player]:[Player]],$A12,Upload_Indiv[[Side]:[Side]],"Raintree Front")-IF(TRUNC(ROUND($B12,0)/9,0)=2,2+IF((ROUND($B12,0)-18)*2&gt;=H$2,1,0),IF(TRUNC(ROUND($B12,0)/9,0)=1,1+IF((ROUND($B12,0)-9)*2&gt;=H$2,1,0),IF(TRUNC(ROUND($B12,0)/9,0)=0,IF(TRUNC(ROUND($B12,0)/9,0)=0,0+IF((ROUND($B12,0))*2&gt;=H$2,1,0),"Not"))))-H$3,"")</f>
        <v>0.59999999999999964</v>
      </c>
      <c r="I12" s="138">
        <f>IFERROR(AVERAGEIFS(Upload_Indiv[Score7],Upload_Indiv[[Player]:[Player]],$A12,Upload_Indiv[[Side]:[Side]],"Raintree Front")-IF(TRUNC(ROUND($B12,0)/9,0)=2,2+IF((ROUND($B12,0)-18)*2&gt;=I$2,1,0),IF(TRUNC(ROUND($B12,0)/9,0)=1,1+IF((ROUND($B12,0)-9)*2&gt;=I$2,1,0),IF(TRUNC(ROUND($B12,0)/9,0)=0,IF(TRUNC(ROUND($B12,0)/9,0)=0,0+IF((ROUND($B12,0))*2&gt;=I$2,1,0),"Not"))))-I$3,"")</f>
        <v>1.7999999999999998</v>
      </c>
      <c r="J12" s="138">
        <f>IFERROR(AVERAGEIFS(Upload_Indiv[Score8],Upload_Indiv[[Player]:[Player]],$A12,Upload_Indiv[[Side]:[Side]],"Raintree Front")-IF(TRUNC(ROUND($B12,0)/9,0)=2,2+IF((ROUND($B12,0)-18)*2&gt;=J$2,1,0),IF(TRUNC(ROUND($B12,0)/9,0)=1,1+IF((ROUND($B12,0)-9)*2&gt;=J$2,1,0),IF(TRUNC(ROUND($B12,0)/9,0)=0,IF(TRUNC(ROUND($B12,0)/9,0)=0,0+IF((ROUND($B12,0))*2&gt;=J$2,1,0),"Not"))))-J$3,"")</f>
        <v>0.40000000000000036</v>
      </c>
      <c r="K12" s="138">
        <f>IFERROR(AVERAGEIFS(Upload_Indiv[Score9],Upload_Indiv[[Player]:[Player]],$A12,Upload_Indiv[[Side]:[Side]],"Raintree Front")-IF(TRUNC(ROUND($B12,0)/9,0)=2,2+IF((ROUND($B12,0)-18)*2&gt;=K$2,1,0),IF(TRUNC(ROUND($B12,0)/9,0)=1,1+IF((ROUND($B12,0)-9)*2&gt;=K$2,1,0),IF(TRUNC(ROUND($B12,0)/9,0)=0,IF(TRUNC(ROUND($B12,0)/9,0)=0,0+IF((ROUND($B12,0))*2&gt;=K$2,1,0),"Not"))))-K$3,"")</f>
        <v>0.20000000000000018</v>
      </c>
      <c r="L12" s="138">
        <f t="shared" si="0"/>
        <v>7.2000000000000011</v>
      </c>
      <c r="M12" s="138">
        <f>IFERROR(AVERAGEIFS(Upload_Indiv[Score1],Upload_Indiv[[Player]:[Player]],$A12,Upload_Indiv[[Side]:[Side]],"Raintree Back")-IF(TRUNC(ROUND($B12,0)/9,0)=2,2+IF((ROUND($B12,0)-18)*2&gt;=M$2,1,0),IF(TRUNC(ROUND($B12,0)/9,0)=1,1+IF((ROUND($B12,0)-9)*2&gt;=M$2,1,0),IF(TRUNC(ROUND($B12,0)/9,0)=0,IF(TRUNC(ROUND($B12,0)/9,0)=0,0+IF((ROUND($B12,0))*2&gt;=M$2,1,0),"Not"))))-M$3,"")</f>
        <v>0.25</v>
      </c>
      <c r="N12" s="138">
        <f>IFERROR(AVERAGEIFS(Upload_Indiv[Score2],Upload_Indiv[[Player]:[Player]],$A12,Upload_Indiv[[Side]:[Side]],"Raintree Back")-IF(TRUNC(ROUND($B12,0)/9,0)=2,2+IF((ROUND($B12,0)-18)*2&gt;=N$2,1,0),IF(TRUNC(ROUND($B12,0)/9,0)=1,1+IF((ROUND($B12,0)-9)*2&gt;=N$2,1,0),IF(TRUNC(ROUND($B12,0)/9,0)=0,IF(TRUNC(ROUND($B12,0)/9,0)=0,0+IF((ROUND($B12,0))*2&gt;=N$2,1,0),"Not"))))-N$3,"")</f>
        <v>0.5</v>
      </c>
      <c r="O12" s="138">
        <f>IFERROR(AVERAGEIFS(Upload_Indiv[Score3],Upload_Indiv[[Player]:[Player]],$A12,Upload_Indiv[[Side]:[Side]],"Raintree Back")-IF(TRUNC(ROUND($B12,0)/9,0)=2,2+IF((ROUND($B12,0)-18)*2&gt;=O$2,1,0),IF(TRUNC(ROUND($B12,0)/9,0)=1,1+IF((ROUND($B12,0)-9)*2&gt;=O$2,1,0),IF(TRUNC(ROUND($B12,0)/9,0)=0,IF(TRUNC(ROUND($B12,0)/9,0)=0,0+IF((ROUND($B12,0))*2&gt;=O$2,1,0),"Not"))))-O$3,"")</f>
        <v>0.75</v>
      </c>
      <c r="P12" s="138">
        <f>IFERROR(AVERAGEIFS(Upload_Indiv[Score4],Upload_Indiv[[Player]:[Player]],$A12,Upload_Indiv[[Side]:[Side]],"Raintree Back")-IF(TRUNC(ROUND($B12,0)/9,0)=2,2+IF((ROUND($B12,0)-18)*2&gt;=P$2,1,0),IF(TRUNC(ROUND($B12,0)/9,0)=1,1+IF((ROUND($B12,0)-9)*2&gt;=P$2,1,0),IF(TRUNC(ROUND($B12,0)/9,0)=0,IF(TRUNC(ROUND($B12,0)/9,0)=0,0+IF((ROUND($B12,0))*2&gt;=P$2,1,0),"Not"))))-P$3,"")</f>
        <v>0.5</v>
      </c>
      <c r="Q12" s="138">
        <f>IFERROR(AVERAGEIFS(Upload_Indiv[Score5],Upload_Indiv[[Player]:[Player]],$A12,Upload_Indiv[[Side]:[Side]],"Raintree Back")-IF(TRUNC(ROUND($B12,0)/9,0)=2,2+IF((ROUND($B12,0)-18)*2&gt;=Q$2,1,0),IF(TRUNC(ROUND($B12,0)/9,0)=1,1+IF((ROUND($B12,0)-9)*2&gt;=Q$2,1,0),IF(TRUNC(ROUND($B12,0)/9,0)=0,IF(TRUNC(ROUND($B12,0)/9,0)=0,0+IF((ROUND($B12,0))*2&gt;=Q$2,1,0),"Not"))))-Q$3,"")</f>
        <v>1</v>
      </c>
      <c r="R12" s="138">
        <f>IFERROR(AVERAGEIFS(Upload_Indiv[Score6],Upload_Indiv[[Player]:[Player]],$A12,Upload_Indiv[[Side]:[Side]],"Raintree Back")-IF(TRUNC(ROUND($B12,0)/9,0)=2,2+IF((ROUND($B12,0)-18)*2&gt;=R$2,1,0),IF(TRUNC(ROUND($B12,0)/9,0)=1,1+IF((ROUND($B12,0)-9)*2&gt;=R$2,1,0),IF(TRUNC(ROUND($B12,0)/9,0)=0,IF(TRUNC(ROUND($B12,0)/9,0)=0,0+IF((ROUND($B12,0))*2&gt;=R$2,1,0),"Not"))))-R$3,"")</f>
        <v>0.25</v>
      </c>
      <c r="S12" s="138">
        <f>IFERROR(AVERAGEIFS(Upload_Indiv[Score7],Upload_Indiv[[Player]:[Player]],$A12,Upload_Indiv[[Side]:[Side]],"Raintree Back")-IF(TRUNC(ROUND($B12,0)/9,0)=2,2+IF((ROUND($B12,0)-18)*2&gt;=S$2,1,0),IF(TRUNC(ROUND($B12,0)/9,0)=1,1+IF((ROUND($B12,0)-9)*2&gt;=S$2,1,0),IF(TRUNC(ROUND($B12,0)/9,0)=0,IF(TRUNC(ROUND($B12,0)/9,0)=0,0+IF((ROUND($B12,0))*2&gt;=S$2,1,0),"Not"))))-S$3,"")</f>
        <v>1.25</v>
      </c>
      <c r="T12" s="138">
        <f>IFERROR(AVERAGEIFS(Upload_Indiv[Score8],Upload_Indiv[[Player]:[Player]],$A12,Upload_Indiv[[Side]:[Side]],"Raintree Back")-IF(TRUNC(ROUND($B12,0)/9,0)=2,2+IF((ROUND($B12,0)-18)*2&gt;=T$2,1,0),IF(TRUNC(ROUND($B12,0)/9,0)=1,1+IF((ROUND($B12,0)-9)*2&gt;=T$2,1,0),IF(TRUNC(ROUND($B12,0)/9,0)=0,IF(TRUNC(ROUND($B12,0)/9,0)=0,0+IF((ROUND($B12,0))*2&gt;=T$2,1,0),"Not"))))-T$3,"")</f>
        <v>1.25</v>
      </c>
      <c r="U12" s="138">
        <f>IFERROR(AVERAGEIFS(Upload_Indiv[Score9],Upload_Indiv[[Player]:[Player]],$A12,Upload_Indiv[[Side]:[Side]],"Raintree Back")-IF(TRUNC(ROUND($B12,0)/9,0)=2,2+IF((ROUND($B12,0)-18)*2&gt;=U$2,1,0),IF(TRUNC(ROUND($B12,0)/9,0)=1,1+IF((ROUND($B12,0)-9)*2&gt;=U$2,1,0),IF(TRUNC(ROUND($B12,0)/9,0)=0,IF(TRUNC(ROUND($B12,0)/9,0)=0,0+IF((ROUND($B12,0))*2&gt;=U$2,1,0),"Not"))))-U$3,"")</f>
        <v>1</v>
      </c>
      <c r="V12" s="138">
        <f t="shared" si="1"/>
        <v>6.75</v>
      </c>
    </row>
    <row r="13" spans="1:22" ht="15" customHeight="1" x14ac:dyDescent="0.25">
      <c r="A13" s="4" t="s">
        <v>286</v>
      </c>
      <c r="B13" s="138">
        <f>IFERROR(AVERAGEIFS(Upload_Indiv[Hdcp],Upload_Indiv[[Player]:[Player]],$A13),"")</f>
        <v>12.1</v>
      </c>
      <c r="C13" s="138">
        <f>IFERROR(AVERAGEIFS(Upload_Indiv[Score1],Upload_Indiv[[Player]:[Player]],$A13,Upload_Indiv[[Side]:[Side]],"Raintree Front")-IF(TRUNC(ROUND($B13,0)/9,0)=2,2+IF((ROUND($B13,0)-18)*2&gt;=C$2,1,0),IF(TRUNC(ROUND($B13,0)/9,0)=1,1+IF((ROUND($B13,0)-9)*2&gt;=C$2,1,0),IF(TRUNC(ROUND($B13,0)/9,0)=0,IF(TRUNC(ROUND($B13,0)/9,0)=0,0+IF((ROUND($B13,0))*2&gt;=C$2,1,0),"Not"))))-C$3,"")</f>
        <v>0</v>
      </c>
      <c r="D13" s="138">
        <f>IFERROR(AVERAGEIFS(Upload_Indiv[Score2],Upload_Indiv[[Player]:[Player]],$A13,Upload_Indiv[[Side]:[Side]],"Raintree Front")-IF(TRUNC(ROUND($B13,0)/9,0)=2,2+IF((ROUND($B13,0)-18)*2&gt;=D$2,1,0),IF(TRUNC(ROUND($B13,0)/9,0)=1,1+IF((ROUND($B13,0)-9)*2&gt;=D$2,1,0),IF(TRUNC(ROUND($B13,0)/9,0)=0,IF(TRUNC(ROUND($B13,0)/9,0)=0,0+IF((ROUND($B13,0))*2&gt;=D$2,1,0),"Not"))))-D$3,"")</f>
        <v>0</v>
      </c>
      <c r="E13" s="138">
        <f>IFERROR(AVERAGEIFS(Upload_Indiv[Score3],Upload_Indiv[[Player]:[Player]],$A13,Upload_Indiv[[Side]:[Side]],"Raintree Front")-IF(TRUNC(ROUND($B13,0)/9,0)=2,2+IF((ROUND($B13,0)-18)*2&gt;=E$2,1,0),IF(TRUNC(ROUND($B13,0)/9,0)=1,1+IF((ROUND($B13,0)-9)*2&gt;=E$2,1,0),IF(TRUNC(ROUND($B13,0)/9,0)=0,IF(TRUNC(ROUND($B13,0)/9,0)=0,0+IF((ROUND($B13,0))*2&gt;=E$2,1,0),"Not"))))-E$3,"")</f>
        <v>1</v>
      </c>
      <c r="F13" s="138">
        <f>IFERROR(AVERAGEIFS(Upload_Indiv[Score4],Upload_Indiv[[Player]:[Player]],$A13,Upload_Indiv[[Side]:[Side]],"Raintree Front")-IF(TRUNC(ROUND($B13,0)/9,0)=2,2+IF((ROUND($B13,0)-18)*2&gt;=F$2,1,0),IF(TRUNC(ROUND($B13,0)/9,0)=1,1+IF((ROUND($B13,0)-9)*2&gt;=F$2,1,0),IF(TRUNC(ROUND($B13,0)/9,0)=0,IF(TRUNC(ROUND($B13,0)/9,0)=0,0+IF((ROUND($B13,0))*2&gt;=F$2,1,0),"Not"))))-F$3,"")</f>
        <v>2</v>
      </c>
      <c r="G13" s="138">
        <f>IFERROR(AVERAGEIFS(Upload_Indiv[Score5],Upload_Indiv[[Player]:[Player]],$A13,Upload_Indiv[[Side]:[Side]],"Raintree Front")-IF(TRUNC(ROUND($B13,0)/9,0)=2,2+IF((ROUND($B13,0)-18)*2&gt;=G$2,1,0),IF(TRUNC(ROUND($B13,0)/9,0)=1,1+IF((ROUND($B13,0)-9)*2&gt;=G$2,1,0),IF(TRUNC(ROUND($B13,0)/9,0)=0,IF(TRUNC(ROUND($B13,0)/9,0)=0,0+IF((ROUND($B13,0))*2&gt;=G$2,1,0),"Not"))))-G$3,"")</f>
        <v>0</v>
      </c>
      <c r="H13" s="138">
        <f>IFERROR(AVERAGEIFS(Upload_Indiv[Score6],Upload_Indiv[[Player]:[Player]],$A13,Upload_Indiv[[Side]:[Side]],"Raintree Front")-IF(TRUNC(ROUND($B13,0)/9,0)=2,2+IF((ROUND($B13,0)-18)*2&gt;=H$2,1,0),IF(TRUNC(ROUND($B13,0)/9,0)=1,1+IF((ROUND($B13,0)-9)*2&gt;=H$2,1,0),IF(TRUNC(ROUND($B13,0)/9,0)=0,IF(TRUNC(ROUND($B13,0)/9,0)=0,0+IF((ROUND($B13,0))*2&gt;=H$2,1,0),"Not"))))-H$3,"")</f>
        <v>1</v>
      </c>
      <c r="I13" s="138">
        <f>IFERROR(AVERAGEIFS(Upload_Indiv[Score7],Upload_Indiv[[Player]:[Player]],$A13,Upload_Indiv[[Side]:[Side]],"Raintree Front")-IF(TRUNC(ROUND($B13,0)/9,0)=2,2+IF((ROUND($B13,0)-18)*2&gt;=I$2,1,0),IF(TRUNC(ROUND($B13,0)/9,0)=1,1+IF((ROUND($B13,0)-9)*2&gt;=I$2,1,0),IF(TRUNC(ROUND($B13,0)/9,0)=0,IF(TRUNC(ROUND($B13,0)/9,0)=0,0+IF((ROUND($B13,0))*2&gt;=I$2,1,0),"Not"))))-I$3,"")</f>
        <v>0</v>
      </c>
      <c r="J13" s="138">
        <f>IFERROR(AVERAGEIFS(Upload_Indiv[Score8],Upload_Indiv[[Player]:[Player]],$A13,Upload_Indiv[[Side]:[Side]],"Raintree Front")-IF(TRUNC(ROUND($B13,0)/9,0)=2,2+IF((ROUND($B13,0)-18)*2&gt;=J$2,1,0),IF(TRUNC(ROUND($B13,0)/9,0)=1,1+IF((ROUND($B13,0)-9)*2&gt;=J$2,1,0),IF(TRUNC(ROUND($B13,0)/9,0)=0,IF(TRUNC(ROUND($B13,0)/9,0)=0,0+IF((ROUND($B13,0))*2&gt;=J$2,1,0),"Not"))))-J$3,"")</f>
        <v>1</v>
      </c>
      <c r="K13" s="138">
        <f>IFERROR(AVERAGEIFS(Upload_Indiv[Score9],Upload_Indiv[[Player]:[Player]],$A13,Upload_Indiv[[Side]:[Side]],"Raintree Front")-IF(TRUNC(ROUND($B13,0)/9,0)=2,2+IF((ROUND($B13,0)-18)*2&gt;=K$2,1,0),IF(TRUNC(ROUND($B13,0)/9,0)=1,1+IF((ROUND($B13,0)-9)*2&gt;=K$2,1,0),IF(TRUNC(ROUND($B13,0)/9,0)=0,IF(TRUNC(ROUND($B13,0)/9,0)=0,0+IF((ROUND($B13,0))*2&gt;=K$2,1,0),"Not"))))-K$3,"")</f>
        <v>2</v>
      </c>
      <c r="L13" s="138">
        <f t="shared" si="0"/>
        <v>7</v>
      </c>
      <c r="M13" s="138">
        <f>IFERROR(AVERAGEIFS(Upload_Indiv[Score1],Upload_Indiv[[Player]:[Player]],$A13,Upload_Indiv[[Side]:[Side]],"Raintree Back")-IF(TRUNC(ROUND($B13,0)/9,0)=2,2+IF((ROUND($B13,0)-18)*2&gt;=M$2,1,0),IF(TRUNC(ROUND($B13,0)/9,0)=1,1+IF((ROUND($B13,0)-9)*2&gt;=M$2,1,0),IF(TRUNC(ROUND($B13,0)/9,0)=0,IF(TRUNC(ROUND($B13,0)/9,0)=0,0+IF((ROUND($B13,0))*2&gt;=M$2,1,0),"Not"))))-M$3,"")</f>
        <v>3</v>
      </c>
      <c r="N13" s="138">
        <f>IFERROR(AVERAGEIFS(Upload_Indiv[Score2],Upload_Indiv[[Player]:[Player]],$A13,Upload_Indiv[[Side]:[Side]],"Raintree Back")-IF(TRUNC(ROUND($B13,0)/9,0)=2,2+IF((ROUND($B13,0)-18)*2&gt;=N$2,1,0),IF(TRUNC(ROUND($B13,0)/9,0)=1,1+IF((ROUND($B13,0)-9)*2&gt;=N$2,1,0),IF(TRUNC(ROUND($B13,0)/9,0)=0,IF(TRUNC(ROUND($B13,0)/9,0)=0,0+IF((ROUND($B13,0))*2&gt;=N$2,1,0),"Not"))))-N$3,"")</f>
        <v>0</v>
      </c>
      <c r="O13" s="138">
        <f>IFERROR(AVERAGEIFS(Upload_Indiv[Score3],Upload_Indiv[[Player]:[Player]],$A13,Upload_Indiv[[Side]:[Side]],"Raintree Back")-IF(TRUNC(ROUND($B13,0)/9,0)=2,2+IF((ROUND($B13,0)-18)*2&gt;=O$2,1,0),IF(TRUNC(ROUND($B13,0)/9,0)=1,1+IF((ROUND($B13,0)-9)*2&gt;=O$2,1,0),IF(TRUNC(ROUND($B13,0)/9,0)=0,IF(TRUNC(ROUND($B13,0)/9,0)=0,0+IF((ROUND($B13,0))*2&gt;=O$2,1,0),"Not"))))-O$3,"")</f>
        <v>0</v>
      </c>
      <c r="P13" s="138">
        <f>IFERROR(AVERAGEIFS(Upload_Indiv[Score4],Upload_Indiv[[Player]:[Player]],$A13,Upload_Indiv[[Side]:[Side]],"Raintree Back")-IF(TRUNC(ROUND($B13,0)/9,0)=2,2+IF((ROUND($B13,0)-18)*2&gt;=P$2,1,0),IF(TRUNC(ROUND($B13,0)/9,0)=1,1+IF((ROUND($B13,0)-9)*2&gt;=P$2,1,0),IF(TRUNC(ROUND($B13,0)/9,0)=0,IF(TRUNC(ROUND($B13,0)/9,0)=0,0+IF((ROUND($B13,0))*2&gt;=P$2,1,0),"Not"))))-P$3,"")</f>
        <v>0</v>
      </c>
      <c r="Q13" s="138">
        <f>IFERROR(AVERAGEIFS(Upload_Indiv[Score5],Upload_Indiv[[Player]:[Player]],$A13,Upload_Indiv[[Side]:[Side]],"Raintree Back")-IF(TRUNC(ROUND($B13,0)/9,0)=2,2+IF((ROUND($B13,0)-18)*2&gt;=Q$2,1,0),IF(TRUNC(ROUND($B13,0)/9,0)=1,1+IF((ROUND($B13,0)-9)*2&gt;=Q$2,1,0),IF(TRUNC(ROUND($B13,0)/9,0)=0,IF(TRUNC(ROUND($B13,0)/9,0)=0,0+IF((ROUND($B13,0))*2&gt;=Q$2,1,0),"Not"))))-Q$3,"")</f>
        <v>-1</v>
      </c>
      <c r="R13" s="138">
        <f>IFERROR(AVERAGEIFS(Upload_Indiv[Score6],Upload_Indiv[[Player]:[Player]],$A13,Upload_Indiv[[Side]:[Side]],"Raintree Back")-IF(TRUNC(ROUND($B13,0)/9,0)=2,2+IF((ROUND($B13,0)-18)*2&gt;=R$2,1,0),IF(TRUNC(ROUND($B13,0)/9,0)=1,1+IF((ROUND($B13,0)-9)*2&gt;=R$2,1,0),IF(TRUNC(ROUND($B13,0)/9,0)=0,IF(TRUNC(ROUND($B13,0)/9,0)=0,0+IF((ROUND($B13,0))*2&gt;=R$2,1,0),"Not"))))-R$3,"")</f>
        <v>0</v>
      </c>
      <c r="S13" s="138">
        <f>IFERROR(AVERAGEIFS(Upload_Indiv[Score7],Upload_Indiv[[Player]:[Player]],$A13,Upload_Indiv[[Side]:[Side]],"Raintree Back")-IF(TRUNC(ROUND($B13,0)/9,0)=2,2+IF((ROUND($B13,0)-18)*2&gt;=S$2,1,0),IF(TRUNC(ROUND($B13,0)/9,0)=1,1+IF((ROUND($B13,0)-9)*2&gt;=S$2,1,0),IF(TRUNC(ROUND($B13,0)/9,0)=0,IF(TRUNC(ROUND($B13,0)/9,0)=0,0+IF((ROUND($B13,0))*2&gt;=S$2,1,0),"Not"))))-S$3,"")</f>
        <v>-1</v>
      </c>
      <c r="T13" s="138">
        <f>IFERROR(AVERAGEIFS(Upload_Indiv[Score8],Upload_Indiv[[Player]:[Player]],$A13,Upload_Indiv[[Side]:[Side]],"Raintree Back")-IF(TRUNC(ROUND($B13,0)/9,0)=2,2+IF((ROUND($B13,0)-18)*2&gt;=T$2,1,0),IF(TRUNC(ROUND($B13,0)/9,0)=1,1+IF((ROUND($B13,0)-9)*2&gt;=T$2,1,0),IF(TRUNC(ROUND($B13,0)/9,0)=0,IF(TRUNC(ROUND($B13,0)/9,0)=0,0+IF((ROUND($B13,0))*2&gt;=T$2,1,0),"Not"))))-T$3,"")</f>
        <v>-1</v>
      </c>
      <c r="U13" s="138">
        <f>IFERROR(AVERAGEIFS(Upload_Indiv[Score9],Upload_Indiv[[Player]:[Player]],$A13,Upload_Indiv[[Side]:[Side]],"Raintree Back")-IF(TRUNC(ROUND($B13,0)/9,0)=2,2+IF((ROUND($B13,0)-18)*2&gt;=U$2,1,0),IF(TRUNC(ROUND($B13,0)/9,0)=1,1+IF((ROUND($B13,0)-9)*2&gt;=U$2,1,0),IF(TRUNC(ROUND($B13,0)/9,0)=0,IF(TRUNC(ROUND($B13,0)/9,0)=0,0+IF((ROUND($B13,0))*2&gt;=U$2,1,0),"Not"))))-U$3,"")</f>
        <v>2</v>
      </c>
      <c r="V13" s="138">
        <f t="shared" si="1"/>
        <v>2</v>
      </c>
    </row>
    <row r="14" spans="1:22" ht="15" customHeight="1" x14ac:dyDescent="0.25">
      <c r="A14" s="4" t="s">
        <v>156</v>
      </c>
      <c r="B14" s="138">
        <f>IFERROR(AVERAGEIFS(Upload_Indiv[Hdcp],Upload_Indiv[[Player]:[Player]],$A14),"")</f>
        <v>4.7442857142857147</v>
      </c>
      <c r="C14" s="138">
        <f>IFERROR(AVERAGEIFS(Upload_Indiv[Score1],Upload_Indiv[[Player]:[Player]],$A14,Upload_Indiv[[Side]:[Side]],"Raintree Front")-IF(TRUNC(ROUND($B14,0)/9,0)=2,2+IF((ROUND($B14,0)-18)*2&gt;=C$2,1,0),IF(TRUNC(ROUND($B14,0)/9,0)=1,1+IF((ROUND($B14,0)-9)*2&gt;=C$2,1,0),IF(TRUNC(ROUND($B14,0)/9,0)=0,IF(TRUNC(ROUND($B14,0)/9,0)=0,0+IF((ROUND($B14,0))*2&gt;=C$2,1,0),"Not"))))-C$3,"")</f>
        <v>-0.28571428571428559</v>
      </c>
      <c r="D14" s="138">
        <f>IFERROR(AVERAGEIFS(Upload_Indiv[Score2],Upload_Indiv[[Player]:[Player]],$A14,Upload_Indiv[[Side]:[Side]],"Raintree Front")-IF(TRUNC(ROUND($B14,0)/9,0)=2,2+IF((ROUND($B14,0)-18)*2&gt;=D$2,1,0),IF(TRUNC(ROUND($B14,0)/9,0)=1,1+IF((ROUND($B14,0)-9)*2&gt;=D$2,1,0),IF(TRUNC(ROUND($B14,0)/9,0)=0,IF(TRUNC(ROUND($B14,0)/9,0)=0,0+IF((ROUND($B14,0))*2&gt;=D$2,1,0),"Not"))))-D$3,"")</f>
        <v>0.28571428571428559</v>
      </c>
      <c r="E14" s="138">
        <f>IFERROR(AVERAGEIFS(Upload_Indiv[Score3],Upload_Indiv[[Player]:[Player]],$A14,Upload_Indiv[[Side]:[Side]],"Raintree Front")-IF(TRUNC(ROUND($B14,0)/9,0)=2,2+IF((ROUND($B14,0)-18)*2&gt;=E$2,1,0),IF(TRUNC(ROUND($B14,0)/9,0)=1,1+IF((ROUND($B14,0)-9)*2&gt;=E$2,1,0),IF(TRUNC(ROUND($B14,0)/9,0)=0,IF(TRUNC(ROUND($B14,0)/9,0)=0,0+IF((ROUND($B14,0))*2&gt;=E$2,1,0),"Not"))))-E$3,"")</f>
        <v>0</v>
      </c>
      <c r="F14" s="138">
        <f>IFERROR(AVERAGEIFS(Upload_Indiv[Score4],Upload_Indiv[[Player]:[Player]],$A14,Upload_Indiv[[Side]:[Side]],"Raintree Front")-IF(TRUNC(ROUND($B14,0)/9,0)=2,2+IF((ROUND($B14,0)-18)*2&gt;=F$2,1,0),IF(TRUNC(ROUND($B14,0)/9,0)=1,1+IF((ROUND($B14,0)-9)*2&gt;=F$2,1,0),IF(TRUNC(ROUND($B14,0)/9,0)=0,IF(TRUNC(ROUND($B14,0)/9,0)=0,0+IF((ROUND($B14,0))*2&gt;=F$2,1,0),"Not"))))-F$3,"")</f>
        <v>0.57142857142857162</v>
      </c>
      <c r="G14" s="138">
        <f>IFERROR(AVERAGEIFS(Upload_Indiv[Score5],Upload_Indiv[[Player]:[Player]],$A14,Upload_Indiv[[Side]:[Side]],"Raintree Front")-IF(TRUNC(ROUND($B14,0)/9,0)=2,2+IF((ROUND($B14,0)-18)*2&gt;=G$2,1,0),IF(TRUNC(ROUND($B14,0)/9,0)=1,1+IF((ROUND($B14,0)-9)*2&gt;=G$2,1,0),IF(TRUNC(ROUND($B14,0)/9,0)=0,IF(TRUNC(ROUND($B14,0)/9,0)=0,0+IF((ROUND($B14,0))*2&gt;=G$2,1,0),"Not"))))-G$3,"")</f>
        <v>1.8571428571428568</v>
      </c>
      <c r="H14" s="138">
        <f>IFERROR(AVERAGEIFS(Upload_Indiv[Score6],Upload_Indiv[[Player]:[Player]],$A14,Upload_Indiv[[Side]:[Side]],"Raintree Front")-IF(TRUNC(ROUND($B14,0)/9,0)=2,2+IF((ROUND($B14,0)-18)*2&gt;=H$2,1,0),IF(TRUNC(ROUND($B14,0)/9,0)=1,1+IF((ROUND($B14,0)-9)*2&gt;=H$2,1,0),IF(TRUNC(ROUND($B14,0)/9,0)=0,IF(TRUNC(ROUND($B14,0)/9,0)=0,0+IF((ROUND($B14,0))*2&gt;=H$2,1,0),"Not"))))-H$3,"")</f>
        <v>0</v>
      </c>
      <c r="I14" s="138">
        <f>IFERROR(AVERAGEIFS(Upload_Indiv[Score7],Upload_Indiv[[Player]:[Player]],$A14,Upload_Indiv[[Side]:[Side]],"Raintree Front")-IF(TRUNC(ROUND($B14,0)/9,0)=2,2+IF((ROUND($B14,0)-18)*2&gt;=I$2,1,0),IF(TRUNC(ROUND($B14,0)/9,0)=1,1+IF((ROUND($B14,0)-9)*2&gt;=I$2,1,0),IF(TRUNC(ROUND($B14,0)/9,0)=0,IF(TRUNC(ROUND($B14,0)/9,0)=0,0+IF((ROUND($B14,0))*2&gt;=I$2,1,0),"Not"))))-I$3,"")</f>
        <v>-0.14285714285714324</v>
      </c>
      <c r="J14" s="138">
        <f>IFERROR(AVERAGEIFS(Upload_Indiv[Score8],Upload_Indiv[[Player]:[Player]],$A14,Upload_Indiv[[Side]:[Side]],"Raintree Front")-IF(TRUNC(ROUND($B14,0)/9,0)=2,2+IF((ROUND($B14,0)-18)*2&gt;=J$2,1,0),IF(TRUNC(ROUND($B14,0)/9,0)=1,1+IF((ROUND($B14,0)-9)*2&gt;=J$2,1,0),IF(TRUNC(ROUND($B14,0)/9,0)=0,IF(TRUNC(ROUND($B14,0)/9,0)=0,0+IF((ROUND($B14,0))*2&gt;=J$2,1,0),"Not"))))-J$3,"")</f>
        <v>0.57142857142857162</v>
      </c>
      <c r="K14" s="138">
        <f>IFERROR(AVERAGEIFS(Upload_Indiv[Score9],Upload_Indiv[[Player]:[Player]],$A14,Upload_Indiv[[Side]:[Side]],"Raintree Front")-IF(TRUNC(ROUND($B14,0)/9,0)=2,2+IF((ROUND($B14,0)-18)*2&gt;=K$2,1,0),IF(TRUNC(ROUND($B14,0)/9,0)=1,1+IF((ROUND($B14,0)-9)*2&gt;=K$2,1,0),IF(TRUNC(ROUND($B14,0)/9,0)=0,IF(TRUNC(ROUND($B14,0)/9,0)=0,0+IF((ROUND($B14,0))*2&gt;=K$2,1,0),"Not"))))-K$3,"")</f>
        <v>0.42857142857142883</v>
      </c>
      <c r="L14" s="138">
        <f t="shared" si="0"/>
        <v>3.2857142857142856</v>
      </c>
      <c r="M14" s="138">
        <f>IFERROR(AVERAGEIFS(Upload_Indiv[Score1],Upload_Indiv[[Player]:[Player]],$A14,Upload_Indiv[[Side]:[Side]],"Raintree Back")-IF(TRUNC(ROUND($B14,0)/9,0)=2,2+IF((ROUND($B14,0)-18)*2&gt;=M$2,1,0),IF(TRUNC(ROUND($B14,0)/9,0)=1,1+IF((ROUND($B14,0)-9)*2&gt;=M$2,1,0),IF(TRUNC(ROUND($B14,0)/9,0)=0,IF(TRUNC(ROUND($B14,0)/9,0)=0,0+IF((ROUND($B14,0))*2&gt;=M$2,1,0),"Not"))))-M$3,"")</f>
        <v>1.1428571428571432</v>
      </c>
      <c r="N14" s="138">
        <f>IFERROR(AVERAGEIFS(Upload_Indiv[Score2],Upload_Indiv[[Player]:[Player]],$A14,Upload_Indiv[[Side]:[Side]],"Raintree Back")-IF(TRUNC(ROUND($B14,0)/9,0)=2,2+IF((ROUND($B14,0)-18)*2&gt;=N$2,1,0),IF(TRUNC(ROUND($B14,0)/9,0)=1,1+IF((ROUND($B14,0)-9)*2&gt;=N$2,1,0),IF(TRUNC(ROUND($B14,0)/9,0)=0,IF(TRUNC(ROUND($B14,0)/9,0)=0,0+IF((ROUND($B14,0))*2&gt;=N$2,1,0),"Not"))))-N$3,"")</f>
        <v>1.1428571428571432</v>
      </c>
      <c r="O14" s="138">
        <f>IFERROR(AVERAGEIFS(Upload_Indiv[Score3],Upload_Indiv[[Player]:[Player]],$A14,Upload_Indiv[[Side]:[Side]],"Raintree Back")-IF(TRUNC(ROUND($B14,0)/9,0)=2,2+IF((ROUND($B14,0)-18)*2&gt;=O$2,1,0),IF(TRUNC(ROUND($B14,0)/9,0)=1,1+IF((ROUND($B14,0)-9)*2&gt;=O$2,1,0),IF(TRUNC(ROUND($B14,0)/9,0)=0,IF(TRUNC(ROUND($B14,0)/9,0)=0,0+IF((ROUND($B14,0))*2&gt;=O$2,1,0),"Not"))))-O$3,"")</f>
        <v>0.57142857142857117</v>
      </c>
      <c r="P14" s="138">
        <f>IFERROR(AVERAGEIFS(Upload_Indiv[Score4],Upload_Indiv[[Player]:[Player]],$A14,Upload_Indiv[[Side]:[Side]],"Raintree Back")-IF(TRUNC(ROUND($B14,0)/9,0)=2,2+IF((ROUND($B14,0)-18)*2&gt;=P$2,1,0),IF(TRUNC(ROUND($B14,0)/9,0)=1,1+IF((ROUND($B14,0)-9)*2&gt;=P$2,1,0),IF(TRUNC(ROUND($B14,0)/9,0)=0,IF(TRUNC(ROUND($B14,0)/9,0)=0,0+IF((ROUND($B14,0))*2&gt;=P$2,1,0),"Not"))))-P$3,"")</f>
        <v>-0.85714285714285676</v>
      </c>
      <c r="Q14" s="138">
        <f>IFERROR(AVERAGEIFS(Upload_Indiv[Score5],Upload_Indiv[[Player]:[Player]],$A14,Upload_Indiv[[Side]:[Side]],"Raintree Back")-IF(TRUNC(ROUND($B14,0)/9,0)=2,2+IF((ROUND($B14,0)-18)*2&gt;=Q$2,1,0),IF(TRUNC(ROUND($B14,0)/9,0)=1,1+IF((ROUND($B14,0)-9)*2&gt;=Q$2,1,0),IF(TRUNC(ROUND($B14,0)/9,0)=0,IF(TRUNC(ROUND($B14,0)/9,0)=0,0+IF((ROUND($B14,0))*2&gt;=Q$2,1,0),"Not"))))-Q$3,"")</f>
        <v>0.28571428571428559</v>
      </c>
      <c r="R14" s="138">
        <f>IFERROR(AVERAGEIFS(Upload_Indiv[Score6],Upload_Indiv[[Player]:[Player]],$A14,Upload_Indiv[[Side]:[Side]],"Raintree Back")-IF(TRUNC(ROUND($B14,0)/9,0)=2,2+IF((ROUND($B14,0)-18)*2&gt;=R$2,1,0),IF(TRUNC(ROUND($B14,0)/9,0)=1,1+IF((ROUND($B14,0)-9)*2&gt;=R$2,1,0),IF(TRUNC(ROUND($B14,0)/9,0)=0,IF(TRUNC(ROUND($B14,0)/9,0)=0,0+IF((ROUND($B14,0))*2&gt;=R$2,1,0),"Not"))))-R$3,"")</f>
        <v>-0.71428571428571441</v>
      </c>
      <c r="S14" s="138">
        <f>IFERROR(AVERAGEIFS(Upload_Indiv[Score7],Upload_Indiv[[Player]:[Player]],$A14,Upload_Indiv[[Side]:[Side]],"Raintree Back")-IF(TRUNC(ROUND($B14,0)/9,0)=2,2+IF((ROUND($B14,0)-18)*2&gt;=S$2,1,0),IF(TRUNC(ROUND($B14,0)/9,0)=1,1+IF((ROUND($B14,0)-9)*2&gt;=S$2,1,0),IF(TRUNC(ROUND($B14,0)/9,0)=0,IF(TRUNC(ROUND($B14,0)/9,0)=0,0+IF((ROUND($B14,0))*2&gt;=S$2,1,0),"Not"))))-S$3,"")</f>
        <v>-0.14285714285714279</v>
      </c>
      <c r="T14" s="138">
        <f>IFERROR(AVERAGEIFS(Upload_Indiv[Score8],Upload_Indiv[[Player]:[Player]],$A14,Upload_Indiv[[Side]:[Side]],"Raintree Back")-IF(TRUNC(ROUND($B14,0)/9,0)=2,2+IF((ROUND($B14,0)-18)*2&gt;=T$2,1,0),IF(TRUNC(ROUND($B14,0)/9,0)=1,1+IF((ROUND($B14,0)-9)*2&gt;=T$2,1,0),IF(TRUNC(ROUND($B14,0)/9,0)=0,IF(TRUNC(ROUND($B14,0)/9,0)=0,0+IF((ROUND($B14,0))*2&gt;=T$2,1,0),"Not"))))-T$3,"")</f>
        <v>0</v>
      </c>
      <c r="U14" s="138">
        <f>IFERROR(AVERAGEIFS(Upload_Indiv[Score9],Upload_Indiv[[Player]:[Player]],$A14,Upload_Indiv[[Side]:[Side]],"Raintree Back")-IF(TRUNC(ROUND($B14,0)/9,0)=2,2+IF((ROUND($B14,0)-18)*2&gt;=U$2,1,0),IF(TRUNC(ROUND($B14,0)/9,0)=1,1+IF((ROUND($B14,0)-9)*2&gt;=U$2,1,0),IF(TRUNC(ROUND($B14,0)/9,0)=0,IF(TRUNC(ROUND($B14,0)/9,0)=0,0+IF((ROUND($B14,0))*2&gt;=U$2,1,0),"Not"))))-U$3,"")</f>
        <v>-0.42857142857142883</v>
      </c>
      <c r="V14" s="138">
        <f t="shared" si="1"/>
        <v>1.0000000000000004</v>
      </c>
    </row>
    <row r="15" spans="1:22" ht="15" customHeight="1" x14ac:dyDescent="0.25">
      <c r="A15" s="4" t="s">
        <v>267</v>
      </c>
      <c r="B15" s="138">
        <f>IFERROR(AVERAGEIFS(Upload_Indiv[Hdcp],Upload_Indiv[[Player]:[Player]],$A15),"")</f>
        <v>11.993076923076925</v>
      </c>
      <c r="C15" s="138">
        <f>IFERROR(AVERAGEIFS(Upload_Indiv[Score1],Upload_Indiv[[Player]:[Player]],$A15,Upload_Indiv[[Side]:[Side]],"Raintree Front")-IF(TRUNC(ROUND($B15,0)/9,0)=2,2+IF((ROUND($B15,0)-18)*2&gt;=C$2,1,0),IF(TRUNC(ROUND($B15,0)/9,0)=1,1+IF((ROUND($B15,0)-9)*2&gt;=C$2,1,0),IF(TRUNC(ROUND($B15,0)/9,0)=0,IF(TRUNC(ROUND($B15,0)/9,0)=0,0+IF((ROUND($B15,0))*2&gt;=C$2,1,0),"Not"))))-C$3,"")</f>
        <v>-0.5</v>
      </c>
      <c r="D15" s="138">
        <f>IFERROR(AVERAGEIFS(Upload_Indiv[Score2],Upload_Indiv[[Player]:[Player]],$A15,Upload_Indiv[[Side]:[Side]],"Raintree Front")-IF(TRUNC(ROUND($B15,0)/9,0)=2,2+IF((ROUND($B15,0)-18)*2&gt;=D$2,1,0),IF(TRUNC(ROUND($B15,0)/9,0)=1,1+IF((ROUND($B15,0)-9)*2&gt;=D$2,1,0),IF(TRUNC(ROUND($B15,0)/9,0)=0,IF(TRUNC(ROUND($B15,0)/9,0)=0,0+IF((ROUND($B15,0))*2&gt;=D$2,1,0),"Not"))))-D$3,"")</f>
        <v>1.333333333333333</v>
      </c>
      <c r="E15" s="138">
        <f>IFERROR(AVERAGEIFS(Upload_Indiv[Score3],Upload_Indiv[[Player]:[Player]],$A15,Upload_Indiv[[Side]:[Side]],"Raintree Front")-IF(TRUNC(ROUND($B15,0)/9,0)=2,2+IF((ROUND($B15,0)-18)*2&gt;=E$2,1,0),IF(TRUNC(ROUND($B15,0)/9,0)=1,1+IF((ROUND($B15,0)-9)*2&gt;=E$2,1,0),IF(TRUNC(ROUND($B15,0)/9,0)=0,IF(TRUNC(ROUND($B15,0)/9,0)=0,0+IF((ROUND($B15,0))*2&gt;=E$2,1,0),"Not"))))-E$3,"")</f>
        <v>0.33333333333333304</v>
      </c>
      <c r="F15" s="138">
        <f>IFERROR(AVERAGEIFS(Upload_Indiv[Score4],Upload_Indiv[[Player]:[Player]],$A15,Upload_Indiv[[Side]:[Side]],"Raintree Front")-IF(TRUNC(ROUND($B15,0)/9,0)=2,2+IF((ROUND($B15,0)-18)*2&gt;=F$2,1,0),IF(TRUNC(ROUND($B15,0)/9,0)=1,1+IF((ROUND($B15,0)-9)*2&gt;=F$2,1,0),IF(TRUNC(ROUND($B15,0)/9,0)=0,IF(TRUNC(ROUND($B15,0)/9,0)=0,0+IF((ROUND($B15,0))*2&gt;=F$2,1,0),"Not"))))-F$3,"")</f>
        <v>-0.16666666666666652</v>
      </c>
      <c r="G15" s="138">
        <f>IFERROR(AVERAGEIFS(Upload_Indiv[Score5],Upload_Indiv[[Player]:[Player]],$A15,Upload_Indiv[[Side]:[Side]],"Raintree Front")-IF(TRUNC(ROUND($B15,0)/9,0)=2,2+IF((ROUND($B15,0)-18)*2&gt;=G$2,1,0),IF(TRUNC(ROUND($B15,0)/9,0)=1,1+IF((ROUND($B15,0)-9)*2&gt;=G$2,1,0),IF(TRUNC(ROUND($B15,0)/9,0)=0,IF(TRUNC(ROUND($B15,0)/9,0)=0,0+IF((ROUND($B15,0))*2&gt;=G$2,1,0),"Not"))))-G$3,"")</f>
        <v>1.5</v>
      </c>
      <c r="H15" s="138">
        <f>IFERROR(AVERAGEIFS(Upload_Indiv[Score6],Upload_Indiv[[Player]:[Player]],$A15,Upload_Indiv[[Side]:[Side]],"Raintree Front")-IF(TRUNC(ROUND($B15,0)/9,0)=2,2+IF((ROUND($B15,0)-18)*2&gt;=H$2,1,0),IF(TRUNC(ROUND($B15,0)/9,0)=1,1+IF((ROUND($B15,0)-9)*2&gt;=H$2,1,0),IF(TRUNC(ROUND($B15,0)/9,0)=0,IF(TRUNC(ROUND($B15,0)/9,0)=0,0+IF((ROUND($B15,0))*2&gt;=H$2,1,0),"Not"))))-H$3,"")</f>
        <v>-0.16666666666666696</v>
      </c>
      <c r="I15" s="138">
        <f>IFERROR(AVERAGEIFS(Upload_Indiv[Score7],Upload_Indiv[[Player]:[Player]],$A15,Upload_Indiv[[Side]:[Side]],"Raintree Front")-IF(TRUNC(ROUND($B15,0)/9,0)=2,2+IF((ROUND($B15,0)-18)*2&gt;=I$2,1,0),IF(TRUNC(ROUND($B15,0)/9,0)=1,1+IF((ROUND($B15,0)-9)*2&gt;=I$2,1,0),IF(TRUNC(ROUND($B15,0)/9,0)=0,IF(TRUNC(ROUND($B15,0)/9,0)=0,0+IF((ROUND($B15,0))*2&gt;=I$2,1,0),"Not"))))-I$3,"")</f>
        <v>0.66666666666666696</v>
      </c>
      <c r="J15" s="138">
        <f>IFERROR(AVERAGEIFS(Upload_Indiv[Score8],Upload_Indiv[[Player]:[Player]],$A15,Upload_Indiv[[Side]:[Side]],"Raintree Front")-IF(TRUNC(ROUND($B15,0)/9,0)=2,2+IF((ROUND($B15,0)-18)*2&gt;=J$2,1,0),IF(TRUNC(ROUND($B15,0)/9,0)=1,1+IF((ROUND($B15,0)-9)*2&gt;=J$2,1,0),IF(TRUNC(ROUND($B15,0)/9,0)=0,IF(TRUNC(ROUND($B15,0)/9,0)=0,0+IF((ROUND($B15,0))*2&gt;=J$2,1,0),"Not"))))-J$3,"")</f>
        <v>1.333333333333333</v>
      </c>
      <c r="K15" s="138">
        <f>IFERROR(AVERAGEIFS(Upload_Indiv[Score9],Upload_Indiv[[Player]:[Player]],$A15,Upload_Indiv[[Side]:[Side]],"Raintree Front")-IF(TRUNC(ROUND($B15,0)/9,0)=2,2+IF((ROUND($B15,0)-18)*2&gt;=K$2,1,0),IF(TRUNC(ROUND($B15,0)/9,0)=1,1+IF((ROUND($B15,0)-9)*2&gt;=K$2,1,0),IF(TRUNC(ROUND($B15,0)/9,0)=0,IF(TRUNC(ROUND($B15,0)/9,0)=0,0+IF((ROUND($B15,0))*2&gt;=K$2,1,0),"Not"))))-K$3,"")</f>
        <v>0.66666666666666696</v>
      </c>
      <c r="L15" s="138">
        <f t="shared" si="0"/>
        <v>4.9999999999999991</v>
      </c>
      <c r="M15" s="138">
        <f>IFERROR(AVERAGEIFS(Upload_Indiv[Score1],Upload_Indiv[[Player]:[Player]],$A15,Upload_Indiv[[Side]:[Side]],"Raintree Back")-IF(TRUNC(ROUND($B15,0)/9,0)=2,2+IF((ROUND($B15,0)-18)*2&gt;=M$2,1,0),IF(TRUNC(ROUND($B15,0)/9,0)=1,1+IF((ROUND($B15,0)-9)*2&gt;=M$2,1,0),IF(TRUNC(ROUND($B15,0)/9,0)=0,IF(TRUNC(ROUND($B15,0)/9,0)=0,0+IF((ROUND($B15,0))*2&gt;=M$2,1,0),"Not"))))-M$3,"")</f>
        <v>0.71428571428571441</v>
      </c>
      <c r="N15" s="138">
        <f>IFERROR(AVERAGEIFS(Upload_Indiv[Score2],Upload_Indiv[[Player]:[Player]],$A15,Upload_Indiv[[Side]:[Side]],"Raintree Back")-IF(TRUNC(ROUND($B15,0)/9,0)=2,2+IF((ROUND($B15,0)-18)*2&gt;=N$2,1,0),IF(TRUNC(ROUND($B15,0)/9,0)=1,1+IF((ROUND($B15,0)-9)*2&gt;=N$2,1,0),IF(TRUNC(ROUND($B15,0)/9,0)=0,IF(TRUNC(ROUND($B15,0)/9,0)=0,0+IF((ROUND($B15,0))*2&gt;=N$2,1,0),"Not"))))-N$3,"")</f>
        <v>0.85714285714285676</v>
      </c>
      <c r="O15" s="138">
        <f>IFERROR(AVERAGEIFS(Upload_Indiv[Score3],Upload_Indiv[[Player]:[Player]],$A15,Upload_Indiv[[Side]:[Side]],"Raintree Back")-IF(TRUNC(ROUND($B15,0)/9,0)=2,2+IF((ROUND($B15,0)-18)*2&gt;=O$2,1,0),IF(TRUNC(ROUND($B15,0)/9,0)=1,1+IF((ROUND($B15,0)-9)*2&gt;=O$2,1,0),IF(TRUNC(ROUND($B15,0)/9,0)=0,IF(TRUNC(ROUND($B15,0)/9,0)=0,0+IF((ROUND($B15,0))*2&gt;=O$2,1,0),"Not"))))-O$3,"")</f>
        <v>1.2857142857142856</v>
      </c>
      <c r="P15" s="138">
        <f>IFERROR(AVERAGEIFS(Upload_Indiv[Score4],Upload_Indiv[[Player]:[Player]],$A15,Upload_Indiv[[Side]:[Side]],"Raintree Back")-IF(TRUNC(ROUND($B15,0)/9,0)=2,2+IF((ROUND($B15,0)-18)*2&gt;=P$2,1,0),IF(TRUNC(ROUND($B15,0)/9,0)=1,1+IF((ROUND($B15,0)-9)*2&gt;=P$2,1,0),IF(TRUNC(ROUND($B15,0)/9,0)=0,IF(TRUNC(ROUND($B15,0)/9,0)=0,0+IF((ROUND($B15,0))*2&gt;=P$2,1,0),"Not"))))-P$3,"")</f>
        <v>0.42857142857142883</v>
      </c>
      <c r="Q15" s="138">
        <f>IFERROR(AVERAGEIFS(Upload_Indiv[Score5],Upload_Indiv[[Player]:[Player]],$A15,Upload_Indiv[[Side]:[Side]],"Raintree Back")-IF(TRUNC(ROUND($B15,0)/9,0)=2,2+IF((ROUND($B15,0)-18)*2&gt;=Q$2,1,0),IF(TRUNC(ROUND($B15,0)/9,0)=1,1+IF((ROUND($B15,0)-9)*2&gt;=Q$2,1,0),IF(TRUNC(ROUND($B15,0)/9,0)=0,IF(TRUNC(ROUND($B15,0)/9,0)=0,0+IF((ROUND($B15,0))*2&gt;=Q$2,1,0),"Not"))))-Q$3,"")</f>
        <v>-0.28571428571428559</v>
      </c>
      <c r="R15" s="138">
        <f>IFERROR(AVERAGEIFS(Upload_Indiv[Score6],Upload_Indiv[[Player]:[Player]],$A15,Upload_Indiv[[Side]:[Side]],"Raintree Back")-IF(TRUNC(ROUND($B15,0)/9,0)=2,2+IF((ROUND($B15,0)-18)*2&gt;=R$2,1,0),IF(TRUNC(ROUND($B15,0)/9,0)=1,1+IF((ROUND($B15,0)-9)*2&gt;=R$2,1,0),IF(TRUNC(ROUND($B15,0)/9,0)=0,IF(TRUNC(ROUND($B15,0)/9,0)=0,0+IF((ROUND($B15,0))*2&gt;=R$2,1,0),"Not"))))-R$3,"")</f>
        <v>-0.28571428571428559</v>
      </c>
      <c r="S15" s="138">
        <f>IFERROR(AVERAGEIFS(Upload_Indiv[Score7],Upload_Indiv[[Player]:[Player]],$A15,Upload_Indiv[[Side]:[Side]],"Raintree Back")-IF(TRUNC(ROUND($B15,0)/9,0)=2,2+IF((ROUND($B15,0)-18)*2&gt;=S$2,1,0),IF(TRUNC(ROUND($B15,0)/9,0)=1,1+IF((ROUND($B15,0)-9)*2&gt;=S$2,1,0),IF(TRUNC(ROUND($B15,0)/9,0)=0,IF(TRUNC(ROUND($B15,0)/9,0)=0,0+IF((ROUND($B15,0))*2&gt;=S$2,1,0),"Not"))))-S$3,"")</f>
        <v>0.42857142857142883</v>
      </c>
      <c r="T15" s="138">
        <f>IFERROR(AVERAGEIFS(Upload_Indiv[Score8],Upload_Indiv[[Player]:[Player]],$A15,Upload_Indiv[[Side]:[Side]],"Raintree Back")-IF(TRUNC(ROUND($B15,0)/9,0)=2,2+IF((ROUND($B15,0)-18)*2&gt;=T$2,1,0),IF(TRUNC(ROUND($B15,0)/9,0)=1,1+IF((ROUND($B15,0)-9)*2&gt;=T$2,1,0),IF(TRUNC(ROUND($B15,0)/9,0)=0,IF(TRUNC(ROUND($B15,0)/9,0)=0,0+IF((ROUND($B15,0))*2&gt;=T$2,1,0),"Not"))))-T$3,"")</f>
        <v>-0.42857142857142883</v>
      </c>
      <c r="U15" s="138">
        <f>IFERROR(AVERAGEIFS(Upload_Indiv[Score9],Upload_Indiv[[Player]:[Player]],$A15,Upload_Indiv[[Side]:[Side]],"Raintree Back")-IF(TRUNC(ROUND($B15,0)/9,0)=2,2+IF((ROUND($B15,0)-18)*2&gt;=U$2,1,0),IF(TRUNC(ROUND($B15,0)/9,0)=1,1+IF((ROUND($B15,0)-9)*2&gt;=U$2,1,0),IF(TRUNC(ROUND($B15,0)/9,0)=0,IF(TRUNC(ROUND($B15,0)/9,0)=0,0+IF((ROUND($B15,0))*2&gt;=U$2,1,0),"Not"))))-U$3,"")</f>
        <v>0.42857142857142883</v>
      </c>
      <c r="V15" s="138">
        <f t="shared" si="1"/>
        <v>3.1428571428571432</v>
      </c>
    </row>
    <row r="16" spans="1:22" ht="15" customHeight="1" x14ac:dyDescent="0.25">
      <c r="A16" s="4" t="s">
        <v>294</v>
      </c>
      <c r="B16" s="138">
        <f>IFERROR(AVERAGEIFS(Upload_Indiv[Hdcp],Upload_Indiv[[Player]:[Player]],$A16),"")</f>
        <v>4.8237499999999995</v>
      </c>
      <c r="C16" s="138">
        <f>IFERROR(AVERAGEIFS(Upload_Indiv[Score1],Upload_Indiv[[Player]:[Player]],$A16,Upload_Indiv[[Side]:[Side]],"Raintree Front")-IF(TRUNC(ROUND($B16,0)/9,0)=2,2+IF((ROUND($B16,0)-18)*2&gt;=C$2,1,0),IF(TRUNC(ROUND($B16,0)/9,0)=1,1+IF((ROUND($B16,0)-9)*2&gt;=C$2,1,0),IF(TRUNC(ROUND($B16,0)/9,0)=0,IF(TRUNC(ROUND($B16,0)/9,0)=0,0+IF((ROUND($B16,0))*2&gt;=C$2,1,0),"Not"))))-C$3,"")</f>
        <v>0.42857142857142883</v>
      </c>
      <c r="D16" s="138">
        <f>IFERROR(AVERAGEIFS(Upload_Indiv[Score2],Upload_Indiv[[Player]:[Player]],$A16,Upload_Indiv[[Side]:[Side]],"Raintree Front")-IF(TRUNC(ROUND($B16,0)/9,0)=2,2+IF((ROUND($B16,0)-18)*2&gt;=D$2,1,0),IF(TRUNC(ROUND($B16,0)/9,0)=1,1+IF((ROUND($B16,0)-9)*2&gt;=D$2,1,0),IF(TRUNC(ROUND($B16,0)/9,0)=0,IF(TRUNC(ROUND($B16,0)/9,0)=0,0+IF((ROUND($B16,0))*2&gt;=D$2,1,0),"Not"))))-D$3,"")</f>
        <v>1</v>
      </c>
      <c r="E16" s="138">
        <f>IFERROR(AVERAGEIFS(Upload_Indiv[Score3],Upload_Indiv[[Player]:[Player]],$A16,Upload_Indiv[[Side]:[Side]],"Raintree Front")-IF(TRUNC(ROUND($B16,0)/9,0)=2,2+IF((ROUND($B16,0)-18)*2&gt;=E$2,1,0),IF(TRUNC(ROUND($B16,0)/9,0)=1,1+IF((ROUND($B16,0)-9)*2&gt;=E$2,1,0),IF(TRUNC(ROUND($B16,0)/9,0)=0,IF(TRUNC(ROUND($B16,0)/9,0)=0,0+IF((ROUND($B16,0))*2&gt;=E$2,1,0),"Not"))))-E$3,"")</f>
        <v>0.14285714285714324</v>
      </c>
      <c r="F16" s="138">
        <f>IFERROR(AVERAGEIFS(Upload_Indiv[Score4],Upload_Indiv[[Player]:[Player]],$A16,Upload_Indiv[[Side]:[Side]],"Raintree Front")-IF(TRUNC(ROUND($B16,0)/9,0)=2,2+IF((ROUND($B16,0)-18)*2&gt;=F$2,1,0),IF(TRUNC(ROUND($B16,0)/9,0)=1,1+IF((ROUND($B16,0)-9)*2&gt;=F$2,1,0),IF(TRUNC(ROUND($B16,0)/9,0)=0,IF(TRUNC(ROUND($B16,0)/9,0)=0,0+IF((ROUND($B16,0))*2&gt;=F$2,1,0),"Not"))))-F$3,"")</f>
        <v>0.85714285714285721</v>
      </c>
      <c r="G16" s="138">
        <f>IFERROR(AVERAGEIFS(Upload_Indiv[Score5],Upload_Indiv[[Player]:[Player]],$A16,Upload_Indiv[[Side]:[Side]],"Raintree Front")-IF(TRUNC(ROUND($B16,0)/9,0)=2,2+IF((ROUND($B16,0)-18)*2&gt;=G$2,1,0),IF(TRUNC(ROUND($B16,0)/9,0)=1,1+IF((ROUND($B16,0)-9)*2&gt;=G$2,1,0),IF(TRUNC(ROUND($B16,0)/9,0)=0,IF(TRUNC(ROUND($B16,0)/9,0)=0,0+IF((ROUND($B16,0))*2&gt;=G$2,1,0),"Not"))))-G$3,"")</f>
        <v>1.1428571428571432</v>
      </c>
      <c r="H16" s="138">
        <f>IFERROR(AVERAGEIFS(Upload_Indiv[Score6],Upload_Indiv[[Player]:[Player]],$A16,Upload_Indiv[[Side]:[Side]],"Raintree Front")-IF(TRUNC(ROUND($B16,0)/9,0)=2,2+IF((ROUND($B16,0)-18)*2&gt;=H$2,1,0),IF(TRUNC(ROUND($B16,0)/9,0)=1,1+IF((ROUND($B16,0)-9)*2&gt;=H$2,1,0),IF(TRUNC(ROUND($B16,0)/9,0)=0,IF(TRUNC(ROUND($B16,0)/9,0)=0,0+IF((ROUND($B16,0))*2&gt;=H$2,1,0),"Not"))))-H$3,"")</f>
        <v>0.14285714285714324</v>
      </c>
      <c r="I16" s="138">
        <f>IFERROR(AVERAGEIFS(Upload_Indiv[Score7],Upload_Indiv[[Player]:[Player]],$A16,Upload_Indiv[[Side]:[Side]],"Raintree Front")-IF(TRUNC(ROUND($B16,0)/9,0)=2,2+IF((ROUND($B16,0)-18)*2&gt;=I$2,1,0),IF(TRUNC(ROUND($B16,0)/9,0)=1,1+IF((ROUND($B16,0)-9)*2&gt;=I$2,1,0),IF(TRUNC(ROUND($B16,0)/9,0)=0,IF(TRUNC(ROUND($B16,0)/9,0)=0,0+IF((ROUND($B16,0))*2&gt;=I$2,1,0),"Not"))))-I$3,"")</f>
        <v>0.28571428571428559</v>
      </c>
      <c r="J16" s="138">
        <f>IFERROR(AVERAGEIFS(Upload_Indiv[Score8],Upload_Indiv[[Player]:[Player]],$A16,Upload_Indiv[[Side]:[Side]],"Raintree Front")-IF(TRUNC(ROUND($B16,0)/9,0)=2,2+IF((ROUND($B16,0)-18)*2&gt;=J$2,1,0),IF(TRUNC(ROUND($B16,0)/9,0)=1,1+IF((ROUND($B16,0)-9)*2&gt;=J$2,1,0),IF(TRUNC(ROUND($B16,0)/9,0)=0,IF(TRUNC(ROUND($B16,0)/9,0)=0,0+IF((ROUND($B16,0))*2&gt;=J$2,1,0),"Not"))))-J$3,"")</f>
        <v>0.71428571428571441</v>
      </c>
      <c r="K16" s="138">
        <f>IFERROR(AVERAGEIFS(Upload_Indiv[Score9],Upload_Indiv[[Player]:[Player]],$A16,Upload_Indiv[[Side]:[Side]],"Raintree Front")-IF(TRUNC(ROUND($B16,0)/9,0)=2,2+IF((ROUND($B16,0)-18)*2&gt;=K$2,1,0),IF(TRUNC(ROUND($B16,0)/9,0)=1,1+IF((ROUND($B16,0)-9)*2&gt;=K$2,1,0),IF(TRUNC(ROUND($B16,0)/9,0)=0,IF(TRUNC(ROUND($B16,0)/9,0)=0,0+IF((ROUND($B16,0))*2&gt;=K$2,1,0),"Not"))))-K$3,"")</f>
        <v>0.71428571428571441</v>
      </c>
      <c r="L16" s="138">
        <f t="shared" si="0"/>
        <v>5.4285714285714306</v>
      </c>
      <c r="M16" s="138">
        <f>IFERROR(AVERAGEIFS(Upload_Indiv[Score1],Upload_Indiv[[Player]:[Player]],$A16,Upload_Indiv[[Side]:[Side]],"Raintree Back")-IF(TRUNC(ROUND($B16,0)/9,0)=2,2+IF((ROUND($B16,0)-18)*2&gt;=M$2,1,0),IF(TRUNC(ROUND($B16,0)/9,0)=1,1+IF((ROUND($B16,0)-9)*2&gt;=M$2,1,0),IF(TRUNC(ROUND($B16,0)/9,0)=0,IF(TRUNC(ROUND($B16,0)/9,0)=0,0+IF((ROUND($B16,0))*2&gt;=M$2,1,0),"Not"))))-M$3,"")</f>
        <v>0</v>
      </c>
      <c r="N16" s="138">
        <f>IFERROR(AVERAGEIFS(Upload_Indiv[Score2],Upload_Indiv[[Player]:[Player]],$A16,Upload_Indiv[[Side]:[Side]],"Raintree Back")-IF(TRUNC(ROUND($B16,0)/9,0)=2,2+IF((ROUND($B16,0)-18)*2&gt;=N$2,1,0),IF(TRUNC(ROUND($B16,0)/9,0)=1,1+IF((ROUND($B16,0)-9)*2&gt;=N$2,1,0),IF(TRUNC(ROUND($B16,0)/9,0)=0,IF(TRUNC(ROUND($B16,0)/9,0)=0,0+IF((ROUND($B16,0))*2&gt;=N$2,1,0),"Not"))))-N$3,"")</f>
        <v>0</v>
      </c>
      <c r="O16" s="138">
        <f>IFERROR(AVERAGEIFS(Upload_Indiv[Score3],Upload_Indiv[[Player]:[Player]],$A16,Upload_Indiv[[Side]:[Side]],"Raintree Back")-IF(TRUNC(ROUND($B16,0)/9,0)=2,2+IF((ROUND($B16,0)-18)*2&gt;=O$2,1,0),IF(TRUNC(ROUND($B16,0)/9,0)=1,1+IF((ROUND($B16,0)-9)*2&gt;=O$2,1,0),IF(TRUNC(ROUND($B16,0)/9,0)=0,IF(TRUNC(ROUND($B16,0)/9,0)=0,0+IF((ROUND($B16,0))*2&gt;=O$2,1,0),"Not"))))-O$3,"")</f>
        <v>1</v>
      </c>
      <c r="P16" s="138">
        <f>IFERROR(AVERAGEIFS(Upload_Indiv[Score4],Upload_Indiv[[Player]:[Player]],$A16,Upload_Indiv[[Side]:[Side]],"Raintree Back")-IF(TRUNC(ROUND($B16,0)/9,0)=2,2+IF((ROUND($B16,0)-18)*2&gt;=P$2,1,0),IF(TRUNC(ROUND($B16,0)/9,0)=1,1+IF((ROUND($B16,0)-9)*2&gt;=P$2,1,0),IF(TRUNC(ROUND($B16,0)/9,0)=0,IF(TRUNC(ROUND($B16,0)/9,0)=0,0+IF((ROUND($B16,0))*2&gt;=P$2,1,0),"Not"))))-P$3,"")</f>
        <v>0</v>
      </c>
      <c r="Q16" s="138">
        <f>IFERROR(AVERAGEIFS(Upload_Indiv[Score5],Upload_Indiv[[Player]:[Player]],$A16,Upload_Indiv[[Side]:[Side]],"Raintree Back")-IF(TRUNC(ROUND($B16,0)/9,0)=2,2+IF((ROUND($B16,0)-18)*2&gt;=Q$2,1,0),IF(TRUNC(ROUND($B16,0)/9,0)=1,1+IF((ROUND($B16,0)-9)*2&gt;=Q$2,1,0),IF(TRUNC(ROUND($B16,0)/9,0)=0,IF(TRUNC(ROUND($B16,0)/9,0)=0,0+IF((ROUND($B16,0))*2&gt;=Q$2,1,0),"Not"))))-Q$3,"")</f>
        <v>0</v>
      </c>
      <c r="R16" s="138">
        <f>IFERROR(AVERAGEIFS(Upload_Indiv[Score6],Upload_Indiv[[Player]:[Player]],$A16,Upload_Indiv[[Side]:[Side]],"Raintree Back")-IF(TRUNC(ROUND($B16,0)/9,0)=2,2+IF((ROUND($B16,0)-18)*2&gt;=R$2,1,0),IF(TRUNC(ROUND($B16,0)/9,0)=1,1+IF((ROUND($B16,0)-9)*2&gt;=R$2,1,0),IF(TRUNC(ROUND($B16,0)/9,0)=0,IF(TRUNC(ROUND($B16,0)/9,0)=0,0+IF((ROUND($B16,0))*2&gt;=R$2,1,0),"Not"))))-R$3,"")</f>
        <v>0</v>
      </c>
      <c r="S16" s="138">
        <f>IFERROR(AVERAGEIFS(Upload_Indiv[Score7],Upload_Indiv[[Player]:[Player]],$A16,Upload_Indiv[[Side]:[Side]],"Raintree Back")-IF(TRUNC(ROUND($B16,0)/9,0)=2,2+IF((ROUND($B16,0)-18)*2&gt;=S$2,1,0),IF(TRUNC(ROUND($B16,0)/9,0)=1,1+IF((ROUND($B16,0)-9)*2&gt;=S$2,1,0),IF(TRUNC(ROUND($B16,0)/9,0)=0,IF(TRUNC(ROUND($B16,0)/9,0)=0,0+IF((ROUND($B16,0))*2&gt;=S$2,1,0),"Not"))))-S$3,"")</f>
        <v>1</v>
      </c>
      <c r="T16" s="138">
        <f>IFERROR(AVERAGEIFS(Upload_Indiv[Score8],Upload_Indiv[[Player]:[Player]],$A16,Upload_Indiv[[Side]:[Side]],"Raintree Back")-IF(TRUNC(ROUND($B16,0)/9,0)=2,2+IF((ROUND($B16,0)-18)*2&gt;=T$2,1,0),IF(TRUNC(ROUND($B16,0)/9,0)=1,1+IF((ROUND($B16,0)-9)*2&gt;=T$2,1,0),IF(TRUNC(ROUND($B16,0)/9,0)=0,IF(TRUNC(ROUND($B16,0)/9,0)=0,0+IF((ROUND($B16,0))*2&gt;=T$2,1,0),"Not"))))-T$3,"")</f>
        <v>-1</v>
      </c>
      <c r="U16" s="138">
        <f>IFERROR(AVERAGEIFS(Upload_Indiv[Score9],Upload_Indiv[[Player]:[Player]],$A16,Upload_Indiv[[Side]:[Side]],"Raintree Back")-IF(TRUNC(ROUND($B16,0)/9,0)=2,2+IF((ROUND($B16,0)-18)*2&gt;=U$2,1,0),IF(TRUNC(ROUND($B16,0)/9,0)=1,1+IF((ROUND($B16,0)-9)*2&gt;=U$2,1,0),IF(TRUNC(ROUND($B16,0)/9,0)=0,IF(TRUNC(ROUND($B16,0)/9,0)=0,0+IF((ROUND($B16,0))*2&gt;=U$2,1,0),"Not"))))-U$3,"")</f>
        <v>-1</v>
      </c>
      <c r="V16" s="138">
        <f t="shared" si="1"/>
        <v>0</v>
      </c>
    </row>
    <row r="17" spans="1:22" ht="15" customHeight="1" x14ac:dyDescent="0.25">
      <c r="A17" s="4" t="s">
        <v>102</v>
      </c>
      <c r="B17" s="138">
        <f>IFERROR(AVERAGEIFS(Upload_Indiv[Hdcp],Upload_Indiv[[Player]:[Player]],$A17),"")</f>
        <v>12.056000000000001</v>
      </c>
      <c r="C17" s="138">
        <f>IFERROR(AVERAGEIFS(Upload_Indiv[Score1],Upload_Indiv[[Player]:[Player]],$A17,Upload_Indiv[[Side]:[Side]],"Raintree Front")-IF(TRUNC(ROUND($B17,0)/9,0)=2,2+IF((ROUND($B17,0)-18)*2&gt;=C$2,1,0),IF(TRUNC(ROUND($B17,0)/9,0)=1,1+IF((ROUND($B17,0)-9)*2&gt;=C$2,1,0),IF(TRUNC(ROUND($B17,0)/9,0)=0,IF(TRUNC(ROUND($B17,0)/9,0)=0,0+IF((ROUND($B17,0))*2&gt;=C$2,1,0),"Not"))))-C$3,"")</f>
        <v>0.33333333333333304</v>
      </c>
      <c r="D17" s="138">
        <f>IFERROR(AVERAGEIFS(Upload_Indiv[Score2],Upload_Indiv[[Player]:[Player]],$A17,Upload_Indiv[[Side]:[Side]],"Raintree Front")-IF(TRUNC(ROUND($B17,0)/9,0)=2,2+IF((ROUND($B17,0)-18)*2&gt;=D$2,1,0),IF(TRUNC(ROUND($B17,0)/9,0)=1,1+IF((ROUND($B17,0)-9)*2&gt;=D$2,1,0),IF(TRUNC(ROUND($B17,0)/9,0)=0,IF(TRUNC(ROUND($B17,0)/9,0)=0,0+IF((ROUND($B17,0))*2&gt;=D$2,1,0),"Not"))))-D$3,"")</f>
        <v>-0.33333333333333304</v>
      </c>
      <c r="E17" s="138">
        <f>IFERROR(AVERAGEIFS(Upload_Indiv[Score3],Upload_Indiv[[Player]:[Player]],$A17,Upload_Indiv[[Side]:[Side]],"Raintree Front")-IF(TRUNC(ROUND($B17,0)/9,0)=2,2+IF((ROUND($B17,0)-18)*2&gt;=E$2,1,0),IF(TRUNC(ROUND($B17,0)/9,0)=1,1+IF((ROUND($B17,0)-9)*2&gt;=E$2,1,0),IF(TRUNC(ROUND($B17,0)/9,0)=0,IF(TRUNC(ROUND($B17,0)/9,0)=0,0+IF((ROUND($B17,0))*2&gt;=E$2,1,0),"Not"))))-E$3,"")</f>
        <v>-1.333333333333333</v>
      </c>
      <c r="F17" s="138">
        <f>IFERROR(AVERAGEIFS(Upload_Indiv[Score4],Upload_Indiv[[Player]:[Player]],$A17,Upload_Indiv[[Side]:[Side]],"Raintree Front")-IF(TRUNC(ROUND($B17,0)/9,0)=2,2+IF((ROUND($B17,0)-18)*2&gt;=F$2,1,0),IF(TRUNC(ROUND($B17,0)/9,0)=1,1+IF((ROUND($B17,0)-9)*2&gt;=F$2,1,0),IF(TRUNC(ROUND($B17,0)/9,0)=0,IF(TRUNC(ROUND($B17,0)/9,0)=0,0+IF((ROUND($B17,0))*2&gt;=F$2,1,0),"Not"))))-F$3,"")</f>
        <v>0.66666666666666696</v>
      </c>
      <c r="G17" s="138">
        <f>IFERROR(AVERAGEIFS(Upload_Indiv[Score5],Upload_Indiv[[Player]:[Player]],$A17,Upload_Indiv[[Side]:[Side]],"Raintree Front")-IF(TRUNC(ROUND($B17,0)/9,0)=2,2+IF((ROUND($B17,0)-18)*2&gt;=G$2,1,0),IF(TRUNC(ROUND($B17,0)/9,0)=1,1+IF((ROUND($B17,0)-9)*2&gt;=G$2,1,0),IF(TRUNC(ROUND($B17,0)/9,0)=0,IF(TRUNC(ROUND($B17,0)/9,0)=0,0+IF((ROUND($B17,0))*2&gt;=G$2,1,0),"Not"))))-G$3,"")</f>
        <v>1.333333333333333</v>
      </c>
      <c r="H17" s="138">
        <f>IFERROR(AVERAGEIFS(Upload_Indiv[Score6],Upload_Indiv[[Player]:[Player]],$A17,Upload_Indiv[[Side]:[Side]],"Raintree Front")-IF(TRUNC(ROUND($B17,0)/9,0)=2,2+IF((ROUND($B17,0)-18)*2&gt;=H$2,1,0),IF(TRUNC(ROUND($B17,0)/9,0)=1,1+IF((ROUND($B17,0)-9)*2&gt;=H$2,1,0),IF(TRUNC(ROUND($B17,0)/9,0)=0,IF(TRUNC(ROUND($B17,0)/9,0)=0,0+IF((ROUND($B17,0))*2&gt;=H$2,1,0),"Not"))))-H$3,"")</f>
        <v>0</v>
      </c>
      <c r="I17" s="138">
        <f>IFERROR(AVERAGEIFS(Upload_Indiv[Score7],Upload_Indiv[[Player]:[Player]],$A17,Upload_Indiv[[Side]:[Side]],"Raintree Front")-IF(TRUNC(ROUND($B17,0)/9,0)=2,2+IF((ROUND($B17,0)-18)*2&gt;=I$2,1,0),IF(TRUNC(ROUND($B17,0)/9,0)=1,1+IF((ROUND($B17,0)-9)*2&gt;=I$2,1,0),IF(TRUNC(ROUND($B17,0)/9,0)=0,IF(TRUNC(ROUND($B17,0)/9,0)=0,0+IF((ROUND($B17,0))*2&gt;=I$2,1,0),"Not"))))-I$3,"")</f>
        <v>1</v>
      </c>
      <c r="J17" s="138">
        <f>IFERROR(AVERAGEIFS(Upload_Indiv[Score8],Upload_Indiv[[Player]:[Player]],$A17,Upload_Indiv[[Side]:[Side]],"Raintree Front")-IF(TRUNC(ROUND($B17,0)/9,0)=2,2+IF((ROUND($B17,0)-18)*2&gt;=J$2,1,0),IF(TRUNC(ROUND($B17,0)/9,0)=1,1+IF((ROUND($B17,0)-9)*2&gt;=J$2,1,0),IF(TRUNC(ROUND($B17,0)/9,0)=0,IF(TRUNC(ROUND($B17,0)/9,0)=0,0+IF((ROUND($B17,0))*2&gt;=J$2,1,0),"Not"))))-J$3,"")</f>
        <v>1.666666666666667</v>
      </c>
      <c r="K17" s="138">
        <f>IFERROR(AVERAGEIFS(Upload_Indiv[Score9],Upload_Indiv[[Player]:[Player]],$A17,Upload_Indiv[[Side]:[Side]],"Raintree Front")-IF(TRUNC(ROUND($B17,0)/9,0)=2,2+IF((ROUND($B17,0)-18)*2&gt;=K$2,1,0),IF(TRUNC(ROUND($B17,0)/9,0)=1,1+IF((ROUND($B17,0)-9)*2&gt;=K$2,1,0),IF(TRUNC(ROUND($B17,0)/9,0)=0,IF(TRUNC(ROUND($B17,0)/9,0)=0,0+IF((ROUND($B17,0))*2&gt;=K$2,1,0),"Not"))))-K$3,"")</f>
        <v>0.33333333333333304</v>
      </c>
      <c r="L17" s="138">
        <f t="shared" si="0"/>
        <v>3.666666666666667</v>
      </c>
      <c r="M17" s="138">
        <f>IFERROR(AVERAGEIFS(Upload_Indiv[Score1],Upload_Indiv[[Player]:[Player]],$A17,Upload_Indiv[[Side]:[Side]],"Raintree Back")-IF(TRUNC(ROUND($B17,0)/9,0)=2,2+IF((ROUND($B17,0)-18)*2&gt;=M$2,1,0),IF(TRUNC(ROUND($B17,0)/9,0)=1,1+IF((ROUND($B17,0)-9)*2&gt;=M$2,1,0),IF(TRUNC(ROUND($B17,0)/9,0)=0,IF(TRUNC(ROUND($B17,0)/9,0)=0,0+IF((ROUND($B17,0))*2&gt;=M$2,1,0),"Not"))))-M$3,"")</f>
        <v>0</v>
      </c>
      <c r="N17" s="138">
        <f>IFERROR(AVERAGEIFS(Upload_Indiv[Score2],Upload_Indiv[[Player]:[Player]],$A17,Upload_Indiv[[Side]:[Side]],"Raintree Back")-IF(TRUNC(ROUND($B17,0)/9,0)=2,2+IF((ROUND($B17,0)-18)*2&gt;=N$2,1,0),IF(TRUNC(ROUND($B17,0)/9,0)=1,1+IF((ROUND($B17,0)-9)*2&gt;=N$2,1,0),IF(TRUNC(ROUND($B17,0)/9,0)=0,IF(TRUNC(ROUND($B17,0)/9,0)=0,0+IF((ROUND($B17,0))*2&gt;=N$2,1,0),"Not"))))-N$3,"")</f>
        <v>0</v>
      </c>
      <c r="O17" s="138">
        <f>IFERROR(AVERAGEIFS(Upload_Indiv[Score3],Upload_Indiv[[Player]:[Player]],$A17,Upload_Indiv[[Side]:[Side]],"Raintree Back")-IF(TRUNC(ROUND($B17,0)/9,0)=2,2+IF((ROUND($B17,0)-18)*2&gt;=O$2,1,0),IF(TRUNC(ROUND($B17,0)/9,0)=1,1+IF((ROUND($B17,0)-9)*2&gt;=O$2,1,0),IF(TRUNC(ROUND($B17,0)/9,0)=0,IF(TRUNC(ROUND($B17,0)/9,0)=0,0+IF((ROUND($B17,0))*2&gt;=O$2,1,0),"Not"))))-O$3,"")</f>
        <v>0.5</v>
      </c>
      <c r="P17" s="138">
        <f>IFERROR(AVERAGEIFS(Upload_Indiv[Score4],Upload_Indiv[[Player]:[Player]],$A17,Upload_Indiv[[Side]:[Side]],"Raintree Back")-IF(TRUNC(ROUND($B17,0)/9,0)=2,2+IF((ROUND($B17,0)-18)*2&gt;=P$2,1,0),IF(TRUNC(ROUND($B17,0)/9,0)=1,1+IF((ROUND($B17,0)-9)*2&gt;=P$2,1,0),IF(TRUNC(ROUND($B17,0)/9,0)=0,IF(TRUNC(ROUND($B17,0)/9,0)=0,0+IF((ROUND($B17,0))*2&gt;=P$2,1,0),"Not"))))-P$3,"")</f>
        <v>-2</v>
      </c>
      <c r="Q17" s="138">
        <f>IFERROR(AVERAGEIFS(Upload_Indiv[Score5],Upload_Indiv[[Player]:[Player]],$A17,Upload_Indiv[[Side]:[Side]],"Raintree Back")-IF(TRUNC(ROUND($B17,0)/9,0)=2,2+IF((ROUND($B17,0)-18)*2&gt;=Q$2,1,0),IF(TRUNC(ROUND($B17,0)/9,0)=1,1+IF((ROUND($B17,0)-9)*2&gt;=Q$2,1,0),IF(TRUNC(ROUND($B17,0)/9,0)=0,IF(TRUNC(ROUND($B17,0)/9,0)=0,0+IF((ROUND($B17,0))*2&gt;=Q$2,1,0),"Not"))))-Q$3,"")</f>
        <v>-1</v>
      </c>
      <c r="R17" s="138">
        <f>IFERROR(AVERAGEIFS(Upload_Indiv[Score6],Upload_Indiv[[Player]:[Player]],$A17,Upload_Indiv[[Side]:[Side]],"Raintree Back")-IF(TRUNC(ROUND($B17,0)/9,0)=2,2+IF((ROUND($B17,0)-18)*2&gt;=R$2,1,0),IF(TRUNC(ROUND($B17,0)/9,0)=1,1+IF((ROUND($B17,0)-9)*2&gt;=R$2,1,0),IF(TRUNC(ROUND($B17,0)/9,0)=0,IF(TRUNC(ROUND($B17,0)/9,0)=0,0+IF((ROUND($B17,0))*2&gt;=R$2,1,0),"Not"))))-R$3,"")</f>
        <v>0.5</v>
      </c>
      <c r="S17" s="138">
        <f>IFERROR(AVERAGEIFS(Upload_Indiv[Score7],Upload_Indiv[[Player]:[Player]],$A17,Upload_Indiv[[Side]:[Side]],"Raintree Back")-IF(TRUNC(ROUND($B17,0)/9,0)=2,2+IF((ROUND($B17,0)-18)*2&gt;=S$2,1,0),IF(TRUNC(ROUND($B17,0)/9,0)=1,1+IF((ROUND($B17,0)-9)*2&gt;=S$2,1,0),IF(TRUNC(ROUND($B17,0)/9,0)=0,IF(TRUNC(ROUND($B17,0)/9,0)=0,0+IF((ROUND($B17,0))*2&gt;=S$2,1,0),"Not"))))-S$3,"")</f>
        <v>0</v>
      </c>
      <c r="T17" s="138">
        <f>IFERROR(AVERAGEIFS(Upload_Indiv[Score8],Upload_Indiv[[Player]:[Player]],$A17,Upload_Indiv[[Side]:[Side]],"Raintree Back")-IF(TRUNC(ROUND($B17,0)/9,0)=2,2+IF((ROUND($B17,0)-18)*2&gt;=T$2,1,0),IF(TRUNC(ROUND($B17,0)/9,0)=1,1+IF((ROUND($B17,0)-9)*2&gt;=T$2,1,0),IF(TRUNC(ROUND($B17,0)/9,0)=0,IF(TRUNC(ROUND($B17,0)/9,0)=0,0+IF((ROUND($B17,0))*2&gt;=T$2,1,0),"Not"))))-T$3,"")</f>
        <v>0</v>
      </c>
      <c r="U17" s="138">
        <f>IFERROR(AVERAGEIFS(Upload_Indiv[Score9],Upload_Indiv[[Player]:[Player]],$A17,Upload_Indiv[[Side]:[Side]],"Raintree Back")-IF(TRUNC(ROUND($B17,0)/9,0)=2,2+IF((ROUND($B17,0)-18)*2&gt;=U$2,1,0),IF(TRUNC(ROUND($B17,0)/9,0)=1,1+IF((ROUND($B17,0)-9)*2&gt;=U$2,1,0),IF(TRUNC(ROUND($B17,0)/9,0)=0,IF(TRUNC(ROUND($B17,0)/9,0)=0,0+IF((ROUND($B17,0))*2&gt;=U$2,1,0),"Not"))))-U$3,"")</f>
        <v>0.5</v>
      </c>
      <c r="V17" s="138">
        <f t="shared" si="1"/>
        <v>-1.5</v>
      </c>
    </row>
    <row r="18" spans="1:22" ht="15" customHeight="1" x14ac:dyDescent="0.25">
      <c r="A18" s="4" t="s">
        <v>100</v>
      </c>
      <c r="B18" s="138">
        <f>IFERROR(AVERAGEIFS(Upload_Indiv[Hdcp],Upload_Indiv[[Player]:[Player]],$A18),"")</f>
        <v>5.3907692307692319</v>
      </c>
      <c r="C18" s="138">
        <f>IFERROR(AVERAGEIFS(Upload_Indiv[Score1],Upload_Indiv[[Player]:[Player]],$A18,Upload_Indiv[[Side]:[Side]],"Raintree Front")-IF(TRUNC(ROUND($B18,0)/9,0)=2,2+IF((ROUND($B18,0)-18)*2&gt;=C$2,1,0),IF(TRUNC(ROUND($B18,0)/9,0)=1,1+IF((ROUND($B18,0)-9)*2&gt;=C$2,1,0),IF(TRUNC(ROUND($B18,0)/9,0)=0,IF(TRUNC(ROUND($B18,0)/9,0)=0,0+IF((ROUND($B18,0))*2&gt;=C$2,1,0),"Not"))))-C$3,"")</f>
        <v>-0.33333333333333304</v>
      </c>
      <c r="D18" s="138">
        <f>IFERROR(AVERAGEIFS(Upload_Indiv[Score2],Upload_Indiv[[Player]:[Player]],$A18,Upload_Indiv[[Side]:[Side]],"Raintree Front")-IF(TRUNC(ROUND($B18,0)/9,0)=2,2+IF((ROUND($B18,0)-18)*2&gt;=D$2,1,0),IF(TRUNC(ROUND($B18,0)/9,0)=1,1+IF((ROUND($B18,0)-9)*2&gt;=D$2,1,0),IF(TRUNC(ROUND($B18,0)/9,0)=0,IF(TRUNC(ROUND($B18,0)/9,0)=0,0+IF((ROUND($B18,0))*2&gt;=D$2,1,0),"Not"))))-D$3,"")</f>
        <v>0.83333333333333304</v>
      </c>
      <c r="E18" s="138">
        <f>IFERROR(AVERAGEIFS(Upload_Indiv[Score3],Upload_Indiv[[Player]:[Player]],$A18,Upload_Indiv[[Side]:[Side]],"Raintree Front")-IF(TRUNC(ROUND($B18,0)/9,0)=2,2+IF((ROUND($B18,0)-18)*2&gt;=E$2,1,0),IF(TRUNC(ROUND($B18,0)/9,0)=1,1+IF((ROUND($B18,0)-9)*2&gt;=E$2,1,0),IF(TRUNC(ROUND($B18,0)/9,0)=0,IF(TRUNC(ROUND($B18,0)/9,0)=0,0+IF((ROUND($B18,0))*2&gt;=E$2,1,0),"Not"))))-E$3,"")</f>
        <v>0.33333333333333304</v>
      </c>
      <c r="F18" s="138">
        <f>IFERROR(AVERAGEIFS(Upload_Indiv[Score4],Upload_Indiv[[Player]:[Player]],$A18,Upload_Indiv[[Side]:[Side]],"Raintree Front")-IF(TRUNC(ROUND($B18,0)/9,0)=2,2+IF((ROUND($B18,0)-18)*2&gt;=F$2,1,0),IF(TRUNC(ROUND($B18,0)/9,0)=1,1+IF((ROUND($B18,0)-9)*2&gt;=F$2,1,0),IF(TRUNC(ROUND($B18,0)/9,0)=0,IF(TRUNC(ROUND($B18,0)/9,0)=0,0+IF((ROUND($B18,0))*2&gt;=F$2,1,0),"Not"))))-F$3,"")</f>
        <v>1</v>
      </c>
      <c r="G18" s="138">
        <f>IFERROR(AVERAGEIFS(Upload_Indiv[Score5],Upload_Indiv[[Player]:[Player]],$A18,Upload_Indiv[[Side]:[Side]],"Raintree Front")-IF(TRUNC(ROUND($B18,0)/9,0)=2,2+IF((ROUND($B18,0)-18)*2&gt;=G$2,1,0),IF(TRUNC(ROUND($B18,0)/9,0)=1,1+IF((ROUND($B18,0)-9)*2&gt;=G$2,1,0),IF(TRUNC(ROUND($B18,0)/9,0)=0,IF(TRUNC(ROUND($B18,0)/9,0)=0,0+IF((ROUND($B18,0))*2&gt;=G$2,1,0),"Not"))))-G$3,"")</f>
        <v>0</v>
      </c>
      <c r="H18" s="138">
        <f>IFERROR(AVERAGEIFS(Upload_Indiv[Score6],Upload_Indiv[[Player]:[Player]],$A18,Upload_Indiv[[Side]:[Side]],"Raintree Front")-IF(TRUNC(ROUND($B18,0)/9,0)=2,2+IF((ROUND($B18,0)-18)*2&gt;=H$2,1,0),IF(TRUNC(ROUND($B18,0)/9,0)=1,1+IF((ROUND($B18,0)-9)*2&gt;=H$2,1,0),IF(TRUNC(ROUND($B18,0)/9,0)=0,IF(TRUNC(ROUND($B18,0)/9,0)=0,0+IF((ROUND($B18,0))*2&gt;=H$2,1,0),"Not"))))-H$3,"")</f>
        <v>-0.5</v>
      </c>
      <c r="I18" s="138">
        <f>IFERROR(AVERAGEIFS(Upload_Indiv[Score7],Upload_Indiv[[Player]:[Player]],$A18,Upload_Indiv[[Side]:[Side]],"Raintree Front")-IF(TRUNC(ROUND($B18,0)/9,0)=2,2+IF((ROUND($B18,0)-18)*2&gt;=I$2,1,0),IF(TRUNC(ROUND($B18,0)/9,0)=1,1+IF((ROUND($B18,0)-9)*2&gt;=I$2,1,0),IF(TRUNC(ROUND($B18,0)/9,0)=0,IF(TRUNC(ROUND($B18,0)/9,0)=0,0+IF((ROUND($B18,0))*2&gt;=I$2,1,0),"Not"))))-I$3,"")</f>
        <v>0</v>
      </c>
      <c r="J18" s="138">
        <f>IFERROR(AVERAGEIFS(Upload_Indiv[Score8],Upload_Indiv[[Player]:[Player]],$A18,Upload_Indiv[[Side]:[Side]],"Raintree Front")-IF(TRUNC(ROUND($B18,0)/9,0)=2,2+IF((ROUND($B18,0)-18)*2&gt;=J$2,1,0),IF(TRUNC(ROUND($B18,0)/9,0)=1,1+IF((ROUND($B18,0)-9)*2&gt;=J$2,1,0),IF(TRUNC(ROUND($B18,0)/9,0)=0,IF(TRUNC(ROUND($B18,0)/9,0)=0,0+IF((ROUND($B18,0))*2&gt;=J$2,1,0),"Not"))))-J$3,"")</f>
        <v>0.83333333333333348</v>
      </c>
      <c r="K18" s="138">
        <f>IFERROR(AVERAGEIFS(Upload_Indiv[Score9],Upload_Indiv[[Player]:[Player]],$A18,Upload_Indiv[[Side]:[Side]],"Raintree Front")-IF(TRUNC(ROUND($B18,0)/9,0)=2,2+IF((ROUND($B18,0)-18)*2&gt;=K$2,1,0),IF(TRUNC(ROUND($B18,0)/9,0)=1,1+IF((ROUND($B18,0)-9)*2&gt;=K$2,1,0),IF(TRUNC(ROUND($B18,0)/9,0)=0,IF(TRUNC(ROUND($B18,0)/9,0)=0,0+IF((ROUND($B18,0))*2&gt;=K$2,1,0),"Not"))))-K$3,"")</f>
        <v>-0.5</v>
      </c>
      <c r="L18" s="138">
        <f t="shared" si="0"/>
        <v>1.6666666666666665</v>
      </c>
      <c r="M18" s="138">
        <f>IFERROR(AVERAGEIFS(Upload_Indiv[Score1],Upload_Indiv[[Player]:[Player]],$A18,Upload_Indiv[[Side]:[Side]],"Raintree Back")-IF(TRUNC(ROUND($B18,0)/9,0)=2,2+IF((ROUND($B18,0)-18)*2&gt;=M$2,1,0),IF(TRUNC(ROUND($B18,0)/9,0)=1,1+IF((ROUND($B18,0)-9)*2&gt;=M$2,1,0),IF(TRUNC(ROUND($B18,0)/9,0)=0,IF(TRUNC(ROUND($B18,0)/9,0)=0,0+IF((ROUND($B18,0))*2&gt;=M$2,1,0),"Not"))))-M$3,"")</f>
        <v>0.57142857142857117</v>
      </c>
      <c r="N18" s="138">
        <f>IFERROR(AVERAGEIFS(Upload_Indiv[Score2],Upload_Indiv[[Player]:[Player]],$A18,Upload_Indiv[[Side]:[Side]],"Raintree Back")-IF(TRUNC(ROUND($B18,0)/9,0)=2,2+IF((ROUND($B18,0)-18)*2&gt;=N$2,1,0),IF(TRUNC(ROUND($B18,0)/9,0)=1,1+IF((ROUND($B18,0)-9)*2&gt;=N$2,1,0),IF(TRUNC(ROUND($B18,0)/9,0)=0,IF(TRUNC(ROUND($B18,0)/9,0)=0,0+IF((ROUND($B18,0))*2&gt;=N$2,1,0),"Not"))))-N$3,"")</f>
        <v>1.4285714285714288</v>
      </c>
      <c r="O18" s="138">
        <f>IFERROR(AVERAGEIFS(Upload_Indiv[Score3],Upload_Indiv[[Player]:[Player]],$A18,Upload_Indiv[[Side]:[Side]],"Raintree Back")-IF(TRUNC(ROUND($B18,0)/9,0)=2,2+IF((ROUND($B18,0)-18)*2&gt;=O$2,1,0),IF(TRUNC(ROUND($B18,0)/9,0)=1,1+IF((ROUND($B18,0)-9)*2&gt;=O$2,1,0),IF(TRUNC(ROUND($B18,0)/9,0)=0,IF(TRUNC(ROUND($B18,0)/9,0)=0,0+IF((ROUND($B18,0))*2&gt;=O$2,1,0),"Not"))))-O$3,"")</f>
        <v>1.1428571428571432</v>
      </c>
      <c r="P18" s="138">
        <f>IFERROR(AVERAGEIFS(Upload_Indiv[Score4],Upload_Indiv[[Player]:[Player]],$A18,Upload_Indiv[[Side]:[Side]],"Raintree Back")-IF(TRUNC(ROUND($B18,0)/9,0)=2,2+IF((ROUND($B18,0)-18)*2&gt;=P$2,1,0),IF(TRUNC(ROUND($B18,0)/9,0)=1,1+IF((ROUND($B18,0)-9)*2&gt;=P$2,1,0),IF(TRUNC(ROUND($B18,0)/9,0)=0,IF(TRUNC(ROUND($B18,0)/9,0)=0,0+IF((ROUND($B18,0))*2&gt;=P$2,1,0),"Not"))))-P$3,"")</f>
        <v>1</v>
      </c>
      <c r="Q18" s="138">
        <f>IFERROR(AVERAGEIFS(Upload_Indiv[Score5],Upload_Indiv[[Player]:[Player]],$A18,Upload_Indiv[[Side]:[Side]],"Raintree Back")-IF(TRUNC(ROUND($B18,0)/9,0)=2,2+IF((ROUND($B18,0)-18)*2&gt;=Q$2,1,0),IF(TRUNC(ROUND($B18,0)/9,0)=1,1+IF((ROUND($B18,0)-9)*2&gt;=Q$2,1,0),IF(TRUNC(ROUND($B18,0)/9,0)=0,IF(TRUNC(ROUND($B18,0)/9,0)=0,0+IF((ROUND($B18,0))*2&gt;=Q$2,1,0),"Not"))))-Q$3,"")</f>
        <v>0.14285714285714324</v>
      </c>
      <c r="R18" s="138">
        <f>IFERROR(AVERAGEIFS(Upload_Indiv[Score6],Upload_Indiv[[Player]:[Player]],$A18,Upload_Indiv[[Side]:[Side]],"Raintree Back")-IF(TRUNC(ROUND($B18,0)/9,0)=2,2+IF((ROUND($B18,0)-18)*2&gt;=R$2,1,0),IF(TRUNC(ROUND($B18,0)/9,0)=1,1+IF((ROUND($B18,0)-9)*2&gt;=R$2,1,0),IF(TRUNC(ROUND($B18,0)/9,0)=0,IF(TRUNC(ROUND($B18,0)/9,0)=0,0+IF((ROUND($B18,0))*2&gt;=R$2,1,0),"Not"))))-R$3,"")</f>
        <v>-0.57142857142857117</v>
      </c>
      <c r="S18" s="138">
        <f>IFERROR(AVERAGEIFS(Upload_Indiv[Score7],Upload_Indiv[[Player]:[Player]],$A18,Upload_Indiv[[Side]:[Side]],"Raintree Back")-IF(TRUNC(ROUND($B18,0)/9,0)=2,2+IF((ROUND($B18,0)-18)*2&gt;=S$2,1,0),IF(TRUNC(ROUND($B18,0)/9,0)=1,1+IF((ROUND($B18,0)-9)*2&gt;=S$2,1,0),IF(TRUNC(ROUND($B18,0)/9,0)=0,IF(TRUNC(ROUND($B18,0)/9,0)=0,0+IF((ROUND($B18,0))*2&gt;=S$2,1,0),"Not"))))-S$3,"")</f>
        <v>0.28571428571428559</v>
      </c>
      <c r="T18" s="138">
        <f>IFERROR(AVERAGEIFS(Upload_Indiv[Score8],Upload_Indiv[[Player]:[Player]],$A18,Upload_Indiv[[Side]:[Side]],"Raintree Back")-IF(TRUNC(ROUND($B18,0)/9,0)=2,2+IF((ROUND($B18,0)-18)*2&gt;=T$2,1,0),IF(TRUNC(ROUND($B18,0)/9,0)=1,1+IF((ROUND($B18,0)-9)*2&gt;=T$2,1,0),IF(TRUNC(ROUND($B18,0)/9,0)=0,IF(TRUNC(ROUND($B18,0)/9,0)=0,0+IF((ROUND($B18,0))*2&gt;=T$2,1,0),"Not"))))-T$3,"")</f>
        <v>-0.14285714285714324</v>
      </c>
      <c r="U18" s="138">
        <f>IFERROR(AVERAGEIFS(Upload_Indiv[Score9],Upload_Indiv[[Player]:[Player]],$A18,Upload_Indiv[[Side]:[Side]],"Raintree Back")-IF(TRUNC(ROUND($B18,0)/9,0)=2,2+IF((ROUND($B18,0)-18)*2&gt;=U$2,1,0),IF(TRUNC(ROUND($B18,0)/9,0)=1,1+IF((ROUND($B18,0)-9)*2&gt;=U$2,1,0),IF(TRUNC(ROUND($B18,0)/9,0)=0,IF(TRUNC(ROUND($B18,0)/9,0)=0,0+IF((ROUND($B18,0))*2&gt;=U$2,1,0),"Not"))))-U$3,"")</f>
        <v>-0.42857142857142883</v>
      </c>
      <c r="V18" s="138">
        <f t="shared" si="1"/>
        <v>3.4285714285714288</v>
      </c>
    </row>
    <row r="19" spans="1:22" ht="15" customHeight="1" x14ac:dyDescent="0.25">
      <c r="A19" s="4" t="s">
        <v>165</v>
      </c>
      <c r="B19" s="138">
        <f>IFERROR(AVERAGEIFS(Upload_Indiv[Hdcp],Upload_Indiv[[Player]:[Player]],$A19),"")</f>
        <v>17.78857142857143</v>
      </c>
      <c r="C19" s="138">
        <f>IFERROR(AVERAGEIFS(Upload_Indiv[Score1],Upload_Indiv[[Player]:[Player]],$A19,Upload_Indiv[[Side]:[Side]],"Raintree Front")-IF(TRUNC(ROUND($B19,0)/9,0)=2,2+IF((ROUND($B19,0)-18)*2&gt;=C$2,1,0),IF(TRUNC(ROUND($B19,0)/9,0)=1,1+IF((ROUND($B19,0)-9)*2&gt;=C$2,1,0),IF(TRUNC(ROUND($B19,0)/9,0)=0,IF(TRUNC(ROUND($B19,0)/9,0)=0,0+IF((ROUND($B19,0))*2&gt;=C$2,1,0),"Not"))))-C$3,"")</f>
        <v>0.25</v>
      </c>
      <c r="D19" s="138">
        <f>IFERROR(AVERAGEIFS(Upload_Indiv[Score2],Upload_Indiv[[Player]:[Player]],$A19,Upload_Indiv[[Side]:[Side]],"Raintree Front")-IF(TRUNC(ROUND($B19,0)/9,0)=2,2+IF((ROUND($B19,0)-18)*2&gt;=D$2,1,0),IF(TRUNC(ROUND($B19,0)/9,0)=1,1+IF((ROUND($B19,0)-9)*2&gt;=D$2,1,0),IF(TRUNC(ROUND($B19,0)/9,0)=0,IF(TRUNC(ROUND($B19,0)/9,0)=0,0+IF((ROUND($B19,0))*2&gt;=D$2,1,0),"Not"))))-D$3,"")</f>
        <v>1</v>
      </c>
      <c r="E19" s="138">
        <f>IFERROR(AVERAGEIFS(Upload_Indiv[Score3],Upload_Indiv[[Player]:[Player]],$A19,Upload_Indiv[[Side]:[Side]],"Raintree Front")-IF(TRUNC(ROUND($B19,0)/9,0)=2,2+IF((ROUND($B19,0)-18)*2&gt;=E$2,1,0),IF(TRUNC(ROUND($B19,0)/9,0)=1,1+IF((ROUND($B19,0)-9)*2&gt;=E$2,1,0),IF(TRUNC(ROUND($B19,0)/9,0)=0,IF(TRUNC(ROUND($B19,0)/9,0)=0,0+IF((ROUND($B19,0))*2&gt;=E$2,1,0),"Not"))))-E$3,"")</f>
        <v>0.25</v>
      </c>
      <c r="F19" s="138">
        <f>IFERROR(AVERAGEIFS(Upload_Indiv[Score4],Upload_Indiv[[Player]:[Player]],$A19,Upload_Indiv[[Side]:[Side]],"Raintree Front")-IF(TRUNC(ROUND($B19,0)/9,0)=2,2+IF((ROUND($B19,0)-18)*2&gt;=F$2,1,0),IF(TRUNC(ROUND($B19,0)/9,0)=1,1+IF((ROUND($B19,0)-9)*2&gt;=F$2,1,0),IF(TRUNC(ROUND($B19,0)/9,0)=0,IF(TRUNC(ROUND($B19,0)/9,0)=0,0+IF((ROUND($B19,0))*2&gt;=F$2,1,0),"Not"))))-F$3,"")</f>
        <v>-1</v>
      </c>
      <c r="G19" s="138">
        <f>IFERROR(AVERAGEIFS(Upload_Indiv[Score5],Upload_Indiv[[Player]:[Player]],$A19,Upload_Indiv[[Side]:[Side]],"Raintree Front")-IF(TRUNC(ROUND($B19,0)/9,0)=2,2+IF((ROUND($B19,0)-18)*2&gt;=G$2,1,0),IF(TRUNC(ROUND($B19,0)/9,0)=1,1+IF((ROUND($B19,0)-9)*2&gt;=G$2,1,0),IF(TRUNC(ROUND($B19,0)/9,0)=0,IF(TRUNC(ROUND($B19,0)/9,0)=0,0+IF((ROUND($B19,0))*2&gt;=G$2,1,0),"Not"))))-G$3,"")</f>
        <v>1.25</v>
      </c>
      <c r="H19" s="138">
        <f>IFERROR(AVERAGEIFS(Upload_Indiv[Score6],Upload_Indiv[[Player]:[Player]],$A19,Upload_Indiv[[Side]:[Side]],"Raintree Front")-IF(TRUNC(ROUND($B19,0)/9,0)=2,2+IF((ROUND($B19,0)-18)*2&gt;=H$2,1,0),IF(TRUNC(ROUND($B19,0)/9,0)=1,1+IF((ROUND($B19,0)-9)*2&gt;=H$2,1,0),IF(TRUNC(ROUND($B19,0)/9,0)=0,IF(TRUNC(ROUND($B19,0)/9,0)=0,0+IF((ROUND($B19,0))*2&gt;=H$2,1,0),"Not"))))-H$3,"")</f>
        <v>0.5</v>
      </c>
      <c r="I19" s="138">
        <f>IFERROR(AVERAGEIFS(Upload_Indiv[Score7],Upload_Indiv[[Player]:[Player]],$A19,Upload_Indiv[[Side]:[Side]],"Raintree Front")-IF(TRUNC(ROUND($B19,0)/9,0)=2,2+IF((ROUND($B19,0)-18)*2&gt;=I$2,1,0),IF(TRUNC(ROUND($B19,0)/9,0)=1,1+IF((ROUND($B19,0)-9)*2&gt;=I$2,1,0),IF(TRUNC(ROUND($B19,0)/9,0)=0,IF(TRUNC(ROUND($B19,0)/9,0)=0,0+IF((ROUND($B19,0))*2&gt;=I$2,1,0),"Not"))))-I$3,"")</f>
        <v>0.75</v>
      </c>
      <c r="J19" s="138">
        <f>IFERROR(AVERAGEIFS(Upload_Indiv[Score8],Upload_Indiv[[Player]:[Player]],$A19,Upload_Indiv[[Side]:[Side]],"Raintree Front")-IF(TRUNC(ROUND($B19,0)/9,0)=2,2+IF((ROUND($B19,0)-18)*2&gt;=J$2,1,0),IF(TRUNC(ROUND($B19,0)/9,0)=1,1+IF((ROUND($B19,0)-9)*2&gt;=J$2,1,0),IF(TRUNC(ROUND($B19,0)/9,0)=0,IF(TRUNC(ROUND($B19,0)/9,0)=0,0+IF((ROUND($B19,0))*2&gt;=J$2,1,0),"Not"))))-J$3,"")</f>
        <v>0.25</v>
      </c>
      <c r="K19" s="138">
        <f>IFERROR(AVERAGEIFS(Upload_Indiv[Score9],Upload_Indiv[[Player]:[Player]],$A19,Upload_Indiv[[Side]:[Side]],"Raintree Front")-IF(TRUNC(ROUND($B19,0)/9,0)=2,2+IF((ROUND($B19,0)-18)*2&gt;=K$2,1,0),IF(TRUNC(ROUND($B19,0)/9,0)=1,1+IF((ROUND($B19,0)-9)*2&gt;=K$2,1,0),IF(TRUNC(ROUND($B19,0)/9,0)=0,IF(TRUNC(ROUND($B19,0)/9,0)=0,0+IF((ROUND($B19,0))*2&gt;=K$2,1,0),"Not"))))-K$3,"")</f>
        <v>-0.25</v>
      </c>
      <c r="L19" s="138">
        <f t="shared" si="0"/>
        <v>3</v>
      </c>
      <c r="M19" s="138">
        <f>IFERROR(AVERAGEIFS(Upload_Indiv[Score1],Upload_Indiv[[Player]:[Player]],$A19,Upload_Indiv[[Side]:[Side]],"Raintree Back")-IF(TRUNC(ROUND($B19,0)/9,0)=2,2+IF((ROUND($B19,0)-18)*2&gt;=M$2,1,0),IF(TRUNC(ROUND($B19,0)/9,0)=1,1+IF((ROUND($B19,0)-9)*2&gt;=M$2,1,0),IF(TRUNC(ROUND($B19,0)/9,0)=0,IF(TRUNC(ROUND($B19,0)/9,0)=0,0+IF((ROUND($B19,0))*2&gt;=M$2,1,0),"Not"))))-M$3,"")</f>
        <v>-0.33333333333333304</v>
      </c>
      <c r="N19" s="138">
        <f>IFERROR(AVERAGEIFS(Upload_Indiv[Score2],Upload_Indiv[[Player]:[Player]],$A19,Upload_Indiv[[Side]:[Side]],"Raintree Back")-IF(TRUNC(ROUND($B19,0)/9,0)=2,2+IF((ROUND($B19,0)-18)*2&gt;=N$2,1,0),IF(TRUNC(ROUND($B19,0)/9,0)=1,1+IF((ROUND($B19,0)-9)*2&gt;=N$2,1,0),IF(TRUNC(ROUND($B19,0)/9,0)=0,IF(TRUNC(ROUND($B19,0)/9,0)=0,0+IF((ROUND($B19,0))*2&gt;=N$2,1,0),"Not"))))-N$3,"")</f>
        <v>0</v>
      </c>
      <c r="O19" s="138">
        <f>IFERROR(AVERAGEIFS(Upload_Indiv[Score3],Upload_Indiv[[Player]:[Player]],$A19,Upload_Indiv[[Side]:[Side]],"Raintree Back")-IF(TRUNC(ROUND($B19,0)/9,0)=2,2+IF((ROUND($B19,0)-18)*2&gt;=O$2,1,0),IF(TRUNC(ROUND($B19,0)/9,0)=1,1+IF((ROUND($B19,0)-9)*2&gt;=O$2,1,0),IF(TRUNC(ROUND($B19,0)/9,0)=0,IF(TRUNC(ROUND($B19,0)/9,0)=0,0+IF((ROUND($B19,0))*2&gt;=O$2,1,0),"Not"))))-O$3,"")</f>
        <v>0.66666666666666696</v>
      </c>
      <c r="P19" s="138">
        <f>IFERROR(AVERAGEIFS(Upload_Indiv[Score4],Upload_Indiv[[Player]:[Player]],$A19,Upload_Indiv[[Side]:[Side]],"Raintree Back")-IF(TRUNC(ROUND($B19,0)/9,0)=2,2+IF((ROUND($B19,0)-18)*2&gt;=P$2,1,0),IF(TRUNC(ROUND($B19,0)/9,0)=1,1+IF((ROUND($B19,0)-9)*2&gt;=P$2,1,0),IF(TRUNC(ROUND($B19,0)/9,0)=0,IF(TRUNC(ROUND($B19,0)/9,0)=0,0+IF((ROUND($B19,0))*2&gt;=P$2,1,0),"Not"))))-P$3,"")</f>
        <v>1.666666666666667</v>
      </c>
      <c r="Q19" s="138">
        <f>IFERROR(AVERAGEIFS(Upload_Indiv[Score5],Upload_Indiv[[Player]:[Player]],$A19,Upload_Indiv[[Side]:[Side]],"Raintree Back")-IF(TRUNC(ROUND($B19,0)/9,0)=2,2+IF((ROUND($B19,0)-18)*2&gt;=Q$2,1,0),IF(TRUNC(ROUND($B19,0)/9,0)=1,1+IF((ROUND($B19,0)-9)*2&gt;=Q$2,1,0),IF(TRUNC(ROUND($B19,0)/9,0)=0,IF(TRUNC(ROUND($B19,0)/9,0)=0,0+IF((ROUND($B19,0))*2&gt;=Q$2,1,0),"Not"))))-Q$3,"")</f>
        <v>-0.66666666666666696</v>
      </c>
      <c r="R19" s="138">
        <f>IFERROR(AVERAGEIFS(Upload_Indiv[Score6],Upload_Indiv[[Player]:[Player]],$A19,Upload_Indiv[[Side]:[Side]],"Raintree Back")-IF(TRUNC(ROUND($B19,0)/9,0)=2,2+IF((ROUND($B19,0)-18)*2&gt;=R$2,1,0),IF(TRUNC(ROUND($B19,0)/9,0)=1,1+IF((ROUND($B19,0)-9)*2&gt;=R$2,1,0),IF(TRUNC(ROUND($B19,0)/9,0)=0,IF(TRUNC(ROUND($B19,0)/9,0)=0,0+IF((ROUND($B19,0))*2&gt;=R$2,1,0),"Not"))))-R$3,"")</f>
        <v>-0.33333333333333304</v>
      </c>
      <c r="S19" s="138">
        <f>IFERROR(AVERAGEIFS(Upload_Indiv[Score7],Upload_Indiv[[Player]:[Player]],$A19,Upload_Indiv[[Side]:[Side]],"Raintree Back")-IF(TRUNC(ROUND($B19,0)/9,0)=2,2+IF((ROUND($B19,0)-18)*2&gt;=S$2,1,0),IF(TRUNC(ROUND($B19,0)/9,0)=1,1+IF((ROUND($B19,0)-9)*2&gt;=S$2,1,0),IF(TRUNC(ROUND($B19,0)/9,0)=0,IF(TRUNC(ROUND($B19,0)/9,0)=0,0+IF((ROUND($B19,0))*2&gt;=S$2,1,0),"Not"))))-S$3,"")</f>
        <v>-1</v>
      </c>
      <c r="T19" s="138">
        <f>IFERROR(AVERAGEIFS(Upload_Indiv[Score8],Upload_Indiv[[Player]:[Player]],$A19,Upload_Indiv[[Side]:[Side]],"Raintree Back")-IF(TRUNC(ROUND($B19,0)/9,0)=2,2+IF((ROUND($B19,0)-18)*2&gt;=T$2,1,0),IF(TRUNC(ROUND($B19,0)/9,0)=1,1+IF((ROUND($B19,0)-9)*2&gt;=T$2,1,0),IF(TRUNC(ROUND($B19,0)/9,0)=0,IF(TRUNC(ROUND($B19,0)/9,0)=0,0+IF((ROUND($B19,0))*2&gt;=T$2,1,0),"Not"))))-T$3,"")</f>
        <v>1</v>
      </c>
      <c r="U19" s="138">
        <f>IFERROR(AVERAGEIFS(Upload_Indiv[Score9],Upload_Indiv[[Player]:[Player]],$A19,Upload_Indiv[[Side]:[Side]],"Raintree Back")-IF(TRUNC(ROUND($B19,0)/9,0)=2,2+IF((ROUND($B19,0)-18)*2&gt;=U$2,1,0),IF(TRUNC(ROUND($B19,0)/9,0)=1,1+IF((ROUND($B19,0)-9)*2&gt;=U$2,1,0),IF(TRUNC(ROUND($B19,0)/9,0)=0,IF(TRUNC(ROUND($B19,0)/9,0)=0,0+IF((ROUND($B19,0))*2&gt;=U$2,1,0),"Not"))))-U$3,"")</f>
        <v>-2.333333333333333</v>
      </c>
      <c r="V19" s="138">
        <f t="shared" si="1"/>
        <v>-1.3333333333333321</v>
      </c>
    </row>
    <row r="20" spans="1:22" ht="15" customHeight="1" x14ac:dyDescent="0.25">
      <c r="A20" s="4" t="s">
        <v>320</v>
      </c>
      <c r="B20" s="138">
        <f>IFERROR(AVERAGEIFS(Upload_Indiv[Hdcp],Upload_Indiv[[Player]:[Player]],$A20),"")</f>
        <v>15.034999999999997</v>
      </c>
      <c r="C20" s="138">
        <f>IFERROR(AVERAGEIFS(Upload_Indiv[Score1],Upload_Indiv[[Player]:[Player]],$A20,Upload_Indiv[[Side]:[Side]],"Raintree Front")-IF(TRUNC(ROUND($B20,0)/9,0)=2,2+IF((ROUND($B20,0)-18)*2&gt;=C$2,1,0),IF(TRUNC(ROUND($B20,0)/9,0)=1,1+IF((ROUND($B20,0)-9)*2&gt;=C$2,1,0),IF(TRUNC(ROUND($B20,0)/9,0)=0,IF(TRUNC(ROUND($B20,0)/9,0)=0,0+IF((ROUND($B20,0))*2&gt;=C$2,1,0),"Not"))))-C$3,"")</f>
        <v>-0.5</v>
      </c>
      <c r="D20" s="138">
        <f>IFERROR(AVERAGEIFS(Upload_Indiv[Score2],Upload_Indiv[[Player]:[Player]],$A20,Upload_Indiv[[Side]:[Side]],"Raintree Front")-IF(TRUNC(ROUND($B20,0)/9,0)=2,2+IF((ROUND($B20,0)-18)*2&gt;=D$2,1,0),IF(TRUNC(ROUND($B20,0)/9,0)=1,1+IF((ROUND($B20,0)-9)*2&gt;=D$2,1,0),IF(TRUNC(ROUND($B20,0)/9,0)=0,IF(TRUNC(ROUND($B20,0)/9,0)=0,0+IF((ROUND($B20,0))*2&gt;=D$2,1,0),"Not"))))-D$3,"")</f>
        <v>1.25</v>
      </c>
      <c r="E20" s="138">
        <f>IFERROR(AVERAGEIFS(Upload_Indiv[Score3],Upload_Indiv[[Player]:[Player]],$A20,Upload_Indiv[[Side]:[Side]],"Raintree Front")-IF(TRUNC(ROUND($B20,0)/9,0)=2,2+IF((ROUND($B20,0)-18)*2&gt;=E$2,1,0),IF(TRUNC(ROUND($B20,0)/9,0)=1,1+IF((ROUND($B20,0)-9)*2&gt;=E$2,1,0),IF(TRUNC(ROUND($B20,0)/9,0)=0,IF(TRUNC(ROUND($B20,0)/9,0)=0,0+IF((ROUND($B20,0))*2&gt;=E$2,1,0),"Not"))))-E$3,"")</f>
        <v>0</v>
      </c>
      <c r="F20" s="138">
        <f>IFERROR(AVERAGEIFS(Upload_Indiv[Score4],Upload_Indiv[[Player]:[Player]],$A20,Upload_Indiv[[Side]:[Side]],"Raintree Front")-IF(TRUNC(ROUND($B20,0)/9,0)=2,2+IF((ROUND($B20,0)-18)*2&gt;=F$2,1,0),IF(TRUNC(ROUND($B20,0)/9,0)=1,1+IF((ROUND($B20,0)-9)*2&gt;=F$2,1,0),IF(TRUNC(ROUND($B20,0)/9,0)=0,IF(TRUNC(ROUND($B20,0)/9,0)=0,0+IF((ROUND($B20,0))*2&gt;=F$2,1,0),"Not"))))-F$3,"")</f>
        <v>0.875</v>
      </c>
      <c r="G20" s="138">
        <f>IFERROR(AVERAGEIFS(Upload_Indiv[Score5],Upload_Indiv[[Player]:[Player]],$A20,Upload_Indiv[[Side]:[Side]],"Raintree Front")-IF(TRUNC(ROUND($B20,0)/9,0)=2,2+IF((ROUND($B20,0)-18)*2&gt;=G$2,1,0),IF(TRUNC(ROUND($B20,0)/9,0)=1,1+IF((ROUND($B20,0)-9)*2&gt;=G$2,1,0),IF(TRUNC(ROUND($B20,0)/9,0)=0,IF(TRUNC(ROUND($B20,0)/9,0)=0,0+IF((ROUND($B20,0))*2&gt;=G$2,1,0),"Not"))))-G$3,"")</f>
        <v>0.875</v>
      </c>
      <c r="H20" s="138">
        <f>IFERROR(AVERAGEIFS(Upload_Indiv[Score6],Upload_Indiv[[Player]:[Player]],$A20,Upload_Indiv[[Side]:[Side]],"Raintree Front")-IF(TRUNC(ROUND($B20,0)/9,0)=2,2+IF((ROUND($B20,0)-18)*2&gt;=H$2,1,0),IF(TRUNC(ROUND($B20,0)/9,0)=1,1+IF((ROUND($B20,0)-9)*2&gt;=H$2,1,0),IF(TRUNC(ROUND($B20,0)/9,0)=0,IF(TRUNC(ROUND($B20,0)/9,0)=0,0+IF((ROUND($B20,0))*2&gt;=H$2,1,0),"Not"))))-H$3,"")</f>
        <v>1</v>
      </c>
      <c r="I20" s="138">
        <f>IFERROR(AVERAGEIFS(Upload_Indiv[Score7],Upload_Indiv[[Player]:[Player]],$A20,Upload_Indiv[[Side]:[Side]],"Raintree Front")-IF(TRUNC(ROUND($B20,0)/9,0)=2,2+IF((ROUND($B20,0)-18)*2&gt;=I$2,1,0),IF(TRUNC(ROUND($B20,0)/9,0)=1,1+IF((ROUND($B20,0)-9)*2&gt;=I$2,1,0),IF(TRUNC(ROUND($B20,0)/9,0)=0,IF(TRUNC(ROUND($B20,0)/9,0)=0,0+IF((ROUND($B20,0))*2&gt;=I$2,1,0),"Not"))))-I$3,"")</f>
        <v>1</v>
      </c>
      <c r="J20" s="138">
        <f>IFERROR(AVERAGEIFS(Upload_Indiv[Score8],Upload_Indiv[[Player]:[Player]],$A20,Upload_Indiv[[Side]:[Side]],"Raintree Front")-IF(TRUNC(ROUND($B20,0)/9,0)=2,2+IF((ROUND($B20,0)-18)*2&gt;=J$2,1,0),IF(TRUNC(ROUND($B20,0)/9,0)=1,1+IF((ROUND($B20,0)-9)*2&gt;=J$2,1,0),IF(TRUNC(ROUND($B20,0)/9,0)=0,IF(TRUNC(ROUND($B20,0)/9,0)=0,0+IF((ROUND($B20,0))*2&gt;=J$2,1,0),"Not"))))-J$3,"")</f>
        <v>0.25</v>
      </c>
      <c r="K20" s="138">
        <f>IFERROR(AVERAGEIFS(Upload_Indiv[Score9],Upload_Indiv[[Player]:[Player]],$A20,Upload_Indiv[[Side]:[Side]],"Raintree Front")-IF(TRUNC(ROUND($B20,0)/9,0)=2,2+IF((ROUND($B20,0)-18)*2&gt;=K$2,1,0),IF(TRUNC(ROUND($B20,0)/9,0)=1,1+IF((ROUND($B20,0)-9)*2&gt;=K$2,1,0),IF(TRUNC(ROUND($B20,0)/9,0)=0,IF(TRUNC(ROUND($B20,0)/9,0)=0,0+IF((ROUND($B20,0))*2&gt;=K$2,1,0),"Not"))))-K$3,"")</f>
        <v>0.25</v>
      </c>
      <c r="L20" s="138">
        <f t="shared" si="0"/>
        <v>5</v>
      </c>
      <c r="M20" s="138">
        <f>IFERROR(AVERAGEIFS(Upload_Indiv[Score1],Upload_Indiv[[Player]:[Player]],$A20,Upload_Indiv[[Side]:[Side]],"Raintree Back")-IF(TRUNC(ROUND($B20,0)/9,0)=2,2+IF((ROUND($B20,0)-18)*2&gt;=M$2,1,0),IF(TRUNC(ROUND($B20,0)/9,0)=1,1+IF((ROUND($B20,0)-9)*2&gt;=M$2,1,0),IF(TRUNC(ROUND($B20,0)/9,0)=0,IF(TRUNC(ROUND($B20,0)/9,0)=0,0+IF((ROUND($B20,0))*2&gt;=M$2,1,0),"Not"))))-M$3,"")</f>
        <v>0.5</v>
      </c>
      <c r="N20" s="138">
        <f>IFERROR(AVERAGEIFS(Upload_Indiv[Score2],Upload_Indiv[[Player]:[Player]],$A20,Upload_Indiv[[Side]:[Side]],"Raintree Back")-IF(TRUNC(ROUND($B20,0)/9,0)=2,2+IF((ROUND($B20,0)-18)*2&gt;=N$2,1,0),IF(TRUNC(ROUND($B20,0)/9,0)=1,1+IF((ROUND($B20,0)-9)*2&gt;=N$2,1,0),IF(TRUNC(ROUND($B20,0)/9,0)=0,IF(TRUNC(ROUND($B20,0)/9,0)=0,0+IF((ROUND($B20,0))*2&gt;=N$2,1,0),"Not"))))-N$3,"")</f>
        <v>-0.875</v>
      </c>
      <c r="O20" s="138">
        <f>IFERROR(AVERAGEIFS(Upload_Indiv[Score3],Upload_Indiv[[Player]:[Player]],$A20,Upload_Indiv[[Side]:[Side]],"Raintree Back")-IF(TRUNC(ROUND($B20,0)/9,0)=2,2+IF((ROUND($B20,0)-18)*2&gt;=O$2,1,0),IF(TRUNC(ROUND($B20,0)/9,0)=1,1+IF((ROUND($B20,0)-9)*2&gt;=O$2,1,0),IF(TRUNC(ROUND($B20,0)/9,0)=0,IF(TRUNC(ROUND($B20,0)/9,0)=0,0+IF((ROUND($B20,0))*2&gt;=O$2,1,0),"Not"))))-O$3,"")</f>
        <v>0.375</v>
      </c>
      <c r="P20" s="138">
        <f>IFERROR(AVERAGEIFS(Upload_Indiv[Score4],Upload_Indiv[[Player]:[Player]],$A20,Upload_Indiv[[Side]:[Side]],"Raintree Back")-IF(TRUNC(ROUND($B20,0)/9,0)=2,2+IF((ROUND($B20,0)-18)*2&gt;=P$2,1,0),IF(TRUNC(ROUND($B20,0)/9,0)=1,1+IF((ROUND($B20,0)-9)*2&gt;=P$2,1,0),IF(TRUNC(ROUND($B20,0)/9,0)=0,IF(TRUNC(ROUND($B20,0)/9,0)=0,0+IF((ROUND($B20,0))*2&gt;=P$2,1,0),"Not"))))-P$3,"")</f>
        <v>-0.375</v>
      </c>
      <c r="Q20" s="138">
        <f>IFERROR(AVERAGEIFS(Upload_Indiv[Score5],Upload_Indiv[[Player]:[Player]],$A20,Upload_Indiv[[Side]:[Side]],"Raintree Back")-IF(TRUNC(ROUND($B20,0)/9,0)=2,2+IF((ROUND($B20,0)-18)*2&gt;=Q$2,1,0),IF(TRUNC(ROUND($B20,0)/9,0)=1,1+IF((ROUND($B20,0)-9)*2&gt;=Q$2,1,0),IF(TRUNC(ROUND($B20,0)/9,0)=0,IF(TRUNC(ROUND($B20,0)/9,0)=0,0+IF((ROUND($B20,0))*2&gt;=Q$2,1,0),"Not"))))-Q$3,"")</f>
        <v>-0.75</v>
      </c>
      <c r="R20" s="138">
        <f>IFERROR(AVERAGEIFS(Upload_Indiv[Score6],Upload_Indiv[[Player]:[Player]],$A20,Upload_Indiv[[Side]:[Side]],"Raintree Back")-IF(TRUNC(ROUND($B20,0)/9,0)=2,2+IF((ROUND($B20,0)-18)*2&gt;=R$2,1,0),IF(TRUNC(ROUND($B20,0)/9,0)=1,1+IF((ROUND($B20,0)-9)*2&gt;=R$2,1,0),IF(TRUNC(ROUND($B20,0)/9,0)=0,IF(TRUNC(ROUND($B20,0)/9,0)=0,0+IF((ROUND($B20,0))*2&gt;=R$2,1,0),"Not"))))-R$3,"")</f>
        <v>-0.375</v>
      </c>
      <c r="S20" s="138">
        <f>IFERROR(AVERAGEIFS(Upload_Indiv[Score7],Upload_Indiv[[Player]:[Player]],$A20,Upload_Indiv[[Side]:[Side]],"Raintree Back")-IF(TRUNC(ROUND($B20,0)/9,0)=2,2+IF((ROUND($B20,0)-18)*2&gt;=S$2,1,0),IF(TRUNC(ROUND($B20,0)/9,0)=1,1+IF((ROUND($B20,0)-9)*2&gt;=S$2,1,0),IF(TRUNC(ROUND($B20,0)/9,0)=0,IF(TRUNC(ROUND($B20,0)/9,0)=0,0+IF((ROUND($B20,0))*2&gt;=S$2,1,0),"Not"))))-S$3,"")</f>
        <v>0</v>
      </c>
      <c r="T20" s="138">
        <f>IFERROR(AVERAGEIFS(Upload_Indiv[Score8],Upload_Indiv[[Player]:[Player]],$A20,Upload_Indiv[[Side]:[Side]],"Raintree Back")-IF(TRUNC(ROUND($B20,0)/9,0)=2,2+IF((ROUND($B20,0)-18)*2&gt;=T$2,1,0),IF(TRUNC(ROUND($B20,0)/9,0)=1,1+IF((ROUND($B20,0)-9)*2&gt;=T$2,1,0),IF(TRUNC(ROUND($B20,0)/9,0)=0,IF(TRUNC(ROUND($B20,0)/9,0)=0,0+IF((ROUND($B20,0))*2&gt;=T$2,1,0),"Not"))))-T$3,"")</f>
        <v>-0.25</v>
      </c>
      <c r="U20" s="138">
        <f>IFERROR(AVERAGEIFS(Upload_Indiv[Score9],Upload_Indiv[[Player]:[Player]],$A20,Upload_Indiv[[Side]:[Side]],"Raintree Back")-IF(TRUNC(ROUND($B20,0)/9,0)=2,2+IF((ROUND($B20,0)-18)*2&gt;=U$2,1,0),IF(TRUNC(ROUND($B20,0)/9,0)=1,1+IF((ROUND($B20,0)-9)*2&gt;=U$2,1,0),IF(TRUNC(ROUND($B20,0)/9,0)=0,IF(TRUNC(ROUND($B20,0)/9,0)=0,0+IF((ROUND($B20,0))*2&gt;=U$2,1,0),"Not"))))-U$3,"")</f>
        <v>0.125</v>
      </c>
      <c r="V20" s="138">
        <f t="shared" si="1"/>
        <v>-1.625</v>
      </c>
    </row>
    <row r="21" spans="1:22" ht="15" customHeight="1" x14ac:dyDescent="0.25">
      <c r="A21" s="4" t="s">
        <v>276</v>
      </c>
      <c r="B21" s="138">
        <f>IFERROR(AVERAGEIFS(Upload_Indiv[Hdcp],Upload_Indiv[[Player]:[Player]],$A21),"")</f>
        <v>14.758666666666667</v>
      </c>
      <c r="C21" s="138">
        <f>IFERROR(AVERAGEIFS(Upload_Indiv[Score1],Upload_Indiv[[Player]:[Player]],$A21,Upload_Indiv[[Side]:[Side]],"Raintree Front")-IF(TRUNC(ROUND($B21,0)/9,0)=2,2+IF((ROUND($B21,0)-18)*2&gt;=C$2,1,0),IF(TRUNC(ROUND($B21,0)/9,0)=1,1+IF((ROUND($B21,0)-9)*2&gt;=C$2,1,0),IF(TRUNC(ROUND($B21,0)/9,0)=0,IF(TRUNC(ROUND($B21,0)/9,0)=0,0+IF((ROUND($B21,0))*2&gt;=C$2,1,0),"Not"))))-C$3,"")</f>
        <v>-0.125</v>
      </c>
      <c r="D21" s="138">
        <f>IFERROR(AVERAGEIFS(Upload_Indiv[Score2],Upload_Indiv[[Player]:[Player]],$A21,Upload_Indiv[[Side]:[Side]],"Raintree Front")-IF(TRUNC(ROUND($B21,0)/9,0)=2,2+IF((ROUND($B21,0)-18)*2&gt;=D$2,1,0),IF(TRUNC(ROUND($B21,0)/9,0)=1,1+IF((ROUND($B21,0)-9)*2&gt;=D$2,1,0),IF(TRUNC(ROUND($B21,0)/9,0)=0,IF(TRUNC(ROUND($B21,0)/9,0)=0,0+IF((ROUND($B21,0))*2&gt;=D$2,1,0),"Not"))))-D$3,"")</f>
        <v>0.75</v>
      </c>
      <c r="E21" s="138">
        <f>IFERROR(AVERAGEIFS(Upload_Indiv[Score3],Upload_Indiv[[Player]:[Player]],$A21,Upload_Indiv[[Side]:[Side]],"Raintree Front")-IF(TRUNC(ROUND($B21,0)/9,0)=2,2+IF((ROUND($B21,0)-18)*2&gt;=E$2,1,0),IF(TRUNC(ROUND($B21,0)/9,0)=1,1+IF((ROUND($B21,0)-9)*2&gt;=E$2,1,0),IF(TRUNC(ROUND($B21,0)/9,0)=0,IF(TRUNC(ROUND($B21,0)/9,0)=0,0+IF((ROUND($B21,0))*2&gt;=E$2,1,0),"Not"))))-E$3,"")</f>
        <v>-0.125</v>
      </c>
      <c r="F21" s="138">
        <f>IFERROR(AVERAGEIFS(Upload_Indiv[Score4],Upload_Indiv[[Player]:[Player]],$A21,Upload_Indiv[[Side]:[Side]],"Raintree Front")-IF(TRUNC(ROUND($B21,0)/9,0)=2,2+IF((ROUND($B21,0)-18)*2&gt;=F$2,1,0),IF(TRUNC(ROUND($B21,0)/9,0)=1,1+IF((ROUND($B21,0)-9)*2&gt;=F$2,1,0),IF(TRUNC(ROUND($B21,0)/9,0)=0,IF(TRUNC(ROUND($B21,0)/9,0)=0,0+IF((ROUND($B21,0))*2&gt;=F$2,1,0),"Not"))))-F$3,"")</f>
        <v>0.25</v>
      </c>
      <c r="G21" s="138">
        <f>IFERROR(AVERAGEIFS(Upload_Indiv[Score5],Upload_Indiv[[Player]:[Player]],$A21,Upload_Indiv[[Side]:[Side]],"Raintree Front")-IF(TRUNC(ROUND($B21,0)/9,0)=2,2+IF((ROUND($B21,0)-18)*2&gt;=G$2,1,0),IF(TRUNC(ROUND($B21,0)/9,0)=1,1+IF((ROUND($B21,0)-9)*2&gt;=G$2,1,0),IF(TRUNC(ROUND($B21,0)/9,0)=0,IF(TRUNC(ROUND($B21,0)/9,0)=0,0+IF((ROUND($B21,0))*2&gt;=G$2,1,0),"Not"))))-G$3,"")</f>
        <v>1.625</v>
      </c>
      <c r="H21" s="138">
        <f>IFERROR(AVERAGEIFS(Upload_Indiv[Score6],Upload_Indiv[[Player]:[Player]],$A21,Upload_Indiv[[Side]:[Side]],"Raintree Front")-IF(TRUNC(ROUND($B21,0)/9,0)=2,2+IF((ROUND($B21,0)-18)*2&gt;=H$2,1,0),IF(TRUNC(ROUND($B21,0)/9,0)=1,1+IF((ROUND($B21,0)-9)*2&gt;=H$2,1,0),IF(TRUNC(ROUND($B21,0)/9,0)=0,IF(TRUNC(ROUND($B21,0)/9,0)=0,0+IF((ROUND($B21,0))*2&gt;=H$2,1,0),"Not"))))-H$3,"")</f>
        <v>-0.375</v>
      </c>
      <c r="I21" s="138">
        <f>IFERROR(AVERAGEIFS(Upload_Indiv[Score7],Upload_Indiv[[Player]:[Player]],$A21,Upload_Indiv[[Side]:[Side]],"Raintree Front")-IF(TRUNC(ROUND($B21,0)/9,0)=2,2+IF((ROUND($B21,0)-18)*2&gt;=I$2,1,0),IF(TRUNC(ROUND($B21,0)/9,0)=1,1+IF((ROUND($B21,0)-9)*2&gt;=I$2,1,0),IF(TRUNC(ROUND($B21,0)/9,0)=0,IF(TRUNC(ROUND($B21,0)/9,0)=0,0+IF((ROUND($B21,0))*2&gt;=I$2,1,0),"Not"))))-I$3,"")</f>
        <v>0.875</v>
      </c>
      <c r="J21" s="138">
        <f>IFERROR(AVERAGEIFS(Upload_Indiv[Score8],Upload_Indiv[[Player]:[Player]],$A21,Upload_Indiv[[Side]:[Side]],"Raintree Front")-IF(TRUNC(ROUND($B21,0)/9,0)=2,2+IF((ROUND($B21,0)-18)*2&gt;=J$2,1,0),IF(TRUNC(ROUND($B21,0)/9,0)=1,1+IF((ROUND($B21,0)-9)*2&gt;=J$2,1,0),IF(TRUNC(ROUND($B21,0)/9,0)=0,IF(TRUNC(ROUND($B21,0)/9,0)=0,0+IF((ROUND($B21,0))*2&gt;=J$2,1,0),"Not"))))-J$3,"")</f>
        <v>-1.125</v>
      </c>
      <c r="K21" s="138">
        <f>IFERROR(AVERAGEIFS(Upload_Indiv[Score9],Upload_Indiv[[Player]:[Player]],$A21,Upload_Indiv[[Side]:[Side]],"Raintree Front")-IF(TRUNC(ROUND($B21,0)/9,0)=2,2+IF((ROUND($B21,0)-18)*2&gt;=K$2,1,0),IF(TRUNC(ROUND($B21,0)/9,0)=1,1+IF((ROUND($B21,0)-9)*2&gt;=K$2,1,0),IF(TRUNC(ROUND($B21,0)/9,0)=0,IF(TRUNC(ROUND($B21,0)/9,0)=0,0+IF((ROUND($B21,0))*2&gt;=K$2,1,0),"Not"))))-K$3,"")</f>
        <v>-0.625</v>
      </c>
      <c r="L21" s="138">
        <f t="shared" si="0"/>
        <v>1.125</v>
      </c>
      <c r="M21" s="138">
        <f>IFERROR(AVERAGEIFS(Upload_Indiv[Score1],Upload_Indiv[[Player]:[Player]],$A21,Upload_Indiv[[Side]:[Side]],"Raintree Back")-IF(TRUNC(ROUND($B21,0)/9,0)=2,2+IF((ROUND($B21,0)-18)*2&gt;=M$2,1,0),IF(TRUNC(ROUND($B21,0)/9,0)=1,1+IF((ROUND($B21,0)-9)*2&gt;=M$2,1,0),IF(TRUNC(ROUND($B21,0)/9,0)=0,IF(TRUNC(ROUND($B21,0)/9,0)=0,0+IF((ROUND($B21,0))*2&gt;=M$2,1,0),"Not"))))-M$3,"")</f>
        <v>0.57142857142857117</v>
      </c>
      <c r="N21" s="138">
        <f>IFERROR(AVERAGEIFS(Upload_Indiv[Score2],Upload_Indiv[[Player]:[Player]],$A21,Upload_Indiv[[Side]:[Side]],"Raintree Back")-IF(TRUNC(ROUND($B21,0)/9,0)=2,2+IF((ROUND($B21,0)-18)*2&gt;=N$2,1,0),IF(TRUNC(ROUND($B21,0)/9,0)=1,1+IF((ROUND($B21,0)-9)*2&gt;=N$2,1,0),IF(TRUNC(ROUND($B21,0)/9,0)=0,IF(TRUNC(ROUND($B21,0)/9,0)=0,0+IF((ROUND($B21,0))*2&gt;=N$2,1,0),"Not"))))-N$3,"")</f>
        <v>-0.14285714285714324</v>
      </c>
      <c r="O21" s="138">
        <f>IFERROR(AVERAGEIFS(Upload_Indiv[Score3],Upload_Indiv[[Player]:[Player]],$A21,Upload_Indiv[[Side]:[Side]],"Raintree Back")-IF(TRUNC(ROUND($B21,0)/9,0)=2,2+IF((ROUND($B21,0)-18)*2&gt;=O$2,1,0),IF(TRUNC(ROUND($B21,0)/9,0)=1,1+IF((ROUND($B21,0)-9)*2&gt;=O$2,1,0),IF(TRUNC(ROUND($B21,0)/9,0)=0,IF(TRUNC(ROUND($B21,0)/9,0)=0,0+IF((ROUND($B21,0))*2&gt;=O$2,1,0),"Not"))))-O$3,"")</f>
        <v>0.42857142857142883</v>
      </c>
      <c r="P21" s="138">
        <f>IFERROR(AVERAGEIFS(Upload_Indiv[Score4],Upload_Indiv[[Player]:[Player]],$A21,Upload_Indiv[[Side]:[Side]],"Raintree Back")-IF(TRUNC(ROUND($B21,0)/9,0)=2,2+IF((ROUND($B21,0)-18)*2&gt;=P$2,1,0),IF(TRUNC(ROUND($B21,0)/9,0)=1,1+IF((ROUND($B21,0)-9)*2&gt;=P$2,1,0),IF(TRUNC(ROUND($B21,0)/9,0)=0,IF(TRUNC(ROUND($B21,0)/9,0)=0,0+IF((ROUND($B21,0))*2&gt;=P$2,1,0),"Not"))))-P$3,"")</f>
        <v>1</v>
      </c>
      <c r="Q21" s="138">
        <f>IFERROR(AVERAGEIFS(Upload_Indiv[Score5],Upload_Indiv[[Player]:[Player]],$A21,Upload_Indiv[[Side]:[Side]],"Raintree Back")-IF(TRUNC(ROUND($B21,0)/9,0)=2,2+IF((ROUND($B21,0)-18)*2&gt;=Q$2,1,0),IF(TRUNC(ROUND($B21,0)/9,0)=1,1+IF((ROUND($B21,0)-9)*2&gt;=Q$2,1,0),IF(TRUNC(ROUND($B21,0)/9,0)=0,IF(TRUNC(ROUND($B21,0)/9,0)=0,0+IF((ROUND($B21,0))*2&gt;=Q$2,1,0),"Not"))))-Q$3,"")</f>
        <v>-0.85714285714285676</v>
      </c>
      <c r="R21" s="138">
        <f>IFERROR(AVERAGEIFS(Upload_Indiv[Score6],Upload_Indiv[[Player]:[Player]],$A21,Upload_Indiv[[Side]:[Side]],"Raintree Back")-IF(TRUNC(ROUND($B21,0)/9,0)=2,2+IF((ROUND($B21,0)-18)*2&gt;=R$2,1,0),IF(TRUNC(ROUND($B21,0)/9,0)=1,1+IF((ROUND($B21,0)-9)*2&gt;=R$2,1,0),IF(TRUNC(ROUND($B21,0)/9,0)=0,IF(TRUNC(ROUND($B21,0)/9,0)=0,0+IF((ROUND($B21,0))*2&gt;=R$2,1,0),"Not"))))-R$3,"")</f>
        <v>0.85714285714285676</v>
      </c>
      <c r="S21" s="138">
        <f>IFERROR(AVERAGEIFS(Upload_Indiv[Score7],Upload_Indiv[[Player]:[Player]],$A21,Upload_Indiv[[Side]:[Side]],"Raintree Back")-IF(TRUNC(ROUND($B21,0)/9,0)=2,2+IF((ROUND($B21,0)-18)*2&gt;=S$2,1,0),IF(TRUNC(ROUND($B21,0)/9,0)=1,1+IF((ROUND($B21,0)-9)*2&gt;=S$2,1,0),IF(TRUNC(ROUND($B21,0)/9,0)=0,IF(TRUNC(ROUND($B21,0)/9,0)=0,0+IF((ROUND($B21,0))*2&gt;=S$2,1,0),"Not"))))-S$3,"")</f>
        <v>0.14285714285714324</v>
      </c>
      <c r="T21" s="138">
        <f>IFERROR(AVERAGEIFS(Upload_Indiv[Score8],Upload_Indiv[[Player]:[Player]],$A21,Upload_Indiv[[Side]:[Side]],"Raintree Back")-IF(TRUNC(ROUND($B21,0)/9,0)=2,2+IF((ROUND($B21,0)-18)*2&gt;=T$2,1,0),IF(TRUNC(ROUND($B21,0)/9,0)=1,1+IF((ROUND($B21,0)-9)*2&gt;=T$2,1,0),IF(TRUNC(ROUND($B21,0)/9,0)=0,IF(TRUNC(ROUND($B21,0)/9,0)=0,0+IF((ROUND($B21,0))*2&gt;=T$2,1,0),"Not"))))-T$3,"")</f>
        <v>0.57142857142857117</v>
      </c>
      <c r="U21" s="138">
        <f>IFERROR(AVERAGEIFS(Upload_Indiv[Score9],Upload_Indiv[[Player]:[Player]],$A21,Upload_Indiv[[Side]:[Side]],"Raintree Back")-IF(TRUNC(ROUND($B21,0)/9,0)=2,2+IF((ROUND($B21,0)-18)*2&gt;=U$2,1,0),IF(TRUNC(ROUND($B21,0)/9,0)=1,1+IF((ROUND($B21,0)-9)*2&gt;=U$2,1,0),IF(TRUNC(ROUND($B21,0)/9,0)=0,IF(TRUNC(ROUND($B21,0)/9,0)=0,0+IF((ROUND($B21,0))*2&gt;=U$2,1,0),"Not"))))-U$3,"")</f>
        <v>1.1428571428571423</v>
      </c>
      <c r="V21" s="138">
        <f t="shared" si="1"/>
        <v>3.7142857142857135</v>
      </c>
    </row>
    <row r="22" spans="1:22" ht="15" customHeight="1" x14ac:dyDescent="0.25">
      <c r="A22" s="4" t="s">
        <v>278</v>
      </c>
      <c r="B22" s="138">
        <f>IFERROR(AVERAGEIFS(Upload_Indiv[Hdcp],Upload_Indiv[[Player]:[Player]],$A22),"")</f>
        <v>17.292857142857141</v>
      </c>
      <c r="C22" s="138">
        <f>IFERROR(AVERAGEIFS(Upload_Indiv[Score1],Upload_Indiv[[Player]:[Player]],$A22,Upload_Indiv[[Side]:[Side]],"Raintree Front")-IF(TRUNC(ROUND($B22,0)/9,0)=2,2+IF((ROUND($B22,0)-18)*2&gt;=C$2,1,0),IF(TRUNC(ROUND($B22,0)/9,0)=1,1+IF((ROUND($B22,0)-9)*2&gt;=C$2,1,0),IF(TRUNC(ROUND($B22,0)/9,0)=0,IF(TRUNC(ROUND($B22,0)/9,0)=0,0+IF((ROUND($B22,0))*2&gt;=C$2,1,0),"Not"))))-C$3,"")</f>
        <v>1</v>
      </c>
      <c r="D22" s="138">
        <f>IFERROR(AVERAGEIFS(Upload_Indiv[Score2],Upload_Indiv[[Player]:[Player]],$A22,Upload_Indiv[[Side]:[Side]],"Raintree Front")-IF(TRUNC(ROUND($B22,0)/9,0)=2,2+IF((ROUND($B22,0)-18)*2&gt;=D$2,1,0),IF(TRUNC(ROUND($B22,0)/9,0)=1,1+IF((ROUND($B22,0)-9)*2&gt;=D$2,1,0),IF(TRUNC(ROUND($B22,0)/9,0)=0,IF(TRUNC(ROUND($B22,0)/9,0)=0,0+IF((ROUND($B22,0))*2&gt;=D$2,1,0),"Not"))))-D$3,"")</f>
        <v>-0.375</v>
      </c>
      <c r="E22" s="138">
        <f>IFERROR(AVERAGEIFS(Upload_Indiv[Score3],Upload_Indiv[[Player]:[Player]],$A22,Upload_Indiv[[Side]:[Side]],"Raintree Front")-IF(TRUNC(ROUND($B22,0)/9,0)=2,2+IF((ROUND($B22,0)-18)*2&gt;=E$2,1,0),IF(TRUNC(ROUND($B22,0)/9,0)=1,1+IF((ROUND($B22,0)-9)*2&gt;=E$2,1,0),IF(TRUNC(ROUND($B22,0)/9,0)=0,IF(TRUNC(ROUND($B22,0)/9,0)=0,0+IF((ROUND($B22,0))*2&gt;=E$2,1,0),"Not"))))-E$3,"")</f>
        <v>0.75</v>
      </c>
      <c r="F22" s="138">
        <f>IFERROR(AVERAGEIFS(Upload_Indiv[Score4],Upload_Indiv[[Player]:[Player]],$A22,Upload_Indiv[[Side]:[Side]],"Raintree Front")-IF(TRUNC(ROUND($B22,0)/9,0)=2,2+IF((ROUND($B22,0)-18)*2&gt;=F$2,1,0),IF(TRUNC(ROUND($B22,0)/9,0)=1,1+IF((ROUND($B22,0)-9)*2&gt;=F$2,1,0),IF(TRUNC(ROUND($B22,0)/9,0)=0,IF(TRUNC(ROUND($B22,0)/9,0)=0,0+IF((ROUND($B22,0))*2&gt;=F$2,1,0),"Not"))))-F$3,"")</f>
        <v>-0.5</v>
      </c>
      <c r="G22" s="138">
        <f>IFERROR(AVERAGEIFS(Upload_Indiv[Score5],Upload_Indiv[[Player]:[Player]],$A22,Upload_Indiv[[Side]:[Side]],"Raintree Front")-IF(TRUNC(ROUND($B22,0)/9,0)=2,2+IF((ROUND($B22,0)-18)*2&gt;=G$2,1,0),IF(TRUNC(ROUND($B22,0)/9,0)=1,1+IF((ROUND($B22,0)-9)*2&gt;=G$2,1,0),IF(TRUNC(ROUND($B22,0)/9,0)=0,IF(TRUNC(ROUND($B22,0)/9,0)=0,0+IF((ROUND($B22,0))*2&gt;=G$2,1,0),"Not"))))-G$3,"")</f>
        <v>1.25</v>
      </c>
      <c r="H22" s="138">
        <f>IFERROR(AVERAGEIFS(Upload_Indiv[Score6],Upload_Indiv[[Player]:[Player]],$A22,Upload_Indiv[[Side]:[Side]],"Raintree Front")-IF(TRUNC(ROUND($B22,0)/9,0)=2,2+IF((ROUND($B22,0)-18)*2&gt;=H$2,1,0),IF(TRUNC(ROUND($B22,0)/9,0)=1,1+IF((ROUND($B22,0)-9)*2&gt;=H$2,1,0),IF(TRUNC(ROUND($B22,0)/9,0)=0,IF(TRUNC(ROUND($B22,0)/9,0)=0,0+IF((ROUND($B22,0))*2&gt;=H$2,1,0),"Not"))))-H$3,"")</f>
        <v>0.625</v>
      </c>
      <c r="I22" s="138">
        <f>IFERROR(AVERAGEIFS(Upload_Indiv[Score7],Upload_Indiv[[Player]:[Player]],$A22,Upload_Indiv[[Side]:[Side]],"Raintree Front")-IF(TRUNC(ROUND($B22,0)/9,0)=2,2+IF((ROUND($B22,0)-18)*2&gt;=I$2,1,0),IF(TRUNC(ROUND($B22,0)/9,0)=1,1+IF((ROUND($B22,0)-9)*2&gt;=I$2,1,0),IF(TRUNC(ROUND($B22,0)/9,0)=0,IF(TRUNC(ROUND($B22,0)/9,0)=0,0+IF((ROUND($B22,0))*2&gt;=I$2,1,0),"Not"))))-I$3,"")</f>
        <v>0.5</v>
      </c>
      <c r="J22" s="138">
        <f>IFERROR(AVERAGEIFS(Upload_Indiv[Score8],Upload_Indiv[[Player]:[Player]],$A22,Upload_Indiv[[Side]:[Side]],"Raintree Front")-IF(TRUNC(ROUND($B22,0)/9,0)=2,2+IF((ROUND($B22,0)-18)*2&gt;=J$2,1,0),IF(TRUNC(ROUND($B22,0)/9,0)=1,1+IF((ROUND($B22,0)-9)*2&gt;=J$2,1,0),IF(TRUNC(ROUND($B22,0)/9,0)=0,IF(TRUNC(ROUND($B22,0)/9,0)=0,0+IF((ROUND($B22,0))*2&gt;=J$2,1,0),"Not"))))-J$3,"")</f>
        <v>0</v>
      </c>
      <c r="K22" s="138">
        <f>IFERROR(AVERAGEIFS(Upload_Indiv[Score9],Upload_Indiv[[Player]:[Player]],$A22,Upload_Indiv[[Side]:[Side]],"Raintree Front")-IF(TRUNC(ROUND($B22,0)/9,0)=2,2+IF((ROUND($B22,0)-18)*2&gt;=K$2,1,0),IF(TRUNC(ROUND($B22,0)/9,0)=1,1+IF((ROUND($B22,0)-9)*2&gt;=K$2,1,0),IF(TRUNC(ROUND($B22,0)/9,0)=0,IF(TRUNC(ROUND($B22,0)/9,0)=0,0+IF((ROUND($B22,0))*2&gt;=K$2,1,0),"Not"))))-K$3,"")</f>
        <v>-0.5</v>
      </c>
      <c r="L22" s="138">
        <f t="shared" si="0"/>
        <v>2.75</v>
      </c>
      <c r="M22" s="138">
        <f>IFERROR(AVERAGEIFS(Upload_Indiv[Score1],Upload_Indiv[[Player]:[Player]],$A22,Upload_Indiv[[Side]:[Side]],"Raintree Back")-IF(TRUNC(ROUND($B22,0)/9,0)=2,2+IF((ROUND($B22,0)-18)*2&gt;=M$2,1,0),IF(TRUNC(ROUND($B22,0)/9,0)=1,1+IF((ROUND($B22,0)-9)*2&gt;=M$2,1,0),IF(TRUNC(ROUND($B22,0)/9,0)=0,IF(TRUNC(ROUND($B22,0)/9,0)=0,0+IF((ROUND($B22,0))*2&gt;=M$2,1,0),"Not"))))-M$3,"")</f>
        <v>-0.83333333333333304</v>
      </c>
      <c r="N22" s="138">
        <f>IFERROR(AVERAGEIFS(Upload_Indiv[Score2],Upload_Indiv[[Player]:[Player]],$A22,Upload_Indiv[[Side]:[Side]],"Raintree Back")-IF(TRUNC(ROUND($B22,0)/9,0)=2,2+IF((ROUND($B22,0)-18)*2&gt;=N$2,1,0),IF(TRUNC(ROUND($B22,0)/9,0)=1,1+IF((ROUND($B22,0)-9)*2&gt;=N$2,1,0),IF(TRUNC(ROUND($B22,0)/9,0)=0,IF(TRUNC(ROUND($B22,0)/9,0)=0,0+IF((ROUND($B22,0))*2&gt;=N$2,1,0),"Not"))))-N$3,"")</f>
        <v>-0.33333333333333304</v>
      </c>
      <c r="O22" s="138">
        <f>IFERROR(AVERAGEIFS(Upload_Indiv[Score3],Upload_Indiv[[Player]:[Player]],$A22,Upload_Indiv[[Side]:[Side]],"Raintree Back")-IF(TRUNC(ROUND($B22,0)/9,0)=2,2+IF((ROUND($B22,0)-18)*2&gt;=O$2,1,0),IF(TRUNC(ROUND($B22,0)/9,0)=1,1+IF((ROUND($B22,0)-9)*2&gt;=O$2,1,0),IF(TRUNC(ROUND($B22,0)/9,0)=0,IF(TRUNC(ROUND($B22,0)/9,0)=0,0+IF((ROUND($B22,0))*2&gt;=O$2,1,0),"Not"))))-O$3,"")</f>
        <v>0.33333333333333304</v>
      </c>
      <c r="P22" s="138">
        <f>IFERROR(AVERAGEIFS(Upload_Indiv[Score4],Upload_Indiv[[Player]:[Player]],$A22,Upload_Indiv[[Side]:[Side]],"Raintree Back")-IF(TRUNC(ROUND($B22,0)/9,0)=2,2+IF((ROUND($B22,0)-18)*2&gt;=P$2,1,0),IF(TRUNC(ROUND($B22,0)/9,0)=1,1+IF((ROUND($B22,0)-9)*2&gt;=P$2,1,0),IF(TRUNC(ROUND($B22,0)/9,0)=0,IF(TRUNC(ROUND($B22,0)/9,0)=0,0+IF((ROUND($B22,0))*2&gt;=P$2,1,0),"Not"))))-P$3,"")</f>
        <v>1.5</v>
      </c>
      <c r="Q22" s="138">
        <f>IFERROR(AVERAGEIFS(Upload_Indiv[Score5],Upload_Indiv[[Player]:[Player]],$A22,Upload_Indiv[[Side]:[Side]],"Raintree Back")-IF(TRUNC(ROUND($B22,0)/9,0)=2,2+IF((ROUND($B22,0)-18)*2&gt;=Q$2,1,0),IF(TRUNC(ROUND($B22,0)/9,0)=1,1+IF((ROUND($B22,0)-9)*2&gt;=Q$2,1,0),IF(TRUNC(ROUND($B22,0)/9,0)=0,IF(TRUNC(ROUND($B22,0)/9,0)=0,0+IF((ROUND($B22,0))*2&gt;=Q$2,1,0),"Not"))))-Q$3,"")</f>
        <v>0.66666666666666696</v>
      </c>
      <c r="R22" s="138">
        <f>IFERROR(AVERAGEIFS(Upload_Indiv[Score6],Upload_Indiv[[Player]:[Player]],$A22,Upload_Indiv[[Side]:[Side]],"Raintree Back")-IF(TRUNC(ROUND($B22,0)/9,0)=2,2+IF((ROUND($B22,0)-18)*2&gt;=R$2,1,0),IF(TRUNC(ROUND($B22,0)/9,0)=1,1+IF((ROUND($B22,0)-9)*2&gt;=R$2,1,0),IF(TRUNC(ROUND($B22,0)/9,0)=0,IF(TRUNC(ROUND($B22,0)/9,0)=0,0+IF((ROUND($B22,0))*2&gt;=R$2,1,0),"Not"))))-R$3,"")</f>
        <v>0.16666666666666696</v>
      </c>
      <c r="S22" s="138">
        <f>IFERROR(AVERAGEIFS(Upload_Indiv[Score7],Upload_Indiv[[Player]:[Player]],$A22,Upload_Indiv[[Side]:[Side]],"Raintree Back")-IF(TRUNC(ROUND($B22,0)/9,0)=2,2+IF((ROUND($B22,0)-18)*2&gt;=S$2,1,0),IF(TRUNC(ROUND($B22,0)/9,0)=1,1+IF((ROUND($B22,0)-9)*2&gt;=S$2,1,0),IF(TRUNC(ROUND($B22,0)/9,0)=0,IF(TRUNC(ROUND($B22,0)/9,0)=0,0+IF((ROUND($B22,0))*2&gt;=S$2,1,0),"Not"))))-S$3,"")</f>
        <v>-0.16666666666666652</v>
      </c>
      <c r="T22" s="138">
        <f>IFERROR(AVERAGEIFS(Upload_Indiv[Score8],Upload_Indiv[[Player]:[Player]],$A22,Upload_Indiv[[Side]:[Side]],"Raintree Back")-IF(TRUNC(ROUND($B22,0)/9,0)=2,2+IF((ROUND($B22,0)-18)*2&gt;=T$2,1,0),IF(TRUNC(ROUND($B22,0)/9,0)=1,1+IF((ROUND($B22,0)-9)*2&gt;=T$2,1,0),IF(TRUNC(ROUND($B22,0)/9,0)=0,IF(TRUNC(ROUND($B22,0)/9,0)=0,0+IF((ROUND($B22,0))*2&gt;=T$2,1,0),"Not"))))-T$3,"")</f>
        <v>0.33333333333333304</v>
      </c>
      <c r="U22" s="138">
        <f>IFERROR(AVERAGEIFS(Upload_Indiv[Score9],Upload_Indiv[[Player]:[Player]],$A22,Upload_Indiv[[Side]:[Side]],"Raintree Back")-IF(TRUNC(ROUND($B22,0)/9,0)=2,2+IF((ROUND($B22,0)-18)*2&gt;=U$2,1,0),IF(TRUNC(ROUND($B22,0)/9,0)=1,1+IF((ROUND($B22,0)-9)*2&gt;=U$2,1,0),IF(TRUNC(ROUND($B22,0)/9,0)=0,IF(TRUNC(ROUND($B22,0)/9,0)=0,0+IF((ROUND($B22,0))*2&gt;=U$2,1,0),"Not"))))-U$3,"")</f>
        <v>0.5</v>
      </c>
      <c r="V22" s="138">
        <f t="shared" si="1"/>
        <v>2.1666666666666674</v>
      </c>
    </row>
    <row r="23" spans="1:22" ht="15" customHeight="1" x14ac:dyDescent="0.25">
      <c r="A23" s="4" t="s">
        <v>101</v>
      </c>
      <c r="B23" s="138">
        <f>IFERROR(AVERAGEIFS(Upload_Indiv[Hdcp],Upload_Indiv[[Player]:[Player]],$A23),"")</f>
        <v>18.68</v>
      </c>
      <c r="C23" s="138">
        <f>IFERROR(AVERAGEIFS(Upload_Indiv[Score1],Upload_Indiv[[Player]:[Player]],$A23,Upload_Indiv[[Side]:[Side]],"Raintree Front")-IF(TRUNC(ROUND($B23,0)/9,0)=2,2+IF((ROUND($B23,0)-18)*2&gt;=C$2,1,0),IF(TRUNC(ROUND($B23,0)/9,0)=1,1+IF((ROUND($B23,0)-9)*2&gt;=C$2,1,0),IF(TRUNC(ROUND($B23,0)/9,0)=0,IF(TRUNC(ROUND($B23,0)/9,0)=0,0+IF((ROUND($B23,0))*2&gt;=C$2,1,0),"Not"))))-C$3,"")</f>
        <v>0.625</v>
      </c>
      <c r="D23" s="138">
        <f>IFERROR(AVERAGEIFS(Upload_Indiv[Score2],Upload_Indiv[[Player]:[Player]],$A23,Upload_Indiv[[Side]:[Side]],"Raintree Front")-IF(TRUNC(ROUND($B23,0)/9,0)=2,2+IF((ROUND($B23,0)-18)*2&gt;=D$2,1,0),IF(TRUNC(ROUND($B23,0)/9,0)=1,1+IF((ROUND($B23,0)-9)*2&gt;=D$2,1,0),IF(TRUNC(ROUND($B23,0)/9,0)=0,IF(TRUNC(ROUND($B23,0)/9,0)=0,0+IF((ROUND($B23,0))*2&gt;=D$2,1,0),"Not"))))-D$3,"")</f>
        <v>0.5</v>
      </c>
      <c r="E23" s="138">
        <f>IFERROR(AVERAGEIFS(Upload_Indiv[Score3],Upload_Indiv[[Player]:[Player]],$A23,Upload_Indiv[[Side]:[Side]],"Raintree Front")-IF(TRUNC(ROUND($B23,0)/9,0)=2,2+IF((ROUND($B23,0)-18)*2&gt;=E$2,1,0),IF(TRUNC(ROUND($B23,0)/9,0)=1,1+IF((ROUND($B23,0)-9)*2&gt;=E$2,1,0),IF(TRUNC(ROUND($B23,0)/9,0)=0,IF(TRUNC(ROUND($B23,0)/9,0)=0,0+IF((ROUND($B23,0))*2&gt;=E$2,1,0),"Not"))))-E$3,"")</f>
        <v>0.625</v>
      </c>
      <c r="F23" s="138">
        <f>IFERROR(AVERAGEIFS(Upload_Indiv[Score4],Upload_Indiv[[Player]:[Player]],$A23,Upload_Indiv[[Side]:[Side]],"Raintree Front")-IF(TRUNC(ROUND($B23,0)/9,0)=2,2+IF((ROUND($B23,0)-18)*2&gt;=F$2,1,0),IF(TRUNC(ROUND($B23,0)/9,0)=1,1+IF((ROUND($B23,0)-9)*2&gt;=F$2,1,0),IF(TRUNC(ROUND($B23,0)/9,0)=0,IF(TRUNC(ROUND($B23,0)/9,0)=0,0+IF((ROUND($B23,0))*2&gt;=F$2,1,0),"Not"))))-F$3,"")</f>
        <v>0.375</v>
      </c>
      <c r="G23" s="138">
        <f>IFERROR(AVERAGEIFS(Upload_Indiv[Score5],Upload_Indiv[[Player]:[Player]],$A23,Upload_Indiv[[Side]:[Side]],"Raintree Front")-IF(TRUNC(ROUND($B23,0)/9,0)=2,2+IF((ROUND($B23,0)-18)*2&gt;=G$2,1,0),IF(TRUNC(ROUND($B23,0)/9,0)=1,1+IF((ROUND($B23,0)-9)*2&gt;=G$2,1,0),IF(TRUNC(ROUND($B23,0)/9,0)=0,IF(TRUNC(ROUND($B23,0)/9,0)=0,0+IF((ROUND($B23,0))*2&gt;=G$2,1,0),"Not"))))-G$3,"")</f>
        <v>0.125</v>
      </c>
      <c r="H23" s="138">
        <f>IFERROR(AVERAGEIFS(Upload_Indiv[Score6],Upload_Indiv[[Player]:[Player]],$A23,Upload_Indiv[[Side]:[Side]],"Raintree Front")-IF(TRUNC(ROUND($B23,0)/9,0)=2,2+IF((ROUND($B23,0)-18)*2&gt;=H$2,1,0),IF(TRUNC(ROUND($B23,0)/9,0)=1,1+IF((ROUND($B23,0)-9)*2&gt;=H$2,1,0),IF(TRUNC(ROUND($B23,0)/9,0)=0,IF(TRUNC(ROUND($B23,0)/9,0)=0,0+IF((ROUND($B23,0))*2&gt;=H$2,1,0),"Not"))))-H$3,"")</f>
        <v>-0.5</v>
      </c>
      <c r="I23" s="138">
        <f>IFERROR(AVERAGEIFS(Upload_Indiv[Score7],Upload_Indiv[[Player]:[Player]],$A23,Upload_Indiv[[Side]:[Side]],"Raintree Front")-IF(TRUNC(ROUND($B23,0)/9,0)=2,2+IF((ROUND($B23,0)-18)*2&gt;=I$2,1,0),IF(TRUNC(ROUND($B23,0)/9,0)=1,1+IF((ROUND($B23,0)-9)*2&gt;=I$2,1,0),IF(TRUNC(ROUND($B23,0)/9,0)=0,IF(TRUNC(ROUND($B23,0)/9,0)=0,0+IF((ROUND($B23,0))*2&gt;=I$2,1,0),"Not"))))-I$3,"")</f>
        <v>1</v>
      </c>
      <c r="J23" s="138">
        <f>IFERROR(AVERAGEIFS(Upload_Indiv[Score8],Upload_Indiv[[Player]:[Player]],$A23,Upload_Indiv[[Side]:[Side]],"Raintree Front")-IF(TRUNC(ROUND($B23,0)/9,0)=2,2+IF((ROUND($B23,0)-18)*2&gt;=J$2,1,0),IF(TRUNC(ROUND($B23,0)/9,0)=1,1+IF((ROUND($B23,0)-9)*2&gt;=J$2,1,0),IF(TRUNC(ROUND($B23,0)/9,0)=0,IF(TRUNC(ROUND($B23,0)/9,0)=0,0+IF((ROUND($B23,0))*2&gt;=J$2,1,0),"Not"))))-J$3,"")</f>
        <v>0.125</v>
      </c>
      <c r="K23" s="138">
        <f>IFERROR(AVERAGEIFS(Upload_Indiv[Score9],Upload_Indiv[[Player]:[Player]],$A23,Upload_Indiv[[Side]:[Side]],"Raintree Front")-IF(TRUNC(ROUND($B23,0)/9,0)=2,2+IF((ROUND($B23,0)-18)*2&gt;=K$2,1,0),IF(TRUNC(ROUND($B23,0)/9,0)=1,1+IF((ROUND($B23,0)-9)*2&gt;=K$2,1,0),IF(TRUNC(ROUND($B23,0)/9,0)=0,IF(TRUNC(ROUND($B23,0)/9,0)=0,0+IF((ROUND($B23,0))*2&gt;=K$2,1,0),"Not"))))-K$3,"")</f>
        <v>0.125</v>
      </c>
      <c r="L23" s="138">
        <f t="shared" si="0"/>
        <v>3</v>
      </c>
      <c r="M23" s="138">
        <f>IFERROR(AVERAGEIFS(Upload_Indiv[Score1],Upload_Indiv[[Player]:[Player]],$A23,Upload_Indiv[[Side]:[Side]],"Raintree Back")-IF(TRUNC(ROUND($B23,0)/9,0)=2,2+IF((ROUND($B23,0)-18)*2&gt;=M$2,1,0),IF(TRUNC(ROUND($B23,0)/9,0)=1,1+IF((ROUND($B23,0)-9)*2&gt;=M$2,1,0),IF(TRUNC(ROUND($B23,0)/9,0)=0,IF(TRUNC(ROUND($B23,0)/9,0)=0,0+IF((ROUND($B23,0))*2&gt;=M$2,1,0),"Not"))))-M$3,"")</f>
        <v>-0.25</v>
      </c>
      <c r="N23" s="138">
        <f>IFERROR(AVERAGEIFS(Upload_Indiv[Score2],Upload_Indiv[[Player]:[Player]],$A23,Upload_Indiv[[Side]:[Side]],"Raintree Back")-IF(TRUNC(ROUND($B23,0)/9,0)=2,2+IF((ROUND($B23,0)-18)*2&gt;=N$2,1,0),IF(TRUNC(ROUND($B23,0)/9,0)=1,1+IF((ROUND($B23,0)-9)*2&gt;=N$2,1,0),IF(TRUNC(ROUND($B23,0)/9,0)=0,IF(TRUNC(ROUND($B23,0)/9,0)=0,0+IF((ROUND($B23,0))*2&gt;=N$2,1,0),"Not"))))-N$3,"")</f>
        <v>-0.125</v>
      </c>
      <c r="O23" s="138">
        <f>IFERROR(AVERAGEIFS(Upload_Indiv[Score3],Upload_Indiv[[Player]:[Player]],$A23,Upload_Indiv[[Side]:[Side]],"Raintree Back")-IF(TRUNC(ROUND($B23,0)/9,0)=2,2+IF((ROUND($B23,0)-18)*2&gt;=O$2,1,0),IF(TRUNC(ROUND($B23,0)/9,0)=1,1+IF((ROUND($B23,0)-9)*2&gt;=O$2,1,0),IF(TRUNC(ROUND($B23,0)/9,0)=0,IF(TRUNC(ROUND($B23,0)/9,0)=0,0+IF((ROUND($B23,0))*2&gt;=O$2,1,0),"Not"))))-O$3,"")</f>
        <v>-0.75</v>
      </c>
      <c r="P23" s="138">
        <f>IFERROR(AVERAGEIFS(Upload_Indiv[Score4],Upload_Indiv[[Player]:[Player]],$A23,Upload_Indiv[[Side]:[Side]],"Raintree Back")-IF(TRUNC(ROUND($B23,0)/9,0)=2,2+IF((ROUND($B23,0)-18)*2&gt;=P$2,1,0),IF(TRUNC(ROUND($B23,0)/9,0)=1,1+IF((ROUND($B23,0)-9)*2&gt;=P$2,1,0),IF(TRUNC(ROUND($B23,0)/9,0)=0,IF(TRUNC(ROUND($B23,0)/9,0)=0,0+IF((ROUND($B23,0))*2&gt;=P$2,1,0),"Not"))))-P$3,"")</f>
        <v>0</v>
      </c>
      <c r="Q23" s="138">
        <f>IFERROR(AVERAGEIFS(Upload_Indiv[Score5],Upload_Indiv[[Player]:[Player]],$A23,Upload_Indiv[[Side]:[Side]],"Raintree Back")-IF(TRUNC(ROUND($B23,0)/9,0)=2,2+IF((ROUND($B23,0)-18)*2&gt;=Q$2,1,0),IF(TRUNC(ROUND($B23,0)/9,0)=1,1+IF((ROUND($B23,0)-9)*2&gt;=Q$2,1,0),IF(TRUNC(ROUND($B23,0)/9,0)=0,IF(TRUNC(ROUND($B23,0)/9,0)=0,0+IF((ROUND($B23,0))*2&gt;=Q$2,1,0),"Not"))))-Q$3,"")</f>
        <v>-0.5</v>
      </c>
      <c r="R23" s="138">
        <f>IFERROR(AVERAGEIFS(Upload_Indiv[Score6],Upload_Indiv[[Player]:[Player]],$A23,Upload_Indiv[[Side]:[Side]],"Raintree Back")-IF(TRUNC(ROUND($B23,0)/9,0)=2,2+IF((ROUND($B23,0)-18)*2&gt;=R$2,1,0),IF(TRUNC(ROUND($B23,0)/9,0)=1,1+IF((ROUND($B23,0)-9)*2&gt;=R$2,1,0),IF(TRUNC(ROUND($B23,0)/9,0)=0,IF(TRUNC(ROUND($B23,0)/9,0)=0,0+IF((ROUND($B23,0))*2&gt;=R$2,1,0),"Not"))))-R$3,"")</f>
        <v>0.25</v>
      </c>
      <c r="S23" s="138">
        <f>IFERROR(AVERAGEIFS(Upload_Indiv[Score7],Upload_Indiv[[Player]:[Player]],$A23,Upload_Indiv[[Side]:[Side]],"Raintree Back")-IF(TRUNC(ROUND($B23,0)/9,0)=2,2+IF((ROUND($B23,0)-18)*2&gt;=S$2,1,0),IF(TRUNC(ROUND($B23,0)/9,0)=1,1+IF((ROUND($B23,0)-9)*2&gt;=S$2,1,0),IF(TRUNC(ROUND($B23,0)/9,0)=0,IF(TRUNC(ROUND($B23,0)/9,0)=0,0+IF((ROUND($B23,0))*2&gt;=S$2,1,0),"Not"))))-S$3,"")</f>
        <v>-1.125</v>
      </c>
      <c r="T23" s="138">
        <f>IFERROR(AVERAGEIFS(Upload_Indiv[Score8],Upload_Indiv[[Player]:[Player]],$A23,Upload_Indiv[[Side]:[Side]],"Raintree Back")-IF(TRUNC(ROUND($B23,0)/9,0)=2,2+IF((ROUND($B23,0)-18)*2&gt;=T$2,1,0),IF(TRUNC(ROUND($B23,0)/9,0)=1,1+IF((ROUND($B23,0)-9)*2&gt;=T$2,1,0),IF(TRUNC(ROUND($B23,0)/9,0)=0,IF(TRUNC(ROUND($B23,0)/9,0)=0,0+IF((ROUND($B23,0))*2&gt;=T$2,1,0),"Not"))))-T$3,"")</f>
        <v>-0.375</v>
      </c>
      <c r="U23" s="138">
        <f>IFERROR(AVERAGEIFS(Upload_Indiv[Score9],Upload_Indiv[[Player]:[Player]],$A23,Upload_Indiv[[Side]:[Side]],"Raintree Back")-IF(TRUNC(ROUND($B23,0)/9,0)=2,2+IF((ROUND($B23,0)-18)*2&gt;=U$2,1,0),IF(TRUNC(ROUND($B23,0)/9,0)=1,1+IF((ROUND($B23,0)-9)*2&gt;=U$2,1,0),IF(TRUNC(ROUND($B23,0)/9,0)=0,IF(TRUNC(ROUND($B23,0)/9,0)=0,0+IF((ROUND($B23,0))*2&gt;=U$2,1,0),"Not"))))-U$3,"")</f>
        <v>-0.875</v>
      </c>
      <c r="V23" s="138">
        <f t="shared" si="1"/>
        <v>-3.75</v>
      </c>
    </row>
    <row r="24" spans="1:22" ht="15" customHeight="1" x14ac:dyDescent="0.25">
      <c r="A24" s="4" t="s">
        <v>317</v>
      </c>
      <c r="B24" s="138">
        <f>IFERROR(AVERAGEIFS(Upload_Indiv[Hdcp],Upload_Indiv[[Player]:[Player]],$A24),"")</f>
        <v>17.279999999999998</v>
      </c>
      <c r="C24" s="138">
        <f>IFERROR(AVERAGEIFS(Upload_Indiv[Score1],Upload_Indiv[[Player]:[Player]],$A24,Upload_Indiv[[Side]:[Side]],"Raintree Front")-IF(TRUNC(ROUND($B24,0)/9,0)=2,2+IF((ROUND($B24,0)-18)*2&gt;=C$2,1,0),IF(TRUNC(ROUND($B24,0)/9,0)=1,1+IF((ROUND($B24,0)-9)*2&gt;=C$2,1,0),IF(TRUNC(ROUND($B24,0)/9,0)=0,IF(TRUNC(ROUND($B24,0)/9,0)=0,0+IF((ROUND($B24,0))*2&gt;=C$2,1,0),"Not"))))-C$3,"")</f>
        <v>1.166666666666667</v>
      </c>
      <c r="D24" s="138">
        <f>IFERROR(AVERAGEIFS(Upload_Indiv[Score2],Upload_Indiv[[Player]:[Player]],$A24,Upload_Indiv[[Side]:[Side]],"Raintree Front")-IF(TRUNC(ROUND($B24,0)/9,0)=2,2+IF((ROUND($B24,0)-18)*2&gt;=D$2,1,0),IF(TRUNC(ROUND($B24,0)/9,0)=1,1+IF((ROUND($B24,0)-9)*2&gt;=D$2,1,0),IF(TRUNC(ROUND($B24,0)/9,0)=0,IF(TRUNC(ROUND($B24,0)/9,0)=0,0+IF((ROUND($B24,0))*2&gt;=D$2,1,0),"Not"))))-D$3,"")</f>
        <v>-0.33333333333333304</v>
      </c>
      <c r="E24" s="138">
        <f>IFERROR(AVERAGEIFS(Upload_Indiv[Score3],Upload_Indiv[[Player]:[Player]],$A24,Upload_Indiv[[Side]:[Side]],"Raintree Front")-IF(TRUNC(ROUND($B24,0)/9,0)=2,2+IF((ROUND($B24,0)-18)*2&gt;=E$2,1,0),IF(TRUNC(ROUND($B24,0)/9,0)=1,1+IF((ROUND($B24,0)-9)*2&gt;=E$2,1,0),IF(TRUNC(ROUND($B24,0)/9,0)=0,IF(TRUNC(ROUND($B24,0)/9,0)=0,0+IF((ROUND($B24,0))*2&gt;=E$2,1,0),"Not"))))-E$3,"")</f>
        <v>1.5</v>
      </c>
      <c r="F24" s="138">
        <f>IFERROR(AVERAGEIFS(Upload_Indiv[Score4],Upload_Indiv[[Player]:[Player]],$A24,Upload_Indiv[[Side]:[Side]],"Raintree Front")-IF(TRUNC(ROUND($B24,0)/9,0)=2,2+IF((ROUND($B24,0)-18)*2&gt;=F$2,1,0),IF(TRUNC(ROUND($B24,0)/9,0)=1,1+IF((ROUND($B24,0)-9)*2&gt;=F$2,1,0),IF(TRUNC(ROUND($B24,0)/9,0)=0,IF(TRUNC(ROUND($B24,0)/9,0)=0,0+IF((ROUND($B24,0))*2&gt;=F$2,1,0),"Not"))))-F$3,"")</f>
        <v>0</v>
      </c>
      <c r="G24" s="138">
        <f>IFERROR(AVERAGEIFS(Upload_Indiv[Score5],Upload_Indiv[[Player]:[Player]],$A24,Upload_Indiv[[Side]:[Side]],"Raintree Front")-IF(TRUNC(ROUND($B24,0)/9,0)=2,2+IF((ROUND($B24,0)-18)*2&gt;=G$2,1,0),IF(TRUNC(ROUND($B24,0)/9,0)=1,1+IF((ROUND($B24,0)-9)*2&gt;=G$2,1,0),IF(TRUNC(ROUND($B24,0)/9,0)=0,IF(TRUNC(ROUND($B24,0)/9,0)=0,0+IF((ROUND($B24,0))*2&gt;=G$2,1,0),"Not"))))-G$3,"")</f>
        <v>1.333333333333333</v>
      </c>
      <c r="H24" s="138">
        <f>IFERROR(AVERAGEIFS(Upload_Indiv[Score6],Upload_Indiv[[Player]:[Player]],$A24,Upload_Indiv[[Side]:[Side]],"Raintree Front")-IF(TRUNC(ROUND($B24,0)/9,0)=2,2+IF((ROUND($B24,0)-18)*2&gt;=H$2,1,0),IF(TRUNC(ROUND($B24,0)/9,0)=1,1+IF((ROUND($B24,0)-9)*2&gt;=H$2,1,0),IF(TRUNC(ROUND($B24,0)/9,0)=0,IF(TRUNC(ROUND($B24,0)/9,0)=0,0+IF((ROUND($B24,0))*2&gt;=H$2,1,0),"Not"))))-H$3,"")</f>
        <v>0.16666666666666696</v>
      </c>
      <c r="I24" s="138">
        <f>IFERROR(AVERAGEIFS(Upload_Indiv[Score7],Upload_Indiv[[Player]:[Player]],$A24,Upload_Indiv[[Side]:[Side]],"Raintree Front")-IF(TRUNC(ROUND($B24,0)/9,0)=2,2+IF((ROUND($B24,0)-18)*2&gt;=I$2,1,0),IF(TRUNC(ROUND($B24,0)/9,0)=1,1+IF((ROUND($B24,0)-9)*2&gt;=I$2,1,0),IF(TRUNC(ROUND($B24,0)/9,0)=0,IF(TRUNC(ROUND($B24,0)/9,0)=0,0+IF((ROUND($B24,0))*2&gt;=I$2,1,0),"Not"))))-I$3,"")</f>
        <v>1.8333333333333339</v>
      </c>
      <c r="J24" s="138">
        <f>IFERROR(AVERAGEIFS(Upload_Indiv[Score8],Upload_Indiv[[Player]:[Player]],$A24,Upload_Indiv[[Side]:[Side]],"Raintree Front")-IF(TRUNC(ROUND($B24,0)/9,0)=2,2+IF((ROUND($B24,0)-18)*2&gt;=J$2,1,0),IF(TRUNC(ROUND($B24,0)/9,0)=1,1+IF((ROUND($B24,0)-9)*2&gt;=J$2,1,0),IF(TRUNC(ROUND($B24,0)/9,0)=0,IF(TRUNC(ROUND($B24,0)/9,0)=0,0+IF((ROUND($B24,0))*2&gt;=J$2,1,0),"Not"))))-J$3,"")</f>
        <v>-0.16666666666666696</v>
      </c>
      <c r="K24" s="138">
        <f>IFERROR(AVERAGEIFS(Upload_Indiv[Score9],Upload_Indiv[[Player]:[Player]],$A24,Upload_Indiv[[Side]:[Side]],"Raintree Front")-IF(TRUNC(ROUND($B24,0)/9,0)=2,2+IF((ROUND($B24,0)-18)*2&gt;=K$2,1,0),IF(TRUNC(ROUND($B24,0)/9,0)=1,1+IF((ROUND($B24,0)-9)*2&gt;=K$2,1,0),IF(TRUNC(ROUND($B24,0)/9,0)=0,IF(TRUNC(ROUND($B24,0)/9,0)=0,0+IF((ROUND($B24,0))*2&gt;=K$2,1,0),"Not"))))-K$3,"")</f>
        <v>0.66666666666666696</v>
      </c>
      <c r="L24" s="138">
        <f t="shared" si="0"/>
        <v>6.1666666666666679</v>
      </c>
      <c r="M24" s="138">
        <f>IFERROR(AVERAGEIFS(Upload_Indiv[Score1],Upload_Indiv[[Player]:[Player]],$A24,Upload_Indiv[[Side]:[Side]],"Raintree Back")-IF(TRUNC(ROUND($B24,0)/9,0)=2,2+IF((ROUND($B24,0)-18)*2&gt;=M$2,1,0),IF(TRUNC(ROUND($B24,0)/9,0)=1,1+IF((ROUND($B24,0)-9)*2&gt;=M$2,1,0),IF(TRUNC(ROUND($B24,0)/9,0)=0,IF(TRUNC(ROUND($B24,0)/9,0)=0,0+IF((ROUND($B24,0))*2&gt;=M$2,1,0),"Not"))))-M$3,"")</f>
        <v>-1.2857142857142856</v>
      </c>
      <c r="N24" s="138">
        <f>IFERROR(AVERAGEIFS(Upload_Indiv[Score2],Upload_Indiv[[Player]:[Player]],$A24,Upload_Indiv[[Side]:[Side]],"Raintree Back")-IF(TRUNC(ROUND($B24,0)/9,0)=2,2+IF((ROUND($B24,0)-18)*2&gt;=N$2,1,0),IF(TRUNC(ROUND($B24,0)/9,0)=1,1+IF((ROUND($B24,0)-9)*2&gt;=N$2,1,0),IF(TRUNC(ROUND($B24,0)/9,0)=0,IF(TRUNC(ROUND($B24,0)/9,0)=0,0+IF((ROUND($B24,0))*2&gt;=N$2,1,0),"Not"))))-N$3,"")</f>
        <v>0</v>
      </c>
      <c r="O24" s="138">
        <f>IFERROR(AVERAGEIFS(Upload_Indiv[Score3],Upload_Indiv[[Player]:[Player]],$A24,Upload_Indiv[[Side]:[Side]],"Raintree Back")-IF(TRUNC(ROUND($B24,0)/9,0)=2,2+IF((ROUND($B24,0)-18)*2&gt;=O$2,1,0),IF(TRUNC(ROUND($B24,0)/9,0)=1,1+IF((ROUND($B24,0)-9)*2&gt;=O$2,1,0),IF(TRUNC(ROUND($B24,0)/9,0)=0,IF(TRUNC(ROUND($B24,0)/9,0)=0,0+IF((ROUND($B24,0))*2&gt;=O$2,1,0),"Not"))))-O$3,"")</f>
        <v>-0.71428571428571441</v>
      </c>
      <c r="P24" s="138">
        <f>IFERROR(AVERAGEIFS(Upload_Indiv[Score4],Upload_Indiv[[Player]:[Player]],$A24,Upload_Indiv[[Side]:[Side]],"Raintree Back")-IF(TRUNC(ROUND($B24,0)/9,0)=2,2+IF((ROUND($B24,0)-18)*2&gt;=P$2,1,0),IF(TRUNC(ROUND($B24,0)/9,0)=1,1+IF((ROUND($B24,0)-9)*2&gt;=P$2,1,0),IF(TRUNC(ROUND($B24,0)/9,0)=0,IF(TRUNC(ROUND($B24,0)/9,0)=0,0+IF((ROUND($B24,0))*2&gt;=P$2,1,0),"Not"))))-P$3,"")</f>
        <v>-0.28571428571428559</v>
      </c>
      <c r="Q24" s="138">
        <f>IFERROR(AVERAGEIFS(Upload_Indiv[Score5],Upload_Indiv[[Player]:[Player]],$A24,Upload_Indiv[[Side]:[Side]],"Raintree Back")-IF(TRUNC(ROUND($B24,0)/9,0)=2,2+IF((ROUND($B24,0)-18)*2&gt;=Q$2,1,0),IF(TRUNC(ROUND($B24,0)/9,0)=1,1+IF((ROUND($B24,0)-9)*2&gt;=Q$2,1,0),IF(TRUNC(ROUND($B24,0)/9,0)=0,IF(TRUNC(ROUND($B24,0)/9,0)=0,0+IF((ROUND($B24,0))*2&gt;=Q$2,1,0),"Not"))))-Q$3,"")</f>
        <v>-0.42857142857142883</v>
      </c>
      <c r="R24" s="138">
        <f>IFERROR(AVERAGEIFS(Upload_Indiv[Score6],Upload_Indiv[[Player]:[Player]],$A24,Upload_Indiv[[Side]:[Side]],"Raintree Back")-IF(TRUNC(ROUND($B24,0)/9,0)=2,2+IF((ROUND($B24,0)-18)*2&gt;=R$2,1,0),IF(TRUNC(ROUND($B24,0)/9,0)=1,1+IF((ROUND($B24,0)-9)*2&gt;=R$2,1,0),IF(TRUNC(ROUND($B24,0)/9,0)=0,IF(TRUNC(ROUND($B24,0)/9,0)=0,0+IF((ROUND($B24,0))*2&gt;=R$2,1,0),"Not"))))-R$3,"")</f>
        <v>-0.14285714285714324</v>
      </c>
      <c r="S24" s="138">
        <f>IFERROR(AVERAGEIFS(Upload_Indiv[Score7],Upload_Indiv[[Player]:[Player]],$A24,Upload_Indiv[[Side]:[Side]],"Raintree Back")-IF(TRUNC(ROUND($B24,0)/9,0)=2,2+IF((ROUND($B24,0)-18)*2&gt;=S$2,1,0),IF(TRUNC(ROUND($B24,0)/9,0)=1,1+IF((ROUND($B24,0)-9)*2&gt;=S$2,1,0),IF(TRUNC(ROUND($B24,0)/9,0)=0,IF(TRUNC(ROUND($B24,0)/9,0)=0,0+IF((ROUND($B24,0))*2&gt;=S$2,1,0),"Not"))))-S$3,"")</f>
        <v>0.14285714285714324</v>
      </c>
      <c r="T24" s="138">
        <f>IFERROR(AVERAGEIFS(Upload_Indiv[Score8],Upload_Indiv[[Player]:[Player]],$A24,Upload_Indiv[[Side]:[Side]],"Raintree Back")-IF(TRUNC(ROUND($B24,0)/9,0)=2,2+IF((ROUND($B24,0)-18)*2&gt;=T$2,1,0),IF(TRUNC(ROUND($B24,0)/9,0)=1,1+IF((ROUND($B24,0)-9)*2&gt;=T$2,1,0),IF(TRUNC(ROUND($B24,0)/9,0)=0,IF(TRUNC(ROUND($B24,0)/9,0)=0,0+IF((ROUND($B24,0))*2&gt;=T$2,1,0),"Not"))))-T$3,"")</f>
        <v>-0.85714285714285676</v>
      </c>
      <c r="U24" s="138">
        <f>IFERROR(AVERAGEIFS(Upload_Indiv[Score9],Upload_Indiv[[Player]:[Player]],$A24,Upload_Indiv[[Side]:[Side]],"Raintree Back")-IF(TRUNC(ROUND($B24,0)/9,0)=2,2+IF((ROUND($B24,0)-18)*2&gt;=U$2,1,0),IF(TRUNC(ROUND($B24,0)/9,0)=1,1+IF((ROUND($B24,0)-9)*2&gt;=U$2,1,0),IF(TRUNC(ROUND($B24,0)/9,0)=0,IF(TRUNC(ROUND($B24,0)/9,0)=0,0+IF((ROUND($B24,0))*2&gt;=U$2,1,0),"Not"))))-U$3,"")</f>
        <v>-1.8571428571428568</v>
      </c>
      <c r="V24" s="138">
        <f t="shared" si="1"/>
        <v>-5.4285714285714279</v>
      </c>
    </row>
    <row r="25" spans="1:22" ht="15" customHeight="1" x14ac:dyDescent="0.25">
      <c r="A25" s="4" t="s">
        <v>274</v>
      </c>
      <c r="B25" s="138">
        <f>IFERROR(AVERAGEIFS(Upload_Indiv[Hdcp],Upload_Indiv[[Player]:[Player]],$A25),"")</f>
        <v>8.5564285714285706</v>
      </c>
      <c r="C25" s="138">
        <f>IFERROR(AVERAGEIFS(Upload_Indiv[Score1],Upload_Indiv[[Player]:[Player]],$A25,Upload_Indiv[[Side]:[Side]],"Raintree Front")-IF(TRUNC(ROUND($B25,0)/9,0)=2,2+IF((ROUND($B25,0)-18)*2&gt;=C$2,1,0),IF(TRUNC(ROUND($B25,0)/9,0)=1,1+IF((ROUND($B25,0)-9)*2&gt;=C$2,1,0),IF(TRUNC(ROUND($B25,0)/9,0)=0,IF(TRUNC(ROUND($B25,0)/9,0)=0,0+IF((ROUND($B25,0))*2&gt;=C$2,1,0),"Not"))))-C$3,"")</f>
        <v>1</v>
      </c>
      <c r="D25" s="138">
        <f>IFERROR(AVERAGEIFS(Upload_Indiv[Score2],Upload_Indiv[[Player]:[Player]],$A25,Upload_Indiv[[Side]:[Side]],"Raintree Front")-IF(TRUNC(ROUND($B25,0)/9,0)=2,2+IF((ROUND($B25,0)-18)*2&gt;=D$2,1,0),IF(TRUNC(ROUND($B25,0)/9,0)=1,1+IF((ROUND($B25,0)-9)*2&gt;=D$2,1,0),IF(TRUNC(ROUND($B25,0)/9,0)=0,IF(TRUNC(ROUND($B25,0)/9,0)=0,0+IF((ROUND($B25,0))*2&gt;=D$2,1,0),"Not"))))-D$3,"")</f>
        <v>-0.42857142857142883</v>
      </c>
      <c r="E25" s="138">
        <f>IFERROR(AVERAGEIFS(Upload_Indiv[Score3],Upload_Indiv[[Player]:[Player]],$A25,Upload_Indiv[[Side]:[Side]],"Raintree Front")-IF(TRUNC(ROUND($B25,0)/9,0)=2,2+IF((ROUND($B25,0)-18)*2&gt;=E$2,1,0),IF(TRUNC(ROUND($B25,0)/9,0)=1,1+IF((ROUND($B25,0)-9)*2&gt;=E$2,1,0),IF(TRUNC(ROUND($B25,0)/9,0)=0,IF(TRUNC(ROUND($B25,0)/9,0)=0,0+IF((ROUND($B25,0))*2&gt;=E$2,1,0),"Not"))))-E$3,"")</f>
        <v>0.42857142857142883</v>
      </c>
      <c r="F25" s="138">
        <f>IFERROR(AVERAGEIFS(Upload_Indiv[Score4],Upload_Indiv[[Player]:[Player]],$A25,Upload_Indiv[[Side]:[Side]],"Raintree Front")-IF(TRUNC(ROUND($B25,0)/9,0)=2,2+IF((ROUND($B25,0)-18)*2&gt;=F$2,1,0),IF(TRUNC(ROUND($B25,0)/9,0)=1,1+IF((ROUND($B25,0)-9)*2&gt;=F$2,1,0),IF(TRUNC(ROUND($B25,0)/9,0)=0,IF(TRUNC(ROUND($B25,0)/9,0)=0,0+IF((ROUND($B25,0))*2&gt;=F$2,1,0),"Not"))))-F$3,"")</f>
        <v>-0.57142857142857162</v>
      </c>
      <c r="G25" s="138">
        <f>IFERROR(AVERAGEIFS(Upload_Indiv[Score5],Upload_Indiv[[Player]:[Player]],$A25,Upload_Indiv[[Side]:[Side]],"Raintree Front")-IF(TRUNC(ROUND($B25,0)/9,0)=2,2+IF((ROUND($B25,0)-18)*2&gt;=G$2,1,0),IF(TRUNC(ROUND($B25,0)/9,0)=1,1+IF((ROUND($B25,0)-9)*2&gt;=G$2,1,0),IF(TRUNC(ROUND($B25,0)/9,0)=0,IF(TRUNC(ROUND($B25,0)/9,0)=0,0+IF((ROUND($B25,0))*2&gt;=G$2,1,0),"Not"))))-G$3,"")</f>
        <v>0.71428571428571441</v>
      </c>
      <c r="H25" s="138">
        <f>IFERROR(AVERAGEIFS(Upload_Indiv[Score6],Upload_Indiv[[Player]:[Player]],$A25,Upload_Indiv[[Side]:[Side]],"Raintree Front")-IF(TRUNC(ROUND($B25,0)/9,0)=2,2+IF((ROUND($B25,0)-18)*2&gt;=H$2,1,0),IF(TRUNC(ROUND($B25,0)/9,0)=1,1+IF((ROUND($B25,0)-9)*2&gt;=H$2,1,0),IF(TRUNC(ROUND($B25,0)/9,0)=0,IF(TRUNC(ROUND($B25,0)/9,0)=0,0+IF((ROUND($B25,0))*2&gt;=H$2,1,0),"Not"))))-H$3,"")</f>
        <v>0.14285714285714324</v>
      </c>
      <c r="I25" s="138">
        <f>IFERROR(AVERAGEIFS(Upload_Indiv[Score7],Upload_Indiv[[Player]:[Player]],$A25,Upload_Indiv[[Side]:[Side]],"Raintree Front")-IF(TRUNC(ROUND($B25,0)/9,0)=2,2+IF((ROUND($B25,0)-18)*2&gt;=I$2,1,0),IF(TRUNC(ROUND($B25,0)/9,0)=1,1+IF((ROUND($B25,0)-9)*2&gt;=I$2,1,0),IF(TRUNC(ROUND($B25,0)/9,0)=0,IF(TRUNC(ROUND($B25,0)/9,0)=0,0+IF((ROUND($B25,0))*2&gt;=I$2,1,0),"Not"))))-I$3,"")</f>
        <v>-0.28571428571428559</v>
      </c>
      <c r="J25" s="138">
        <f>IFERROR(AVERAGEIFS(Upload_Indiv[Score8],Upload_Indiv[[Player]:[Player]],$A25,Upload_Indiv[[Side]:[Side]],"Raintree Front")-IF(TRUNC(ROUND($B25,0)/9,0)=2,2+IF((ROUND($B25,0)-18)*2&gt;=J$2,1,0),IF(TRUNC(ROUND($B25,0)/9,0)=1,1+IF((ROUND($B25,0)-9)*2&gt;=J$2,1,0),IF(TRUNC(ROUND($B25,0)/9,0)=0,IF(TRUNC(ROUND($B25,0)/9,0)=0,0+IF((ROUND($B25,0))*2&gt;=J$2,1,0),"Not"))))-J$3,"")</f>
        <v>0.42857142857142883</v>
      </c>
      <c r="K25" s="138">
        <f>IFERROR(AVERAGEIFS(Upload_Indiv[Score9],Upload_Indiv[[Player]:[Player]],$A25,Upload_Indiv[[Side]:[Side]],"Raintree Front")-IF(TRUNC(ROUND($B25,0)/9,0)=2,2+IF((ROUND($B25,0)-18)*2&gt;=K$2,1,0),IF(TRUNC(ROUND($B25,0)/9,0)=1,1+IF((ROUND($B25,0)-9)*2&gt;=K$2,1,0),IF(TRUNC(ROUND($B25,0)/9,0)=0,IF(TRUNC(ROUND($B25,0)/9,0)=0,0+IF((ROUND($B25,0))*2&gt;=K$2,1,0),"Not"))))-K$3,"")</f>
        <v>0</v>
      </c>
      <c r="L25" s="138">
        <f t="shared" si="0"/>
        <v>1.4285714285714293</v>
      </c>
      <c r="M25" s="138">
        <f>IFERROR(AVERAGEIFS(Upload_Indiv[Score1],Upload_Indiv[[Player]:[Player]],$A25,Upload_Indiv[[Side]:[Side]],"Raintree Back")-IF(TRUNC(ROUND($B25,0)/9,0)=2,2+IF((ROUND($B25,0)-18)*2&gt;=M$2,1,0),IF(TRUNC(ROUND($B25,0)/9,0)=1,1+IF((ROUND($B25,0)-9)*2&gt;=M$2,1,0),IF(TRUNC(ROUND($B25,0)/9,0)=0,IF(TRUNC(ROUND($B25,0)/9,0)=0,0+IF((ROUND($B25,0))*2&gt;=M$2,1,0),"Not"))))-M$3,"")</f>
        <v>-0.14285714285714324</v>
      </c>
      <c r="N25" s="138">
        <f>IFERROR(AVERAGEIFS(Upload_Indiv[Score2],Upload_Indiv[[Player]:[Player]],$A25,Upload_Indiv[[Side]:[Side]],"Raintree Back")-IF(TRUNC(ROUND($B25,0)/9,0)=2,2+IF((ROUND($B25,0)-18)*2&gt;=N$2,1,0),IF(TRUNC(ROUND($B25,0)/9,0)=1,1+IF((ROUND($B25,0)-9)*2&gt;=N$2,1,0),IF(TRUNC(ROUND($B25,0)/9,0)=0,IF(TRUNC(ROUND($B25,0)/9,0)=0,0+IF((ROUND($B25,0))*2&gt;=N$2,1,0),"Not"))))-N$3,"")</f>
        <v>0</v>
      </c>
      <c r="O25" s="138">
        <f>IFERROR(AVERAGEIFS(Upload_Indiv[Score3],Upload_Indiv[[Player]:[Player]],$A25,Upload_Indiv[[Side]:[Side]],"Raintree Back")-IF(TRUNC(ROUND($B25,0)/9,0)=2,2+IF((ROUND($B25,0)-18)*2&gt;=O$2,1,0),IF(TRUNC(ROUND($B25,0)/9,0)=1,1+IF((ROUND($B25,0)-9)*2&gt;=O$2,1,0),IF(TRUNC(ROUND($B25,0)/9,0)=0,IF(TRUNC(ROUND($B25,0)/9,0)=0,0+IF((ROUND($B25,0))*2&gt;=O$2,1,0),"Not"))))-O$3,"")</f>
        <v>0.42857142857142883</v>
      </c>
      <c r="P25" s="138">
        <f>IFERROR(AVERAGEIFS(Upload_Indiv[Score4],Upload_Indiv[[Player]:[Player]],$A25,Upload_Indiv[[Side]:[Side]],"Raintree Back")-IF(TRUNC(ROUND($B25,0)/9,0)=2,2+IF((ROUND($B25,0)-18)*2&gt;=P$2,1,0),IF(TRUNC(ROUND($B25,0)/9,0)=1,1+IF((ROUND($B25,0)-9)*2&gt;=P$2,1,0),IF(TRUNC(ROUND($B25,0)/9,0)=0,IF(TRUNC(ROUND($B25,0)/9,0)=0,0+IF((ROUND($B25,0))*2&gt;=P$2,1,0),"Not"))))-P$3,"")</f>
        <v>0</v>
      </c>
      <c r="Q25" s="138">
        <f>IFERROR(AVERAGEIFS(Upload_Indiv[Score5],Upload_Indiv[[Player]:[Player]],$A25,Upload_Indiv[[Side]:[Side]],"Raintree Back")-IF(TRUNC(ROUND($B25,0)/9,0)=2,2+IF((ROUND($B25,0)-18)*2&gt;=Q$2,1,0),IF(TRUNC(ROUND($B25,0)/9,0)=1,1+IF((ROUND($B25,0)-9)*2&gt;=Q$2,1,0),IF(TRUNC(ROUND($B25,0)/9,0)=0,IF(TRUNC(ROUND($B25,0)/9,0)=0,0+IF((ROUND($B25,0))*2&gt;=Q$2,1,0),"Not"))))-Q$3,"")</f>
        <v>0.28571428571428559</v>
      </c>
      <c r="R25" s="138">
        <f>IFERROR(AVERAGEIFS(Upload_Indiv[Score6],Upload_Indiv[[Player]:[Player]],$A25,Upload_Indiv[[Side]:[Side]],"Raintree Back")-IF(TRUNC(ROUND($B25,0)/9,0)=2,2+IF((ROUND($B25,0)-18)*2&gt;=R$2,1,0),IF(TRUNC(ROUND($B25,0)/9,0)=1,1+IF((ROUND($B25,0)-9)*2&gt;=R$2,1,0),IF(TRUNC(ROUND($B25,0)/9,0)=0,IF(TRUNC(ROUND($B25,0)/9,0)=0,0+IF((ROUND($B25,0))*2&gt;=R$2,1,0),"Not"))))-R$3,"")</f>
        <v>0.28571428571428559</v>
      </c>
      <c r="S25" s="138">
        <f>IFERROR(AVERAGEIFS(Upload_Indiv[Score7],Upload_Indiv[[Player]:[Player]],$A25,Upload_Indiv[[Side]:[Side]],"Raintree Back")-IF(TRUNC(ROUND($B25,0)/9,0)=2,2+IF((ROUND($B25,0)-18)*2&gt;=S$2,1,0),IF(TRUNC(ROUND($B25,0)/9,0)=1,1+IF((ROUND($B25,0)-9)*2&gt;=S$2,1,0),IF(TRUNC(ROUND($B25,0)/9,0)=0,IF(TRUNC(ROUND($B25,0)/9,0)=0,0+IF((ROUND($B25,0))*2&gt;=S$2,1,0),"Not"))))-S$3,"")</f>
        <v>-0.28571428571428559</v>
      </c>
      <c r="T25" s="138">
        <f>IFERROR(AVERAGEIFS(Upload_Indiv[Score8],Upload_Indiv[[Player]:[Player]],$A25,Upload_Indiv[[Side]:[Side]],"Raintree Back")-IF(TRUNC(ROUND($B25,0)/9,0)=2,2+IF((ROUND($B25,0)-18)*2&gt;=T$2,1,0),IF(TRUNC(ROUND($B25,0)/9,0)=1,1+IF((ROUND($B25,0)-9)*2&gt;=T$2,1,0),IF(TRUNC(ROUND($B25,0)/9,0)=0,IF(TRUNC(ROUND($B25,0)/9,0)=0,0+IF((ROUND($B25,0))*2&gt;=T$2,1,0),"Not"))))-T$3,"")</f>
        <v>0.28571428571428559</v>
      </c>
      <c r="U25" s="138">
        <f>IFERROR(AVERAGEIFS(Upload_Indiv[Score9],Upload_Indiv[[Player]:[Player]],$A25,Upload_Indiv[[Side]:[Side]],"Raintree Back")-IF(TRUNC(ROUND($B25,0)/9,0)=2,2+IF((ROUND($B25,0)-18)*2&gt;=U$2,1,0),IF(TRUNC(ROUND($B25,0)/9,0)=1,1+IF((ROUND($B25,0)-9)*2&gt;=U$2,1,0),IF(TRUNC(ROUND($B25,0)/9,0)=0,IF(TRUNC(ROUND($B25,0)/9,0)=0,0+IF((ROUND($B25,0))*2&gt;=U$2,1,0),"Not"))))-U$3,"")</f>
        <v>1.2857142857142856</v>
      </c>
      <c r="V25" s="138">
        <f t="shared" si="1"/>
        <v>2.1428571428571423</v>
      </c>
    </row>
    <row r="26" spans="1:22" ht="15" customHeight="1" x14ac:dyDescent="0.25">
      <c r="A26" s="4" t="s">
        <v>309</v>
      </c>
      <c r="B26" s="138">
        <f>IFERROR(AVERAGEIFS(Upload_Indiv[Hdcp],Upload_Indiv[[Player]:[Player]],$A26),"")</f>
        <v>14.579374999999999</v>
      </c>
      <c r="C26" s="138">
        <f>IFERROR(AVERAGEIFS(Upload_Indiv[Score1],Upload_Indiv[[Player]:[Player]],$A26,Upload_Indiv[[Side]:[Side]],"Raintree Front")-IF(TRUNC(ROUND($B26,0)/9,0)=2,2+IF((ROUND($B26,0)-18)*2&gt;=C$2,1,0),IF(TRUNC(ROUND($B26,0)/9,0)=1,1+IF((ROUND($B26,0)-9)*2&gt;=C$2,1,0),IF(TRUNC(ROUND($B26,0)/9,0)=0,IF(TRUNC(ROUND($B26,0)/9,0)=0,0+IF((ROUND($B26,0))*2&gt;=C$2,1,0),"Not"))))-C$3,"")</f>
        <v>0.125</v>
      </c>
      <c r="D26" s="138">
        <f>IFERROR(AVERAGEIFS(Upload_Indiv[Score2],Upload_Indiv[[Player]:[Player]],$A26,Upload_Indiv[[Side]:[Side]],"Raintree Front")-IF(TRUNC(ROUND($B26,0)/9,0)=2,2+IF((ROUND($B26,0)-18)*2&gt;=D$2,1,0),IF(TRUNC(ROUND($B26,0)/9,0)=1,1+IF((ROUND($B26,0)-9)*2&gt;=D$2,1,0),IF(TRUNC(ROUND($B26,0)/9,0)=0,IF(TRUNC(ROUND($B26,0)/9,0)=0,0+IF((ROUND($B26,0))*2&gt;=D$2,1,0),"Not"))))-D$3,"")</f>
        <v>1.125</v>
      </c>
      <c r="E26" s="138">
        <f>IFERROR(AVERAGEIFS(Upload_Indiv[Score3],Upload_Indiv[[Player]:[Player]],$A26,Upload_Indiv[[Side]:[Side]],"Raintree Front")-IF(TRUNC(ROUND($B26,0)/9,0)=2,2+IF((ROUND($B26,0)-18)*2&gt;=E$2,1,0),IF(TRUNC(ROUND($B26,0)/9,0)=1,1+IF((ROUND($B26,0)-9)*2&gt;=E$2,1,0),IF(TRUNC(ROUND($B26,0)/9,0)=0,IF(TRUNC(ROUND($B26,0)/9,0)=0,0+IF((ROUND($B26,0))*2&gt;=E$2,1,0),"Not"))))-E$3,"")</f>
        <v>-0.5</v>
      </c>
      <c r="F26" s="138">
        <f>IFERROR(AVERAGEIFS(Upload_Indiv[Score4],Upload_Indiv[[Player]:[Player]],$A26,Upload_Indiv[[Side]:[Side]],"Raintree Front")-IF(TRUNC(ROUND($B26,0)/9,0)=2,2+IF((ROUND($B26,0)-18)*2&gt;=F$2,1,0),IF(TRUNC(ROUND($B26,0)/9,0)=1,1+IF((ROUND($B26,0)-9)*2&gt;=F$2,1,0),IF(TRUNC(ROUND($B26,0)/9,0)=0,IF(TRUNC(ROUND($B26,0)/9,0)=0,0+IF((ROUND($B26,0))*2&gt;=F$2,1,0),"Not"))))-F$3,"")</f>
        <v>0.75</v>
      </c>
      <c r="G26" s="138">
        <f>IFERROR(AVERAGEIFS(Upload_Indiv[Score5],Upload_Indiv[[Player]:[Player]],$A26,Upload_Indiv[[Side]:[Side]],"Raintree Front")-IF(TRUNC(ROUND($B26,0)/9,0)=2,2+IF((ROUND($B26,0)-18)*2&gt;=G$2,1,0),IF(TRUNC(ROUND($B26,0)/9,0)=1,1+IF((ROUND($B26,0)-9)*2&gt;=G$2,1,0),IF(TRUNC(ROUND($B26,0)/9,0)=0,IF(TRUNC(ROUND($B26,0)/9,0)=0,0+IF((ROUND($B26,0))*2&gt;=G$2,1,0),"Not"))))-G$3,"")</f>
        <v>0.75</v>
      </c>
      <c r="H26" s="138">
        <f>IFERROR(AVERAGEIFS(Upload_Indiv[Score6],Upload_Indiv[[Player]:[Player]],$A26,Upload_Indiv[[Side]:[Side]],"Raintree Front")-IF(TRUNC(ROUND($B26,0)/9,0)=2,2+IF((ROUND($B26,0)-18)*2&gt;=H$2,1,0),IF(TRUNC(ROUND($B26,0)/9,0)=1,1+IF((ROUND($B26,0)-9)*2&gt;=H$2,1,0),IF(TRUNC(ROUND($B26,0)/9,0)=0,IF(TRUNC(ROUND($B26,0)/9,0)=0,0+IF((ROUND($B26,0))*2&gt;=H$2,1,0),"Not"))))-H$3,"")</f>
        <v>-0.125</v>
      </c>
      <c r="I26" s="138">
        <f>IFERROR(AVERAGEIFS(Upload_Indiv[Score7],Upload_Indiv[[Player]:[Player]],$A26,Upload_Indiv[[Side]:[Side]],"Raintree Front")-IF(TRUNC(ROUND($B26,0)/9,0)=2,2+IF((ROUND($B26,0)-18)*2&gt;=I$2,1,0),IF(TRUNC(ROUND($B26,0)/9,0)=1,1+IF((ROUND($B26,0)-9)*2&gt;=I$2,1,0),IF(TRUNC(ROUND($B26,0)/9,0)=0,IF(TRUNC(ROUND($B26,0)/9,0)=0,0+IF((ROUND($B26,0))*2&gt;=I$2,1,0),"Not"))))-I$3,"")</f>
        <v>1</v>
      </c>
      <c r="J26" s="138">
        <f>IFERROR(AVERAGEIFS(Upload_Indiv[Score8],Upload_Indiv[[Player]:[Player]],$A26,Upload_Indiv[[Side]:[Side]],"Raintree Front")-IF(TRUNC(ROUND($B26,0)/9,0)=2,2+IF((ROUND($B26,0)-18)*2&gt;=J$2,1,0),IF(TRUNC(ROUND($B26,0)/9,0)=1,1+IF((ROUND($B26,0)-9)*2&gt;=J$2,1,0),IF(TRUNC(ROUND($B26,0)/9,0)=0,IF(TRUNC(ROUND($B26,0)/9,0)=0,0+IF((ROUND($B26,0))*2&gt;=J$2,1,0),"Not"))))-J$3,"")</f>
        <v>0.25</v>
      </c>
      <c r="K26" s="138">
        <f>IFERROR(AVERAGEIFS(Upload_Indiv[Score9],Upload_Indiv[[Player]:[Player]],$A26,Upload_Indiv[[Side]:[Side]],"Raintree Front")-IF(TRUNC(ROUND($B26,0)/9,0)=2,2+IF((ROUND($B26,0)-18)*2&gt;=K$2,1,0),IF(TRUNC(ROUND($B26,0)/9,0)=1,1+IF((ROUND($B26,0)-9)*2&gt;=K$2,1,0),IF(TRUNC(ROUND($B26,0)/9,0)=0,IF(TRUNC(ROUND($B26,0)/9,0)=0,0+IF((ROUND($B26,0))*2&gt;=K$2,1,0),"Not"))))-K$3,"")</f>
        <v>0.125</v>
      </c>
      <c r="L26" s="138">
        <f t="shared" si="0"/>
        <v>3.5</v>
      </c>
      <c r="M26" s="138">
        <f>IFERROR(AVERAGEIFS(Upload_Indiv[Score1],Upload_Indiv[[Player]:[Player]],$A26,Upload_Indiv[[Side]:[Side]],"Raintree Back")-IF(TRUNC(ROUND($B26,0)/9,0)=2,2+IF((ROUND($B26,0)-18)*2&gt;=M$2,1,0),IF(TRUNC(ROUND($B26,0)/9,0)=1,1+IF((ROUND($B26,0)-9)*2&gt;=M$2,1,0),IF(TRUNC(ROUND($B26,0)/9,0)=0,IF(TRUNC(ROUND($B26,0)/9,0)=0,0+IF((ROUND($B26,0))*2&gt;=M$2,1,0),"Not"))))-M$3,"")</f>
        <v>1.125</v>
      </c>
      <c r="N26" s="138">
        <f>IFERROR(AVERAGEIFS(Upload_Indiv[Score2],Upload_Indiv[[Player]:[Player]],$A26,Upload_Indiv[[Side]:[Side]],"Raintree Back")-IF(TRUNC(ROUND($B26,0)/9,0)=2,2+IF((ROUND($B26,0)-18)*2&gt;=N$2,1,0),IF(TRUNC(ROUND($B26,0)/9,0)=1,1+IF((ROUND($B26,0)-9)*2&gt;=N$2,1,0),IF(TRUNC(ROUND($B26,0)/9,0)=0,IF(TRUNC(ROUND($B26,0)/9,0)=0,0+IF((ROUND($B26,0))*2&gt;=N$2,1,0),"Not"))))-N$3,"")</f>
        <v>-0.125</v>
      </c>
      <c r="O26" s="138">
        <f>IFERROR(AVERAGEIFS(Upload_Indiv[Score3],Upload_Indiv[[Player]:[Player]],$A26,Upload_Indiv[[Side]:[Side]],"Raintree Back")-IF(TRUNC(ROUND($B26,0)/9,0)=2,2+IF((ROUND($B26,0)-18)*2&gt;=O$2,1,0),IF(TRUNC(ROUND($B26,0)/9,0)=1,1+IF((ROUND($B26,0)-9)*2&gt;=O$2,1,0),IF(TRUNC(ROUND($B26,0)/9,0)=0,IF(TRUNC(ROUND($B26,0)/9,0)=0,0+IF((ROUND($B26,0))*2&gt;=O$2,1,0),"Not"))))-O$3,"")</f>
        <v>1.375</v>
      </c>
      <c r="P26" s="138">
        <f>IFERROR(AVERAGEIFS(Upload_Indiv[Score4],Upload_Indiv[[Player]:[Player]],$A26,Upload_Indiv[[Side]:[Side]],"Raintree Back")-IF(TRUNC(ROUND($B26,0)/9,0)=2,2+IF((ROUND($B26,0)-18)*2&gt;=P$2,1,0),IF(TRUNC(ROUND($B26,0)/9,0)=1,1+IF((ROUND($B26,0)-9)*2&gt;=P$2,1,0),IF(TRUNC(ROUND($B26,0)/9,0)=0,IF(TRUNC(ROUND($B26,0)/9,0)=0,0+IF((ROUND($B26,0))*2&gt;=P$2,1,0),"Not"))))-P$3,"")</f>
        <v>0.75</v>
      </c>
      <c r="Q26" s="138">
        <f>IFERROR(AVERAGEIFS(Upload_Indiv[Score5],Upload_Indiv[[Player]:[Player]],$A26,Upload_Indiv[[Side]:[Side]],"Raintree Back")-IF(TRUNC(ROUND($B26,0)/9,0)=2,2+IF((ROUND($B26,0)-18)*2&gt;=Q$2,1,0),IF(TRUNC(ROUND($B26,0)/9,0)=1,1+IF((ROUND($B26,0)-9)*2&gt;=Q$2,1,0),IF(TRUNC(ROUND($B26,0)/9,0)=0,IF(TRUNC(ROUND($B26,0)/9,0)=0,0+IF((ROUND($B26,0))*2&gt;=Q$2,1,0),"Not"))))-Q$3,"")</f>
        <v>-0.25</v>
      </c>
      <c r="R26" s="138">
        <f>IFERROR(AVERAGEIFS(Upload_Indiv[Score6],Upload_Indiv[[Player]:[Player]],$A26,Upload_Indiv[[Side]:[Side]],"Raintree Back")-IF(TRUNC(ROUND($B26,0)/9,0)=2,2+IF((ROUND($B26,0)-18)*2&gt;=R$2,1,0),IF(TRUNC(ROUND($B26,0)/9,0)=1,1+IF((ROUND($B26,0)-9)*2&gt;=R$2,1,0),IF(TRUNC(ROUND($B26,0)/9,0)=0,IF(TRUNC(ROUND($B26,0)/9,0)=0,0+IF((ROUND($B26,0))*2&gt;=R$2,1,0),"Not"))))-R$3,"")</f>
        <v>-0.625</v>
      </c>
      <c r="S26" s="138">
        <f>IFERROR(AVERAGEIFS(Upload_Indiv[Score7],Upload_Indiv[[Player]:[Player]],$A26,Upload_Indiv[[Side]:[Side]],"Raintree Back")-IF(TRUNC(ROUND($B26,0)/9,0)=2,2+IF((ROUND($B26,0)-18)*2&gt;=S$2,1,0),IF(TRUNC(ROUND($B26,0)/9,0)=1,1+IF((ROUND($B26,0)-9)*2&gt;=S$2,1,0),IF(TRUNC(ROUND($B26,0)/9,0)=0,IF(TRUNC(ROUND($B26,0)/9,0)=0,0+IF((ROUND($B26,0))*2&gt;=S$2,1,0),"Not"))))-S$3,"")</f>
        <v>0.75</v>
      </c>
      <c r="T26" s="138">
        <f>IFERROR(AVERAGEIFS(Upload_Indiv[Score8],Upload_Indiv[[Player]:[Player]],$A26,Upload_Indiv[[Side]:[Side]],"Raintree Back")-IF(TRUNC(ROUND($B26,0)/9,0)=2,2+IF((ROUND($B26,0)-18)*2&gt;=T$2,1,0),IF(TRUNC(ROUND($B26,0)/9,0)=1,1+IF((ROUND($B26,0)-9)*2&gt;=T$2,1,0),IF(TRUNC(ROUND($B26,0)/9,0)=0,IF(TRUNC(ROUND($B26,0)/9,0)=0,0+IF((ROUND($B26,0))*2&gt;=T$2,1,0),"Not"))))-T$3,"")</f>
        <v>0</v>
      </c>
      <c r="U26" s="138">
        <f>IFERROR(AVERAGEIFS(Upload_Indiv[Score9],Upload_Indiv[[Player]:[Player]],$A26,Upload_Indiv[[Side]:[Side]],"Raintree Back")-IF(TRUNC(ROUND($B26,0)/9,0)=2,2+IF((ROUND($B26,0)-18)*2&gt;=U$2,1,0),IF(TRUNC(ROUND($B26,0)/9,0)=1,1+IF((ROUND($B26,0)-9)*2&gt;=U$2,1,0),IF(TRUNC(ROUND($B26,0)/9,0)=0,IF(TRUNC(ROUND($B26,0)/9,0)=0,0+IF((ROUND($B26,0))*2&gt;=U$2,1,0),"Not"))))-U$3,"")</f>
        <v>-0.75</v>
      </c>
      <c r="V26" s="138">
        <f t="shared" si="1"/>
        <v>2.25</v>
      </c>
    </row>
    <row r="27" spans="1:22" ht="15" customHeight="1" x14ac:dyDescent="0.25">
      <c r="A27" s="4" t="s">
        <v>315</v>
      </c>
      <c r="B27" s="138">
        <f>IFERROR(AVERAGEIFS(Upload_Indiv[Hdcp],Upload_Indiv[[Player]:[Player]],$A27),"")</f>
        <v>16.477272727272723</v>
      </c>
      <c r="C27" s="138">
        <f>IFERROR(AVERAGEIFS(Upload_Indiv[Score1],Upload_Indiv[[Player]:[Player]],$A27,Upload_Indiv[[Side]:[Side]],"Raintree Front")-IF(TRUNC(ROUND($B27,0)/9,0)=2,2+IF((ROUND($B27,0)-18)*2&gt;=C$2,1,0),IF(TRUNC(ROUND($B27,0)/9,0)=1,1+IF((ROUND($B27,0)-9)*2&gt;=C$2,1,0),IF(TRUNC(ROUND($B27,0)/9,0)=0,IF(TRUNC(ROUND($B27,0)/9,0)=0,0+IF((ROUND($B27,0))*2&gt;=C$2,1,0),"Not"))))-C$3,"")</f>
        <v>0.85714285714285676</v>
      </c>
      <c r="D27" s="138">
        <f>IFERROR(AVERAGEIFS(Upload_Indiv[Score2],Upload_Indiv[[Player]:[Player]],$A27,Upload_Indiv[[Side]:[Side]],"Raintree Front")-IF(TRUNC(ROUND($B27,0)/9,0)=2,2+IF((ROUND($B27,0)-18)*2&gt;=D$2,1,0),IF(TRUNC(ROUND($B27,0)/9,0)=1,1+IF((ROUND($B27,0)-9)*2&gt;=D$2,1,0),IF(TRUNC(ROUND($B27,0)/9,0)=0,IF(TRUNC(ROUND($B27,0)/9,0)=0,0+IF((ROUND($B27,0))*2&gt;=D$2,1,0),"Not"))))-D$3,"")</f>
        <v>-0.57142857142857117</v>
      </c>
      <c r="E27" s="138">
        <f>IFERROR(AVERAGEIFS(Upload_Indiv[Score3],Upload_Indiv[[Player]:[Player]],$A27,Upload_Indiv[[Side]:[Side]],"Raintree Front")-IF(TRUNC(ROUND($B27,0)/9,0)=2,2+IF((ROUND($B27,0)-18)*2&gt;=E$2,1,0),IF(TRUNC(ROUND($B27,0)/9,0)=1,1+IF((ROUND($B27,0)-9)*2&gt;=E$2,1,0),IF(TRUNC(ROUND($B27,0)/9,0)=0,IF(TRUNC(ROUND($B27,0)/9,0)=0,0+IF((ROUND($B27,0))*2&gt;=E$2,1,0),"Not"))))-E$3,"")</f>
        <v>0.14285714285714324</v>
      </c>
      <c r="F27" s="138">
        <f>IFERROR(AVERAGEIFS(Upload_Indiv[Score4],Upload_Indiv[[Player]:[Player]],$A27,Upload_Indiv[[Side]:[Side]],"Raintree Front")-IF(TRUNC(ROUND($B27,0)/9,0)=2,2+IF((ROUND($B27,0)-18)*2&gt;=F$2,1,0),IF(TRUNC(ROUND($B27,0)/9,0)=1,1+IF((ROUND($B27,0)-9)*2&gt;=F$2,1,0),IF(TRUNC(ROUND($B27,0)/9,0)=0,IF(TRUNC(ROUND($B27,0)/9,0)=0,0+IF((ROUND($B27,0))*2&gt;=F$2,1,0),"Not"))))-F$3,"")</f>
        <v>1.5714285714285712</v>
      </c>
      <c r="G27" s="138">
        <f>IFERROR(AVERAGEIFS(Upload_Indiv[Score5],Upload_Indiv[[Player]:[Player]],$A27,Upload_Indiv[[Side]:[Side]],"Raintree Front")-IF(TRUNC(ROUND($B27,0)/9,0)=2,2+IF((ROUND($B27,0)-18)*2&gt;=G$2,1,0),IF(TRUNC(ROUND($B27,0)/9,0)=1,1+IF((ROUND($B27,0)-9)*2&gt;=G$2,1,0),IF(TRUNC(ROUND($B27,0)/9,0)=0,IF(TRUNC(ROUND($B27,0)/9,0)=0,0+IF((ROUND($B27,0))*2&gt;=G$2,1,0),"Not"))))-G$3,"")</f>
        <v>0.71428571428571441</v>
      </c>
      <c r="H27" s="138">
        <f>IFERROR(AVERAGEIFS(Upload_Indiv[Score6],Upload_Indiv[[Player]:[Player]],$A27,Upload_Indiv[[Side]:[Side]],"Raintree Front")-IF(TRUNC(ROUND($B27,0)/9,0)=2,2+IF((ROUND($B27,0)-18)*2&gt;=H$2,1,0),IF(TRUNC(ROUND($B27,0)/9,0)=1,1+IF((ROUND($B27,0)-9)*2&gt;=H$2,1,0),IF(TRUNC(ROUND($B27,0)/9,0)=0,IF(TRUNC(ROUND($B27,0)/9,0)=0,0+IF((ROUND($B27,0))*2&gt;=H$2,1,0),"Not"))))-H$3,"")</f>
        <v>0.14285714285714324</v>
      </c>
      <c r="I27" s="138">
        <f>IFERROR(AVERAGEIFS(Upload_Indiv[Score7],Upload_Indiv[[Player]:[Player]],$A27,Upload_Indiv[[Side]:[Side]],"Raintree Front")-IF(TRUNC(ROUND($B27,0)/9,0)=2,2+IF((ROUND($B27,0)-18)*2&gt;=I$2,1,0),IF(TRUNC(ROUND($B27,0)/9,0)=1,1+IF((ROUND($B27,0)-9)*2&gt;=I$2,1,0),IF(TRUNC(ROUND($B27,0)/9,0)=0,IF(TRUNC(ROUND($B27,0)/9,0)=0,0+IF((ROUND($B27,0))*2&gt;=I$2,1,0),"Not"))))-I$3,"")</f>
        <v>0.42857142857142883</v>
      </c>
      <c r="J27" s="138">
        <f>IFERROR(AVERAGEIFS(Upload_Indiv[Score8],Upload_Indiv[[Player]:[Player]],$A27,Upload_Indiv[[Side]:[Side]],"Raintree Front")-IF(TRUNC(ROUND($B27,0)/9,0)=2,2+IF((ROUND($B27,0)-18)*2&gt;=J$2,1,0),IF(TRUNC(ROUND($B27,0)/9,0)=1,1+IF((ROUND($B27,0)-9)*2&gt;=J$2,1,0),IF(TRUNC(ROUND($B27,0)/9,0)=0,IF(TRUNC(ROUND($B27,0)/9,0)=0,0+IF((ROUND($B27,0))*2&gt;=J$2,1,0),"Not"))))-J$3,"")</f>
        <v>0</v>
      </c>
      <c r="K27" s="138">
        <f>IFERROR(AVERAGEIFS(Upload_Indiv[Score9],Upload_Indiv[[Player]:[Player]],$A27,Upload_Indiv[[Side]:[Side]],"Raintree Front")-IF(TRUNC(ROUND($B27,0)/9,0)=2,2+IF((ROUND($B27,0)-18)*2&gt;=K$2,1,0),IF(TRUNC(ROUND($B27,0)/9,0)=1,1+IF((ROUND($B27,0)-9)*2&gt;=K$2,1,0),IF(TRUNC(ROUND($B27,0)/9,0)=0,IF(TRUNC(ROUND($B27,0)/9,0)=0,0+IF((ROUND($B27,0))*2&gt;=K$2,1,0),"Not"))))-K$3,"")</f>
        <v>0.57142857142857117</v>
      </c>
      <c r="L27" s="138">
        <f t="shared" si="0"/>
        <v>3.8571428571428577</v>
      </c>
      <c r="M27" s="138">
        <f>IFERROR(AVERAGEIFS(Upload_Indiv[Score1],Upload_Indiv[[Player]:[Player]],$A27,Upload_Indiv[[Side]:[Side]],"Raintree Back")-IF(TRUNC(ROUND($B27,0)/9,0)=2,2+IF((ROUND($B27,0)-18)*2&gt;=M$2,1,0),IF(TRUNC(ROUND($B27,0)/9,0)=1,1+IF((ROUND($B27,0)-9)*2&gt;=M$2,1,0),IF(TRUNC(ROUND($B27,0)/9,0)=0,IF(TRUNC(ROUND($B27,0)/9,0)=0,0+IF((ROUND($B27,0))*2&gt;=M$2,1,0),"Not"))))-M$3,"")</f>
        <v>-1.5</v>
      </c>
      <c r="N27" s="138">
        <f>IFERROR(AVERAGEIFS(Upload_Indiv[Score2],Upload_Indiv[[Player]:[Player]],$A27,Upload_Indiv[[Side]:[Side]],"Raintree Back")-IF(TRUNC(ROUND($B27,0)/9,0)=2,2+IF((ROUND($B27,0)-18)*2&gt;=N$2,1,0),IF(TRUNC(ROUND($B27,0)/9,0)=1,1+IF((ROUND($B27,0)-9)*2&gt;=N$2,1,0),IF(TRUNC(ROUND($B27,0)/9,0)=0,IF(TRUNC(ROUND($B27,0)/9,0)=0,0+IF((ROUND($B27,0))*2&gt;=N$2,1,0),"Not"))))-N$3,"")</f>
        <v>-0.5</v>
      </c>
      <c r="O27" s="138">
        <f>IFERROR(AVERAGEIFS(Upload_Indiv[Score3],Upload_Indiv[[Player]:[Player]],$A27,Upload_Indiv[[Side]:[Side]],"Raintree Back")-IF(TRUNC(ROUND($B27,0)/9,0)=2,2+IF((ROUND($B27,0)-18)*2&gt;=O$2,1,0),IF(TRUNC(ROUND($B27,0)/9,0)=1,1+IF((ROUND($B27,0)-9)*2&gt;=O$2,1,0),IF(TRUNC(ROUND($B27,0)/9,0)=0,IF(TRUNC(ROUND($B27,0)/9,0)=0,0+IF((ROUND($B27,0))*2&gt;=O$2,1,0),"Not"))))-O$3,"")</f>
        <v>-0.25</v>
      </c>
      <c r="P27" s="138">
        <f>IFERROR(AVERAGEIFS(Upload_Indiv[Score4],Upload_Indiv[[Player]:[Player]],$A27,Upload_Indiv[[Side]:[Side]],"Raintree Back")-IF(TRUNC(ROUND($B27,0)/9,0)=2,2+IF((ROUND($B27,0)-18)*2&gt;=P$2,1,0),IF(TRUNC(ROUND($B27,0)/9,0)=1,1+IF((ROUND($B27,0)-9)*2&gt;=P$2,1,0),IF(TRUNC(ROUND($B27,0)/9,0)=0,IF(TRUNC(ROUND($B27,0)/9,0)=0,0+IF((ROUND($B27,0))*2&gt;=P$2,1,0),"Not"))))-P$3,"")</f>
        <v>-1.25</v>
      </c>
      <c r="Q27" s="138">
        <f>IFERROR(AVERAGEIFS(Upload_Indiv[Score5],Upload_Indiv[[Player]:[Player]],$A27,Upload_Indiv[[Side]:[Side]],"Raintree Back")-IF(TRUNC(ROUND($B27,0)/9,0)=2,2+IF((ROUND($B27,0)-18)*2&gt;=Q$2,1,0),IF(TRUNC(ROUND($B27,0)/9,0)=1,1+IF((ROUND($B27,0)-9)*2&gt;=Q$2,1,0),IF(TRUNC(ROUND($B27,0)/9,0)=0,IF(TRUNC(ROUND($B27,0)/9,0)=0,0+IF((ROUND($B27,0))*2&gt;=Q$2,1,0),"Not"))))-Q$3,"")</f>
        <v>-1</v>
      </c>
      <c r="R27" s="138">
        <f>IFERROR(AVERAGEIFS(Upload_Indiv[Score6],Upload_Indiv[[Player]:[Player]],$A27,Upload_Indiv[[Side]:[Side]],"Raintree Back")-IF(TRUNC(ROUND($B27,0)/9,0)=2,2+IF((ROUND($B27,0)-18)*2&gt;=R$2,1,0),IF(TRUNC(ROUND($B27,0)/9,0)=1,1+IF((ROUND($B27,0)-9)*2&gt;=R$2,1,0),IF(TRUNC(ROUND($B27,0)/9,0)=0,IF(TRUNC(ROUND($B27,0)/9,0)=0,0+IF((ROUND($B27,0))*2&gt;=R$2,1,0),"Not"))))-R$3,"")</f>
        <v>-1.75</v>
      </c>
      <c r="S27" s="138">
        <f>IFERROR(AVERAGEIFS(Upload_Indiv[Score7],Upload_Indiv[[Player]:[Player]],$A27,Upload_Indiv[[Side]:[Side]],"Raintree Back")-IF(TRUNC(ROUND($B27,0)/9,0)=2,2+IF((ROUND($B27,0)-18)*2&gt;=S$2,1,0),IF(TRUNC(ROUND($B27,0)/9,0)=1,1+IF((ROUND($B27,0)-9)*2&gt;=S$2,1,0),IF(TRUNC(ROUND($B27,0)/9,0)=0,IF(TRUNC(ROUND($B27,0)/9,0)=0,0+IF((ROUND($B27,0))*2&gt;=S$2,1,0),"Not"))))-S$3,"")</f>
        <v>-0.5</v>
      </c>
      <c r="T27" s="138">
        <f>IFERROR(AVERAGEIFS(Upload_Indiv[Score8],Upload_Indiv[[Player]:[Player]],$A27,Upload_Indiv[[Side]:[Side]],"Raintree Back")-IF(TRUNC(ROUND($B27,0)/9,0)=2,2+IF((ROUND($B27,0)-18)*2&gt;=T$2,1,0),IF(TRUNC(ROUND($B27,0)/9,0)=1,1+IF((ROUND($B27,0)-9)*2&gt;=T$2,1,0),IF(TRUNC(ROUND($B27,0)/9,0)=0,IF(TRUNC(ROUND($B27,0)/9,0)=0,0+IF((ROUND($B27,0))*2&gt;=T$2,1,0),"Not"))))-T$3,"")</f>
        <v>-1.25</v>
      </c>
      <c r="U27" s="138">
        <f>IFERROR(AVERAGEIFS(Upload_Indiv[Score9],Upload_Indiv[[Player]:[Player]],$A27,Upload_Indiv[[Side]:[Side]],"Raintree Back")-IF(TRUNC(ROUND($B27,0)/9,0)=2,2+IF((ROUND($B27,0)-18)*2&gt;=U$2,1,0),IF(TRUNC(ROUND($B27,0)/9,0)=1,1+IF((ROUND($B27,0)-9)*2&gt;=U$2,1,0),IF(TRUNC(ROUND($B27,0)/9,0)=0,IF(TRUNC(ROUND($B27,0)/9,0)=0,0+IF((ROUND($B27,0))*2&gt;=U$2,1,0),"Not"))))-U$3,"")</f>
        <v>-1.25</v>
      </c>
      <c r="V27" s="138">
        <f t="shared" si="1"/>
        <v>-9.25</v>
      </c>
    </row>
    <row r="28" spans="1:22" ht="15" customHeight="1" x14ac:dyDescent="0.25">
      <c r="A28" s="4" t="s">
        <v>207</v>
      </c>
      <c r="B28" s="138">
        <f>IFERROR(AVERAGEIFS(Upload_Indiv[Hdcp],Upload_Indiv[[Player]:[Player]],$A28),"")</f>
        <v>10.56</v>
      </c>
      <c r="C28" s="138">
        <f>IFERROR(AVERAGEIFS(Upload_Indiv[Score1],Upload_Indiv[[Player]:[Player]],$A28,Upload_Indiv[[Side]:[Side]],"Raintree Front")-IF(TRUNC(ROUND($B28,0)/9,0)=2,2+IF((ROUND($B28,0)-18)*2&gt;=C$2,1,0),IF(TRUNC(ROUND($B28,0)/9,0)=1,1+IF((ROUND($B28,0)-9)*2&gt;=C$2,1,0),IF(TRUNC(ROUND($B28,0)/9,0)=0,IF(TRUNC(ROUND($B28,0)/9,0)=0,0+IF((ROUND($B28,0))*2&gt;=C$2,1,0),"Not"))))-C$3,"")</f>
        <v>1</v>
      </c>
      <c r="D28" s="138">
        <f>IFERROR(AVERAGEIFS(Upload_Indiv[Score2],Upload_Indiv[[Player]:[Player]],$A28,Upload_Indiv[[Side]:[Side]],"Raintree Front")-IF(TRUNC(ROUND($B28,0)/9,0)=2,2+IF((ROUND($B28,0)-18)*2&gt;=D$2,1,0),IF(TRUNC(ROUND($B28,0)/9,0)=1,1+IF((ROUND($B28,0)-9)*2&gt;=D$2,1,0),IF(TRUNC(ROUND($B28,0)/9,0)=0,IF(TRUNC(ROUND($B28,0)/9,0)=0,0+IF((ROUND($B28,0))*2&gt;=D$2,1,0),"Not"))))-D$3,"")</f>
        <v>0</v>
      </c>
      <c r="E28" s="138">
        <f>IFERROR(AVERAGEIFS(Upload_Indiv[Score3],Upload_Indiv[[Player]:[Player]],$A28,Upload_Indiv[[Side]:[Side]],"Raintree Front")-IF(TRUNC(ROUND($B28,0)/9,0)=2,2+IF((ROUND($B28,0)-18)*2&gt;=E$2,1,0),IF(TRUNC(ROUND($B28,0)/9,0)=1,1+IF((ROUND($B28,0)-9)*2&gt;=E$2,1,0),IF(TRUNC(ROUND($B28,0)/9,0)=0,IF(TRUNC(ROUND($B28,0)/9,0)=0,0+IF((ROUND($B28,0))*2&gt;=E$2,1,0),"Not"))))-E$3,"")</f>
        <v>1</v>
      </c>
      <c r="F28" s="138">
        <f>IFERROR(AVERAGEIFS(Upload_Indiv[Score4],Upload_Indiv[[Player]:[Player]],$A28,Upload_Indiv[[Side]:[Side]],"Raintree Front")-IF(TRUNC(ROUND($B28,0)/9,0)=2,2+IF((ROUND($B28,0)-18)*2&gt;=F$2,1,0),IF(TRUNC(ROUND($B28,0)/9,0)=1,1+IF((ROUND($B28,0)-9)*2&gt;=F$2,1,0),IF(TRUNC(ROUND($B28,0)/9,0)=0,IF(TRUNC(ROUND($B28,0)/9,0)=0,0+IF((ROUND($B28,0))*2&gt;=F$2,1,0),"Not"))))-F$3,"")</f>
        <v>0</v>
      </c>
      <c r="G28" s="138">
        <f>IFERROR(AVERAGEIFS(Upload_Indiv[Score5],Upload_Indiv[[Player]:[Player]],$A28,Upload_Indiv[[Side]:[Side]],"Raintree Front")-IF(TRUNC(ROUND($B28,0)/9,0)=2,2+IF((ROUND($B28,0)-18)*2&gt;=G$2,1,0),IF(TRUNC(ROUND($B28,0)/9,0)=1,1+IF((ROUND($B28,0)-9)*2&gt;=G$2,1,0),IF(TRUNC(ROUND($B28,0)/9,0)=0,IF(TRUNC(ROUND($B28,0)/9,0)=0,0+IF((ROUND($B28,0))*2&gt;=G$2,1,0),"Not"))))-G$3,"")</f>
        <v>0</v>
      </c>
      <c r="H28" s="138">
        <f>IFERROR(AVERAGEIFS(Upload_Indiv[Score6],Upload_Indiv[[Player]:[Player]],$A28,Upload_Indiv[[Side]:[Side]],"Raintree Front")-IF(TRUNC(ROUND($B28,0)/9,0)=2,2+IF((ROUND($B28,0)-18)*2&gt;=H$2,1,0),IF(TRUNC(ROUND($B28,0)/9,0)=1,1+IF((ROUND($B28,0)-9)*2&gt;=H$2,1,0),IF(TRUNC(ROUND($B28,0)/9,0)=0,IF(TRUNC(ROUND($B28,0)/9,0)=0,0+IF((ROUND($B28,0))*2&gt;=H$2,1,0),"Not"))))-H$3,"")</f>
        <v>-1</v>
      </c>
      <c r="I28" s="138">
        <f>IFERROR(AVERAGEIFS(Upload_Indiv[Score7],Upload_Indiv[[Player]:[Player]],$A28,Upload_Indiv[[Side]:[Side]],"Raintree Front")-IF(TRUNC(ROUND($B28,0)/9,0)=2,2+IF((ROUND($B28,0)-18)*2&gt;=I$2,1,0),IF(TRUNC(ROUND($B28,0)/9,0)=1,1+IF((ROUND($B28,0)-9)*2&gt;=I$2,1,0),IF(TRUNC(ROUND($B28,0)/9,0)=0,IF(TRUNC(ROUND($B28,0)/9,0)=0,0+IF((ROUND($B28,0))*2&gt;=I$2,1,0),"Not"))))-I$3,"")</f>
        <v>1</v>
      </c>
      <c r="J28" s="138">
        <f>IFERROR(AVERAGEIFS(Upload_Indiv[Score8],Upload_Indiv[[Player]:[Player]],$A28,Upload_Indiv[[Side]:[Side]],"Raintree Front")-IF(TRUNC(ROUND($B28,0)/9,0)=2,2+IF((ROUND($B28,0)-18)*2&gt;=J$2,1,0),IF(TRUNC(ROUND($B28,0)/9,0)=1,1+IF((ROUND($B28,0)-9)*2&gt;=J$2,1,0),IF(TRUNC(ROUND($B28,0)/9,0)=0,IF(TRUNC(ROUND($B28,0)/9,0)=0,0+IF((ROUND($B28,0))*2&gt;=J$2,1,0),"Not"))))-J$3,"")</f>
        <v>0</v>
      </c>
      <c r="K28" s="138">
        <f>IFERROR(AVERAGEIFS(Upload_Indiv[Score9],Upload_Indiv[[Player]:[Player]],$A28,Upload_Indiv[[Side]:[Side]],"Raintree Front")-IF(TRUNC(ROUND($B28,0)/9,0)=2,2+IF((ROUND($B28,0)-18)*2&gt;=K$2,1,0),IF(TRUNC(ROUND($B28,0)/9,0)=1,1+IF((ROUND($B28,0)-9)*2&gt;=K$2,1,0),IF(TRUNC(ROUND($B28,0)/9,0)=0,IF(TRUNC(ROUND($B28,0)/9,0)=0,0+IF((ROUND($B28,0))*2&gt;=K$2,1,0),"Not"))))-K$3,"")</f>
        <v>1</v>
      </c>
      <c r="L28" s="138">
        <f t="shared" si="0"/>
        <v>3</v>
      </c>
      <c r="M28" s="138" t="str">
        <f>IFERROR(AVERAGEIFS(Upload_Indiv[Score1],Upload_Indiv[[Player]:[Player]],$A28,Upload_Indiv[[Side]:[Side]],"Raintree Back")-IF(TRUNC(ROUND($B28,0)/9,0)=2,2+IF((ROUND($B28,0)-18)*2&gt;=M$2,1,0),IF(TRUNC(ROUND($B28,0)/9,0)=1,1+IF((ROUND($B28,0)-9)*2&gt;=M$2,1,0),IF(TRUNC(ROUND($B28,0)/9,0)=0,IF(TRUNC(ROUND($B28,0)/9,0)=0,0+IF((ROUND($B28,0))*2&gt;=M$2,1,0),"Not"))))-M$3,"")</f>
        <v/>
      </c>
      <c r="N28" s="138" t="str">
        <f>IFERROR(AVERAGEIFS(Upload_Indiv[Score2],Upload_Indiv[[Player]:[Player]],$A28,Upload_Indiv[[Side]:[Side]],"Raintree Back")-IF(TRUNC(ROUND($B28,0)/9,0)=2,2+IF((ROUND($B28,0)-18)*2&gt;=N$2,1,0),IF(TRUNC(ROUND($B28,0)/9,0)=1,1+IF((ROUND($B28,0)-9)*2&gt;=N$2,1,0),IF(TRUNC(ROUND($B28,0)/9,0)=0,IF(TRUNC(ROUND($B28,0)/9,0)=0,0+IF((ROUND($B28,0))*2&gt;=N$2,1,0),"Not"))))-N$3,"")</f>
        <v/>
      </c>
      <c r="O28" s="138" t="str">
        <f>IFERROR(AVERAGEIFS(Upload_Indiv[Score3],Upload_Indiv[[Player]:[Player]],$A28,Upload_Indiv[[Side]:[Side]],"Raintree Back")-IF(TRUNC(ROUND($B28,0)/9,0)=2,2+IF((ROUND($B28,0)-18)*2&gt;=O$2,1,0),IF(TRUNC(ROUND($B28,0)/9,0)=1,1+IF((ROUND($B28,0)-9)*2&gt;=O$2,1,0),IF(TRUNC(ROUND($B28,0)/9,0)=0,IF(TRUNC(ROUND($B28,0)/9,0)=0,0+IF((ROUND($B28,0))*2&gt;=O$2,1,0),"Not"))))-O$3,"")</f>
        <v/>
      </c>
      <c r="P28" s="138" t="str">
        <f>IFERROR(AVERAGEIFS(Upload_Indiv[Score4],Upload_Indiv[[Player]:[Player]],$A28,Upload_Indiv[[Side]:[Side]],"Raintree Back")-IF(TRUNC(ROUND($B28,0)/9,0)=2,2+IF((ROUND($B28,0)-18)*2&gt;=P$2,1,0),IF(TRUNC(ROUND($B28,0)/9,0)=1,1+IF((ROUND($B28,0)-9)*2&gt;=P$2,1,0),IF(TRUNC(ROUND($B28,0)/9,0)=0,IF(TRUNC(ROUND($B28,0)/9,0)=0,0+IF((ROUND($B28,0))*2&gt;=P$2,1,0),"Not"))))-P$3,"")</f>
        <v/>
      </c>
      <c r="Q28" s="138" t="str">
        <f>IFERROR(AVERAGEIFS(Upload_Indiv[Score5],Upload_Indiv[[Player]:[Player]],$A28,Upload_Indiv[[Side]:[Side]],"Raintree Back")-IF(TRUNC(ROUND($B28,0)/9,0)=2,2+IF((ROUND($B28,0)-18)*2&gt;=Q$2,1,0),IF(TRUNC(ROUND($B28,0)/9,0)=1,1+IF((ROUND($B28,0)-9)*2&gt;=Q$2,1,0),IF(TRUNC(ROUND($B28,0)/9,0)=0,IF(TRUNC(ROUND($B28,0)/9,0)=0,0+IF((ROUND($B28,0))*2&gt;=Q$2,1,0),"Not"))))-Q$3,"")</f>
        <v/>
      </c>
      <c r="R28" s="138" t="str">
        <f>IFERROR(AVERAGEIFS(Upload_Indiv[Score6],Upload_Indiv[[Player]:[Player]],$A28,Upload_Indiv[[Side]:[Side]],"Raintree Back")-IF(TRUNC(ROUND($B28,0)/9,0)=2,2+IF((ROUND($B28,0)-18)*2&gt;=R$2,1,0),IF(TRUNC(ROUND($B28,0)/9,0)=1,1+IF((ROUND($B28,0)-9)*2&gt;=R$2,1,0),IF(TRUNC(ROUND($B28,0)/9,0)=0,IF(TRUNC(ROUND($B28,0)/9,0)=0,0+IF((ROUND($B28,0))*2&gt;=R$2,1,0),"Not"))))-R$3,"")</f>
        <v/>
      </c>
      <c r="S28" s="138" t="str">
        <f>IFERROR(AVERAGEIFS(Upload_Indiv[Score7],Upload_Indiv[[Player]:[Player]],$A28,Upload_Indiv[[Side]:[Side]],"Raintree Back")-IF(TRUNC(ROUND($B28,0)/9,0)=2,2+IF((ROUND($B28,0)-18)*2&gt;=S$2,1,0),IF(TRUNC(ROUND($B28,0)/9,0)=1,1+IF((ROUND($B28,0)-9)*2&gt;=S$2,1,0),IF(TRUNC(ROUND($B28,0)/9,0)=0,IF(TRUNC(ROUND($B28,0)/9,0)=0,0+IF((ROUND($B28,0))*2&gt;=S$2,1,0),"Not"))))-S$3,"")</f>
        <v/>
      </c>
      <c r="T28" s="138" t="str">
        <f>IFERROR(AVERAGEIFS(Upload_Indiv[Score8],Upload_Indiv[[Player]:[Player]],$A28,Upload_Indiv[[Side]:[Side]],"Raintree Back")-IF(TRUNC(ROUND($B28,0)/9,0)=2,2+IF((ROUND($B28,0)-18)*2&gt;=T$2,1,0),IF(TRUNC(ROUND($B28,0)/9,0)=1,1+IF((ROUND($B28,0)-9)*2&gt;=T$2,1,0),IF(TRUNC(ROUND($B28,0)/9,0)=0,IF(TRUNC(ROUND($B28,0)/9,0)=0,0+IF((ROUND($B28,0))*2&gt;=T$2,1,0),"Not"))))-T$3,"")</f>
        <v/>
      </c>
      <c r="U28" s="138" t="str">
        <f>IFERROR(AVERAGEIFS(Upload_Indiv[Score9],Upload_Indiv[[Player]:[Player]],$A28,Upload_Indiv[[Side]:[Side]],"Raintree Back")-IF(TRUNC(ROUND($B28,0)/9,0)=2,2+IF((ROUND($B28,0)-18)*2&gt;=U$2,1,0),IF(TRUNC(ROUND($B28,0)/9,0)=1,1+IF((ROUND($B28,0)-9)*2&gt;=U$2,1,0),IF(TRUNC(ROUND($B28,0)/9,0)=0,IF(TRUNC(ROUND($B28,0)/9,0)=0,0+IF((ROUND($B28,0))*2&gt;=U$2,1,0),"Not"))))-U$3,"")</f>
        <v/>
      </c>
      <c r="V28" s="138">
        <f t="shared" si="1"/>
        <v>0</v>
      </c>
    </row>
    <row r="29" spans="1:22" ht="15" customHeight="1" x14ac:dyDescent="0.25">
      <c r="A29" s="4" t="s">
        <v>216</v>
      </c>
      <c r="B29" s="138">
        <f>IFERROR(AVERAGEIFS(Upload_Indiv[Hdcp],Upload_Indiv[[Player]:[Player]],$A29),"")</f>
        <v>15.28</v>
      </c>
      <c r="C29" s="138">
        <f>IFERROR(AVERAGEIFS(Upload_Indiv[Score1],Upload_Indiv[[Player]:[Player]],$A29,Upload_Indiv[[Side]:[Side]],"Raintree Front")-IF(TRUNC(ROUND($B29,0)/9,0)=2,2+IF((ROUND($B29,0)-18)*2&gt;=C$2,1,0),IF(TRUNC(ROUND($B29,0)/9,0)=1,1+IF((ROUND($B29,0)-9)*2&gt;=C$2,1,0),IF(TRUNC(ROUND($B29,0)/9,0)=0,IF(TRUNC(ROUND($B29,0)/9,0)=0,0+IF((ROUND($B29,0))*2&gt;=C$2,1,0),"Not"))))-C$3,"")</f>
        <v>0</v>
      </c>
      <c r="D29" s="138">
        <f>IFERROR(AVERAGEIFS(Upload_Indiv[Score2],Upload_Indiv[[Player]:[Player]],$A29,Upload_Indiv[[Side]:[Side]],"Raintree Front")-IF(TRUNC(ROUND($B29,0)/9,0)=2,2+IF((ROUND($B29,0)-18)*2&gt;=D$2,1,0),IF(TRUNC(ROUND($B29,0)/9,0)=1,1+IF((ROUND($B29,0)-9)*2&gt;=D$2,1,0),IF(TRUNC(ROUND($B29,0)/9,0)=0,IF(TRUNC(ROUND($B29,0)/9,0)=0,0+IF((ROUND($B29,0))*2&gt;=D$2,1,0),"Not"))))-D$3,"")</f>
        <v>0</v>
      </c>
      <c r="E29" s="138">
        <f>IFERROR(AVERAGEIFS(Upload_Indiv[Score3],Upload_Indiv[[Player]:[Player]],$A29,Upload_Indiv[[Side]:[Side]],"Raintree Front")-IF(TRUNC(ROUND($B29,0)/9,0)=2,2+IF((ROUND($B29,0)-18)*2&gt;=E$2,1,0),IF(TRUNC(ROUND($B29,0)/9,0)=1,1+IF((ROUND($B29,0)-9)*2&gt;=E$2,1,0),IF(TRUNC(ROUND($B29,0)/9,0)=0,IF(TRUNC(ROUND($B29,0)/9,0)=0,0+IF((ROUND($B29,0))*2&gt;=E$2,1,0),"Not"))))-E$3,"")</f>
        <v>0</v>
      </c>
      <c r="F29" s="138">
        <f>IFERROR(AVERAGEIFS(Upload_Indiv[Score4],Upload_Indiv[[Player]:[Player]],$A29,Upload_Indiv[[Side]:[Side]],"Raintree Front")-IF(TRUNC(ROUND($B29,0)/9,0)=2,2+IF((ROUND($B29,0)-18)*2&gt;=F$2,1,0),IF(TRUNC(ROUND($B29,0)/9,0)=1,1+IF((ROUND($B29,0)-9)*2&gt;=F$2,1,0),IF(TRUNC(ROUND($B29,0)/9,0)=0,IF(TRUNC(ROUND($B29,0)/9,0)=0,0+IF((ROUND($B29,0))*2&gt;=F$2,1,0),"Not"))))-F$3,"")</f>
        <v>1</v>
      </c>
      <c r="G29" s="138">
        <f>IFERROR(AVERAGEIFS(Upload_Indiv[Score5],Upload_Indiv[[Player]:[Player]],$A29,Upload_Indiv[[Side]:[Side]],"Raintree Front")-IF(TRUNC(ROUND($B29,0)/9,0)=2,2+IF((ROUND($B29,0)-18)*2&gt;=G$2,1,0),IF(TRUNC(ROUND($B29,0)/9,0)=1,1+IF((ROUND($B29,0)-9)*2&gt;=G$2,1,0),IF(TRUNC(ROUND($B29,0)/9,0)=0,IF(TRUNC(ROUND($B29,0)/9,0)=0,0+IF((ROUND($B29,0))*2&gt;=G$2,1,0),"Not"))))-G$3,"")</f>
        <v>1</v>
      </c>
      <c r="H29" s="138">
        <f>IFERROR(AVERAGEIFS(Upload_Indiv[Score6],Upload_Indiv[[Player]:[Player]],$A29,Upload_Indiv[[Side]:[Side]],"Raintree Front")-IF(TRUNC(ROUND($B29,0)/9,0)=2,2+IF((ROUND($B29,0)-18)*2&gt;=H$2,1,0),IF(TRUNC(ROUND($B29,0)/9,0)=1,1+IF((ROUND($B29,0)-9)*2&gt;=H$2,1,0),IF(TRUNC(ROUND($B29,0)/9,0)=0,IF(TRUNC(ROUND($B29,0)/9,0)=0,0+IF((ROUND($B29,0))*2&gt;=H$2,1,0),"Not"))))-H$3,"")</f>
        <v>-1</v>
      </c>
      <c r="I29" s="138">
        <f>IFERROR(AVERAGEIFS(Upload_Indiv[Score7],Upload_Indiv[[Player]:[Player]],$A29,Upload_Indiv[[Side]:[Side]],"Raintree Front")-IF(TRUNC(ROUND($B29,0)/9,0)=2,2+IF((ROUND($B29,0)-18)*2&gt;=I$2,1,0),IF(TRUNC(ROUND($B29,0)/9,0)=1,1+IF((ROUND($B29,0)-9)*2&gt;=I$2,1,0),IF(TRUNC(ROUND($B29,0)/9,0)=0,IF(TRUNC(ROUND($B29,0)/9,0)=0,0+IF((ROUND($B29,0))*2&gt;=I$2,1,0),"Not"))))-I$3,"")</f>
        <v>0</v>
      </c>
      <c r="J29" s="138">
        <f>IFERROR(AVERAGEIFS(Upload_Indiv[Score8],Upload_Indiv[[Player]:[Player]],$A29,Upload_Indiv[[Side]:[Side]],"Raintree Front")-IF(TRUNC(ROUND($B29,0)/9,0)=2,2+IF((ROUND($B29,0)-18)*2&gt;=J$2,1,0),IF(TRUNC(ROUND($B29,0)/9,0)=1,1+IF((ROUND($B29,0)-9)*2&gt;=J$2,1,0),IF(TRUNC(ROUND($B29,0)/9,0)=0,IF(TRUNC(ROUND($B29,0)/9,0)=0,0+IF((ROUND($B29,0))*2&gt;=J$2,1,0),"Not"))))-J$3,"")</f>
        <v>2</v>
      </c>
      <c r="K29" s="138">
        <f>IFERROR(AVERAGEIFS(Upload_Indiv[Score9],Upload_Indiv[[Player]:[Player]],$A29,Upload_Indiv[[Side]:[Side]],"Raintree Front")-IF(TRUNC(ROUND($B29,0)/9,0)=2,2+IF((ROUND($B29,0)-18)*2&gt;=K$2,1,0),IF(TRUNC(ROUND($B29,0)/9,0)=1,1+IF((ROUND($B29,0)-9)*2&gt;=K$2,1,0),IF(TRUNC(ROUND($B29,0)/9,0)=0,IF(TRUNC(ROUND($B29,0)/9,0)=0,0+IF((ROUND($B29,0))*2&gt;=K$2,1,0),"Not"))))-K$3,"")</f>
        <v>0</v>
      </c>
      <c r="L29" s="138">
        <f t="shared" si="0"/>
        <v>3</v>
      </c>
      <c r="M29" s="138" t="str">
        <f>IFERROR(AVERAGEIFS(Upload_Indiv[Score1],Upload_Indiv[[Player]:[Player]],$A29,Upload_Indiv[[Side]:[Side]],"Raintree Back")-IF(TRUNC(ROUND($B29,0)/9,0)=2,2+IF((ROUND($B29,0)-18)*2&gt;=M$2,1,0),IF(TRUNC(ROUND($B29,0)/9,0)=1,1+IF((ROUND($B29,0)-9)*2&gt;=M$2,1,0),IF(TRUNC(ROUND($B29,0)/9,0)=0,IF(TRUNC(ROUND($B29,0)/9,0)=0,0+IF((ROUND($B29,0))*2&gt;=M$2,1,0),"Not"))))-M$3,"")</f>
        <v/>
      </c>
      <c r="N29" s="138" t="str">
        <f>IFERROR(AVERAGEIFS(Upload_Indiv[Score2],Upload_Indiv[[Player]:[Player]],$A29,Upload_Indiv[[Side]:[Side]],"Raintree Back")-IF(TRUNC(ROUND($B29,0)/9,0)=2,2+IF((ROUND($B29,0)-18)*2&gt;=N$2,1,0),IF(TRUNC(ROUND($B29,0)/9,0)=1,1+IF((ROUND($B29,0)-9)*2&gt;=N$2,1,0),IF(TRUNC(ROUND($B29,0)/9,0)=0,IF(TRUNC(ROUND($B29,0)/9,0)=0,0+IF((ROUND($B29,0))*2&gt;=N$2,1,0),"Not"))))-N$3,"")</f>
        <v/>
      </c>
      <c r="O29" s="138" t="str">
        <f>IFERROR(AVERAGEIFS(Upload_Indiv[Score3],Upload_Indiv[[Player]:[Player]],$A29,Upload_Indiv[[Side]:[Side]],"Raintree Back")-IF(TRUNC(ROUND($B29,0)/9,0)=2,2+IF((ROUND($B29,0)-18)*2&gt;=O$2,1,0),IF(TRUNC(ROUND($B29,0)/9,0)=1,1+IF((ROUND($B29,0)-9)*2&gt;=O$2,1,0),IF(TRUNC(ROUND($B29,0)/9,0)=0,IF(TRUNC(ROUND($B29,0)/9,0)=0,0+IF((ROUND($B29,0))*2&gt;=O$2,1,0),"Not"))))-O$3,"")</f>
        <v/>
      </c>
      <c r="P29" s="138" t="str">
        <f>IFERROR(AVERAGEIFS(Upload_Indiv[Score4],Upload_Indiv[[Player]:[Player]],$A29,Upload_Indiv[[Side]:[Side]],"Raintree Back")-IF(TRUNC(ROUND($B29,0)/9,0)=2,2+IF((ROUND($B29,0)-18)*2&gt;=P$2,1,0),IF(TRUNC(ROUND($B29,0)/9,0)=1,1+IF((ROUND($B29,0)-9)*2&gt;=P$2,1,0),IF(TRUNC(ROUND($B29,0)/9,0)=0,IF(TRUNC(ROUND($B29,0)/9,0)=0,0+IF((ROUND($B29,0))*2&gt;=P$2,1,0),"Not"))))-P$3,"")</f>
        <v/>
      </c>
      <c r="Q29" s="138" t="str">
        <f>IFERROR(AVERAGEIFS(Upload_Indiv[Score5],Upload_Indiv[[Player]:[Player]],$A29,Upload_Indiv[[Side]:[Side]],"Raintree Back")-IF(TRUNC(ROUND($B29,0)/9,0)=2,2+IF((ROUND($B29,0)-18)*2&gt;=Q$2,1,0),IF(TRUNC(ROUND($B29,0)/9,0)=1,1+IF((ROUND($B29,0)-9)*2&gt;=Q$2,1,0),IF(TRUNC(ROUND($B29,0)/9,0)=0,IF(TRUNC(ROUND($B29,0)/9,0)=0,0+IF((ROUND($B29,0))*2&gt;=Q$2,1,0),"Not"))))-Q$3,"")</f>
        <v/>
      </c>
      <c r="R29" s="138" t="str">
        <f>IFERROR(AVERAGEIFS(Upload_Indiv[Score6],Upload_Indiv[[Player]:[Player]],$A29,Upload_Indiv[[Side]:[Side]],"Raintree Back")-IF(TRUNC(ROUND($B29,0)/9,0)=2,2+IF((ROUND($B29,0)-18)*2&gt;=R$2,1,0),IF(TRUNC(ROUND($B29,0)/9,0)=1,1+IF((ROUND($B29,0)-9)*2&gt;=R$2,1,0),IF(TRUNC(ROUND($B29,0)/9,0)=0,IF(TRUNC(ROUND($B29,0)/9,0)=0,0+IF((ROUND($B29,0))*2&gt;=R$2,1,0),"Not"))))-R$3,"")</f>
        <v/>
      </c>
      <c r="S29" s="138" t="str">
        <f>IFERROR(AVERAGEIFS(Upload_Indiv[Score7],Upload_Indiv[[Player]:[Player]],$A29,Upload_Indiv[[Side]:[Side]],"Raintree Back")-IF(TRUNC(ROUND($B29,0)/9,0)=2,2+IF((ROUND($B29,0)-18)*2&gt;=S$2,1,0),IF(TRUNC(ROUND($B29,0)/9,0)=1,1+IF((ROUND($B29,0)-9)*2&gt;=S$2,1,0),IF(TRUNC(ROUND($B29,0)/9,0)=0,IF(TRUNC(ROUND($B29,0)/9,0)=0,0+IF((ROUND($B29,0))*2&gt;=S$2,1,0),"Not"))))-S$3,"")</f>
        <v/>
      </c>
      <c r="T29" s="138" t="str">
        <f>IFERROR(AVERAGEIFS(Upload_Indiv[Score8],Upload_Indiv[[Player]:[Player]],$A29,Upload_Indiv[[Side]:[Side]],"Raintree Back")-IF(TRUNC(ROUND($B29,0)/9,0)=2,2+IF((ROUND($B29,0)-18)*2&gt;=T$2,1,0),IF(TRUNC(ROUND($B29,0)/9,0)=1,1+IF((ROUND($B29,0)-9)*2&gt;=T$2,1,0),IF(TRUNC(ROUND($B29,0)/9,0)=0,IF(TRUNC(ROUND($B29,0)/9,0)=0,0+IF((ROUND($B29,0))*2&gt;=T$2,1,0),"Not"))))-T$3,"")</f>
        <v/>
      </c>
      <c r="U29" s="138" t="str">
        <f>IFERROR(AVERAGEIFS(Upload_Indiv[Score9],Upload_Indiv[[Player]:[Player]],$A29,Upload_Indiv[[Side]:[Side]],"Raintree Back")-IF(TRUNC(ROUND($B29,0)/9,0)=2,2+IF((ROUND($B29,0)-18)*2&gt;=U$2,1,0),IF(TRUNC(ROUND($B29,0)/9,0)=1,1+IF((ROUND($B29,0)-9)*2&gt;=U$2,1,0),IF(TRUNC(ROUND($B29,0)/9,0)=0,IF(TRUNC(ROUND($B29,0)/9,0)=0,0+IF((ROUND($B29,0))*2&gt;=U$2,1,0),"Not"))))-U$3,"")</f>
        <v/>
      </c>
      <c r="V29" s="138">
        <f t="shared" si="1"/>
        <v>0</v>
      </c>
    </row>
    <row r="30" spans="1:22" ht="15" customHeight="1" x14ac:dyDescent="0.25">
      <c r="A30" s="4" t="s">
        <v>246</v>
      </c>
      <c r="B30" s="138">
        <f>IFERROR(AVERAGEIFS(Upload_Indiv[Hdcp],Upload_Indiv[[Player]:[Player]],$A30),"")</f>
        <v>20</v>
      </c>
      <c r="C30" s="138">
        <f>IFERROR(AVERAGEIFS(Upload_Indiv[Score1],Upload_Indiv[[Player]:[Player]],$A30,Upload_Indiv[[Side]:[Side]],"Raintree Front")-IF(TRUNC(ROUND($B30,0)/9,0)=2,2+IF((ROUND($B30,0)-18)*2&gt;=C$2,1,0),IF(TRUNC(ROUND($B30,0)/9,0)=1,1+IF((ROUND($B30,0)-9)*2&gt;=C$2,1,0),IF(TRUNC(ROUND($B30,0)/9,0)=0,IF(TRUNC(ROUND($B30,0)/9,0)=0,0+IF((ROUND($B30,0))*2&gt;=C$2,1,0),"Not"))))-C$3,"")</f>
        <v>0</v>
      </c>
      <c r="D30" s="138">
        <f>IFERROR(AVERAGEIFS(Upload_Indiv[Score2],Upload_Indiv[[Player]:[Player]],$A30,Upload_Indiv[[Side]:[Side]],"Raintree Front")-IF(TRUNC(ROUND($B30,0)/9,0)=2,2+IF((ROUND($B30,0)-18)*2&gt;=D$2,1,0),IF(TRUNC(ROUND($B30,0)/9,0)=1,1+IF((ROUND($B30,0)-9)*2&gt;=D$2,1,0),IF(TRUNC(ROUND($B30,0)/9,0)=0,IF(TRUNC(ROUND($B30,0)/9,0)=0,0+IF((ROUND($B30,0))*2&gt;=D$2,1,0),"Not"))))-D$3,"")</f>
        <v>-1.5</v>
      </c>
      <c r="E30" s="138">
        <f>IFERROR(AVERAGEIFS(Upload_Indiv[Score3],Upload_Indiv[[Player]:[Player]],$A30,Upload_Indiv[[Side]:[Side]],"Raintree Front")-IF(TRUNC(ROUND($B30,0)/9,0)=2,2+IF((ROUND($B30,0)-18)*2&gt;=E$2,1,0),IF(TRUNC(ROUND($B30,0)/9,0)=1,1+IF((ROUND($B30,0)-9)*2&gt;=E$2,1,0),IF(TRUNC(ROUND($B30,0)/9,0)=0,IF(TRUNC(ROUND($B30,0)/9,0)=0,0+IF((ROUND($B30,0))*2&gt;=E$2,1,0),"Not"))))-E$3,"")</f>
        <v>2</v>
      </c>
      <c r="F30" s="138">
        <f>IFERROR(AVERAGEIFS(Upload_Indiv[Score4],Upload_Indiv[[Player]:[Player]],$A30,Upload_Indiv[[Side]:[Side]],"Raintree Front")-IF(TRUNC(ROUND($B30,0)/9,0)=2,2+IF((ROUND($B30,0)-18)*2&gt;=F$2,1,0),IF(TRUNC(ROUND($B30,0)/9,0)=1,1+IF((ROUND($B30,0)-9)*2&gt;=F$2,1,0),IF(TRUNC(ROUND($B30,0)/9,0)=0,IF(TRUNC(ROUND($B30,0)/9,0)=0,0+IF((ROUND($B30,0))*2&gt;=F$2,1,0),"Not"))))-F$3,"")</f>
        <v>-1.5</v>
      </c>
      <c r="G30" s="138">
        <f>IFERROR(AVERAGEIFS(Upload_Indiv[Score5],Upload_Indiv[[Player]:[Player]],$A30,Upload_Indiv[[Side]:[Side]],"Raintree Front")-IF(TRUNC(ROUND($B30,0)/9,0)=2,2+IF((ROUND($B30,0)-18)*2&gt;=G$2,1,0),IF(TRUNC(ROUND($B30,0)/9,0)=1,1+IF((ROUND($B30,0)-9)*2&gt;=G$2,1,0),IF(TRUNC(ROUND($B30,0)/9,0)=0,IF(TRUNC(ROUND($B30,0)/9,0)=0,0+IF((ROUND($B30,0))*2&gt;=G$2,1,0),"Not"))))-G$3,"")</f>
        <v>2.5</v>
      </c>
      <c r="H30" s="138">
        <f>IFERROR(AVERAGEIFS(Upload_Indiv[Score6],Upload_Indiv[[Player]:[Player]],$A30,Upload_Indiv[[Side]:[Side]],"Raintree Front")-IF(TRUNC(ROUND($B30,0)/9,0)=2,2+IF((ROUND($B30,0)-18)*2&gt;=H$2,1,0),IF(TRUNC(ROUND($B30,0)/9,0)=1,1+IF((ROUND($B30,0)-9)*2&gt;=H$2,1,0),IF(TRUNC(ROUND($B30,0)/9,0)=0,IF(TRUNC(ROUND($B30,0)/9,0)=0,0+IF((ROUND($B30,0))*2&gt;=H$2,1,0),"Not"))))-H$3,"")</f>
        <v>0</v>
      </c>
      <c r="I30" s="138">
        <f>IFERROR(AVERAGEIFS(Upload_Indiv[Score7],Upload_Indiv[[Player]:[Player]],$A30,Upload_Indiv[[Side]:[Side]],"Raintree Front")-IF(TRUNC(ROUND($B30,0)/9,0)=2,2+IF((ROUND($B30,0)-18)*2&gt;=I$2,1,0),IF(TRUNC(ROUND($B30,0)/9,0)=1,1+IF((ROUND($B30,0)-9)*2&gt;=I$2,1,0),IF(TRUNC(ROUND($B30,0)/9,0)=0,IF(TRUNC(ROUND($B30,0)/9,0)=0,0+IF((ROUND($B30,0))*2&gt;=I$2,1,0),"Not"))))-I$3,"")</f>
        <v>-3</v>
      </c>
      <c r="J30" s="138">
        <f>IFERROR(AVERAGEIFS(Upload_Indiv[Score8],Upload_Indiv[[Player]:[Player]],$A30,Upload_Indiv[[Side]:[Side]],"Raintree Front")-IF(TRUNC(ROUND($B30,0)/9,0)=2,2+IF((ROUND($B30,0)-18)*2&gt;=J$2,1,0),IF(TRUNC(ROUND($B30,0)/9,0)=1,1+IF((ROUND($B30,0)-9)*2&gt;=J$2,1,0),IF(TRUNC(ROUND($B30,0)/9,0)=0,IF(TRUNC(ROUND($B30,0)/9,0)=0,0+IF((ROUND($B30,0))*2&gt;=J$2,1,0),"Not"))))-J$3,"")</f>
        <v>-2.5</v>
      </c>
      <c r="K30" s="138">
        <f>IFERROR(AVERAGEIFS(Upload_Indiv[Score9],Upload_Indiv[[Player]:[Player]],$A30,Upload_Indiv[[Side]:[Side]],"Raintree Front")-IF(TRUNC(ROUND($B30,0)/9,0)=2,2+IF((ROUND($B30,0)-18)*2&gt;=K$2,1,0),IF(TRUNC(ROUND($B30,0)/9,0)=1,1+IF((ROUND($B30,0)-9)*2&gt;=K$2,1,0),IF(TRUNC(ROUND($B30,0)/9,0)=0,IF(TRUNC(ROUND($B30,0)/9,0)=0,0+IF((ROUND($B30,0))*2&gt;=K$2,1,0),"Not"))))-K$3,"")</f>
        <v>-1.5</v>
      </c>
      <c r="L30" s="138">
        <f t="shared" si="0"/>
        <v>-5.5</v>
      </c>
      <c r="M30" s="138" t="str">
        <f>IFERROR(AVERAGEIFS(Upload_Indiv[Score1],Upload_Indiv[[Player]:[Player]],$A30,Upload_Indiv[[Side]:[Side]],"Raintree Back")-IF(TRUNC(ROUND($B30,0)/9,0)=2,2+IF((ROUND($B30,0)-18)*2&gt;=M$2,1,0),IF(TRUNC(ROUND($B30,0)/9,0)=1,1+IF((ROUND($B30,0)-9)*2&gt;=M$2,1,0),IF(TRUNC(ROUND($B30,0)/9,0)=0,IF(TRUNC(ROUND($B30,0)/9,0)=0,0+IF((ROUND($B30,0))*2&gt;=M$2,1,0),"Not"))))-M$3,"")</f>
        <v/>
      </c>
      <c r="N30" s="138" t="str">
        <f>IFERROR(AVERAGEIFS(Upload_Indiv[Score2],Upload_Indiv[[Player]:[Player]],$A30,Upload_Indiv[[Side]:[Side]],"Raintree Back")-IF(TRUNC(ROUND($B30,0)/9,0)=2,2+IF((ROUND($B30,0)-18)*2&gt;=N$2,1,0),IF(TRUNC(ROUND($B30,0)/9,0)=1,1+IF((ROUND($B30,0)-9)*2&gt;=N$2,1,0),IF(TRUNC(ROUND($B30,0)/9,0)=0,IF(TRUNC(ROUND($B30,0)/9,0)=0,0+IF((ROUND($B30,0))*2&gt;=N$2,1,0),"Not"))))-N$3,"")</f>
        <v/>
      </c>
      <c r="O30" s="138" t="str">
        <f>IFERROR(AVERAGEIFS(Upload_Indiv[Score3],Upload_Indiv[[Player]:[Player]],$A30,Upload_Indiv[[Side]:[Side]],"Raintree Back")-IF(TRUNC(ROUND($B30,0)/9,0)=2,2+IF((ROUND($B30,0)-18)*2&gt;=O$2,1,0),IF(TRUNC(ROUND($B30,0)/9,0)=1,1+IF((ROUND($B30,0)-9)*2&gt;=O$2,1,0),IF(TRUNC(ROUND($B30,0)/9,0)=0,IF(TRUNC(ROUND($B30,0)/9,0)=0,0+IF((ROUND($B30,0))*2&gt;=O$2,1,0),"Not"))))-O$3,"")</f>
        <v/>
      </c>
      <c r="P30" s="138" t="str">
        <f>IFERROR(AVERAGEIFS(Upload_Indiv[Score4],Upload_Indiv[[Player]:[Player]],$A30,Upload_Indiv[[Side]:[Side]],"Raintree Back")-IF(TRUNC(ROUND($B30,0)/9,0)=2,2+IF((ROUND($B30,0)-18)*2&gt;=P$2,1,0),IF(TRUNC(ROUND($B30,0)/9,0)=1,1+IF((ROUND($B30,0)-9)*2&gt;=P$2,1,0),IF(TRUNC(ROUND($B30,0)/9,0)=0,IF(TRUNC(ROUND($B30,0)/9,0)=0,0+IF((ROUND($B30,0))*2&gt;=P$2,1,0),"Not"))))-P$3,"")</f>
        <v/>
      </c>
      <c r="Q30" s="138" t="str">
        <f>IFERROR(AVERAGEIFS(Upload_Indiv[Score5],Upload_Indiv[[Player]:[Player]],$A30,Upload_Indiv[[Side]:[Side]],"Raintree Back")-IF(TRUNC(ROUND($B30,0)/9,0)=2,2+IF((ROUND($B30,0)-18)*2&gt;=Q$2,1,0),IF(TRUNC(ROUND($B30,0)/9,0)=1,1+IF((ROUND($B30,0)-9)*2&gt;=Q$2,1,0),IF(TRUNC(ROUND($B30,0)/9,0)=0,IF(TRUNC(ROUND($B30,0)/9,0)=0,0+IF((ROUND($B30,0))*2&gt;=Q$2,1,0),"Not"))))-Q$3,"")</f>
        <v/>
      </c>
      <c r="R30" s="138" t="str">
        <f>IFERROR(AVERAGEIFS(Upload_Indiv[Score6],Upload_Indiv[[Player]:[Player]],$A30,Upload_Indiv[[Side]:[Side]],"Raintree Back")-IF(TRUNC(ROUND($B30,0)/9,0)=2,2+IF((ROUND($B30,0)-18)*2&gt;=R$2,1,0),IF(TRUNC(ROUND($B30,0)/9,0)=1,1+IF((ROUND($B30,0)-9)*2&gt;=R$2,1,0),IF(TRUNC(ROUND($B30,0)/9,0)=0,IF(TRUNC(ROUND($B30,0)/9,0)=0,0+IF((ROUND($B30,0))*2&gt;=R$2,1,0),"Not"))))-R$3,"")</f>
        <v/>
      </c>
      <c r="S30" s="138" t="str">
        <f>IFERROR(AVERAGEIFS(Upload_Indiv[Score7],Upload_Indiv[[Player]:[Player]],$A30,Upload_Indiv[[Side]:[Side]],"Raintree Back")-IF(TRUNC(ROUND($B30,0)/9,0)=2,2+IF((ROUND($B30,0)-18)*2&gt;=S$2,1,0),IF(TRUNC(ROUND($B30,0)/9,0)=1,1+IF((ROUND($B30,0)-9)*2&gt;=S$2,1,0),IF(TRUNC(ROUND($B30,0)/9,0)=0,IF(TRUNC(ROUND($B30,0)/9,0)=0,0+IF((ROUND($B30,0))*2&gt;=S$2,1,0),"Not"))))-S$3,"")</f>
        <v/>
      </c>
      <c r="T30" s="138" t="str">
        <f>IFERROR(AVERAGEIFS(Upload_Indiv[Score8],Upload_Indiv[[Player]:[Player]],$A30,Upload_Indiv[[Side]:[Side]],"Raintree Back")-IF(TRUNC(ROUND($B30,0)/9,0)=2,2+IF((ROUND($B30,0)-18)*2&gt;=T$2,1,0),IF(TRUNC(ROUND($B30,0)/9,0)=1,1+IF((ROUND($B30,0)-9)*2&gt;=T$2,1,0),IF(TRUNC(ROUND($B30,0)/9,0)=0,IF(TRUNC(ROUND($B30,0)/9,0)=0,0+IF((ROUND($B30,0))*2&gt;=T$2,1,0),"Not"))))-T$3,"")</f>
        <v/>
      </c>
      <c r="U30" s="138" t="str">
        <f>IFERROR(AVERAGEIFS(Upload_Indiv[Score9],Upload_Indiv[[Player]:[Player]],$A30,Upload_Indiv[[Side]:[Side]],"Raintree Back")-IF(TRUNC(ROUND($B30,0)/9,0)=2,2+IF((ROUND($B30,0)-18)*2&gt;=U$2,1,0),IF(TRUNC(ROUND($B30,0)/9,0)=1,1+IF((ROUND($B30,0)-9)*2&gt;=U$2,1,0),IF(TRUNC(ROUND($B30,0)/9,0)=0,IF(TRUNC(ROUND($B30,0)/9,0)=0,0+IF((ROUND($B30,0))*2&gt;=U$2,1,0),"Not"))))-U$3,"")</f>
        <v/>
      </c>
      <c r="V30" s="138">
        <f t="shared" si="1"/>
        <v>0</v>
      </c>
    </row>
    <row r="31" spans="1:22" ht="15" customHeight="1" x14ac:dyDescent="0.25">
      <c r="A31" s="4" t="s">
        <v>234</v>
      </c>
      <c r="B31" s="138">
        <f>IFERROR(AVERAGEIFS(Upload_Indiv[Hdcp],Upload_Indiv[[Player]:[Player]],$A31),"")</f>
        <v>11.52</v>
      </c>
      <c r="C31" s="138">
        <f>IFERROR(AVERAGEIFS(Upload_Indiv[Score1],Upload_Indiv[[Player]:[Player]],$A31,Upload_Indiv[[Side]:[Side]],"Raintree Front")-IF(TRUNC(ROUND($B31,0)/9,0)=2,2+IF((ROUND($B31,0)-18)*2&gt;=C$2,1,0),IF(TRUNC(ROUND($B31,0)/9,0)=1,1+IF((ROUND($B31,0)-9)*2&gt;=C$2,1,0),IF(TRUNC(ROUND($B31,0)/9,0)=0,IF(TRUNC(ROUND($B31,0)/9,0)=0,0+IF((ROUND($B31,0))*2&gt;=C$2,1,0),"Not"))))-C$3,"")</f>
        <v>1</v>
      </c>
      <c r="D31" s="138">
        <f>IFERROR(AVERAGEIFS(Upload_Indiv[Score2],Upload_Indiv[[Player]:[Player]],$A31,Upload_Indiv[[Side]:[Side]],"Raintree Front")-IF(TRUNC(ROUND($B31,0)/9,0)=2,2+IF((ROUND($B31,0)-18)*2&gt;=D$2,1,0),IF(TRUNC(ROUND($B31,0)/9,0)=1,1+IF((ROUND($B31,0)-9)*2&gt;=D$2,1,0),IF(TRUNC(ROUND($B31,0)/9,0)=0,IF(TRUNC(ROUND($B31,0)/9,0)=0,0+IF((ROUND($B31,0))*2&gt;=D$2,1,0),"Not"))))-D$3,"")</f>
        <v>0.5</v>
      </c>
      <c r="E31" s="138">
        <f>IFERROR(AVERAGEIFS(Upload_Indiv[Score3],Upload_Indiv[[Player]:[Player]],$A31,Upload_Indiv[[Side]:[Side]],"Raintree Front")-IF(TRUNC(ROUND($B31,0)/9,0)=2,2+IF((ROUND($B31,0)-18)*2&gt;=E$2,1,0),IF(TRUNC(ROUND($B31,0)/9,0)=1,1+IF((ROUND($B31,0)-9)*2&gt;=E$2,1,0),IF(TRUNC(ROUND($B31,0)/9,0)=0,IF(TRUNC(ROUND($B31,0)/9,0)=0,0+IF((ROUND($B31,0))*2&gt;=E$2,1,0),"Not"))))-E$3,"")</f>
        <v>0.5</v>
      </c>
      <c r="F31" s="138">
        <f>IFERROR(AVERAGEIFS(Upload_Indiv[Score4],Upload_Indiv[[Player]:[Player]],$A31,Upload_Indiv[[Side]:[Side]],"Raintree Front")-IF(TRUNC(ROUND($B31,0)/9,0)=2,2+IF((ROUND($B31,0)-18)*2&gt;=F$2,1,0),IF(TRUNC(ROUND($B31,0)/9,0)=1,1+IF((ROUND($B31,0)-9)*2&gt;=F$2,1,0),IF(TRUNC(ROUND($B31,0)/9,0)=0,IF(TRUNC(ROUND($B31,0)/9,0)=0,0+IF((ROUND($B31,0))*2&gt;=F$2,1,0),"Not"))))-F$3,"")</f>
        <v>0.5</v>
      </c>
      <c r="G31" s="138">
        <f>IFERROR(AVERAGEIFS(Upload_Indiv[Score5],Upload_Indiv[[Player]:[Player]],$A31,Upload_Indiv[[Side]:[Side]],"Raintree Front")-IF(TRUNC(ROUND($B31,0)/9,0)=2,2+IF((ROUND($B31,0)-18)*2&gt;=G$2,1,0),IF(TRUNC(ROUND($B31,0)/9,0)=1,1+IF((ROUND($B31,0)-9)*2&gt;=G$2,1,0),IF(TRUNC(ROUND($B31,0)/9,0)=0,IF(TRUNC(ROUND($B31,0)/9,0)=0,0+IF((ROUND($B31,0))*2&gt;=G$2,1,0),"Not"))))-G$3,"")</f>
        <v>0.5</v>
      </c>
      <c r="H31" s="138">
        <f>IFERROR(AVERAGEIFS(Upload_Indiv[Score6],Upload_Indiv[[Player]:[Player]],$A31,Upload_Indiv[[Side]:[Side]],"Raintree Front")-IF(TRUNC(ROUND($B31,0)/9,0)=2,2+IF((ROUND($B31,0)-18)*2&gt;=H$2,1,0),IF(TRUNC(ROUND($B31,0)/9,0)=1,1+IF((ROUND($B31,0)-9)*2&gt;=H$2,1,0),IF(TRUNC(ROUND($B31,0)/9,0)=0,IF(TRUNC(ROUND($B31,0)/9,0)=0,0+IF((ROUND($B31,0))*2&gt;=H$2,1,0),"Not"))))-H$3,"")</f>
        <v>-0.5</v>
      </c>
      <c r="I31" s="138">
        <f>IFERROR(AVERAGEIFS(Upload_Indiv[Score7],Upload_Indiv[[Player]:[Player]],$A31,Upload_Indiv[[Side]:[Side]],"Raintree Front")-IF(TRUNC(ROUND($B31,0)/9,0)=2,2+IF((ROUND($B31,0)-18)*2&gt;=I$2,1,0),IF(TRUNC(ROUND($B31,0)/9,0)=1,1+IF((ROUND($B31,0)-9)*2&gt;=I$2,1,0),IF(TRUNC(ROUND($B31,0)/9,0)=0,IF(TRUNC(ROUND($B31,0)/9,0)=0,0+IF((ROUND($B31,0))*2&gt;=I$2,1,0),"Not"))))-I$3,"")</f>
        <v>0.5</v>
      </c>
      <c r="J31" s="138">
        <f>IFERROR(AVERAGEIFS(Upload_Indiv[Score8],Upload_Indiv[[Player]:[Player]],$A31,Upload_Indiv[[Side]:[Side]],"Raintree Front")-IF(TRUNC(ROUND($B31,0)/9,0)=2,2+IF((ROUND($B31,0)-18)*2&gt;=J$2,1,0),IF(TRUNC(ROUND($B31,0)/9,0)=1,1+IF((ROUND($B31,0)-9)*2&gt;=J$2,1,0),IF(TRUNC(ROUND($B31,0)/9,0)=0,IF(TRUNC(ROUND($B31,0)/9,0)=0,0+IF((ROUND($B31,0))*2&gt;=J$2,1,0),"Not"))))-J$3,"")</f>
        <v>1</v>
      </c>
      <c r="K31" s="138">
        <f>IFERROR(AVERAGEIFS(Upload_Indiv[Score9],Upload_Indiv[[Player]:[Player]],$A31,Upload_Indiv[[Side]:[Side]],"Raintree Front")-IF(TRUNC(ROUND($B31,0)/9,0)=2,2+IF((ROUND($B31,0)-18)*2&gt;=K$2,1,0),IF(TRUNC(ROUND($B31,0)/9,0)=1,1+IF((ROUND($B31,0)-9)*2&gt;=K$2,1,0),IF(TRUNC(ROUND($B31,0)/9,0)=0,IF(TRUNC(ROUND($B31,0)/9,0)=0,0+IF((ROUND($B31,0))*2&gt;=K$2,1,0),"Not"))))-K$3,"")</f>
        <v>1</v>
      </c>
      <c r="L31" s="138">
        <f t="shared" si="0"/>
        <v>5</v>
      </c>
      <c r="M31" s="138" t="str">
        <f>IFERROR(AVERAGEIFS(Upload_Indiv[Score1],Upload_Indiv[[Player]:[Player]],$A31,Upload_Indiv[[Side]:[Side]],"Raintree Back")-IF(TRUNC(ROUND($B31,0)/9,0)=2,2+IF((ROUND($B31,0)-18)*2&gt;=M$2,1,0),IF(TRUNC(ROUND($B31,0)/9,0)=1,1+IF((ROUND($B31,0)-9)*2&gt;=M$2,1,0),IF(TRUNC(ROUND($B31,0)/9,0)=0,IF(TRUNC(ROUND($B31,0)/9,0)=0,0+IF((ROUND($B31,0))*2&gt;=M$2,1,0),"Not"))))-M$3,"")</f>
        <v/>
      </c>
      <c r="N31" s="138" t="str">
        <f>IFERROR(AVERAGEIFS(Upload_Indiv[Score2],Upload_Indiv[[Player]:[Player]],$A31,Upload_Indiv[[Side]:[Side]],"Raintree Back")-IF(TRUNC(ROUND($B31,0)/9,0)=2,2+IF((ROUND($B31,0)-18)*2&gt;=N$2,1,0),IF(TRUNC(ROUND($B31,0)/9,0)=1,1+IF((ROUND($B31,0)-9)*2&gt;=N$2,1,0),IF(TRUNC(ROUND($B31,0)/9,0)=0,IF(TRUNC(ROUND($B31,0)/9,0)=0,0+IF((ROUND($B31,0))*2&gt;=N$2,1,0),"Not"))))-N$3,"")</f>
        <v/>
      </c>
      <c r="O31" s="138" t="str">
        <f>IFERROR(AVERAGEIFS(Upload_Indiv[Score3],Upload_Indiv[[Player]:[Player]],$A31,Upload_Indiv[[Side]:[Side]],"Raintree Back")-IF(TRUNC(ROUND($B31,0)/9,0)=2,2+IF((ROUND($B31,0)-18)*2&gt;=O$2,1,0),IF(TRUNC(ROUND($B31,0)/9,0)=1,1+IF((ROUND($B31,0)-9)*2&gt;=O$2,1,0),IF(TRUNC(ROUND($B31,0)/9,0)=0,IF(TRUNC(ROUND($B31,0)/9,0)=0,0+IF((ROUND($B31,0))*2&gt;=O$2,1,0),"Not"))))-O$3,"")</f>
        <v/>
      </c>
      <c r="P31" s="138" t="str">
        <f>IFERROR(AVERAGEIFS(Upload_Indiv[Score4],Upload_Indiv[[Player]:[Player]],$A31,Upload_Indiv[[Side]:[Side]],"Raintree Back")-IF(TRUNC(ROUND($B31,0)/9,0)=2,2+IF((ROUND($B31,0)-18)*2&gt;=P$2,1,0),IF(TRUNC(ROUND($B31,0)/9,0)=1,1+IF((ROUND($B31,0)-9)*2&gt;=P$2,1,0),IF(TRUNC(ROUND($B31,0)/9,0)=0,IF(TRUNC(ROUND($B31,0)/9,0)=0,0+IF((ROUND($B31,0))*2&gt;=P$2,1,0),"Not"))))-P$3,"")</f>
        <v/>
      </c>
      <c r="Q31" s="138" t="str">
        <f>IFERROR(AVERAGEIFS(Upload_Indiv[Score5],Upload_Indiv[[Player]:[Player]],$A31,Upload_Indiv[[Side]:[Side]],"Raintree Back")-IF(TRUNC(ROUND($B31,0)/9,0)=2,2+IF((ROUND($B31,0)-18)*2&gt;=Q$2,1,0),IF(TRUNC(ROUND($B31,0)/9,0)=1,1+IF((ROUND($B31,0)-9)*2&gt;=Q$2,1,0),IF(TRUNC(ROUND($B31,0)/9,0)=0,IF(TRUNC(ROUND($B31,0)/9,0)=0,0+IF((ROUND($B31,0))*2&gt;=Q$2,1,0),"Not"))))-Q$3,"")</f>
        <v/>
      </c>
      <c r="R31" s="138" t="str">
        <f>IFERROR(AVERAGEIFS(Upload_Indiv[Score6],Upload_Indiv[[Player]:[Player]],$A31,Upload_Indiv[[Side]:[Side]],"Raintree Back")-IF(TRUNC(ROUND($B31,0)/9,0)=2,2+IF((ROUND($B31,0)-18)*2&gt;=R$2,1,0),IF(TRUNC(ROUND($B31,0)/9,0)=1,1+IF((ROUND($B31,0)-9)*2&gt;=R$2,1,0),IF(TRUNC(ROUND($B31,0)/9,0)=0,IF(TRUNC(ROUND($B31,0)/9,0)=0,0+IF((ROUND($B31,0))*2&gt;=R$2,1,0),"Not"))))-R$3,"")</f>
        <v/>
      </c>
      <c r="S31" s="138" t="str">
        <f>IFERROR(AVERAGEIFS(Upload_Indiv[Score7],Upload_Indiv[[Player]:[Player]],$A31,Upload_Indiv[[Side]:[Side]],"Raintree Back")-IF(TRUNC(ROUND($B31,0)/9,0)=2,2+IF((ROUND($B31,0)-18)*2&gt;=S$2,1,0),IF(TRUNC(ROUND($B31,0)/9,0)=1,1+IF((ROUND($B31,0)-9)*2&gt;=S$2,1,0),IF(TRUNC(ROUND($B31,0)/9,0)=0,IF(TRUNC(ROUND($B31,0)/9,0)=0,0+IF((ROUND($B31,0))*2&gt;=S$2,1,0),"Not"))))-S$3,"")</f>
        <v/>
      </c>
      <c r="T31" s="138" t="str">
        <f>IFERROR(AVERAGEIFS(Upload_Indiv[Score8],Upload_Indiv[[Player]:[Player]],$A31,Upload_Indiv[[Side]:[Side]],"Raintree Back")-IF(TRUNC(ROUND($B31,0)/9,0)=2,2+IF((ROUND($B31,0)-18)*2&gt;=T$2,1,0),IF(TRUNC(ROUND($B31,0)/9,0)=1,1+IF((ROUND($B31,0)-9)*2&gt;=T$2,1,0),IF(TRUNC(ROUND($B31,0)/9,0)=0,IF(TRUNC(ROUND($B31,0)/9,0)=0,0+IF((ROUND($B31,0))*2&gt;=T$2,1,0),"Not"))))-T$3,"")</f>
        <v/>
      </c>
      <c r="U31" s="138" t="str">
        <f>IFERROR(AVERAGEIFS(Upload_Indiv[Score9],Upload_Indiv[[Player]:[Player]],$A31,Upload_Indiv[[Side]:[Side]],"Raintree Back")-IF(TRUNC(ROUND($B31,0)/9,0)=2,2+IF((ROUND($B31,0)-18)*2&gt;=U$2,1,0),IF(TRUNC(ROUND($B31,0)/9,0)=1,1+IF((ROUND($B31,0)-9)*2&gt;=U$2,1,0),IF(TRUNC(ROUND($B31,0)/9,0)=0,IF(TRUNC(ROUND($B31,0)/9,0)=0,0+IF((ROUND($B31,0))*2&gt;=U$2,1,0),"Not"))))-U$3,"")</f>
        <v/>
      </c>
      <c r="V31" s="138">
        <f t="shared" si="1"/>
        <v>0</v>
      </c>
    </row>
    <row r="32" spans="1:22" ht="15" customHeight="1" x14ac:dyDescent="0.25">
      <c r="A32" s="4" t="s">
        <v>146</v>
      </c>
      <c r="B32" s="138">
        <f>IFERROR(AVERAGEIFS(Upload_Indiv[Hdcp],Upload_Indiv[[Player]:[Player]],$A32),"")</f>
        <v>3.4209090909090905</v>
      </c>
      <c r="C32" s="138">
        <f>IFERROR(AVERAGEIFS(Upload_Indiv[Score1],Upload_Indiv[[Player]:[Player]],$A32,Upload_Indiv[[Side]:[Side]],"Raintree Front")-IF(TRUNC(ROUND($B32,0)/9,0)=2,2+IF((ROUND($B32,0)-18)*2&gt;=C$2,1,0),IF(TRUNC(ROUND($B32,0)/9,0)=1,1+IF((ROUND($B32,0)-9)*2&gt;=C$2,1,0),IF(TRUNC(ROUND($B32,0)/9,0)=0,IF(TRUNC(ROUND($B32,0)/9,0)=0,0+IF((ROUND($B32,0))*2&gt;=C$2,1,0),"Not"))))-C$3,"")</f>
        <v>-0.5</v>
      </c>
      <c r="D32" s="138">
        <f>IFERROR(AVERAGEIFS(Upload_Indiv[Score2],Upload_Indiv[[Player]:[Player]],$A32,Upload_Indiv[[Side]:[Side]],"Raintree Front")-IF(TRUNC(ROUND($B32,0)/9,0)=2,2+IF((ROUND($B32,0)-18)*2&gt;=D$2,1,0),IF(TRUNC(ROUND($B32,0)/9,0)=1,1+IF((ROUND($B32,0)-9)*2&gt;=D$2,1,0),IF(TRUNC(ROUND($B32,0)/9,0)=0,IF(TRUNC(ROUND($B32,0)/9,0)=0,0+IF((ROUND($B32,0))*2&gt;=D$2,1,0),"Not"))))-D$3,"")</f>
        <v>0.16666666666666696</v>
      </c>
      <c r="E32" s="138">
        <f>IFERROR(AVERAGEIFS(Upload_Indiv[Score3],Upload_Indiv[[Player]:[Player]],$A32,Upload_Indiv[[Side]:[Side]],"Raintree Front")-IF(TRUNC(ROUND($B32,0)/9,0)=2,2+IF((ROUND($B32,0)-18)*2&gt;=E$2,1,0),IF(TRUNC(ROUND($B32,0)/9,0)=1,1+IF((ROUND($B32,0)-9)*2&gt;=E$2,1,0),IF(TRUNC(ROUND($B32,0)/9,0)=0,IF(TRUNC(ROUND($B32,0)/9,0)=0,0+IF((ROUND($B32,0))*2&gt;=E$2,1,0),"Not"))))-E$3,"")</f>
        <v>-0.33333333333333304</v>
      </c>
      <c r="F32" s="138">
        <f>IFERROR(AVERAGEIFS(Upload_Indiv[Score4],Upload_Indiv[[Player]:[Player]],$A32,Upload_Indiv[[Side]:[Side]],"Raintree Front")-IF(TRUNC(ROUND($B32,0)/9,0)=2,2+IF((ROUND($B32,0)-18)*2&gt;=F$2,1,0),IF(TRUNC(ROUND($B32,0)/9,0)=1,1+IF((ROUND($B32,0)-9)*2&gt;=F$2,1,0),IF(TRUNC(ROUND($B32,0)/9,0)=0,IF(TRUNC(ROUND($B32,0)/9,0)=0,0+IF((ROUND($B32,0))*2&gt;=F$2,1,0),"Not"))))-F$3,"")</f>
        <v>0.83333333333333348</v>
      </c>
      <c r="G32" s="138">
        <f>IFERROR(AVERAGEIFS(Upload_Indiv[Score5],Upload_Indiv[[Player]:[Player]],$A32,Upload_Indiv[[Side]:[Side]],"Raintree Front")-IF(TRUNC(ROUND($B32,0)/9,0)=2,2+IF((ROUND($B32,0)-18)*2&gt;=G$2,1,0),IF(TRUNC(ROUND($B32,0)/9,0)=1,1+IF((ROUND($B32,0)-9)*2&gt;=G$2,1,0),IF(TRUNC(ROUND($B32,0)/9,0)=0,IF(TRUNC(ROUND($B32,0)/9,0)=0,0+IF((ROUND($B32,0))*2&gt;=G$2,1,0),"Not"))))-G$3,"")</f>
        <v>0.66666666666666696</v>
      </c>
      <c r="H32" s="138">
        <f>IFERROR(AVERAGEIFS(Upload_Indiv[Score6],Upload_Indiv[[Player]:[Player]],$A32,Upload_Indiv[[Side]:[Side]],"Raintree Front")-IF(TRUNC(ROUND($B32,0)/9,0)=2,2+IF((ROUND($B32,0)-18)*2&gt;=H$2,1,0),IF(TRUNC(ROUND($B32,0)/9,0)=1,1+IF((ROUND($B32,0)-9)*2&gt;=H$2,1,0),IF(TRUNC(ROUND($B32,0)/9,0)=0,IF(TRUNC(ROUND($B32,0)/9,0)=0,0+IF((ROUND($B32,0))*2&gt;=H$2,1,0),"Not"))))-H$3,"")</f>
        <v>-0.5</v>
      </c>
      <c r="I32" s="138">
        <f>IFERROR(AVERAGEIFS(Upload_Indiv[Score7],Upload_Indiv[[Player]:[Player]],$A32,Upload_Indiv[[Side]:[Side]],"Raintree Front")-IF(TRUNC(ROUND($B32,0)/9,0)=2,2+IF((ROUND($B32,0)-18)*2&gt;=I$2,1,0),IF(TRUNC(ROUND($B32,0)/9,0)=1,1+IF((ROUND($B32,0)-9)*2&gt;=I$2,1,0),IF(TRUNC(ROUND($B32,0)/9,0)=0,IF(TRUNC(ROUND($B32,0)/9,0)=0,0+IF((ROUND($B32,0))*2&gt;=I$2,1,0),"Not"))))-I$3,"")</f>
        <v>1</v>
      </c>
      <c r="J32" s="138">
        <f>IFERROR(AVERAGEIFS(Upload_Indiv[Score8],Upload_Indiv[[Player]:[Player]],$A32,Upload_Indiv[[Side]:[Side]],"Raintree Front")-IF(TRUNC(ROUND($B32,0)/9,0)=2,2+IF((ROUND($B32,0)-18)*2&gt;=J$2,1,0),IF(TRUNC(ROUND($B32,0)/9,0)=1,1+IF((ROUND($B32,0)-9)*2&gt;=J$2,1,0),IF(TRUNC(ROUND($B32,0)/9,0)=0,IF(TRUNC(ROUND($B32,0)/9,0)=0,0+IF((ROUND($B32,0))*2&gt;=J$2,1,0),"Not"))))-J$3,"")</f>
        <v>0</v>
      </c>
      <c r="K32" s="138">
        <f>IFERROR(AVERAGEIFS(Upload_Indiv[Score9],Upload_Indiv[[Player]:[Player]],$A32,Upload_Indiv[[Side]:[Side]],"Raintree Front")-IF(TRUNC(ROUND($B32,0)/9,0)=2,2+IF((ROUND($B32,0)-18)*2&gt;=K$2,1,0),IF(TRUNC(ROUND($B32,0)/9,0)=1,1+IF((ROUND($B32,0)-9)*2&gt;=K$2,1,0),IF(TRUNC(ROUND($B32,0)/9,0)=0,IF(TRUNC(ROUND($B32,0)/9,0)=0,0+IF((ROUND($B32,0))*2&gt;=K$2,1,0),"Not"))))-K$3,"")</f>
        <v>0.66666666666666696</v>
      </c>
      <c r="L32" s="138">
        <f t="shared" si="0"/>
        <v>2.0000000000000013</v>
      </c>
      <c r="M32" s="138">
        <f>IFERROR(AVERAGEIFS(Upload_Indiv[Score1],Upload_Indiv[[Player]:[Player]],$A32,Upload_Indiv[[Side]:[Side]],"Raintree Back")-IF(TRUNC(ROUND($B32,0)/9,0)=2,2+IF((ROUND($B32,0)-18)*2&gt;=M$2,1,0),IF(TRUNC(ROUND($B32,0)/9,0)=1,1+IF((ROUND($B32,0)-9)*2&gt;=M$2,1,0),IF(TRUNC(ROUND($B32,0)/9,0)=0,IF(TRUNC(ROUND($B32,0)/9,0)=0,0+IF((ROUND($B32,0))*2&gt;=M$2,1,0),"Not"))))-M$3,"")</f>
        <v>0</v>
      </c>
      <c r="N32" s="138">
        <f>IFERROR(AVERAGEIFS(Upload_Indiv[Score2],Upload_Indiv[[Player]:[Player]],$A32,Upload_Indiv[[Side]:[Side]],"Raintree Back")-IF(TRUNC(ROUND($B32,0)/9,0)=2,2+IF((ROUND($B32,0)-18)*2&gt;=N$2,1,0),IF(TRUNC(ROUND($B32,0)/9,0)=1,1+IF((ROUND($B32,0)-9)*2&gt;=N$2,1,0),IF(TRUNC(ROUND($B32,0)/9,0)=0,IF(TRUNC(ROUND($B32,0)/9,0)=0,0+IF((ROUND($B32,0))*2&gt;=N$2,1,0),"Not"))))-N$3,"")</f>
        <v>-0.20000000000000018</v>
      </c>
      <c r="O32" s="138">
        <f>IFERROR(AVERAGEIFS(Upload_Indiv[Score3],Upload_Indiv[[Player]:[Player]],$A32,Upload_Indiv[[Side]:[Side]],"Raintree Back")-IF(TRUNC(ROUND($B32,0)/9,0)=2,2+IF((ROUND($B32,0)-18)*2&gt;=O$2,1,0),IF(TRUNC(ROUND($B32,0)/9,0)=1,1+IF((ROUND($B32,0)-9)*2&gt;=O$2,1,0),IF(TRUNC(ROUND($B32,0)/9,0)=0,IF(TRUNC(ROUND($B32,0)/9,0)=0,0+IF((ROUND($B32,0))*2&gt;=O$2,1,0),"Not"))))-O$3,"")</f>
        <v>0.20000000000000018</v>
      </c>
      <c r="P32" s="138">
        <f>IFERROR(AVERAGEIFS(Upload_Indiv[Score4],Upload_Indiv[[Player]:[Player]],$A32,Upload_Indiv[[Side]:[Side]],"Raintree Back")-IF(TRUNC(ROUND($B32,0)/9,0)=2,2+IF((ROUND($B32,0)-18)*2&gt;=P$2,1,0),IF(TRUNC(ROUND($B32,0)/9,0)=1,1+IF((ROUND($B32,0)-9)*2&gt;=P$2,1,0),IF(TRUNC(ROUND($B32,0)/9,0)=0,IF(TRUNC(ROUND($B32,0)/9,0)=0,0+IF((ROUND($B32,0))*2&gt;=P$2,1,0),"Not"))))-P$3,"")</f>
        <v>-0.59999999999999964</v>
      </c>
      <c r="Q32" s="138">
        <f>IFERROR(AVERAGEIFS(Upload_Indiv[Score5],Upload_Indiv[[Player]:[Player]],$A32,Upload_Indiv[[Side]:[Side]],"Raintree Back")-IF(TRUNC(ROUND($B32,0)/9,0)=2,2+IF((ROUND($B32,0)-18)*2&gt;=Q$2,1,0),IF(TRUNC(ROUND($B32,0)/9,0)=1,1+IF((ROUND($B32,0)-9)*2&gt;=Q$2,1,0),IF(TRUNC(ROUND($B32,0)/9,0)=0,IF(TRUNC(ROUND($B32,0)/9,0)=0,0+IF((ROUND($B32,0))*2&gt;=Q$2,1,0),"Not"))))-Q$3,"")</f>
        <v>-0.40000000000000036</v>
      </c>
      <c r="R32" s="138">
        <f>IFERROR(AVERAGEIFS(Upload_Indiv[Score6],Upload_Indiv[[Player]:[Player]],$A32,Upload_Indiv[[Side]:[Side]],"Raintree Back")-IF(TRUNC(ROUND($B32,0)/9,0)=2,2+IF((ROUND($B32,0)-18)*2&gt;=R$2,1,0),IF(TRUNC(ROUND($B32,0)/9,0)=1,1+IF((ROUND($B32,0)-9)*2&gt;=R$2,1,0),IF(TRUNC(ROUND($B32,0)/9,0)=0,IF(TRUNC(ROUND($B32,0)/9,0)=0,0+IF((ROUND($B32,0))*2&gt;=R$2,1,0),"Not"))))-R$3,"")</f>
        <v>0.20000000000000018</v>
      </c>
      <c r="S32" s="138">
        <f>IFERROR(AVERAGEIFS(Upload_Indiv[Score7],Upload_Indiv[[Player]:[Player]],$A32,Upload_Indiv[[Side]:[Side]],"Raintree Back")-IF(TRUNC(ROUND($B32,0)/9,0)=2,2+IF((ROUND($B32,0)-18)*2&gt;=S$2,1,0),IF(TRUNC(ROUND($B32,0)/9,0)=1,1+IF((ROUND($B32,0)-9)*2&gt;=S$2,1,0),IF(TRUNC(ROUND($B32,0)/9,0)=0,IF(TRUNC(ROUND($B32,0)/9,0)=0,0+IF((ROUND($B32,0))*2&gt;=S$2,1,0),"Not"))))-S$3,"")</f>
        <v>0.60000000000000009</v>
      </c>
      <c r="T32" s="138">
        <f>IFERROR(AVERAGEIFS(Upload_Indiv[Score8],Upload_Indiv[[Player]:[Player]],$A32,Upload_Indiv[[Side]:[Side]],"Raintree Back")-IF(TRUNC(ROUND($B32,0)/9,0)=2,2+IF((ROUND($B32,0)-18)*2&gt;=T$2,1,0),IF(TRUNC(ROUND($B32,0)/9,0)=1,1+IF((ROUND($B32,0)-9)*2&gt;=T$2,1,0),IF(TRUNC(ROUND($B32,0)/9,0)=0,IF(TRUNC(ROUND($B32,0)/9,0)=0,0+IF((ROUND($B32,0))*2&gt;=T$2,1,0),"Not"))))-T$3,"")</f>
        <v>-0.40000000000000036</v>
      </c>
      <c r="U32" s="138">
        <f>IFERROR(AVERAGEIFS(Upload_Indiv[Score9],Upload_Indiv[[Player]:[Player]],$A32,Upload_Indiv[[Side]:[Side]],"Raintree Back")-IF(TRUNC(ROUND($B32,0)/9,0)=2,2+IF((ROUND($B32,0)-18)*2&gt;=U$2,1,0),IF(TRUNC(ROUND($B32,0)/9,0)=1,1+IF((ROUND($B32,0)-9)*2&gt;=U$2,1,0),IF(TRUNC(ROUND($B32,0)/9,0)=0,IF(TRUNC(ROUND($B32,0)/9,0)=0,0+IF((ROUND($B32,0))*2&gt;=U$2,1,0),"Not"))))-U$3,"")</f>
        <v>0</v>
      </c>
      <c r="V32" s="138">
        <f t="shared" si="1"/>
        <v>-0.60000000000000009</v>
      </c>
    </row>
    <row r="33" spans="1:22" ht="15" customHeight="1" x14ac:dyDescent="0.25">
      <c r="A33" s="4" t="s">
        <v>272</v>
      </c>
      <c r="B33" s="138">
        <f>IFERROR(AVERAGEIFS(Upload_Indiv[Hdcp],Upload_Indiv[[Player]:[Player]],$A33),"")</f>
        <v>7.7672727272727258</v>
      </c>
      <c r="C33" s="138">
        <f>IFERROR(AVERAGEIFS(Upload_Indiv[Score1],Upload_Indiv[[Player]:[Player]],$A33,Upload_Indiv[[Side]:[Side]],"Raintree Front")-IF(TRUNC(ROUND($B33,0)/9,0)=2,2+IF((ROUND($B33,0)-18)*2&gt;=C$2,1,0),IF(TRUNC(ROUND($B33,0)/9,0)=1,1+IF((ROUND($B33,0)-9)*2&gt;=C$2,1,0),IF(TRUNC(ROUND($B33,0)/9,0)=0,IF(TRUNC(ROUND($B33,0)/9,0)=0,0+IF((ROUND($B33,0))*2&gt;=C$2,1,0),"Not"))))-C$3,"")</f>
        <v>0.40000000000000036</v>
      </c>
      <c r="D33" s="138">
        <f>IFERROR(AVERAGEIFS(Upload_Indiv[Score2],Upload_Indiv[[Player]:[Player]],$A33,Upload_Indiv[[Side]:[Side]],"Raintree Front")-IF(TRUNC(ROUND($B33,0)/9,0)=2,2+IF((ROUND($B33,0)-18)*2&gt;=D$2,1,0),IF(TRUNC(ROUND($B33,0)/9,0)=1,1+IF((ROUND($B33,0)-9)*2&gt;=D$2,1,0),IF(TRUNC(ROUND($B33,0)/9,0)=0,IF(TRUNC(ROUND($B33,0)/9,0)=0,0+IF((ROUND($B33,0))*2&gt;=D$2,1,0),"Not"))))-D$3,"")</f>
        <v>0.79999999999999982</v>
      </c>
      <c r="E33" s="138">
        <f>IFERROR(AVERAGEIFS(Upload_Indiv[Score3],Upload_Indiv[[Player]:[Player]],$A33,Upload_Indiv[[Side]:[Side]],"Raintree Front")-IF(TRUNC(ROUND($B33,0)/9,0)=2,2+IF((ROUND($B33,0)-18)*2&gt;=E$2,1,0),IF(TRUNC(ROUND($B33,0)/9,0)=1,1+IF((ROUND($B33,0)-9)*2&gt;=E$2,1,0),IF(TRUNC(ROUND($B33,0)/9,0)=0,IF(TRUNC(ROUND($B33,0)/9,0)=0,0+IF((ROUND($B33,0))*2&gt;=E$2,1,0),"Not"))))-E$3,"")</f>
        <v>1.2000000000000002</v>
      </c>
      <c r="F33" s="138">
        <f>IFERROR(AVERAGEIFS(Upload_Indiv[Score4],Upload_Indiv[[Player]:[Player]],$A33,Upload_Indiv[[Side]:[Side]],"Raintree Front")-IF(TRUNC(ROUND($B33,0)/9,0)=2,2+IF((ROUND($B33,0)-18)*2&gt;=F$2,1,0),IF(TRUNC(ROUND($B33,0)/9,0)=1,1+IF((ROUND($B33,0)-9)*2&gt;=F$2,1,0),IF(TRUNC(ROUND($B33,0)/9,0)=0,IF(TRUNC(ROUND($B33,0)/9,0)=0,0+IF((ROUND($B33,0))*2&gt;=F$2,1,0),"Not"))))-F$3,"")</f>
        <v>0</v>
      </c>
      <c r="G33" s="138">
        <f>IFERROR(AVERAGEIFS(Upload_Indiv[Score5],Upload_Indiv[[Player]:[Player]],$A33,Upload_Indiv[[Side]:[Side]],"Raintree Front")-IF(TRUNC(ROUND($B33,0)/9,0)=2,2+IF((ROUND($B33,0)-18)*2&gt;=G$2,1,0),IF(TRUNC(ROUND($B33,0)/9,0)=1,1+IF((ROUND($B33,0)-9)*2&gt;=G$2,1,0),IF(TRUNC(ROUND($B33,0)/9,0)=0,IF(TRUNC(ROUND($B33,0)/9,0)=0,0+IF((ROUND($B33,0))*2&gt;=G$2,1,0),"Not"))))-G$3,"")</f>
        <v>1.4000000000000004</v>
      </c>
      <c r="H33" s="138">
        <f>IFERROR(AVERAGEIFS(Upload_Indiv[Score6],Upload_Indiv[[Player]:[Player]],$A33,Upload_Indiv[[Side]:[Side]],"Raintree Front")-IF(TRUNC(ROUND($B33,0)/9,0)=2,2+IF((ROUND($B33,0)-18)*2&gt;=H$2,1,0),IF(TRUNC(ROUND($B33,0)/9,0)=1,1+IF((ROUND($B33,0)-9)*2&gt;=H$2,1,0),IF(TRUNC(ROUND($B33,0)/9,0)=0,IF(TRUNC(ROUND($B33,0)/9,0)=0,0+IF((ROUND($B33,0))*2&gt;=H$2,1,0),"Not"))))-H$3,"")</f>
        <v>0.79999999999999982</v>
      </c>
      <c r="I33" s="138">
        <f>IFERROR(AVERAGEIFS(Upload_Indiv[Score7],Upload_Indiv[[Player]:[Player]],$A33,Upload_Indiv[[Side]:[Side]],"Raintree Front")-IF(TRUNC(ROUND($B33,0)/9,0)=2,2+IF((ROUND($B33,0)-18)*2&gt;=I$2,1,0),IF(TRUNC(ROUND($B33,0)/9,0)=1,1+IF((ROUND($B33,0)-9)*2&gt;=I$2,1,0),IF(TRUNC(ROUND($B33,0)/9,0)=0,IF(TRUNC(ROUND($B33,0)/9,0)=0,0+IF((ROUND($B33,0))*2&gt;=I$2,1,0),"Not"))))-I$3,"")</f>
        <v>0.79999999999999982</v>
      </c>
      <c r="J33" s="138">
        <f>IFERROR(AVERAGEIFS(Upload_Indiv[Score8],Upload_Indiv[[Player]:[Player]],$A33,Upload_Indiv[[Side]:[Side]],"Raintree Front")-IF(TRUNC(ROUND($B33,0)/9,0)=2,2+IF((ROUND($B33,0)-18)*2&gt;=J$2,1,0),IF(TRUNC(ROUND($B33,0)/9,0)=1,1+IF((ROUND($B33,0)-9)*2&gt;=J$2,1,0),IF(TRUNC(ROUND($B33,0)/9,0)=0,IF(TRUNC(ROUND($B33,0)/9,0)=0,0+IF((ROUND($B33,0))*2&gt;=J$2,1,0),"Not"))))-J$3,"")</f>
        <v>0.79999999999999982</v>
      </c>
      <c r="K33" s="138">
        <f>IFERROR(AVERAGEIFS(Upload_Indiv[Score9],Upload_Indiv[[Player]:[Player]],$A33,Upload_Indiv[[Side]:[Side]],"Raintree Front")-IF(TRUNC(ROUND($B33,0)/9,0)=2,2+IF((ROUND($B33,0)-18)*2&gt;=K$2,1,0),IF(TRUNC(ROUND($B33,0)/9,0)=1,1+IF((ROUND($B33,0)-9)*2&gt;=K$2,1,0),IF(TRUNC(ROUND($B33,0)/9,0)=0,IF(TRUNC(ROUND($B33,0)/9,0)=0,0+IF((ROUND($B33,0))*2&gt;=K$2,1,0),"Not"))))-K$3,"")</f>
        <v>1</v>
      </c>
      <c r="L33" s="138">
        <f t="shared" si="0"/>
        <v>7.2</v>
      </c>
      <c r="M33" s="138">
        <f>IFERROR(AVERAGEIFS(Upload_Indiv[Score1],Upload_Indiv[[Player]:[Player]],$A33,Upload_Indiv[[Side]:[Side]],"Raintree Back")-IF(TRUNC(ROUND($B33,0)/9,0)=2,2+IF((ROUND($B33,0)-18)*2&gt;=M$2,1,0),IF(TRUNC(ROUND($B33,0)/9,0)=1,1+IF((ROUND($B33,0)-9)*2&gt;=M$2,1,0),IF(TRUNC(ROUND($B33,0)/9,0)=0,IF(TRUNC(ROUND($B33,0)/9,0)=0,0+IF((ROUND($B33,0))*2&gt;=M$2,1,0),"Not"))))-M$3,"")</f>
        <v>0</v>
      </c>
      <c r="N33" s="138">
        <f>IFERROR(AVERAGEIFS(Upload_Indiv[Score2],Upload_Indiv[[Player]:[Player]],$A33,Upload_Indiv[[Side]:[Side]],"Raintree Back")-IF(TRUNC(ROUND($B33,0)/9,0)=2,2+IF((ROUND($B33,0)-18)*2&gt;=N$2,1,0),IF(TRUNC(ROUND($B33,0)/9,0)=1,1+IF((ROUND($B33,0)-9)*2&gt;=N$2,1,0),IF(TRUNC(ROUND($B33,0)/9,0)=0,IF(TRUNC(ROUND($B33,0)/9,0)=0,0+IF((ROUND($B33,0))*2&gt;=N$2,1,0),"Not"))))-N$3,"")</f>
        <v>0</v>
      </c>
      <c r="O33" s="138">
        <f>IFERROR(AVERAGEIFS(Upload_Indiv[Score3],Upload_Indiv[[Player]:[Player]],$A33,Upload_Indiv[[Side]:[Side]],"Raintree Back")-IF(TRUNC(ROUND($B33,0)/9,0)=2,2+IF((ROUND($B33,0)-18)*2&gt;=O$2,1,0),IF(TRUNC(ROUND($B33,0)/9,0)=1,1+IF((ROUND($B33,0)-9)*2&gt;=O$2,1,0),IF(TRUNC(ROUND($B33,0)/9,0)=0,IF(TRUNC(ROUND($B33,0)/9,0)=0,0+IF((ROUND($B33,0))*2&gt;=O$2,1,0),"Not"))))-O$3,"")</f>
        <v>0</v>
      </c>
      <c r="P33" s="138">
        <f>IFERROR(AVERAGEIFS(Upload_Indiv[Score4],Upload_Indiv[[Player]:[Player]],$A33,Upload_Indiv[[Side]:[Side]],"Raintree Back")-IF(TRUNC(ROUND($B33,0)/9,0)=2,2+IF((ROUND($B33,0)-18)*2&gt;=P$2,1,0),IF(TRUNC(ROUND($B33,0)/9,0)=1,1+IF((ROUND($B33,0)-9)*2&gt;=P$2,1,0),IF(TRUNC(ROUND($B33,0)/9,0)=0,IF(TRUNC(ROUND($B33,0)/9,0)=0,0+IF((ROUND($B33,0))*2&gt;=P$2,1,0),"Not"))))-P$3,"")</f>
        <v>0.83333333333333304</v>
      </c>
      <c r="Q33" s="138">
        <f>IFERROR(AVERAGEIFS(Upload_Indiv[Score5],Upload_Indiv[[Player]:[Player]],$A33,Upload_Indiv[[Side]:[Side]],"Raintree Back")-IF(TRUNC(ROUND($B33,0)/9,0)=2,2+IF((ROUND($B33,0)-18)*2&gt;=Q$2,1,0),IF(TRUNC(ROUND($B33,0)/9,0)=1,1+IF((ROUND($B33,0)-9)*2&gt;=Q$2,1,0),IF(TRUNC(ROUND($B33,0)/9,0)=0,IF(TRUNC(ROUND($B33,0)/9,0)=0,0+IF((ROUND($B33,0))*2&gt;=Q$2,1,0),"Not"))))-Q$3,"")</f>
        <v>-0.33333333333333304</v>
      </c>
      <c r="R33" s="138">
        <f>IFERROR(AVERAGEIFS(Upload_Indiv[Score6],Upload_Indiv[[Player]:[Player]],$A33,Upload_Indiv[[Side]:[Side]],"Raintree Back")-IF(TRUNC(ROUND($B33,0)/9,0)=2,2+IF((ROUND($B33,0)-18)*2&gt;=R$2,1,0),IF(TRUNC(ROUND($B33,0)/9,0)=1,1+IF((ROUND($B33,0)-9)*2&gt;=R$2,1,0),IF(TRUNC(ROUND($B33,0)/9,0)=0,IF(TRUNC(ROUND($B33,0)/9,0)=0,0+IF((ROUND($B33,0))*2&gt;=R$2,1,0),"Not"))))-R$3,"")</f>
        <v>-0.5</v>
      </c>
      <c r="S33" s="138">
        <f>IFERROR(AVERAGEIFS(Upload_Indiv[Score7],Upload_Indiv[[Player]:[Player]],$A33,Upload_Indiv[[Side]:[Side]],"Raintree Back")-IF(TRUNC(ROUND($B33,0)/9,0)=2,2+IF((ROUND($B33,0)-18)*2&gt;=S$2,1,0),IF(TRUNC(ROUND($B33,0)/9,0)=1,1+IF((ROUND($B33,0)-9)*2&gt;=S$2,1,0),IF(TRUNC(ROUND($B33,0)/9,0)=0,IF(TRUNC(ROUND($B33,0)/9,0)=0,0+IF((ROUND($B33,0))*2&gt;=S$2,1,0),"Not"))))-S$3,"")</f>
        <v>1</v>
      </c>
      <c r="T33" s="138">
        <f>IFERROR(AVERAGEIFS(Upload_Indiv[Score8],Upload_Indiv[[Player]:[Player]],$A33,Upload_Indiv[[Side]:[Side]],"Raintree Back")-IF(TRUNC(ROUND($B33,0)/9,0)=2,2+IF((ROUND($B33,0)-18)*2&gt;=T$2,1,0),IF(TRUNC(ROUND($B33,0)/9,0)=1,1+IF((ROUND($B33,0)-9)*2&gt;=T$2,1,0),IF(TRUNC(ROUND($B33,0)/9,0)=0,IF(TRUNC(ROUND($B33,0)/9,0)=0,0+IF((ROUND($B33,0))*2&gt;=T$2,1,0),"Not"))))-T$3,"")</f>
        <v>0.66666666666666696</v>
      </c>
      <c r="U33" s="138">
        <f>IFERROR(AVERAGEIFS(Upload_Indiv[Score9],Upload_Indiv[[Player]:[Player]],$A33,Upload_Indiv[[Side]:[Side]],"Raintree Back")-IF(TRUNC(ROUND($B33,0)/9,0)=2,2+IF((ROUND($B33,0)-18)*2&gt;=U$2,1,0),IF(TRUNC(ROUND($B33,0)/9,0)=1,1+IF((ROUND($B33,0)-9)*2&gt;=U$2,1,0),IF(TRUNC(ROUND($B33,0)/9,0)=0,IF(TRUNC(ROUND($B33,0)/9,0)=0,0+IF((ROUND($B33,0))*2&gt;=U$2,1,0),"Not"))))-U$3,"")</f>
        <v>-0.16666666666666696</v>
      </c>
      <c r="V33" s="138">
        <f t="shared" si="1"/>
        <v>1.5</v>
      </c>
    </row>
    <row r="34" spans="1:22" ht="15" customHeight="1" x14ac:dyDescent="0.25">
      <c r="A34" s="4" t="s">
        <v>258</v>
      </c>
      <c r="B34" s="138">
        <f>IFERROR(AVERAGEIFS(Upload_Indiv[Hdcp],Upload_Indiv[[Player]:[Player]],$A34),"")</f>
        <v>8.2899999999999974</v>
      </c>
      <c r="C34" s="138">
        <f>IFERROR(AVERAGEIFS(Upload_Indiv[Score1],Upload_Indiv[[Player]:[Player]],$A34,Upload_Indiv[[Side]:[Side]],"Raintree Front")-IF(TRUNC(ROUND($B34,0)/9,0)=2,2+IF((ROUND($B34,0)-18)*2&gt;=C$2,1,0),IF(TRUNC(ROUND($B34,0)/9,0)=1,1+IF((ROUND($B34,0)-9)*2&gt;=C$2,1,0),IF(TRUNC(ROUND($B34,0)/9,0)=0,IF(TRUNC(ROUND($B34,0)/9,0)=0,0+IF((ROUND($B34,0))*2&gt;=C$2,1,0),"Not"))))-C$3,"")</f>
        <v>0.5</v>
      </c>
      <c r="D34" s="138">
        <f>IFERROR(AVERAGEIFS(Upload_Indiv[Score2],Upload_Indiv[[Player]:[Player]],$A34,Upload_Indiv[[Side]:[Side]],"Raintree Front")-IF(TRUNC(ROUND($B34,0)/9,0)=2,2+IF((ROUND($B34,0)-18)*2&gt;=D$2,1,0),IF(TRUNC(ROUND($B34,0)/9,0)=1,1+IF((ROUND($B34,0)-9)*2&gt;=D$2,1,0),IF(TRUNC(ROUND($B34,0)/9,0)=0,IF(TRUNC(ROUND($B34,0)/9,0)=0,0+IF((ROUND($B34,0))*2&gt;=D$2,1,0),"Not"))))-D$3,"")</f>
        <v>-0.16666666666666696</v>
      </c>
      <c r="E34" s="138">
        <f>IFERROR(AVERAGEIFS(Upload_Indiv[Score3],Upload_Indiv[[Player]:[Player]],$A34,Upload_Indiv[[Side]:[Side]],"Raintree Front")-IF(TRUNC(ROUND($B34,0)/9,0)=2,2+IF((ROUND($B34,0)-18)*2&gt;=E$2,1,0),IF(TRUNC(ROUND($B34,0)/9,0)=1,1+IF((ROUND($B34,0)-9)*2&gt;=E$2,1,0),IF(TRUNC(ROUND($B34,0)/9,0)=0,IF(TRUNC(ROUND($B34,0)/9,0)=0,0+IF((ROUND($B34,0))*2&gt;=E$2,1,0),"Not"))))-E$3,"")</f>
        <v>0.16666666666666696</v>
      </c>
      <c r="F34" s="138">
        <f>IFERROR(AVERAGEIFS(Upload_Indiv[Score4],Upload_Indiv[[Player]:[Player]],$A34,Upload_Indiv[[Side]:[Side]],"Raintree Front")-IF(TRUNC(ROUND($B34,0)/9,0)=2,2+IF((ROUND($B34,0)-18)*2&gt;=F$2,1,0),IF(TRUNC(ROUND($B34,0)/9,0)=1,1+IF((ROUND($B34,0)-9)*2&gt;=F$2,1,0),IF(TRUNC(ROUND($B34,0)/9,0)=0,IF(TRUNC(ROUND($B34,0)/9,0)=0,0+IF((ROUND($B34,0))*2&gt;=F$2,1,0),"Not"))))-F$3,"")</f>
        <v>-0.33333333333333348</v>
      </c>
      <c r="G34" s="138">
        <f>IFERROR(AVERAGEIFS(Upload_Indiv[Score5],Upload_Indiv[[Player]:[Player]],$A34,Upload_Indiv[[Side]:[Side]],"Raintree Front")-IF(TRUNC(ROUND($B34,0)/9,0)=2,2+IF((ROUND($B34,0)-18)*2&gt;=G$2,1,0),IF(TRUNC(ROUND($B34,0)/9,0)=1,1+IF((ROUND($B34,0)-9)*2&gt;=G$2,1,0),IF(TRUNC(ROUND($B34,0)/9,0)=0,IF(TRUNC(ROUND($B34,0)/9,0)=0,0+IF((ROUND($B34,0))*2&gt;=G$2,1,0),"Not"))))-G$3,"")</f>
        <v>1.833333333333333</v>
      </c>
      <c r="H34" s="138">
        <f>IFERROR(AVERAGEIFS(Upload_Indiv[Score6],Upload_Indiv[[Player]:[Player]],$A34,Upload_Indiv[[Side]:[Side]],"Raintree Front")-IF(TRUNC(ROUND($B34,0)/9,0)=2,2+IF((ROUND($B34,0)-18)*2&gt;=H$2,1,0),IF(TRUNC(ROUND($B34,0)/9,0)=1,1+IF((ROUND($B34,0)-9)*2&gt;=H$2,1,0),IF(TRUNC(ROUND($B34,0)/9,0)=0,IF(TRUNC(ROUND($B34,0)/9,0)=0,0+IF((ROUND($B34,0))*2&gt;=H$2,1,0),"Not"))))-H$3,"")</f>
        <v>0</v>
      </c>
      <c r="I34" s="138">
        <f>IFERROR(AVERAGEIFS(Upload_Indiv[Score7],Upload_Indiv[[Player]:[Player]],$A34,Upload_Indiv[[Side]:[Side]],"Raintree Front")-IF(TRUNC(ROUND($B34,0)/9,0)=2,2+IF((ROUND($B34,0)-18)*2&gt;=I$2,1,0),IF(TRUNC(ROUND($B34,0)/9,0)=1,1+IF((ROUND($B34,0)-9)*2&gt;=I$2,1,0),IF(TRUNC(ROUND($B34,0)/9,0)=0,IF(TRUNC(ROUND($B34,0)/9,0)=0,0+IF((ROUND($B34,0))*2&gt;=I$2,1,0),"Not"))))-I$3,"")</f>
        <v>-0.66666666666666696</v>
      </c>
      <c r="J34" s="138">
        <f>IFERROR(AVERAGEIFS(Upload_Indiv[Score8],Upload_Indiv[[Player]:[Player]],$A34,Upload_Indiv[[Side]:[Side]],"Raintree Front")-IF(TRUNC(ROUND($B34,0)/9,0)=2,2+IF((ROUND($B34,0)-18)*2&gt;=J$2,1,0),IF(TRUNC(ROUND($B34,0)/9,0)=1,1+IF((ROUND($B34,0)-9)*2&gt;=J$2,1,0),IF(TRUNC(ROUND($B34,0)/9,0)=0,IF(TRUNC(ROUND($B34,0)/9,0)=0,0+IF((ROUND($B34,0))*2&gt;=J$2,1,0),"Not"))))-J$3,"")</f>
        <v>-0.33333333333333348</v>
      </c>
      <c r="K34" s="138">
        <f>IFERROR(AVERAGEIFS(Upload_Indiv[Score9],Upload_Indiv[[Player]:[Player]],$A34,Upload_Indiv[[Side]:[Side]],"Raintree Front")-IF(TRUNC(ROUND($B34,0)/9,0)=2,2+IF((ROUND($B34,0)-18)*2&gt;=K$2,1,0),IF(TRUNC(ROUND($B34,0)/9,0)=1,1+IF((ROUND($B34,0)-9)*2&gt;=K$2,1,0),IF(TRUNC(ROUND($B34,0)/9,0)=0,IF(TRUNC(ROUND($B34,0)/9,0)=0,0+IF((ROUND($B34,0))*2&gt;=K$2,1,0),"Not"))))-K$3,"")</f>
        <v>-0.5</v>
      </c>
      <c r="L34" s="138">
        <f t="shared" si="0"/>
        <v>0.49999999999999911</v>
      </c>
      <c r="M34" s="138">
        <f>IFERROR(AVERAGEIFS(Upload_Indiv[Score1],Upload_Indiv[[Player]:[Player]],$A34,Upload_Indiv[[Side]:[Side]],"Raintree Back")-IF(TRUNC(ROUND($B34,0)/9,0)=2,2+IF((ROUND($B34,0)-18)*2&gt;=M$2,1,0),IF(TRUNC(ROUND($B34,0)/9,0)=1,1+IF((ROUND($B34,0)-9)*2&gt;=M$2,1,0),IF(TRUNC(ROUND($B34,0)/9,0)=0,IF(TRUNC(ROUND($B34,0)/9,0)=0,0+IF((ROUND($B34,0))*2&gt;=M$2,1,0),"Not"))))-M$3,"")</f>
        <v>-0.42857142857142883</v>
      </c>
      <c r="N34" s="138">
        <f>IFERROR(AVERAGEIFS(Upload_Indiv[Score2],Upload_Indiv[[Player]:[Player]],$A34,Upload_Indiv[[Side]:[Side]],"Raintree Back")-IF(TRUNC(ROUND($B34,0)/9,0)=2,2+IF((ROUND($B34,0)-18)*2&gt;=N$2,1,0),IF(TRUNC(ROUND($B34,0)/9,0)=1,1+IF((ROUND($B34,0)-9)*2&gt;=N$2,1,0),IF(TRUNC(ROUND($B34,0)/9,0)=0,IF(TRUNC(ROUND($B34,0)/9,0)=0,0+IF((ROUND($B34,0))*2&gt;=N$2,1,0),"Not"))))-N$3,"")</f>
        <v>1</v>
      </c>
      <c r="O34" s="138">
        <f>IFERROR(AVERAGEIFS(Upload_Indiv[Score3],Upload_Indiv[[Player]:[Player]],$A34,Upload_Indiv[[Side]:[Side]],"Raintree Back")-IF(TRUNC(ROUND($B34,0)/9,0)=2,2+IF((ROUND($B34,0)-18)*2&gt;=O$2,1,0),IF(TRUNC(ROUND($B34,0)/9,0)=1,1+IF((ROUND($B34,0)-9)*2&gt;=O$2,1,0),IF(TRUNC(ROUND($B34,0)/9,0)=0,IF(TRUNC(ROUND($B34,0)/9,0)=0,0+IF((ROUND($B34,0))*2&gt;=O$2,1,0),"Not"))))-O$3,"")</f>
        <v>0.57142857142857117</v>
      </c>
      <c r="P34" s="138">
        <f>IFERROR(AVERAGEIFS(Upload_Indiv[Score4],Upload_Indiv[[Player]:[Player]],$A34,Upload_Indiv[[Side]:[Side]],"Raintree Back")-IF(TRUNC(ROUND($B34,0)/9,0)=2,2+IF((ROUND($B34,0)-18)*2&gt;=P$2,1,0),IF(TRUNC(ROUND($B34,0)/9,0)=1,1+IF((ROUND($B34,0)-9)*2&gt;=P$2,1,0),IF(TRUNC(ROUND($B34,0)/9,0)=0,IF(TRUNC(ROUND($B34,0)/9,0)=0,0+IF((ROUND($B34,0))*2&gt;=P$2,1,0),"Not"))))-P$3,"")</f>
        <v>1.2857142857142856</v>
      </c>
      <c r="Q34" s="138">
        <f>IFERROR(AVERAGEIFS(Upload_Indiv[Score5],Upload_Indiv[[Player]:[Player]],$A34,Upload_Indiv[[Side]:[Side]],"Raintree Back")-IF(TRUNC(ROUND($B34,0)/9,0)=2,2+IF((ROUND($B34,0)-18)*2&gt;=Q$2,1,0),IF(TRUNC(ROUND($B34,0)/9,0)=1,1+IF((ROUND($B34,0)-9)*2&gt;=Q$2,1,0),IF(TRUNC(ROUND($B34,0)/9,0)=0,IF(TRUNC(ROUND($B34,0)/9,0)=0,0+IF((ROUND($B34,0))*2&gt;=Q$2,1,0),"Not"))))-Q$3,"")</f>
        <v>0.71428571428571441</v>
      </c>
      <c r="R34" s="138">
        <f>IFERROR(AVERAGEIFS(Upload_Indiv[Score6],Upload_Indiv[[Player]:[Player]],$A34,Upload_Indiv[[Side]:[Side]],"Raintree Back")-IF(TRUNC(ROUND($B34,0)/9,0)=2,2+IF((ROUND($B34,0)-18)*2&gt;=R$2,1,0),IF(TRUNC(ROUND($B34,0)/9,0)=1,1+IF((ROUND($B34,0)-9)*2&gt;=R$2,1,0),IF(TRUNC(ROUND($B34,0)/9,0)=0,IF(TRUNC(ROUND($B34,0)/9,0)=0,0+IF((ROUND($B34,0))*2&gt;=R$2,1,0),"Not"))))-R$3,"")</f>
        <v>-0.14285714285714324</v>
      </c>
      <c r="S34" s="138">
        <f>IFERROR(AVERAGEIFS(Upload_Indiv[Score7],Upload_Indiv[[Player]:[Player]],$A34,Upload_Indiv[[Side]:[Side]],"Raintree Back")-IF(TRUNC(ROUND($B34,0)/9,0)=2,2+IF((ROUND($B34,0)-18)*2&gt;=S$2,1,0),IF(TRUNC(ROUND($B34,0)/9,0)=1,1+IF((ROUND($B34,0)-9)*2&gt;=S$2,1,0),IF(TRUNC(ROUND($B34,0)/9,0)=0,IF(TRUNC(ROUND($B34,0)/9,0)=0,0+IF((ROUND($B34,0))*2&gt;=S$2,1,0),"Not"))))-S$3,"")</f>
        <v>1.8571428571428568</v>
      </c>
      <c r="T34" s="138">
        <f>IFERROR(AVERAGEIFS(Upload_Indiv[Score8],Upload_Indiv[[Player]:[Player]],$A34,Upload_Indiv[[Side]:[Side]],"Raintree Back")-IF(TRUNC(ROUND($B34,0)/9,0)=2,2+IF((ROUND($B34,0)-18)*2&gt;=T$2,1,0),IF(TRUNC(ROUND($B34,0)/9,0)=1,1+IF((ROUND($B34,0)-9)*2&gt;=T$2,1,0),IF(TRUNC(ROUND($B34,0)/9,0)=0,IF(TRUNC(ROUND($B34,0)/9,0)=0,0+IF((ROUND($B34,0))*2&gt;=T$2,1,0),"Not"))))-T$3,"")</f>
        <v>0</v>
      </c>
      <c r="U34" s="138">
        <f>IFERROR(AVERAGEIFS(Upload_Indiv[Score9],Upload_Indiv[[Player]:[Player]],$A34,Upload_Indiv[[Side]:[Side]],"Raintree Back")-IF(TRUNC(ROUND($B34,0)/9,0)=2,2+IF((ROUND($B34,0)-18)*2&gt;=U$2,1,0),IF(TRUNC(ROUND($B34,0)/9,0)=1,1+IF((ROUND($B34,0)-9)*2&gt;=U$2,1,0),IF(TRUNC(ROUND($B34,0)/9,0)=0,IF(TRUNC(ROUND($B34,0)/9,0)=0,0+IF((ROUND($B34,0))*2&gt;=U$2,1,0),"Not"))))-U$3,"")</f>
        <v>0.14285714285714324</v>
      </c>
      <c r="V34" s="138">
        <f t="shared" si="1"/>
        <v>4.9999999999999991</v>
      </c>
    </row>
    <row r="35" spans="1:22" ht="15" customHeight="1" x14ac:dyDescent="0.25">
      <c r="A35" s="4" t="s">
        <v>148</v>
      </c>
      <c r="B35" s="138">
        <f>IFERROR(AVERAGEIFS(Upload_Indiv[Hdcp],Upload_Indiv[[Player]:[Player]],$A35),"")</f>
        <v>12.918571428571427</v>
      </c>
      <c r="C35" s="138">
        <f>IFERROR(AVERAGEIFS(Upload_Indiv[Score1],Upload_Indiv[[Player]:[Player]],$A35,Upload_Indiv[[Side]:[Side]],"Raintree Front")-IF(TRUNC(ROUND($B35,0)/9,0)=2,2+IF((ROUND($B35,0)-18)*2&gt;=C$2,1,0),IF(TRUNC(ROUND($B35,0)/9,0)=1,1+IF((ROUND($B35,0)-9)*2&gt;=C$2,1,0),IF(TRUNC(ROUND($B35,0)/9,0)=0,IF(TRUNC(ROUND($B35,0)/9,0)=0,0+IF((ROUND($B35,0))*2&gt;=C$2,1,0),"Not"))))-C$3,"")</f>
        <v>0.25</v>
      </c>
      <c r="D35" s="138">
        <f>IFERROR(AVERAGEIFS(Upload_Indiv[Score2],Upload_Indiv[[Player]:[Player]],$A35,Upload_Indiv[[Side]:[Side]],"Raintree Front")-IF(TRUNC(ROUND($B35,0)/9,0)=2,2+IF((ROUND($B35,0)-18)*2&gt;=D$2,1,0),IF(TRUNC(ROUND($B35,0)/9,0)=1,1+IF((ROUND($B35,0)-9)*2&gt;=D$2,1,0),IF(TRUNC(ROUND($B35,0)/9,0)=0,IF(TRUNC(ROUND($B35,0)/9,0)=0,0+IF((ROUND($B35,0))*2&gt;=D$2,1,0),"Not"))))-D$3,"")</f>
        <v>-0.25</v>
      </c>
      <c r="E35" s="138">
        <f>IFERROR(AVERAGEIFS(Upload_Indiv[Score3],Upload_Indiv[[Player]:[Player]],$A35,Upload_Indiv[[Side]:[Side]],"Raintree Front")-IF(TRUNC(ROUND($B35,0)/9,0)=2,2+IF((ROUND($B35,0)-18)*2&gt;=E$2,1,0),IF(TRUNC(ROUND($B35,0)/9,0)=1,1+IF((ROUND($B35,0)-9)*2&gt;=E$2,1,0),IF(TRUNC(ROUND($B35,0)/9,0)=0,IF(TRUNC(ROUND($B35,0)/9,0)=0,0+IF((ROUND($B35,0))*2&gt;=E$2,1,0),"Not"))))-E$3,"")</f>
        <v>-0.125</v>
      </c>
      <c r="F35" s="138">
        <f>IFERROR(AVERAGEIFS(Upload_Indiv[Score4],Upload_Indiv[[Player]:[Player]],$A35,Upload_Indiv[[Side]:[Side]],"Raintree Front")-IF(TRUNC(ROUND($B35,0)/9,0)=2,2+IF((ROUND($B35,0)-18)*2&gt;=F$2,1,0),IF(TRUNC(ROUND($B35,0)/9,0)=1,1+IF((ROUND($B35,0)-9)*2&gt;=F$2,1,0),IF(TRUNC(ROUND($B35,0)/9,0)=0,IF(TRUNC(ROUND($B35,0)/9,0)=0,0+IF((ROUND($B35,0))*2&gt;=F$2,1,0),"Not"))))-F$3,"")</f>
        <v>0.625</v>
      </c>
      <c r="G35" s="138">
        <f>IFERROR(AVERAGEIFS(Upload_Indiv[Score5],Upload_Indiv[[Player]:[Player]],$A35,Upload_Indiv[[Side]:[Side]],"Raintree Front")-IF(TRUNC(ROUND($B35,0)/9,0)=2,2+IF((ROUND($B35,0)-18)*2&gt;=G$2,1,0),IF(TRUNC(ROUND($B35,0)/9,0)=1,1+IF((ROUND($B35,0)-9)*2&gt;=G$2,1,0),IF(TRUNC(ROUND($B35,0)/9,0)=0,IF(TRUNC(ROUND($B35,0)/9,0)=0,0+IF((ROUND($B35,0))*2&gt;=G$2,1,0),"Not"))))-G$3,"")</f>
        <v>0.875</v>
      </c>
      <c r="H35" s="138">
        <f>IFERROR(AVERAGEIFS(Upload_Indiv[Score6],Upload_Indiv[[Player]:[Player]],$A35,Upload_Indiv[[Side]:[Side]],"Raintree Front")-IF(TRUNC(ROUND($B35,0)/9,0)=2,2+IF((ROUND($B35,0)-18)*2&gt;=H$2,1,0),IF(TRUNC(ROUND($B35,0)/9,0)=1,1+IF((ROUND($B35,0)-9)*2&gt;=H$2,1,0),IF(TRUNC(ROUND($B35,0)/9,0)=0,IF(TRUNC(ROUND($B35,0)/9,0)=0,0+IF((ROUND($B35,0))*2&gt;=H$2,1,0),"Not"))))-H$3,"")</f>
        <v>0.25</v>
      </c>
      <c r="I35" s="138">
        <f>IFERROR(AVERAGEIFS(Upload_Indiv[Score7],Upload_Indiv[[Player]:[Player]],$A35,Upload_Indiv[[Side]:[Side]],"Raintree Front")-IF(TRUNC(ROUND($B35,0)/9,0)=2,2+IF((ROUND($B35,0)-18)*2&gt;=I$2,1,0),IF(TRUNC(ROUND($B35,0)/9,0)=1,1+IF((ROUND($B35,0)-9)*2&gt;=I$2,1,0),IF(TRUNC(ROUND($B35,0)/9,0)=0,IF(TRUNC(ROUND($B35,0)/9,0)=0,0+IF((ROUND($B35,0))*2&gt;=I$2,1,0),"Not"))))-I$3,"")</f>
        <v>0.75</v>
      </c>
      <c r="J35" s="138">
        <f>IFERROR(AVERAGEIFS(Upload_Indiv[Score8],Upload_Indiv[[Player]:[Player]],$A35,Upload_Indiv[[Side]:[Side]],"Raintree Front")-IF(TRUNC(ROUND($B35,0)/9,0)=2,2+IF((ROUND($B35,0)-18)*2&gt;=J$2,1,0),IF(TRUNC(ROUND($B35,0)/9,0)=1,1+IF((ROUND($B35,0)-9)*2&gt;=J$2,1,0),IF(TRUNC(ROUND($B35,0)/9,0)=0,IF(TRUNC(ROUND($B35,0)/9,0)=0,0+IF((ROUND($B35,0))*2&gt;=J$2,1,0),"Not"))))-J$3,"")</f>
        <v>0</v>
      </c>
      <c r="K35" s="138">
        <f>IFERROR(AVERAGEIFS(Upload_Indiv[Score9],Upload_Indiv[[Player]:[Player]],$A35,Upload_Indiv[[Side]:[Side]],"Raintree Front")-IF(TRUNC(ROUND($B35,0)/9,0)=2,2+IF((ROUND($B35,0)-18)*2&gt;=K$2,1,0),IF(TRUNC(ROUND($B35,0)/9,0)=1,1+IF((ROUND($B35,0)-9)*2&gt;=K$2,1,0),IF(TRUNC(ROUND($B35,0)/9,0)=0,IF(TRUNC(ROUND($B35,0)/9,0)=0,0+IF((ROUND($B35,0))*2&gt;=K$2,1,0),"Not"))))-K$3,"")</f>
        <v>-0.75</v>
      </c>
      <c r="L35" s="138">
        <f t="shared" si="0"/>
        <v>1.625</v>
      </c>
      <c r="M35" s="138">
        <f>IFERROR(AVERAGEIFS(Upload_Indiv[Score1],Upload_Indiv[[Player]:[Player]],$A35,Upload_Indiv[[Side]:[Side]],"Raintree Back")-IF(TRUNC(ROUND($B35,0)/9,0)=2,2+IF((ROUND($B35,0)-18)*2&gt;=M$2,1,0),IF(TRUNC(ROUND($B35,0)/9,0)=1,1+IF((ROUND($B35,0)-9)*2&gt;=M$2,1,0),IF(TRUNC(ROUND($B35,0)/9,0)=0,IF(TRUNC(ROUND($B35,0)/9,0)=0,0+IF((ROUND($B35,0))*2&gt;=M$2,1,0),"Not"))))-M$3,"")</f>
        <v>0</v>
      </c>
      <c r="N35" s="138">
        <f>IFERROR(AVERAGEIFS(Upload_Indiv[Score2],Upload_Indiv[[Player]:[Player]],$A35,Upload_Indiv[[Side]:[Side]],"Raintree Back")-IF(TRUNC(ROUND($B35,0)/9,0)=2,2+IF((ROUND($B35,0)-18)*2&gt;=N$2,1,0),IF(TRUNC(ROUND($B35,0)/9,0)=1,1+IF((ROUND($B35,0)-9)*2&gt;=N$2,1,0),IF(TRUNC(ROUND($B35,0)/9,0)=0,IF(TRUNC(ROUND($B35,0)/9,0)=0,0+IF((ROUND($B35,0))*2&gt;=N$2,1,0),"Not"))))-N$3,"")</f>
        <v>0.66666666666666696</v>
      </c>
      <c r="O35" s="138">
        <f>IFERROR(AVERAGEIFS(Upload_Indiv[Score3],Upload_Indiv[[Player]:[Player]],$A35,Upload_Indiv[[Side]:[Side]],"Raintree Back")-IF(TRUNC(ROUND($B35,0)/9,0)=2,2+IF((ROUND($B35,0)-18)*2&gt;=O$2,1,0),IF(TRUNC(ROUND($B35,0)/9,0)=1,1+IF((ROUND($B35,0)-9)*2&gt;=O$2,1,0),IF(TRUNC(ROUND($B35,0)/9,0)=0,IF(TRUNC(ROUND($B35,0)/9,0)=0,0+IF((ROUND($B35,0))*2&gt;=O$2,1,0),"Not"))))-O$3,"")</f>
        <v>1.166666666666667</v>
      </c>
      <c r="P35" s="138">
        <f>IFERROR(AVERAGEIFS(Upload_Indiv[Score4],Upload_Indiv[[Player]:[Player]],$A35,Upload_Indiv[[Side]:[Side]],"Raintree Back")-IF(TRUNC(ROUND($B35,0)/9,0)=2,2+IF((ROUND($B35,0)-18)*2&gt;=P$2,1,0),IF(TRUNC(ROUND($B35,0)/9,0)=1,1+IF((ROUND($B35,0)-9)*2&gt;=P$2,1,0),IF(TRUNC(ROUND($B35,0)/9,0)=0,IF(TRUNC(ROUND($B35,0)/9,0)=0,0+IF((ROUND($B35,0))*2&gt;=P$2,1,0),"Not"))))-P$3,"")</f>
        <v>0.66666666666666696</v>
      </c>
      <c r="Q35" s="138">
        <f>IFERROR(AVERAGEIFS(Upload_Indiv[Score5],Upload_Indiv[[Player]:[Player]],$A35,Upload_Indiv[[Side]:[Side]],"Raintree Back")-IF(TRUNC(ROUND($B35,0)/9,0)=2,2+IF((ROUND($B35,0)-18)*2&gt;=Q$2,1,0),IF(TRUNC(ROUND($B35,0)/9,0)=1,1+IF((ROUND($B35,0)-9)*2&gt;=Q$2,1,0),IF(TRUNC(ROUND($B35,0)/9,0)=0,IF(TRUNC(ROUND($B35,0)/9,0)=0,0+IF((ROUND($B35,0))*2&gt;=Q$2,1,0),"Not"))))-Q$3,"")</f>
        <v>0</v>
      </c>
      <c r="R35" s="138">
        <f>IFERROR(AVERAGEIFS(Upload_Indiv[Score6],Upload_Indiv[[Player]:[Player]],$A35,Upload_Indiv[[Side]:[Side]],"Raintree Back")-IF(TRUNC(ROUND($B35,0)/9,0)=2,2+IF((ROUND($B35,0)-18)*2&gt;=R$2,1,0),IF(TRUNC(ROUND($B35,0)/9,0)=1,1+IF((ROUND($B35,0)-9)*2&gt;=R$2,1,0),IF(TRUNC(ROUND($B35,0)/9,0)=0,IF(TRUNC(ROUND($B35,0)/9,0)=0,0+IF((ROUND($B35,0))*2&gt;=R$2,1,0),"Not"))))-R$3,"")</f>
        <v>1.666666666666667</v>
      </c>
      <c r="S35" s="138">
        <f>IFERROR(AVERAGEIFS(Upload_Indiv[Score7],Upload_Indiv[[Player]:[Player]],$A35,Upload_Indiv[[Side]:[Side]],"Raintree Back")-IF(TRUNC(ROUND($B35,0)/9,0)=2,2+IF((ROUND($B35,0)-18)*2&gt;=S$2,1,0),IF(TRUNC(ROUND($B35,0)/9,0)=1,1+IF((ROUND($B35,0)-9)*2&gt;=S$2,1,0),IF(TRUNC(ROUND($B35,0)/9,0)=0,IF(TRUNC(ROUND($B35,0)/9,0)=0,0+IF((ROUND($B35,0))*2&gt;=S$2,1,0),"Not"))))-S$3,"")</f>
        <v>0.83333333333333304</v>
      </c>
      <c r="T35" s="138">
        <f>IFERROR(AVERAGEIFS(Upload_Indiv[Score8],Upload_Indiv[[Player]:[Player]],$A35,Upload_Indiv[[Side]:[Side]],"Raintree Back")-IF(TRUNC(ROUND($B35,0)/9,0)=2,2+IF((ROUND($B35,0)-18)*2&gt;=T$2,1,0),IF(TRUNC(ROUND($B35,0)/9,0)=1,1+IF((ROUND($B35,0)-9)*2&gt;=T$2,1,0),IF(TRUNC(ROUND($B35,0)/9,0)=0,IF(TRUNC(ROUND($B35,0)/9,0)=0,0+IF((ROUND($B35,0))*2&gt;=T$2,1,0),"Not"))))-T$3,"")</f>
        <v>-0.16666666666666696</v>
      </c>
      <c r="U35" s="138">
        <f>IFERROR(AVERAGEIFS(Upload_Indiv[Score9],Upload_Indiv[[Player]:[Player]],$A35,Upload_Indiv[[Side]:[Side]],"Raintree Back")-IF(TRUNC(ROUND($B35,0)/9,0)=2,2+IF((ROUND($B35,0)-18)*2&gt;=U$2,1,0),IF(TRUNC(ROUND($B35,0)/9,0)=1,1+IF((ROUND($B35,0)-9)*2&gt;=U$2,1,0),IF(TRUNC(ROUND($B35,0)/9,0)=0,IF(TRUNC(ROUND($B35,0)/9,0)=0,0+IF((ROUND($B35,0))*2&gt;=U$2,1,0),"Not"))))-U$3,"")</f>
        <v>0.66666666666666696</v>
      </c>
      <c r="V35" s="138">
        <f t="shared" si="1"/>
        <v>5.5000000000000009</v>
      </c>
    </row>
    <row r="36" spans="1:22" ht="15" customHeight="1" x14ac:dyDescent="0.25">
      <c r="A36" s="4" t="s">
        <v>311</v>
      </c>
      <c r="B36" s="138">
        <f>IFERROR(AVERAGEIFS(Upload_Indiv[Hdcp],Upload_Indiv[[Player]:[Player]],$A36),"")</f>
        <v>4.2921428571428573</v>
      </c>
      <c r="C36" s="138">
        <f>IFERROR(AVERAGEIFS(Upload_Indiv[Score1],Upload_Indiv[[Player]:[Player]],$A36,Upload_Indiv[[Side]:[Side]],"Raintree Front")-IF(TRUNC(ROUND($B36,0)/9,0)=2,2+IF((ROUND($B36,0)-18)*2&gt;=C$2,1,0),IF(TRUNC(ROUND($B36,0)/9,0)=1,1+IF((ROUND($B36,0)-9)*2&gt;=C$2,1,0),IF(TRUNC(ROUND($B36,0)/9,0)=0,IF(TRUNC(ROUND($B36,0)/9,0)=0,0+IF((ROUND($B36,0))*2&gt;=C$2,1,0),"Not"))))-C$3,"")</f>
        <v>0.125</v>
      </c>
      <c r="D36" s="138">
        <f>IFERROR(AVERAGEIFS(Upload_Indiv[Score2],Upload_Indiv[[Player]:[Player]],$A36,Upload_Indiv[[Side]:[Side]],"Raintree Front")-IF(TRUNC(ROUND($B36,0)/9,0)=2,2+IF((ROUND($B36,0)-18)*2&gt;=D$2,1,0),IF(TRUNC(ROUND($B36,0)/9,0)=1,1+IF((ROUND($B36,0)-9)*2&gt;=D$2,1,0),IF(TRUNC(ROUND($B36,0)/9,0)=0,IF(TRUNC(ROUND($B36,0)/9,0)=0,0+IF((ROUND($B36,0))*2&gt;=D$2,1,0),"Not"))))-D$3,"")</f>
        <v>0.25</v>
      </c>
      <c r="E36" s="138">
        <f>IFERROR(AVERAGEIFS(Upload_Indiv[Score3],Upload_Indiv[[Player]:[Player]],$A36,Upload_Indiv[[Side]:[Side]],"Raintree Front")-IF(TRUNC(ROUND($B36,0)/9,0)=2,2+IF((ROUND($B36,0)-18)*2&gt;=E$2,1,0),IF(TRUNC(ROUND($B36,0)/9,0)=1,1+IF((ROUND($B36,0)-9)*2&gt;=E$2,1,0),IF(TRUNC(ROUND($B36,0)/9,0)=0,IF(TRUNC(ROUND($B36,0)/9,0)=0,0+IF((ROUND($B36,0))*2&gt;=E$2,1,0),"Not"))))-E$3,"")</f>
        <v>0</v>
      </c>
      <c r="F36" s="138">
        <f>IFERROR(AVERAGEIFS(Upload_Indiv[Score4],Upload_Indiv[[Player]:[Player]],$A36,Upload_Indiv[[Side]:[Side]],"Raintree Front")-IF(TRUNC(ROUND($B36,0)/9,0)=2,2+IF((ROUND($B36,0)-18)*2&gt;=F$2,1,0),IF(TRUNC(ROUND($B36,0)/9,0)=1,1+IF((ROUND($B36,0)-9)*2&gt;=F$2,1,0),IF(TRUNC(ROUND($B36,0)/9,0)=0,IF(TRUNC(ROUND($B36,0)/9,0)=0,0+IF((ROUND($B36,0))*2&gt;=F$2,1,0),"Not"))))-F$3,"")</f>
        <v>0.25</v>
      </c>
      <c r="G36" s="138">
        <f>IFERROR(AVERAGEIFS(Upload_Indiv[Score5],Upload_Indiv[[Player]:[Player]],$A36,Upload_Indiv[[Side]:[Side]],"Raintree Front")-IF(TRUNC(ROUND($B36,0)/9,0)=2,2+IF((ROUND($B36,0)-18)*2&gt;=G$2,1,0),IF(TRUNC(ROUND($B36,0)/9,0)=1,1+IF((ROUND($B36,0)-9)*2&gt;=G$2,1,0),IF(TRUNC(ROUND($B36,0)/9,0)=0,IF(TRUNC(ROUND($B36,0)/9,0)=0,0+IF((ROUND($B36,0))*2&gt;=G$2,1,0),"Not"))))-G$3,"")</f>
        <v>0.75</v>
      </c>
      <c r="H36" s="138">
        <f>IFERROR(AVERAGEIFS(Upload_Indiv[Score6],Upload_Indiv[[Player]:[Player]],$A36,Upload_Indiv[[Side]:[Side]],"Raintree Front")-IF(TRUNC(ROUND($B36,0)/9,0)=2,2+IF((ROUND($B36,0)-18)*2&gt;=H$2,1,0),IF(TRUNC(ROUND($B36,0)/9,0)=1,1+IF((ROUND($B36,0)-9)*2&gt;=H$2,1,0),IF(TRUNC(ROUND($B36,0)/9,0)=0,IF(TRUNC(ROUND($B36,0)/9,0)=0,0+IF((ROUND($B36,0))*2&gt;=H$2,1,0),"Not"))))-H$3,"")</f>
        <v>-0.375</v>
      </c>
      <c r="I36" s="138">
        <f>IFERROR(AVERAGEIFS(Upload_Indiv[Score7],Upload_Indiv[[Player]:[Player]],$A36,Upload_Indiv[[Side]:[Side]],"Raintree Front")-IF(TRUNC(ROUND($B36,0)/9,0)=2,2+IF((ROUND($B36,0)-18)*2&gt;=I$2,1,0),IF(TRUNC(ROUND($B36,0)/9,0)=1,1+IF((ROUND($B36,0)-9)*2&gt;=I$2,1,0),IF(TRUNC(ROUND($B36,0)/9,0)=0,IF(TRUNC(ROUND($B36,0)/9,0)=0,0+IF((ROUND($B36,0))*2&gt;=I$2,1,0),"Not"))))-I$3,"")</f>
        <v>0.625</v>
      </c>
      <c r="J36" s="138">
        <f>IFERROR(AVERAGEIFS(Upload_Indiv[Score8],Upload_Indiv[[Player]:[Player]],$A36,Upload_Indiv[[Side]:[Side]],"Raintree Front")-IF(TRUNC(ROUND($B36,0)/9,0)=2,2+IF((ROUND($B36,0)-18)*2&gt;=J$2,1,0),IF(TRUNC(ROUND($B36,0)/9,0)=1,1+IF((ROUND($B36,0)-9)*2&gt;=J$2,1,0),IF(TRUNC(ROUND($B36,0)/9,0)=0,IF(TRUNC(ROUND($B36,0)/9,0)=0,0+IF((ROUND($B36,0))*2&gt;=J$2,1,0),"Not"))))-J$3,"")</f>
        <v>0.375</v>
      </c>
      <c r="K36" s="138">
        <f>IFERROR(AVERAGEIFS(Upload_Indiv[Score9],Upload_Indiv[[Player]:[Player]],$A36,Upload_Indiv[[Side]:[Side]],"Raintree Front")-IF(TRUNC(ROUND($B36,0)/9,0)=2,2+IF((ROUND($B36,0)-18)*2&gt;=K$2,1,0),IF(TRUNC(ROUND($B36,0)/9,0)=1,1+IF((ROUND($B36,0)-9)*2&gt;=K$2,1,0),IF(TRUNC(ROUND($B36,0)/9,0)=0,IF(TRUNC(ROUND($B36,0)/9,0)=0,0+IF((ROUND($B36,0))*2&gt;=K$2,1,0),"Not"))))-K$3,"")</f>
        <v>-0.25</v>
      </c>
      <c r="L36" s="138">
        <f t="shared" si="0"/>
        <v>1.75</v>
      </c>
      <c r="M36" s="138">
        <f>IFERROR(AVERAGEIFS(Upload_Indiv[Score1],Upload_Indiv[[Player]:[Player]],$A36,Upload_Indiv[[Side]:[Side]],"Raintree Back")-IF(TRUNC(ROUND($B36,0)/9,0)=2,2+IF((ROUND($B36,0)-18)*2&gt;=M$2,1,0),IF(TRUNC(ROUND($B36,0)/9,0)=1,1+IF((ROUND($B36,0)-9)*2&gt;=M$2,1,0),IF(TRUNC(ROUND($B36,0)/9,0)=0,IF(TRUNC(ROUND($B36,0)/9,0)=0,0+IF((ROUND($B36,0))*2&gt;=M$2,1,0),"Not"))))-M$3,"")</f>
        <v>0.33333333333333304</v>
      </c>
      <c r="N36" s="138">
        <f>IFERROR(AVERAGEIFS(Upload_Indiv[Score2],Upload_Indiv[[Player]:[Player]],$A36,Upload_Indiv[[Side]:[Side]],"Raintree Back")-IF(TRUNC(ROUND($B36,0)/9,0)=2,2+IF((ROUND($B36,0)-18)*2&gt;=N$2,1,0),IF(TRUNC(ROUND($B36,0)/9,0)=1,1+IF((ROUND($B36,0)-9)*2&gt;=N$2,1,0),IF(TRUNC(ROUND($B36,0)/9,0)=0,IF(TRUNC(ROUND($B36,0)/9,0)=0,0+IF((ROUND($B36,0))*2&gt;=N$2,1,0),"Not"))))-N$3,"")</f>
        <v>0.66666666666666652</v>
      </c>
      <c r="O36" s="138">
        <f>IFERROR(AVERAGEIFS(Upload_Indiv[Score3],Upload_Indiv[[Player]:[Player]],$A36,Upload_Indiv[[Side]:[Side]],"Raintree Back")-IF(TRUNC(ROUND($B36,0)/9,0)=2,2+IF((ROUND($B36,0)-18)*2&gt;=O$2,1,0),IF(TRUNC(ROUND($B36,0)/9,0)=1,1+IF((ROUND($B36,0)-9)*2&gt;=O$2,1,0),IF(TRUNC(ROUND($B36,0)/9,0)=0,IF(TRUNC(ROUND($B36,0)/9,0)=0,0+IF((ROUND($B36,0))*2&gt;=O$2,1,0),"Not"))))-O$3,"")</f>
        <v>0.83333333333333304</v>
      </c>
      <c r="P36" s="138">
        <f>IFERROR(AVERAGEIFS(Upload_Indiv[Score4],Upload_Indiv[[Player]:[Player]],$A36,Upload_Indiv[[Side]:[Side]],"Raintree Back")-IF(TRUNC(ROUND($B36,0)/9,0)=2,2+IF((ROUND($B36,0)-18)*2&gt;=P$2,1,0),IF(TRUNC(ROUND($B36,0)/9,0)=1,1+IF((ROUND($B36,0)-9)*2&gt;=P$2,1,0),IF(TRUNC(ROUND($B36,0)/9,0)=0,IF(TRUNC(ROUND($B36,0)/9,0)=0,0+IF((ROUND($B36,0))*2&gt;=P$2,1,0),"Not"))))-P$3,"")</f>
        <v>-0.5</v>
      </c>
      <c r="Q36" s="138">
        <f>IFERROR(AVERAGEIFS(Upload_Indiv[Score5],Upload_Indiv[[Player]:[Player]],$A36,Upload_Indiv[[Side]:[Side]],"Raintree Back")-IF(TRUNC(ROUND($B36,0)/9,0)=2,2+IF((ROUND($B36,0)-18)*2&gt;=Q$2,1,0),IF(TRUNC(ROUND($B36,0)/9,0)=1,1+IF((ROUND($B36,0)-9)*2&gt;=Q$2,1,0),IF(TRUNC(ROUND($B36,0)/9,0)=0,IF(TRUNC(ROUND($B36,0)/9,0)=0,0+IF((ROUND($B36,0))*2&gt;=Q$2,1,0),"Not"))))-Q$3,"")</f>
        <v>0.33333333333333304</v>
      </c>
      <c r="R36" s="138">
        <f>IFERROR(AVERAGEIFS(Upload_Indiv[Score6],Upload_Indiv[[Player]:[Player]],$A36,Upload_Indiv[[Side]:[Side]],"Raintree Back")-IF(TRUNC(ROUND($B36,0)/9,0)=2,2+IF((ROUND($B36,0)-18)*2&gt;=R$2,1,0),IF(TRUNC(ROUND($B36,0)/9,0)=1,1+IF((ROUND($B36,0)-9)*2&gt;=R$2,1,0),IF(TRUNC(ROUND($B36,0)/9,0)=0,IF(TRUNC(ROUND($B36,0)/9,0)=0,0+IF((ROUND($B36,0))*2&gt;=R$2,1,0),"Not"))))-R$3,"")</f>
        <v>1.666666666666667</v>
      </c>
      <c r="S36" s="138">
        <f>IFERROR(AVERAGEIFS(Upload_Indiv[Score7],Upload_Indiv[[Player]:[Player]],$A36,Upload_Indiv[[Side]:[Side]],"Raintree Back")-IF(TRUNC(ROUND($B36,0)/9,0)=2,2+IF((ROUND($B36,0)-18)*2&gt;=S$2,1,0),IF(TRUNC(ROUND($B36,0)/9,0)=1,1+IF((ROUND($B36,0)-9)*2&gt;=S$2,1,0),IF(TRUNC(ROUND($B36,0)/9,0)=0,IF(TRUNC(ROUND($B36,0)/9,0)=0,0+IF((ROUND($B36,0))*2&gt;=S$2,1,0),"Not"))))-S$3,"")</f>
        <v>0.5</v>
      </c>
      <c r="T36" s="138">
        <f>IFERROR(AVERAGEIFS(Upload_Indiv[Score8],Upload_Indiv[[Player]:[Player]],$A36,Upload_Indiv[[Side]:[Side]],"Raintree Back")-IF(TRUNC(ROUND($B36,0)/9,0)=2,2+IF((ROUND($B36,0)-18)*2&gt;=T$2,1,0),IF(TRUNC(ROUND($B36,0)/9,0)=1,1+IF((ROUND($B36,0)-9)*2&gt;=T$2,1,0),IF(TRUNC(ROUND($B36,0)/9,0)=0,IF(TRUNC(ROUND($B36,0)/9,0)=0,0+IF((ROUND($B36,0))*2&gt;=T$2,1,0),"Not"))))-T$3,"")</f>
        <v>-0.33333333333333304</v>
      </c>
      <c r="U36" s="138">
        <f>IFERROR(AVERAGEIFS(Upload_Indiv[Score9],Upload_Indiv[[Player]:[Player]],$A36,Upload_Indiv[[Side]:[Side]],"Raintree Back")-IF(TRUNC(ROUND($B36,0)/9,0)=2,2+IF((ROUND($B36,0)-18)*2&gt;=U$2,1,0),IF(TRUNC(ROUND($B36,0)/9,0)=1,1+IF((ROUND($B36,0)-9)*2&gt;=U$2,1,0),IF(TRUNC(ROUND($B36,0)/9,0)=0,IF(TRUNC(ROUND($B36,0)/9,0)=0,0+IF((ROUND($B36,0))*2&gt;=U$2,1,0),"Not"))))-U$3,"")</f>
        <v>-0.5</v>
      </c>
      <c r="V36" s="138">
        <f t="shared" si="1"/>
        <v>2.9999999999999996</v>
      </c>
    </row>
    <row r="37" spans="1:22" ht="15" customHeight="1" x14ac:dyDescent="0.25">
      <c r="A37" s="4" t="s">
        <v>106</v>
      </c>
      <c r="B37" s="138">
        <f>IFERROR(AVERAGEIFS(Upload_Indiv[Hdcp],Upload_Indiv[[Player]:[Player]],$A37),"")</f>
        <v>15.112857142857141</v>
      </c>
      <c r="C37" s="138">
        <f>IFERROR(AVERAGEIFS(Upload_Indiv[Score1],Upload_Indiv[[Player]:[Player]],$A37,Upload_Indiv[[Side]:[Side]],"Raintree Front")-IF(TRUNC(ROUND($B37,0)/9,0)=2,2+IF((ROUND($B37,0)-18)*2&gt;=C$2,1,0),IF(TRUNC(ROUND($B37,0)/9,0)=1,1+IF((ROUND($B37,0)-9)*2&gt;=C$2,1,0),IF(TRUNC(ROUND($B37,0)/9,0)=0,IF(TRUNC(ROUND($B37,0)/9,0)=0,0+IF((ROUND($B37,0))*2&gt;=C$2,1,0),"Not"))))-C$3,"")</f>
        <v>0.75</v>
      </c>
      <c r="D37" s="138">
        <f>IFERROR(AVERAGEIFS(Upload_Indiv[Score2],Upload_Indiv[[Player]:[Player]],$A37,Upload_Indiv[[Side]:[Side]],"Raintree Front")-IF(TRUNC(ROUND($B37,0)/9,0)=2,2+IF((ROUND($B37,0)-18)*2&gt;=D$2,1,0),IF(TRUNC(ROUND($B37,0)/9,0)=1,1+IF((ROUND($B37,0)-9)*2&gt;=D$2,1,0),IF(TRUNC(ROUND($B37,0)/9,0)=0,IF(TRUNC(ROUND($B37,0)/9,0)=0,0+IF((ROUND($B37,0))*2&gt;=D$2,1,0),"Not"))))-D$3,"")</f>
        <v>0.75</v>
      </c>
      <c r="E37" s="138">
        <f>IFERROR(AVERAGEIFS(Upload_Indiv[Score3],Upload_Indiv[[Player]:[Player]],$A37,Upload_Indiv[[Side]:[Side]],"Raintree Front")-IF(TRUNC(ROUND($B37,0)/9,0)=2,2+IF((ROUND($B37,0)-18)*2&gt;=E$2,1,0),IF(TRUNC(ROUND($B37,0)/9,0)=1,1+IF((ROUND($B37,0)-9)*2&gt;=E$2,1,0),IF(TRUNC(ROUND($B37,0)/9,0)=0,IF(TRUNC(ROUND($B37,0)/9,0)=0,0+IF((ROUND($B37,0))*2&gt;=E$2,1,0),"Not"))))-E$3,"")</f>
        <v>0.125</v>
      </c>
      <c r="F37" s="138">
        <f>IFERROR(AVERAGEIFS(Upload_Indiv[Score4],Upload_Indiv[[Player]:[Player]],$A37,Upload_Indiv[[Side]:[Side]],"Raintree Front")-IF(TRUNC(ROUND($B37,0)/9,0)=2,2+IF((ROUND($B37,0)-18)*2&gt;=F$2,1,0),IF(TRUNC(ROUND($B37,0)/9,0)=1,1+IF((ROUND($B37,0)-9)*2&gt;=F$2,1,0),IF(TRUNC(ROUND($B37,0)/9,0)=0,IF(TRUNC(ROUND($B37,0)/9,0)=0,0+IF((ROUND($B37,0))*2&gt;=F$2,1,0),"Not"))))-F$3,"")</f>
        <v>0.875</v>
      </c>
      <c r="G37" s="138">
        <f>IFERROR(AVERAGEIFS(Upload_Indiv[Score5],Upload_Indiv[[Player]:[Player]],$A37,Upload_Indiv[[Side]:[Side]],"Raintree Front")-IF(TRUNC(ROUND($B37,0)/9,0)=2,2+IF((ROUND($B37,0)-18)*2&gt;=G$2,1,0),IF(TRUNC(ROUND($B37,0)/9,0)=1,1+IF((ROUND($B37,0)-9)*2&gt;=G$2,1,0),IF(TRUNC(ROUND($B37,0)/9,0)=0,IF(TRUNC(ROUND($B37,0)/9,0)=0,0+IF((ROUND($B37,0))*2&gt;=G$2,1,0),"Not"))))-G$3,"")</f>
        <v>0.875</v>
      </c>
      <c r="H37" s="138">
        <f>IFERROR(AVERAGEIFS(Upload_Indiv[Score6],Upload_Indiv[[Player]:[Player]],$A37,Upload_Indiv[[Side]:[Side]],"Raintree Front")-IF(TRUNC(ROUND($B37,0)/9,0)=2,2+IF((ROUND($B37,0)-18)*2&gt;=H$2,1,0),IF(TRUNC(ROUND($B37,0)/9,0)=1,1+IF((ROUND($B37,0)-9)*2&gt;=H$2,1,0),IF(TRUNC(ROUND($B37,0)/9,0)=0,IF(TRUNC(ROUND($B37,0)/9,0)=0,0+IF((ROUND($B37,0))*2&gt;=H$2,1,0),"Not"))))-H$3,"")</f>
        <v>-0.25</v>
      </c>
      <c r="I37" s="138">
        <f>IFERROR(AVERAGEIFS(Upload_Indiv[Score7],Upload_Indiv[[Player]:[Player]],$A37,Upload_Indiv[[Side]:[Side]],"Raintree Front")-IF(TRUNC(ROUND($B37,0)/9,0)=2,2+IF((ROUND($B37,0)-18)*2&gt;=I$2,1,0),IF(TRUNC(ROUND($B37,0)/9,0)=1,1+IF((ROUND($B37,0)-9)*2&gt;=I$2,1,0),IF(TRUNC(ROUND($B37,0)/9,0)=0,IF(TRUNC(ROUND($B37,0)/9,0)=0,0+IF((ROUND($B37,0))*2&gt;=I$2,1,0),"Not"))))-I$3,"")</f>
        <v>0.75</v>
      </c>
      <c r="J37" s="138">
        <f>IFERROR(AVERAGEIFS(Upload_Indiv[Score8],Upload_Indiv[[Player]:[Player]],$A37,Upload_Indiv[[Side]:[Side]],"Raintree Front")-IF(TRUNC(ROUND($B37,0)/9,0)=2,2+IF((ROUND($B37,0)-18)*2&gt;=J$2,1,0),IF(TRUNC(ROUND($B37,0)/9,0)=1,1+IF((ROUND($B37,0)-9)*2&gt;=J$2,1,0),IF(TRUNC(ROUND($B37,0)/9,0)=0,IF(TRUNC(ROUND($B37,0)/9,0)=0,0+IF((ROUND($B37,0))*2&gt;=J$2,1,0),"Not"))))-J$3,"")</f>
        <v>-1.375</v>
      </c>
      <c r="K37" s="138">
        <f>IFERROR(AVERAGEIFS(Upload_Indiv[Score9],Upload_Indiv[[Player]:[Player]],$A37,Upload_Indiv[[Side]:[Side]],"Raintree Front")-IF(TRUNC(ROUND($B37,0)/9,0)=2,2+IF((ROUND($B37,0)-18)*2&gt;=K$2,1,0),IF(TRUNC(ROUND($B37,0)/9,0)=1,1+IF((ROUND($B37,0)-9)*2&gt;=K$2,1,0),IF(TRUNC(ROUND($B37,0)/9,0)=0,IF(TRUNC(ROUND($B37,0)/9,0)=0,0+IF((ROUND($B37,0))*2&gt;=K$2,1,0),"Not"))))-K$3,"")</f>
        <v>0.25</v>
      </c>
      <c r="L37" s="138">
        <f t="shared" si="0"/>
        <v>2.75</v>
      </c>
      <c r="M37" s="138">
        <f>IFERROR(AVERAGEIFS(Upload_Indiv[Score1],Upload_Indiv[[Player]:[Player]],$A37,Upload_Indiv[[Side]:[Side]],"Raintree Back")-IF(TRUNC(ROUND($B37,0)/9,0)=2,2+IF((ROUND($B37,0)-18)*2&gt;=M$2,1,0),IF(TRUNC(ROUND($B37,0)/9,0)=1,1+IF((ROUND($B37,0)-9)*2&gt;=M$2,1,0),IF(TRUNC(ROUND($B37,0)/9,0)=0,IF(TRUNC(ROUND($B37,0)/9,0)=0,0+IF((ROUND($B37,0))*2&gt;=M$2,1,0),"Not"))))-M$3,"")</f>
        <v>0</v>
      </c>
      <c r="N37" s="138">
        <f>IFERROR(AVERAGEIFS(Upload_Indiv[Score2],Upload_Indiv[[Player]:[Player]],$A37,Upload_Indiv[[Side]:[Side]],"Raintree Back")-IF(TRUNC(ROUND($B37,0)/9,0)=2,2+IF((ROUND($B37,0)-18)*2&gt;=N$2,1,0),IF(TRUNC(ROUND($B37,0)/9,0)=1,1+IF((ROUND($B37,0)-9)*2&gt;=N$2,1,0),IF(TRUNC(ROUND($B37,0)/9,0)=0,IF(TRUNC(ROUND($B37,0)/9,0)=0,0+IF((ROUND($B37,0))*2&gt;=N$2,1,0),"Not"))))-N$3,"")</f>
        <v>-0.16666666666666696</v>
      </c>
      <c r="O37" s="138">
        <f>IFERROR(AVERAGEIFS(Upload_Indiv[Score3],Upload_Indiv[[Player]:[Player]],$A37,Upload_Indiv[[Side]:[Side]],"Raintree Back")-IF(TRUNC(ROUND($B37,0)/9,0)=2,2+IF((ROUND($B37,0)-18)*2&gt;=O$2,1,0),IF(TRUNC(ROUND($B37,0)/9,0)=1,1+IF((ROUND($B37,0)-9)*2&gt;=O$2,1,0),IF(TRUNC(ROUND($B37,0)/9,0)=0,IF(TRUNC(ROUND($B37,0)/9,0)=0,0+IF((ROUND($B37,0))*2&gt;=O$2,1,0),"Not"))))-O$3,"")</f>
        <v>1</v>
      </c>
      <c r="P37" s="138">
        <f>IFERROR(AVERAGEIFS(Upload_Indiv[Score4],Upload_Indiv[[Player]:[Player]],$A37,Upload_Indiv[[Side]:[Side]],"Raintree Back")-IF(TRUNC(ROUND($B37,0)/9,0)=2,2+IF((ROUND($B37,0)-18)*2&gt;=P$2,1,0),IF(TRUNC(ROUND($B37,0)/9,0)=1,1+IF((ROUND($B37,0)-9)*2&gt;=P$2,1,0),IF(TRUNC(ROUND($B37,0)/9,0)=0,IF(TRUNC(ROUND($B37,0)/9,0)=0,0+IF((ROUND($B37,0))*2&gt;=P$2,1,0),"Not"))))-P$3,"")</f>
        <v>0.5</v>
      </c>
      <c r="Q37" s="138">
        <f>IFERROR(AVERAGEIFS(Upload_Indiv[Score5],Upload_Indiv[[Player]:[Player]],$A37,Upload_Indiv[[Side]:[Side]],"Raintree Back")-IF(TRUNC(ROUND($B37,0)/9,0)=2,2+IF((ROUND($B37,0)-18)*2&gt;=Q$2,1,0),IF(TRUNC(ROUND($B37,0)/9,0)=1,1+IF((ROUND($B37,0)-9)*2&gt;=Q$2,1,0),IF(TRUNC(ROUND($B37,0)/9,0)=0,IF(TRUNC(ROUND($B37,0)/9,0)=0,0+IF((ROUND($B37,0))*2&gt;=Q$2,1,0),"Not"))))-Q$3,"")</f>
        <v>0.66666666666666696</v>
      </c>
      <c r="R37" s="138">
        <f>IFERROR(AVERAGEIFS(Upload_Indiv[Score6],Upload_Indiv[[Player]:[Player]],$A37,Upload_Indiv[[Side]:[Side]],"Raintree Back")-IF(TRUNC(ROUND($B37,0)/9,0)=2,2+IF((ROUND($B37,0)-18)*2&gt;=R$2,1,0),IF(TRUNC(ROUND($B37,0)/9,0)=1,1+IF((ROUND($B37,0)-9)*2&gt;=R$2,1,0),IF(TRUNC(ROUND($B37,0)/9,0)=0,IF(TRUNC(ROUND($B37,0)/9,0)=0,0+IF((ROUND($B37,0))*2&gt;=R$2,1,0),"Not"))))-R$3,"")</f>
        <v>0</v>
      </c>
      <c r="S37" s="138">
        <f>IFERROR(AVERAGEIFS(Upload_Indiv[Score7],Upload_Indiv[[Player]:[Player]],$A37,Upload_Indiv[[Side]:[Side]],"Raintree Back")-IF(TRUNC(ROUND($B37,0)/9,0)=2,2+IF((ROUND($B37,0)-18)*2&gt;=S$2,1,0),IF(TRUNC(ROUND($B37,0)/9,0)=1,1+IF((ROUND($B37,0)-9)*2&gt;=S$2,1,0),IF(TRUNC(ROUND($B37,0)/9,0)=0,IF(TRUNC(ROUND($B37,0)/9,0)=0,0+IF((ROUND($B37,0))*2&gt;=S$2,1,0),"Not"))))-S$3,"")</f>
        <v>0.16666666666666696</v>
      </c>
      <c r="T37" s="138">
        <f>IFERROR(AVERAGEIFS(Upload_Indiv[Score8],Upload_Indiv[[Player]:[Player]],$A37,Upload_Indiv[[Side]:[Side]],"Raintree Back")-IF(TRUNC(ROUND($B37,0)/9,0)=2,2+IF((ROUND($B37,0)-18)*2&gt;=T$2,1,0),IF(TRUNC(ROUND($B37,0)/9,0)=1,1+IF((ROUND($B37,0)-9)*2&gt;=T$2,1,0),IF(TRUNC(ROUND($B37,0)/9,0)=0,IF(TRUNC(ROUND($B37,0)/9,0)=0,0+IF((ROUND($B37,0))*2&gt;=T$2,1,0),"Not"))))-T$3,"")</f>
        <v>0.16666666666666696</v>
      </c>
      <c r="U37" s="138">
        <f>IFERROR(AVERAGEIFS(Upload_Indiv[Score9],Upload_Indiv[[Player]:[Player]],$A37,Upload_Indiv[[Side]:[Side]],"Raintree Back")-IF(TRUNC(ROUND($B37,0)/9,0)=2,2+IF((ROUND($B37,0)-18)*2&gt;=U$2,1,0),IF(TRUNC(ROUND($B37,0)/9,0)=1,1+IF((ROUND($B37,0)-9)*2&gt;=U$2,1,0),IF(TRUNC(ROUND($B37,0)/9,0)=0,IF(TRUNC(ROUND($B37,0)/9,0)=0,0+IF((ROUND($B37,0))*2&gt;=U$2,1,0),"Not"))))-U$3,"")</f>
        <v>0.16666666666666696</v>
      </c>
      <c r="V37" s="138">
        <f t="shared" si="1"/>
        <v>2.5000000000000009</v>
      </c>
    </row>
    <row r="38" spans="1:22" ht="15" customHeight="1" x14ac:dyDescent="0.25">
      <c r="A38" s="4" t="s">
        <v>322</v>
      </c>
      <c r="B38" s="138">
        <f>IFERROR(AVERAGEIFS(Upload_Indiv[Hdcp],Upload_Indiv[[Player]:[Player]],$A38),"")</f>
        <v>0</v>
      </c>
      <c r="C38" s="138" t="str">
        <f>IFERROR(AVERAGEIFS(Upload_Indiv[Score1],Upload_Indiv[[Player]:[Player]],$A38,Upload_Indiv[[Side]:[Side]],"Raintree Front")-IF(TRUNC(ROUND($B38,0)/9,0)=2,2+IF((ROUND($B38,0)-18)*2&gt;=C$2,1,0),IF(TRUNC(ROUND($B38,0)/9,0)=1,1+IF((ROUND($B38,0)-9)*2&gt;=C$2,1,0),IF(TRUNC(ROUND($B38,0)/9,0)=0,IF(TRUNC(ROUND($B38,0)/9,0)=0,0+IF((ROUND($B38,0))*2&gt;=C$2,1,0),"Not"))))-C$3,"")</f>
        <v/>
      </c>
      <c r="D38" s="138" t="str">
        <f>IFERROR(AVERAGEIFS(Upload_Indiv[Score2],Upload_Indiv[[Player]:[Player]],$A38,Upload_Indiv[[Side]:[Side]],"Raintree Front")-IF(TRUNC(ROUND($B38,0)/9,0)=2,2+IF((ROUND($B38,0)-18)*2&gt;=D$2,1,0),IF(TRUNC(ROUND($B38,0)/9,0)=1,1+IF((ROUND($B38,0)-9)*2&gt;=D$2,1,0),IF(TRUNC(ROUND($B38,0)/9,0)=0,IF(TRUNC(ROUND($B38,0)/9,0)=0,0+IF((ROUND($B38,0))*2&gt;=D$2,1,0),"Not"))))-D$3,"")</f>
        <v/>
      </c>
      <c r="E38" s="138" t="str">
        <f>IFERROR(AVERAGEIFS(Upload_Indiv[Score3],Upload_Indiv[[Player]:[Player]],$A38,Upload_Indiv[[Side]:[Side]],"Raintree Front")-IF(TRUNC(ROUND($B38,0)/9,0)=2,2+IF((ROUND($B38,0)-18)*2&gt;=E$2,1,0),IF(TRUNC(ROUND($B38,0)/9,0)=1,1+IF((ROUND($B38,0)-9)*2&gt;=E$2,1,0),IF(TRUNC(ROUND($B38,0)/9,0)=0,IF(TRUNC(ROUND($B38,0)/9,0)=0,0+IF((ROUND($B38,0))*2&gt;=E$2,1,0),"Not"))))-E$3,"")</f>
        <v/>
      </c>
      <c r="F38" s="138" t="str">
        <f>IFERROR(AVERAGEIFS(Upload_Indiv[Score4],Upload_Indiv[[Player]:[Player]],$A38,Upload_Indiv[[Side]:[Side]],"Raintree Front")-IF(TRUNC(ROUND($B38,0)/9,0)=2,2+IF((ROUND($B38,0)-18)*2&gt;=F$2,1,0),IF(TRUNC(ROUND($B38,0)/9,0)=1,1+IF((ROUND($B38,0)-9)*2&gt;=F$2,1,0),IF(TRUNC(ROUND($B38,0)/9,0)=0,IF(TRUNC(ROUND($B38,0)/9,0)=0,0+IF((ROUND($B38,0))*2&gt;=F$2,1,0),"Not"))))-F$3,"")</f>
        <v/>
      </c>
      <c r="G38" s="138" t="str">
        <f>IFERROR(AVERAGEIFS(Upload_Indiv[Score5],Upload_Indiv[[Player]:[Player]],$A38,Upload_Indiv[[Side]:[Side]],"Raintree Front")-IF(TRUNC(ROUND($B38,0)/9,0)=2,2+IF((ROUND($B38,0)-18)*2&gt;=G$2,1,0),IF(TRUNC(ROUND($B38,0)/9,0)=1,1+IF((ROUND($B38,0)-9)*2&gt;=G$2,1,0),IF(TRUNC(ROUND($B38,0)/9,0)=0,IF(TRUNC(ROUND($B38,0)/9,0)=0,0+IF((ROUND($B38,0))*2&gt;=G$2,1,0),"Not"))))-G$3,"")</f>
        <v/>
      </c>
      <c r="H38" s="138" t="str">
        <f>IFERROR(AVERAGEIFS(Upload_Indiv[Score6],Upload_Indiv[[Player]:[Player]],$A38,Upload_Indiv[[Side]:[Side]],"Raintree Front")-IF(TRUNC(ROUND($B38,0)/9,0)=2,2+IF((ROUND($B38,0)-18)*2&gt;=H$2,1,0),IF(TRUNC(ROUND($B38,0)/9,0)=1,1+IF((ROUND($B38,0)-9)*2&gt;=H$2,1,0),IF(TRUNC(ROUND($B38,0)/9,0)=0,IF(TRUNC(ROUND($B38,0)/9,0)=0,0+IF((ROUND($B38,0))*2&gt;=H$2,1,0),"Not"))))-H$3,"")</f>
        <v/>
      </c>
      <c r="I38" s="138" t="str">
        <f>IFERROR(AVERAGEIFS(Upload_Indiv[Score7],Upload_Indiv[[Player]:[Player]],$A38,Upload_Indiv[[Side]:[Side]],"Raintree Front")-IF(TRUNC(ROUND($B38,0)/9,0)=2,2+IF((ROUND($B38,0)-18)*2&gt;=I$2,1,0),IF(TRUNC(ROUND($B38,0)/9,0)=1,1+IF((ROUND($B38,0)-9)*2&gt;=I$2,1,0),IF(TRUNC(ROUND($B38,0)/9,0)=0,IF(TRUNC(ROUND($B38,0)/9,0)=0,0+IF((ROUND($B38,0))*2&gt;=I$2,1,0),"Not"))))-I$3,"")</f>
        <v/>
      </c>
      <c r="J38" s="138" t="str">
        <f>IFERROR(AVERAGEIFS(Upload_Indiv[Score8],Upload_Indiv[[Player]:[Player]],$A38,Upload_Indiv[[Side]:[Side]],"Raintree Front")-IF(TRUNC(ROUND($B38,0)/9,0)=2,2+IF((ROUND($B38,0)-18)*2&gt;=J$2,1,0),IF(TRUNC(ROUND($B38,0)/9,0)=1,1+IF((ROUND($B38,0)-9)*2&gt;=J$2,1,0),IF(TRUNC(ROUND($B38,0)/9,0)=0,IF(TRUNC(ROUND($B38,0)/9,0)=0,0+IF((ROUND($B38,0))*2&gt;=J$2,1,0),"Not"))))-J$3,"")</f>
        <v/>
      </c>
      <c r="K38" s="138" t="str">
        <f>IFERROR(AVERAGEIFS(Upload_Indiv[Score9],Upload_Indiv[[Player]:[Player]],$A38,Upload_Indiv[[Side]:[Side]],"Raintree Front")-IF(TRUNC(ROUND($B38,0)/9,0)=2,2+IF((ROUND($B38,0)-18)*2&gt;=K$2,1,0),IF(TRUNC(ROUND($B38,0)/9,0)=1,1+IF((ROUND($B38,0)-9)*2&gt;=K$2,1,0),IF(TRUNC(ROUND($B38,0)/9,0)=0,IF(TRUNC(ROUND($B38,0)/9,0)=0,0+IF((ROUND($B38,0))*2&gt;=K$2,1,0),"Not"))))-K$3,"")</f>
        <v/>
      </c>
      <c r="L38" s="138">
        <f t="shared" si="0"/>
        <v>0</v>
      </c>
      <c r="M38" s="138">
        <f>IFERROR(AVERAGEIFS(Upload_Indiv[Score1],Upload_Indiv[[Player]:[Player]],$A38,Upload_Indiv[[Side]:[Side]],"Raintree Back")-IF(TRUNC(ROUND($B38,0)/9,0)=2,2+IF((ROUND($B38,0)-18)*2&gt;=M$2,1,0),IF(TRUNC(ROUND($B38,0)/9,0)=1,1+IF((ROUND($B38,0)-9)*2&gt;=M$2,1,0),IF(TRUNC(ROUND($B38,0)/9,0)=0,IF(TRUNC(ROUND($B38,0)/9,0)=0,0+IF((ROUND($B38,0))*2&gt;=M$2,1,0),"Not"))))-M$3,"")</f>
        <v>0</v>
      </c>
      <c r="N38" s="138">
        <f>IFERROR(AVERAGEIFS(Upload_Indiv[Score2],Upload_Indiv[[Player]:[Player]],$A38,Upload_Indiv[[Side]:[Side]],"Raintree Back")-IF(TRUNC(ROUND($B38,0)/9,0)=2,2+IF((ROUND($B38,0)-18)*2&gt;=N$2,1,0),IF(TRUNC(ROUND($B38,0)/9,0)=1,1+IF((ROUND($B38,0)-9)*2&gt;=N$2,1,0),IF(TRUNC(ROUND($B38,0)/9,0)=0,IF(TRUNC(ROUND($B38,0)/9,0)=0,0+IF((ROUND($B38,0))*2&gt;=N$2,1,0),"Not"))))-N$3,"")</f>
        <v>0</v>
      </c>
      <c r="O38" s="138">
        <f>IFERROR(AVERAGEIFS(Upload_Indiv[Score3],Upload_Indiv[[Player]:[Player]],$A38,Upload_Indiv[[Side]:[Side]],"Raintree Back")-IF(TRUNC(ROUND($B38,0)/9,0)=2,2+IF((ROUND($B38,0)-18)*2&gt;=O$2,1,0),IF(TRUNC(ROUND($B38,0)/9,0)=1,1+IF((ROUND($B38,0)-9)*2&gt;=O$2,1,0),IF(TRUNC(ROUND($B38,0)/9,0)=0,IF(TRUNC(ROUND($B38,0)/9,0)=0,0+IF((ROUND($B38,0))*2&gt;=O$2,1,0),"Not"))))-O$3,"")</f>
        <v>0</v>
      </c>
      <c r="P38" s="138">
        <f>IFERROR(AVERAGEIFS(Upload_Indiv[Score4],Upload_Indiv[[Player]:[Player]],$A38,Upload_Indiv[[Side]:[Side]],"Raintree Back")-IF(TRUNC(ROUND($B38,0)/9,0)=2,2+IF((ROUND($B38,0)-18)*2&gt;=P$2,1,0),IF(TRUNC(ROUND($B38,0)/9,0)=1,1+IF((ROUND($B38,0)-9)*2&gt;=P$2,1,0),IF(TRUNC(ROUND($B38,0)/9,0)=0,IF(TRUNC(ROUND($B38,0)/9,0)=0,0+IF((ROUND($B38,0))*2&gt;=P$2,1,0),"Not"))))-P$3,"")</f>
        <v>1</v>
      </c>
      <c r="Q38" s="138">
        <f>IFERROR(AVERAGEIFS(Upload_Indiv[Score5],Upload_Indiv[[Player]:[Player]],$A38,Upload_Indiv[[Side]:[Side]],"Raintree Back")-IF(TRUNC(ROUND($B38,0)/9,0)=2,2+IF((ROUND($B38,0)-18)*2&gt;=Q$2,1,0),IF(TRUNC(ROUND($B38,0)/9,0)=1,1+IF((ROUND($B38,0)-9)*2&gt;=Q$2,1,0),IF(TRUNC(ROUND($B38,0)/9,0)=0,IF(TRUNC(ROUND($B38,0)/9,0)=0,0+IF((ROUND($B38,0))*2&gt;=Q$2,1,0),"Not"))))-Q$3,"")</f>
        <v>1</v>
      </c>
      <c r="R38" s="138">
        <f>IFERROR(AVERAGEIFS(Upload_Indiv[Score6],Upload_Indiv[[Player]:[Player]],$A38,Upload_Indiv[[Side]:[Side]],"Raintree Back")-IF(TRUNC(ROUND($B38,0)/9,0)=2,2+IF((ROUND($B38,0)-18)*2&gt;=R$2,1,0),IF(TRUNC(ROUND($B38,0)/9,0)=1,1+IF((ROUND($B38,0)-9)*2&gt;=R$2,1,0),IF(TRUNC(ROUND($B38,0)/9,0)=0,IF(TRUNC(ROUND($B38,0)/9,0)=0,0+IF((ROUND($B38,0))*2&gt;=R$2,1,0),"Not"))))-R$3,"")</f>
        <v>0</v>
      </c>
      <c r="S38" s="138">
        <f>IFERROR(AVERAGEIFS(Upload_Indiv[Score7],Upload_Indiv[[Player]:[Player]],$A38,Upload_Indiv[[Side]:[Side]],"Raintree Back")-IF(TRUNC(ROUND($B38,0)/9,0)=2,2+IF((ROUND($B38,0)-18)*2&gt;=S$2,1,0),IF(TRUNC(ROUND($B38,0)/9,0)=1,1+IF((ROUND($B38,0)-9)*2&gt;=S$2,1,0),IF(TRUNC(ROUND($B38,0)/9,0)=0,IF(TRUNC(ROUND($B38,0)/9,0)=0,0+IF((ROUND($B38,0))*2&gt;=S$2,1,0),"Not"))))-S$3,"")</f>
        <v>0</v>
      </c>
      <c r="T38" s="138">
        <f>IFERROR(AVERAGEIFS(Upload_Indiv[Score8],Upload_Indiv[[Player]:[Player]],$A38,Upload_Indiv[[Side]:[Side]],"Raintree Back")-IF(TRUNC(ROUND($B38,0)/9,0)=2,2+IF((ROUND($B38,0)-18)*2&gt;=T$2,1,0),IF(TRUNC(ROUND($B38,0)/9,0)=1,1+IF((ROUND($B38,0)-9)*2&gt;=T$2,1,0),IF(TRUNC(ROUND($B38,0)/9,0)=0,IF(TRUNC(ROUND($B38,0)/9,0)=0,0+IF((ROUND($B38,0))*2&gt;=T$2,1,0),"Not"))))-T$3,"")</f>
        <v>1</v>
      </c>
      <c r="U38" s="138">
        <f>IFERROR(AVERAGEIFS(Upload_Indiv[Score9],Upload_Indiv[[Player]:[Player]],$A38,Upload_Indiv[[Side]:[Side]],"Raintree Back")-IF(TRUNC(ROUND($B38,0)/9,0)=2,2+IF((ROUND($B38,0)-18)*2&gt;=U$2,1,0),IF(TRUNC(ROUND($B38,0)/9,0)=1,1+IF((ROUND($B38,0)-9)*2&gt;=U$2,1,0),IF(TRUNC(ROUND($B38,0)/9,0)=0,IF(TRUNC(ROUND($B38,0)/9,0)=0,0+IF((ROUND($B38,0))*2&gt;=U$2,1,0),"Not"))))-U$3,"")</f>
        <v>1</v>
      </c>
      <c r="V38" s="138">
        <f t="shared" si="1"/>
        <v>4</v>
      </c>
    </row>
    <row r="39" spans="1:22" ht="15" customHeight="1" x14ac:dyDescent="0.25">
      <c r="A39" s="4" t="s">
        <v>233</v>
      </c>
      <c r="B39" s="138">
        <f>IFERROR(AVERAGEIFS(Upload_Indiv[Hdcp],Upload_Indiv[[Player]:[Player]],$A39),"")</f>
        <v>20</v>
      </c>
      <c r="C39" s="138">
        <f>IFERROR(AVERAGEIFS(Upload_Indiv[Score1],Upload_Indiv[[Player]:[Player]],$A39,Upload_Indiv[[Side]:[Side]],"Raintree Front")-IF(TRUNC(ROUND($B39,0)/9,0)=2,2+IF((ROUND($B39,0)-18)*2&gt;=C$2,1,0),IF(TRUNC(ROUND($B39,0)/9,0)=1,1+IF((ROUND($B39,0)-9)*2&gt;=C$2,1,0),IF(TRUNC(ROUND($B39,0)/9,0)=0,IF(TRUNC(ROUND($B39,0)/9,0)=0,0+IF((ROUND($B39,0))*2&gt;=C$2,1,0),"Not"))))-C$3,"")</f>
        <v>2</v>
      </c>
      <c r="D39" s="138">
        <f>IFERROR(AVERAGEIFS(Upload_Indiv[Score2],Upload_Indiv[[Player]:[Player]],$A39,Upload_Indiv[[Side]:[Side]],"Raintree Front")-IF(TRUNC(ROUND($B39,0)/9,0)=2,2+IF((ROUND($B39,0)-18)*2&gt;=D$2,1,0),IF(TRUNC(ROUND($B39,0)/9,0)=1,1+IF((ROUND($B39,0)-9)*2&gt;=D$2,1,0),IF(TRUNC(ROUND($B39,0)/9,0)=0,IF(TRUNC(ROUND($B39,0)/9,0)=0,0+IF((ROUND($B39,0))*2&gt;=D$2,1,0),"Not"))))-D$3,"")</f>
        <v>-1</v>
      </c>
      <c r="E39" s="138">
        <f>IFERROR(AVERAGEIFS(Upload_Indiv[Score3],Upload_Indiv[[Player]:[Player]],$A39,Upload_Indiv[[Side]:[Side]],"Raintree Front")-IF(TRUNC(ROUND($B39,0)/9,0)=2,2+IF((ROUND($B39,0)-18)*2&gt;=E$2,1,0),IF(TRUNC(ROUND($B39,0)/9,0)=1,1+IF((ROUND($B39,0)-9)*2&gt;=E$2,1,0),IF(TRUNC(ROUND($B39,0)/9,0)=0,IF(TRUNC(ROUND($B39,0)/9,0)=0,0+IF((ROUND($B39,0))*2&gt;=E$2,1,0),"Not"))))-E$3,"")</f>
        <v>-1</v>
      </c>
      <c r="F39" s="138">
        <f>IFERROR(AVERAGEIFS(Upload_Indiv[Score4],Upload_Indiv[[Player]:[Player]],$A39,Upload_Indiv[[Side]:[Side]],"Raintree Front")-IF(TRUNC(ROUND($B39,0)/9,0)=2,2+IF((ROUND($B39,0)-18)*2&gt;=F$2,1,0),IF(TRUNC(ROUND($B39,0)/9,0)=1,1+IF((ROUND($B39,0)-9)*2&gt;=F$2,1,0),IF(TRUNC(ROUND($B39,0)/9,0)=0,IF(TRUNC(ROUND($B39,0)/9,0)=0,0+IF((ROUND($B39,0))*2&gt;=F$2,1,0),"Not"))))-F$3,"")</f>
        <v>2</v>
      </c>
      <c r="G39" s="138">
        <f>IFERROR(AVERAGEIFS(Upload_Indiv[Score5],Upload_Indiv[[Player]:[Player]],$A39,Upload_Indiv[[Side]:[Side]],"Raintree Front")-IF(TRUNC(ROUND($B39,0)/9,0)=2,2+IF((ROUND($B39,0)-18)*2&gt;=G$2,1,0),IF(TRUNC(ROUND($B39,0)/9,0)=1,1+IF((ROUND($B39,0)-9)*2&gt;=G$2,1,0),IF(TRUNC(ROUND($B39,0)/9,0)=0,IF(TRUNC(ROUND($B39,0)/9,0)=0,0+IF((ROUND($B39,0))*2&gt;=G$2,1,0),"Not"))))-G$3,"")</f>
        <v>1</v>
      </c>
      <c r="H39" s="138">
        <f>IFERROR(AVERAGEIFS(Upload_Indiv[Score6],Upload_Indiv[[Player]:[Player]],$A39,Upload_Indiv[[Side]:[Side]],"Raintree Front")-IF(TRUNC(ROUND($B39,0)/9,0)=2,2+IF((ROUND($B39,0)-18)*2&gt;=H$2,1,0),IF(TRUNC(ROUND($B39,0)/9,0)=1,1+IF((ROUND($B39,0)-9)*2&gt;=H$2,1,0),IF(TRUNC(ROUND($B39,0)/9,0)=0,IF(TRUNC(ROUND($B39,0)/9,0)=0,0+IF((ROUND($B39,0))*2&gt;=H$2,1,0),"Not"))))-H$3,"")</f>
        <v>1</v>
      </c>
      <c r="I39" s="138">
        <f>IFERROR(AVERAGEIFS(Upload_Indiv[Score7],Upload_Indiv[[Player]:[Player]],$A39,Upload_Indiv[[Side]:[Side]],"Raintree Front")-IF(TRUNC(ROUND($B39,0)/9,0)=2,2+IF((ROUND($B39,0)-18)*2&gt;=I$2,1,0),IF(TRUNC(ROUND($B39,0)/9,0)=1,1+IF((ROUND($B39,0)-9)*2&gt;=I$2,1,0),IF(TRUNC(ROUND($B39,0)/9,0)=0,IF(TRUNC(ROUND($B39,0)/9,0)=0,0+IF((ROUND($B39,0))*2&gt;=I$2,1,0),"Not"))))-I$3,"")</f>
        <v>-7</v>
      </c>
      <c r="J39" s="138">
        <f>IFERROR(AVERAGEIFS(Upload_Indiv[Score8],Upload_Indiv[[Player]:[Player]],$A39,Upload_Indiv[[Side]:[Side]],"Raintree Front")-IF(TRUNC(ROUND($B39,0)/9,0)=2,2+IF((ROUND($B39,0)-18)*2&gt;=J$2,1,0),IF(TRUNC(ROUND($B39,0)/9,0)=1,1+IF((ROUND($B39,0)-9)*2&gt;=J$2,1,0),IF(TRUNC(ROUND($B39,0)/9,0)=0,IF(TRUNC(ROUND($B39,0)/9,0)=0,0+IF((ROUND($B39,0))*2&gt;=J$2,1,0),"Not"))))-J$3,"")</f>
        <v>-5</v>
      </c>
      <c r="K39" s="138">
        <f>IFERROR(AVERAGEIFS(Upload_Indiv[Score9],Upload_Indiv[[Player]:[Player]],$A39,Upload_Indiv[[Side]:[Side]],"Raintree Front")-IF(TRUNC(ROUND($B39,0)/9,0)=2,2+IF((ROUND($B39,0)-18)*2&gt;=K$2,1,0),IF(TRUNC(ROUND($B39,0)/9,0)=1,1+IF((ROUND($B39,0)-9)*2&gt;=K$2,1,0),IF(TRUNC(ROUND($B39,0)/9,0)=0,IF(TRUNC(ROUND($B39,0)/9,0)=0,0+IF((ROUND($B39,0))*2&gt;=K$2,1,0),"Not"))))-K$3,"")</f>
        <v>-6</v>
      </c>
      <c r="L39" s="138">
        <f t="shared" si="0"/>
        <v>-14</v>
      </c>
      <c r="M39" s="138">
        <f>IFERROR(AVERAGEIFS(Upload_Indiv[Score1],Upload_Indiv[[Player]:[Player]],$A39,Upload_Indiv[[Side]:[Side]],"Raintree Back")-IF(TRUNC(ROUND($B39,0)/9,0)=2,2+IF((ROUND($B39,0)-18)*2&gt;=M$2,1,0),IF(TRUNC(ROUND($B39,0)/9,0)=1,1+IF((ROUND($B39,0)-9)*2&gt;=M$2,1,0),IF(TRUNC(ROUND($B39,0)/9,0)=0,IF(TRUNC(ROUND($B39,0)/9,0)=0,0+IF((ROUND($B39,0))*2&gt;=M$2,1,0),"Not"))))-M$3,"")</f>
        <v>2</v>
      </c>
      <c r="N39" s="138">
        <f>IFERROR(AVERAGEIFS(Upload_Indiv[Score2],Upload_Indiv[[Player]:[Player]],$A39,Upload_Indiv[[Side]:[Side]],"Raintree Back")-IF(TRUNC(ROUND($B39,0)/9,0)=2,2+IF((ROUND($B39,0)-18)*2&gt;=N$2,1,0),IF(TRUNC(ROUND($B39,0)/9,0)=1,1+IF((ROUND($B39,0)-9)*2&gt;=N$2,1,0),IF(TRUNC(ROUND($B39,0)/9,0)=0,IF(TRUNC(ROUND($B39,0)/9,0)=0,0+IF((ROUND($B39,0))*2&gt;=N$2,1,0),"Not"))))-N$3,"")</f>
        <v>0</v>
      </c>
      <c r="O39" s="138">
        <f>IFERROR(AVERAGEIFS(Upload_Indiv[Score3],Upload_Indiv[[Player]:[Player]],$A39,Upload_Indiv[[Side]:[Side]],"Raintree Back")-IF(TRUNC(ROUND($B39,0)/9,0)=2,2+IF((ROUND($B39,0)-18)*2&gt;=O$2,1,0),IF(TRUNC(ROUND($B39,0)/9,0)=1,1+IF((ROUND($B39,0)-9)*2&gt;=O$2,1,0),IF(TRUNC(ROUND($B39,0)/9,0)=0,IF(TRUNC(ROUND($B39,0)/9,0)=0,0+IF((ROUND($B39,0))*2&gt;=O$2,1,0),"Not"))))-O$3,"")</f>
        <v>3</v>
      </c>
      <c r="P39" s="138">
        <f>IFERROR(AVERAGEIFS(Upload_Indiv[Score4],Upload_Indiv[[Player]:[Player]],$A39,Upload_Indiv[[Side]:[Side]],"Raintree Back")-IF(TRUNC(ROUND($B39,0)/9,0)=2,2+IF((ROUND($B39,0)-18)*2&gt;=P$2,1,0),IF(TRUNC(ROUND($B39,0)/9,0)=1,1+IF((ROUND($B39,0)-9)*2&gt;=P$2,1,0),IF(TRUNC(ROUND($B39,0)/9,0)=0,IF(TRUNC(ROUND($B39,0)/9,0)=0,0+IF((ROUND($B39,0))*2&gt;=P$2,1,0),"Not"))))-P$3,"")</f>
        <v>0</v>
      </c>
      <c r="Q39" s="138">
        <f>IFERROR(AVERAGEIFS(Upload_Indiv[Score5],Upload_Indiv[[Player]:[Player]],$A39,Upload_Indiv[[Side]:[Side]],"Raintree Back")-IF(TRUNC(ROUND($B39,0)/9,0)=2,2+IF((ROUND($B39,0)-18)*2&gt;=Q$2,1,0),IF(TRUNC(ROUND($B39,0)/9,0)=1,1+IF((ROUND($B39,0)-9)*2&gt;=Q$2,1,0),IF(TRUNC(ROUND($B39,0)/9,0)=0,IF(TRUNC(ROUND($B39,0)/9,0)=0,0+IF((ROUND($B39,0))*2&gt;=Q$2,1,0),"Not"))))-Q$3,"")</f>
        <v>-1</v>
      </c>
      <c r="R39" s="138">
        <f>IFERROR(AVERAGEIFS(Upload_Indiv[Score6],Upload_Indiv[[Player]:[Player]],$A39,Upload_Indiv[[Side]:[Side]],"Raintree Back")-IF(TRUNC(ROUND($B39,0)/9,0)=2,2+IF((ROUND($B39,0)-18)*2&gt;=R$2,1,0),IF(TRUNC(ROUND($B39,0)/9,0)=1,1+IF((ROUND($B39,0)-9)*2&gt;=R$2,1,0),IF(TRUNC(ROUND($B39,0)/9,0)=0,IF(TRUNC(ROUND($B39,0)/9,0)=0,0+IF((ROUND($B39,0))*2&gt;=R$2,1,0),"Not"))))-R$3,"")</f>
        <v>1</v>
      </c>
      <c r="S39" s="138">
        <f>IFERROR(AVERAGEIFS(Upload_Indiv[Score7],Upload_Indiv[[Player]:[Player]],$A39,Upload_Indiv[[Side]:[Side]],"Raintree Back")-IF(TRUNC(ROUND($B39,0)/9,0)=2,2+IF((ROUND($B39,0)-18)*2&gt;=S$2,1,0),IF(TRUNC(ROUND($B39,0)/9,0)=1,1+IF((ROUND($B39,0)-9)*2&gt;=S$2,1,0),IF(TRUNC(ROUND($B39,0)/9,0)=0,IF(TRUNC(ROUND($B39,0)/9,0)=0,0+IF((ROUND($B39,0))*2&gt;=S$2,1,0),"Not"))))-S$3,"")</f>
        <v>0</v>
      </c>
      <c r="T39" s="138">
        <f>IFERROR(AVERAGEIFS(Upload_Indiv[Score8],Upload_Indiv[[Player]:[Player]],$A39,Upload_Indiv[[Side]:[Side]],"Raintree Back")-IF(TRUNC(ROUND($B39,0)/9,0)=2,2+IF((ROUND($B39,0)-18)*2&gt;=T$2,1,0),IF(TRUNC(ROUND($B39,0)/9,0)=1,1+IF((ROUND($B39,0)-9)*2&gt;=T$2,1,0),IF(TRUNC(ROUND($B39,0)/9,0)=0,IF(TRUNC(ROUND($B39,0)/9,0)=0,0+IF((ROUND($B39,0))*2&gt;=T$2,1,0),"Not"))))-T$3,"")</f>
        <v>2</v>
      </c>
      <c r="U39" s="138">
        <f>IFERROR(AVERAGEIFS(Upload_Indiv[Score9],Upload_Indiv[[Player]:[Player]],$A39,Upload_Indiv[[Side]:[Side]],"Raintree Back")-IF(TRUNC(ROUND($B39,0)/9,0)=2,2+IF((ROUND($B39,0)-18)*2&gt;=U$2,1,0),IF(TRUNC(ROUND($B39,0)/9,0)=1,1+IF((ROUND($B39,0)-9)*2&gt;=U$2,1,0),IF(TRUNC(ROUND($B39,0)/9,0)=0,IF(TRUNC(ROUND($B39,0)/9,0)=0,0+IF((ROUND($B39,0))*2&gt;=U$2,1,0),"Not"))))-U$3,"")</f>
        <v>3</v>
      </c>
      <c r="V39" s="138">
        <f t="shared" si="1"/>
        <v>10</v>
      </c>
    </row>
    <row r="40" spans="1:22" ht="15" customHeight="1" x14ac:dyDescent="0.25">
      <c r="A40" s="4" t="s">
        <v>224</v>
      </c>
      <c r="B40" s="138">
        <f>IFERROR(AVERAGEIFS(Upload_Indiv[Hdcp],Upload_Indiv[[Player]:[Player]],$A40),"")</f>
        <v>13.280000000000001</v>
      </c>
      <c r="C40" s="138">
        <f>IFERROR(AVERAGEIFS(Upload_Indiv[Score1],Upload_Indiv[[Player]:[Player]],$A40,Upload_Indiv[[Side]:[Side]],"Raintree Front")-IF(TRUNC(ROUND($B40,0)/9,0)=2,2+IF((ROUND($B40,0)-18)*2&gt;=C$2,1,0),IF(TRUNC(ROUND($B40,0)/9,0)=1,1+IF((ROUND($B40,0)-9)*2&gt;=C$2,1,0),IF(TRUNC(ROUND($B40,0)/9,0)=0,IF(TRUNC(ROUND($B40,0)/9,0)=0,0+IF((ROUND($B40,0))*2&gt;=C$2,1,0),"Not"))))-C$3,"")</f>
        <v>-0.75</v>
      </c>
      <c r="D40" s="138">
        <f>IFERROR(AVERAGEIFS(Upload_Indiv[Score2],Upload_Indiv[[Player]:[Player]],$A40,Upload_Indiv[[Side]:[Side]],"Raintree Front")-IF(TRUNC(ROUND($B40,0)/9,0)=2,2+IF((ROUND($B40,0)-18)*2&gt;=D$2,1,0),IF(TRUNC(ROUND($B40,0)/9,0)=1,1+IF((ROUND($B40,0)-9)*2&gt;=D$2,1,0),IF(TRUNC(ROUND($B40,0)/9,0)=0,IF(TRUNC(ROUND($B40,0)/9,0)=0,0+IF((ROUND($B40,0))*2&gt;=D$2,1,0),"Not"))))-D$3,"")</f>
        <v>0.75</v>
      </c>
      <c r="E40" s="138">
        <f>IFERROR(AVERAGEIFS(Upload_Indiv[Score3],Upload_Indiv[[Player]:[Player]],$A40,Upload_Indiv[[Side]:[Side]],"Raintree Front")-IF(TRUNC(ROUND($B40,0)/9,0)=2,2+IF((ROUND($B40,0)-18)*2&gt;=E$2,1,0),IF(TRUNC(ROUND($B40,0)/9,0)=1,1+IF((ROUND($B40,0)-9)*2&gt;=E$2,1,0),IF(TRUNC(ROUND($B40,0)/9,0)=0,IF(TRUNC(ROUND($B40,0)/9,0)=0,0+IF((ROUND($B40,0))*2&gt;=E$2,1,0),"Not"))))-E$3,"")</f>
        <v>1</v>
      </c>
      <c r="F40" s="138">
        <f>IFERROR(AVERAGEIFS(Upload_Indiv[Score4],Upload_Indiv[[Player]:[Player]],$A40,Upload_Indiv[[Side]:[Side]],"Raintree Front")-IF(TRUNC(ROUND($B40,0)/9,0)=2,2+IF((ROUND($B40,0)-18)*2&gt;=F$2,1,0),IF(TRUNC(ROUND($B40,0)/9,0)=1,1+IF((ROUND($B40,0)-9)*2&gt;=F$2,1,0),IF(TRUNC(ROUND($B40,0)/9,0)=0,IF(TRUNC(ROUND($B40,0)/9,0)=0,0+IF((ROUND($B40,0))*2&gt;=F$2,1,0),"Not"))))-F$3,"")</f>
        <v>0.75</v>
      </c>
      <c r="G40" s="138">
        <f>IFERROR(AVERAGEIFS(Upload_Indiv[Score5],Upload_Indiv[[Player]:[Player]],$A40,Upload_Indiv[[Side]:[Side]],"Raintree Front")-IF(TRUNC(ROUND($B40,0)/9,0)=2,2+IF((ROUND($B40,0)-18)*2&gt;=G$2,1,0),IF(TRUNC(ROUND($B40,0)/9,0)=1,1+IF((ROUND($B40,0)-9)*2&gt;=G$2,1,0),IF(TRUNC(ROUND($B40,0)/9,0)=0,IF(TRUNC(ROUND($B40,0)/9,0)=0,0+IF((ROUND($B40,0))*2&gt;=G$2,1,0),"Not"))))-G$3,"")</f>
        <v>1</v>
      </c>
      <c r="H40" s="138">
        <f>IFERROR(AVERAGEIFS(Upload_Indiv[Score6],Upload_Indiv[[Player]:[Player]],$A40,Upload_Indiv[[Side]:[Side]],"Raintree Front")-IF(TRUNC(ROUND($B40,0)/9,0)=2,2+IF((ROUND($B40,0)-18)*2&gt;=H$2,1,0),IF(TRUNC(ROUND($B40,0)/9,0)=1,1+IF((ROUND($B40,0)-9)*2&gt;=H$2,1,0),IF(TRUNC(ROUND($B40,0)/9,0)=0,IF(TRUNC(ROUND($B40,0)/9,0)=0,0+IF((ROUND($B40,0))*2&gt;=H$2,1,0),"Not"))))-H$3,"")</f>
        <v>-0.75</v>
      </c>
      <c r="I40" s="138">
        <f>IFERROR(AVERAGEIFS(Upload_Indiv[Score7],Upload_Indiv[[Player]:[Player]],$A40,Upload_Indiv[[Side]:[Side]],"Raintree Front")-IF(TRUNC(ROUND($B40,0)/9,0)=2,2+IF((ROUND($B40,0)-18)*2&gt;=I$2,1,0),IF(TRUNC(ROUND($B40,0)/9,0)=1,1+IF((ROUND($B40,0)-9)*2&gt;=I$2,1,0),IF(TRUNC(ROUND($B40,0)/9,0)=0,IF(TRUNC(ROUND($B40,0)/9,0)=0,0+IF((ROUND($B40,0))*2&gt;=I$2,1,0),"Not"))))-I$3,"")</f>
        <v>1</v>
      </c>
      <c r="J40" s="138">
        <f>IFERROR(AVERAGEIFS(Upload_Indiv[Score8],Upload_Indiv[[Player]:[Player]],$A40,Upload_Indiv[[Side]:[Side]],"Raintree Front")-IF(TRUNC(ROUND($B40,0)/9,0)=2,2+IF((ROUND($B40,0)-18)*2&gt;=J$2,1,0),IF(TRUNC(ROUND($B40,0)/9,0)=1,1+IF((ROUND($B40,0)-9)*2&gt;=J$2,1,0),IF(TRUNC(ROUND($B40,0)/9,0)=0,IF(TRUNC(ROUND($B40,0)/9,0)=0,0+IF((ROUND($B40,0))*2&gt;=J$2,1,0),"Not"))))-J$3,"")</f>
        <v>0.25</v>
      </c>
      <c r="K40" s="138">
        <f>IFERROR(AVERAGEIFS(Upload_Indiv[Score9],Upload_Indiv[[Player]:[Player]],$A40,Upload_Indiv[[Side]:[Side]],"Raintree Front")-IF(TRUNC(ROUND($B40,0)/9,0)=2,2+IF((ROUND($B40,0)-18)*2&gt;=K$2,1,0),IF(TRUNC(ROUND($B40,0)/9,0)=1,1+IF((ROUND($B40,0)-9)*2&gt;=K$2,1,0),IF(TRUNC(ROUND($B40,0)/9,0)=0,IF(TRUNC(ROUND($B40,0)/9,0)=0,0+IF((ROUND($B40,0))*2&gt;=K$2,1,0),"Not"))))-K$3,"")</f>
        <v>-0.5</v>
      </c>
      <c r="L40" s="138">
        <f t="shared" si="0"/>
        <v>2.75</v>
      </c>
      <c r="M40" s="138">
        <f>IFERROR(AVERAGEIFS(Upload_Indiv[Score1],Upload_Indiv[[Player]:[Player]],$A40,Upload_Indiv[[Side]:[Side]],"Raintree Back")-IF(TRUNC(ROUND($B40,0)/9,0)=2,2+IF((ROUND($B40,0)-18)*2&gt;=M$2,1,0),IF(TRUNC(ROUND($B40,0)/9,0)=1,1+IF((ROUND($B40,0)-9)*2&gt;=M$2,1,0),IF(TRUNC(ROUND($B40,0)/9,0)=0,IF(TRUNC(ROUND($B40,0)/9,0)=0,0+IF((ROUND($B40,0))*2&gt;=M$2,1,0),"Not"))))-M$3,"")</f>
        <v>-1</v>
      </c>
      <c r="N40" s="138">
        <f>IFERROR(AVERAGEIFS(Upload_Indiv[Score2],Upload_Indiv[[Player]:[Player]],$A40,Upload_Indiv[[Side]:[Side]],"Raintree Back")-IF(TRUNC(ROUND($B40,0)/9,0)=2,2+IF((ROUND($B40,0)-18)*2&gt;=N$2,1,0),IF(TRUNC(ROUND($B40,0)/9,0)=1,1+IF((ROUND($B40,0)-9)*2&gt;=N$2,1,0),IF(TRUNC(ROUND($B40,0)/9,0)=0,IF(TRUNC(ROUND($B40,0)/9,0)=0,0+IF((ROUND($B40,0))*2&gt;=N$2,1,0),"Not"))))-N$3,"")</f>
        <v>0</v>
      </c>
      <c r="O40" s="138">
        <f>IFERROR(AVERAGEIFS(Upload_Indiv[Score3],Upload_Indiv[[Player]:[Player]],$A40,Upload_Indiv[[Side]:[Side]],"Raintree Back")-IF(TRUNC(ROUND($B40,0)/9,0)=2,2+IF((ROUND($B40,0)-18)*2&gt;=O$2,1,0),IF(TRUNC(ROUND($B40,0)/9,0)=1,1+IF((ROUND($B40,0)-9)*2&gt;=O$2,1,0),IF(TRUNC(ROUND($B40,0)/9,0)=0,IF(TRUNC(ROUND($B40,0)/9,0)=0,0+IF((ROUND($B40,0))*2&gt;=O$2,1,0),"Not"))))-O$3,"")</f>
        <v>-1</v>
      </c>
      <c r="P40" s="138">
        <f>IFERROR(AVERAGEIFS(Upload_Indiv[Score4],Upload_Indiv[[Player]:[Player]],$A40,Upload_Indiv[[Side]:[Side]],"Raintree Back")-IF(TRUNC(ROUND($B40,0)/9,0)=2,2+IF((ROUND($B40,0)-18)*2&gt;=P$2,1,0),IF(TRUNC(ROUND($B40,0)/9,0)=1,1+IF((ROUND($B40,0)-9)*2&gt;=P$2,1,0),IF(TRUNC(ROUND($B40,0)/9,0)=0,IF(TRUNC(ROUND($B40,0)/9,0)=0,0+IF((ROUND($B40,0))*2&gt;=P$2,1,0),"Not"))))-P$3,"")</f>
        <v>1</v>
      </c>
      <c r="Q40" s="138">
        <f>IFERROR(AVERAGEIFS(Upload_Indiv[Score5],Upload_Indiv[[Player]:[Player]],$A40,Upload_Indiv[[Side]:[Side]],"Raintree Back")-IF(TRUNC(ROUND($B40,0)/9,0)=2,2+IF((ROUND($B40,0)-18)*2&gt;=Q$2,1,0),IF(TRUNC(ROUND($B40,0)/9,0)=1,1+IF((ROUND($B40,0)-9)*2&gt;=Q$2,1,0),IF(TRUNC(ROUND($B40,0)/9,0)=0,IF(TRUNC(ROUND($B40,0)/9,0)=0,0+IF((ROUND($B40,0))*2&gt;=Q$2,1,0),"Not"))))-Q$3,"")</f>
        <v>1</v>
      </c>
      <c r="R40" s="138">
        <f>IFERROR(AVERAGEIFS(Upload_Indiv[Score6],Upload_Indiv[[Player]:[Player]],$A40,Upload_Indiv[[Side]:[Side]],"Raintree Back")-IF(TRUNC(ROUND($B40,0)/9,0)=2,2+IF((ROUND($B40,0)-18)*2&gt;=R$2,1,0),IF(TRUNC(ROUND($B40,0)/9,0)=1,1+IF((ROUND($B40,0)-9)*2&gt;=R$2,1,0),IF(TRUNC(ROUND($B40,0)/9,0)=0,IF(TRUNC(ROUND($B40,0)/9,0)=0,0+IF((ROUND($B40,0))*2&gt;=R$2,1,0),"Not"))))-R$3,"")</f>
        <v>1</v>
      </c>
      <c r="S40" s="138">
        <f>IFERROR(AVERAGEIFS(Upload_Indiv[Score7],Upload_Indiv[[Player]:[Player]],$A40,Upload_Indiv[[Side]:[Side]],"Raintree Back")-IF(TRUNC(ROUND($B40,0)/9,0)=2,2+IF((ROUND($B40,0)-18)*2&gt;=S$2,1,0),IF(TRUNC(ROUND($B40,0)/9,0)=1,1+IF((ROUND($B40,0)-9)*2&gt;=S$2,1,0),IF(TRUNC(ROUND($B40,0)/9,0)=0,IF(TRUNC(ROUND($B40,0)/9,0)=0,0+IF((ROUND($B40,0))*2&gt;=S$2,1,0),"Not"))))-S$3,"")</f>
        <v>0</v>
      </c>
      <c r="T40" s="138">
        <f>IFERROR(AVERAGEIFS(Upload_Indiv[Score8],Upload_Indiv[[Player]:[Player]],$A40,Upload_Indiv[[Side]:[Side]],"Raintree Back")-IF(TRUNC(ROUND($B40,0)/9,0)=2,2+IF((ROUND($B40,0)-18)*2&gt;=T$2,1,0),IF(TRUNC(ROUND($B40,0)/9,0)=1,1+IF((ROUND($B40,0)-9)*2&gt;=T$2,1,0),IF(TRUNC(ROUND($B40,0)/9,0)=0,IF(TRUNC(ROUND($B40,0)/9,0)=0,0+IF((ROUND($B40,0))*2&gt;=T$2,1,0),"Not"))))-T$3,"")</f>
        <v>0</v>
      </c>
      <c r="U40" s="138">
        <f>IFERROR(AVERAGEIFS(Upload_Indiv[Score9],Upload_Indiv[[Player]:[Player]],$A40,Upload_Indiv[[Side]:[Side]],"Raintree Back")-IF(TRUNC(ROUND($B40,0)/9,0)=2,2+IF((ROUND($B40,0)-18)*2&gt;=U$2,1,0),IF(TRUNC(ROUND($B40,0)/9,0)=1,1+IF((ROUND($B40,0)-9)*2&gt;=U$2,1,0),IF(TRUNC(ROUND($B40,0)/9,0)=0,IF(TRUNC(ROUND($B40,0)/9,0)=0,0+IF((ROUND($B40,0))*2&gt;=U$2,1,0),"Not"))))-U$3,"")</f>
        <v>-1</v>
      </c>
      <c r="V40" s="138">
        <f t="shared" si="1"/>
        <v>0</v>
      </c>
    </row>
    <row r="41" spans="1:22" ht="15" customHeight="1" x14ac:dyDescent="0.25">
      <c r="A41" s="4" t="s">
        <v>300</v>
      </c>
      <c r="B41" s="138">
        <f>IFERROR(AVERAGEIFS(Upload_Indiv[Hdcp],Upload_Indiv[[Player]:[Player]],$A41),"")</f>
        <v>9.7753846153846151</v>
      </c>
      <c r="C41" s="138">
        <f>IFERROR(AVERAGEIFS(Upload_Indiv[Score1],Upload_Indiv[[Player]:[Player]],$A41,Upload_Indiv[[Side]:[Side]],"Raintree Front")-IF(TRUNC(ROUND($B41,0)/9,0)=2,2+IF((ROUND($B41,0)-18)*2&gt;=C$2,1,0),IF(TRUNC(ROUND($B41,0)/9,0)=1,1+IF((ROUND($B41,0)-9)*2&gt;=C$2,1,0),IF(TRUNC(ROUND($B41,0)/9,0)=0,IF(TRUNC(ROUND($B41,0)/9,0)=0,0+IF((ROUND($B41,0))*2&gt;=C$2,1,0),"Not"))))-C$3,"")</f>
        <v>1.333333333333333</v>
      </c>
      <c r="D41" s="138">
        <f>IFERROR(AVERAGEIFS(Upload_Indiv[Score2],Upload_Indiv[[Player]:[Player]],$A41,Upload_Indiv[[Side]:[Side]],"Raintree Front")-IF(TRUNC(ROUND($B41,0)/9,0)=2,2+IF((ROUND($B41,0)-18)*2&gt;=D$2,1,0),IF(TRUNC(ROUND($B41,0)/9,0)=1,1+IF((ROUND($B41,0)-9)*2&gt;=D$2,1,0),IF(TRUNC(ROUND($B41,0)/9,0)=0,IF(TRUNC(ROUND($B41,0)/9,0)=0,0+IF((ROUND($B41,0))*2&gt;=D$2,1,0),"Not"))))-D$3,"")</f>
        <v>0.33333333333333304</v>
      </c>
      <c r="E41" s="138">
        <f>IFERROR(AVERAGEIFS(Upload_Indiv[Score3],Upload_Indiv[[Player]:[Player]],$A41,Upload_Indiv[[Side]:[Side]],"Raintree Front")-IF(TRUNC(ROUND($B41,0)/9,0)=2,2+IF((ROUND($B41,0)-18)*2&gt;=E$2,1,0),IF(TRUNC(ROUND($B41,0)/9,0)=1,1+IF((ROUND($B41,0)-9)*2&gt;=E$2,1,0),IF(TRUNC(ROUND($B41,0)/9,0)=0,IF(TRUNC(ROUND($B41,0)/9,0)=0,0+IF((ROUND($B41,0))*2&gt;=E$2,1,0),"Not"))))-E$3,"")</f>
        <v>0</v>
      </c>
      <c r="F41" s="138">
        <f>IFERROR(AVERAGEIFS(Upload_Indiv[Score4],Upload_Indiv[[Player]:[Player]],$A41,Upload_Indiv[[Side]:[Side]],"Raintree Front")-IF(TRUNC(ROUND($B41,0)/9,0)=2,2+IF((ROUND($B41,0)-18)*2&gt;=F$2,1,0),IF(TRUNC(ROUND($B41,0)/9,0)=1,1+IF((ROUND($B41,0)-9)*2&gt;=F$2,1,0),IF(TRUNC(ROUND($B41,0)/9,0)=0,IF(TRUNC(ROUND($B41,0)/9,0)=0,0+IF((ROUND($B41,0))*2&gt;=F$2,1,0),"Not"))))-F$3,"")</f>
        <v>0.33333333333333304</v>
      </c>
      <c r="G41" s="138">
        <f>IFERROR(AVERAGEIFS(Upload_Indiv[Score5],Upload_Indiv[[Player]:[Player]],$A41,Upload_Indiv[[Side]:[Side]],"Raintree Front")-IF(TRUNC(ROUND($B41,0)/9,0)=2,2+IF((ROUND($B41,0)-18)*2&gt;=G$2,1,0),IF(TRUNC(ROUND($B41,0)/9,0)=1,1+IF((ROUND($B41,0)-9)*2&gt;=G$2,1,0),IF(TRUNC(ROUND($B41,0)/9,0)=0,IF(TRUNC(ROUND($B41,0)/9,0)=0,0+IF((ROUND($B41,0))*2&gt;=G$2,1,0),"Not"))))-G$3,"")</f>
        <v>0</v>
      </c>
      <c r="H41" s="138">
        <f>IFERROR(AVERAGEIFS(Upload_Indiv[Score6],Upload_Indiv[[Player]:[Player]],$A41,Upload_Indiv[[Side]:[Side]],"Raintree Front")-IF(TRUNC(ROUND($B41,0)/9,0)=2,2+IF((ROUND($B41,0)-18)*2&gt;=H$2,1,0),IF(TRUNC(ROUND($B41,0)/9,0)=1,1+IF((ROUND($B41,0)-9)*2&gt;=H$2,1,0),IF(TRUNC(ROUND($B41,0)/9,0)=0,IF(TRUNC(ROUND($B41,0)/9,0)=0,0+IF((ROUND($B41,0))*2&gt;=H$2,1,0),"Not"))))-H$3,"")</f>
        <v>0</v>
      </c>
      <c r="I41" s="138">
        <f>IFERROR(AVERAGEIFS(Upload_Indiv[Score7],Upload_Indiv[[Player]:[Player]],$A41,Upload_Indiv[[Side]:[Side]],"Raintree Front")-IF(TRUNC(ROUND($B41,0)/9,0)=2,2+IF((ROUND($B41,0)-18)*2&gt;=I$2,1,0),IF(TRUNC(ROUND($B41,0)/9,0)=1,1+IF((ROUND($B41,0)-9)*2&gt;=I$2,1,0),IF(TRUNC(ROUND($B41,0)/9,0)=0,IF(TRUNC(ROUND($B41,0)/9,0)=0,0+IF((ROUND($B41,0))*2&gt;=I$2,1,0),"Not"))))-I$3,"")</f>
        <v>1.166666666666667</v>
      </c>
      <c r="J41" s="138">
        <f>IFERROR(AVERAGEIFS(Upload_Indiv[Score8],Upload_Indiv[[Player]:[Player]],$A41,Upload_Indiv[[Side]:[Side]],"Raintree Front")-IF(TRUNC(ROUND($B41,0)/9,0)=2,2+IF((ROUND($B41,0)-18)*2&gt;=J$2,1,0),IF(TRUNC(ROUND($B41,0)/9,0)=1,1+IF((ROUND($B41,0)-9)*2&gt;=J$2,1,0),IF(TRUNC(ROUND($B41,0)/9,0)=0,IF(TRUNC(ROUND($B41,0)/9,0)=0,0+IF((ROUND($B41,0))*2&gt;=J$2,1,0),"Not"))))-J$3,"")</f>
        <v>0.5</v>
      </c>
      <c r="K41" s="138">
        <f>IFERROR(AVERAGEIFS(Upload_Indiv[Score9],Upload_Indiv[[Player]:[Player]],$A41,Upload_Indiv[[Side]:[Side]],"Raintree Front")-IF(TRUNC(ROUND($B41,0)/9,0)=2,2+IF((ROUND($B41,0)-18)*2&gt;=K$2,1,0),IF(TRUNC(ROUND($B41,0)/9,0)=1,1+IF((ROUND($B41,0)-9)*2&gt;=K$2,1,0),IF(TRUNC(ROUND($B41,0)/9,0)=0,IF(TRUNC(ROUND($B41,0)/9,0)=0,0+IF((ROUND($B41,0))*2&gt;=K$2,1,0),"Not"))))-K$3,"")</f>
        <v>0.83333333333333304</v>
      </c>
      <c r="L41" s="138">
        <f t="shared" si="0"/>
        <v>4.4999999999999991</v>
      </c>
      <c r="M41" s="138">
        <f>IFERROR(AVERAGEIFS(Upload_Indiv[Score1],Upload_Indiv[[Player]:[Player]],$A41,Upload_Indiv[[Side]:[Side]],"Raintree Back")-IF(TRUNC(ROUND($B41,0)/9,0)=2,2+IF((ROUND($B41,0)-18)*2&gt;=M$2,1,0),IF(TRUNC(ROUND($B41,0)/9,0)=1,1+IF((ROUND($B41,0)-9)*2&gt;=M$2,1,0),IF(TRUNC(ROUND($B41,0)/9,0)=0,IF(TRUNC(ROUND($B41,0)/9,0)=0,0+IF((ROUND($B41,0))*2&gt;=M$2,1,0),"Not"))))-M$3,"")</f>
        <v>-0.28571428571428559</v>
      </c>
      <c r="N41" s="138">
        <f>IFERROR(AVERAGEIFS(Upload_Indiv[Score2],Upload_Indiv[[Player]:[Player]],$A41,Upload_Indiv[[Side]:[Side]],"Raintree Back")-IF(TRUNC(ROUND($B41,0)/9,0)=2,2+IF((ROUND($B41,0)-18)*2&gt;=N$2,1,0),IF(TRUNC(ROUND($B41,0)/9,0)=1,1+IF((ROUND($B41,0)-9)*2&gt;=N$2,1,0),IF(TRUNC(ROUND($B41,0)/9,0)=0,IF(TRUNC(ROUND($B41,0)/9,0)=0,0+IF((ROUND($B41,0))*2&gt;=N$2,1,0),"Not"))))-N$3,"")</f>
        <v>-0.28571428571428559</v>
      </c>
      <c r="O41" s="138">
        <f>IFERROR(AVERAGEIFS(Upload_Indiv[Score3],Upload_Indiv[[Player]:[Player]],$A41,Upload_Indiv[[Side]:[Side]],"Raintree Back")-IF(TRUNC(ROUND($B41,0)/9,0)=2,2+IF((ROUND($B41,0)-18)*2&gt;=O$2,1,0),IF(TRUNC(ROUND($B41,0)/9,0)=1,1+IF((ROUND($B41,0)-9)*2&gt;=O$2,1,0),IF(TRUNC(ROUND($B41,0)/9,0)=0,IF(TRUNC(ROUND($B41,0)/9,0)=0,0+IF((ROUND($B41,0))*2&gt;=O$2,1,0),"Not"))))-O$3,"")</f>
        <v>0.14285714285714324</v>
      </c>
      <c r="P41" s="138">
        <f>IFERROR(AVERAGEIFS(Upload_Indiv[Score4],Upload_Indiv[[Player]:[Player]],$A41,Upload_Indiv[[Side]:[Side]],"Raintree Back")-IF(TRUNC(ROUND($B41,0)/9,0)=2,2+IF((ROUND($B41,0)-18)*2&gt;=P$2,1,0),IF(TRUNC(ROUND($B41,0)/9,0)=1,1+IF((ROUND($B41,0)-9)*2&gt;=P$2,1,0),IF(TRUNC(ROUND($B41,0)/9,0)=0,IF(TRUNC(ROUND($B41,0)/9,0)=0,0+IF((ROUND($B41,0))*2&gt;=P$2,1,0),"Not"))))-P$3,"")</f>
        <v>0.57142857142857117</v>
      </c>
      <c r="Q41" s="138">
        <f>IFERROR(AVERAGEIFS(Upload_Indiv[Score5],Upload_Indiv[[Player]:[Player]],$A41,Upload_Indiv[[Side]:[Side]],"Raintree Back")-IF(TRUNC(ROUND($B41,0)/9,0)=2,2+IF((ROUND($B41,0)-18)*2&gt;=Q$2,1,0),IF(TRUNC(ROUND($B41,0)/9,0)=1,1+IF((ROUND($B41,0)-9)*2&gt;=Q$2,1,0),IF(TRUNC(ROUND($B41,0)/9,0)=0,IF(TRUNC(ROUND($B41,0)/9,0)=0,0+IF((ROUND($B41,0))*2&gt;=Q$2,1,0),"Not"))))-Q$3,"")</f>
        <v>-0.28571428571428559</v>
      </c>
      <c r="R41" s="138">
        <f>IFERROR(AVERAGEIFS(Upload_Indiv[Score6],Upload_Indiv[[Player]:[Player]],$A41,Upload_Indiv[[Side]:[Side]],"Raintree Back")-IF(TRUNC(ROUND($B41,0)/9,0)=2,2+IF((ROUND($B41,0)-18)*2&gt;=R$2,1,0),IF(TRUNC(ROUND($B41,0)/9,0)=1,1+IF((ROUND($B41,0)-9)*2&gt;=R$2,1,0),IF(TRUNC(ROUND($B41,0)/9,0)=0,IF(TRUNC(ROUND($B41,0)/9,0)=0,0+IF((ROUND($B41,0))*2&gt;=R$2,1,0),"Not"))))-R$3,"")</f>
        <v>0.71428571428571441</v>
      </c>
      <c r="S41" s="138">
        <f>IFERROR(AVERAGEIFS(Upload_Indiv[Score7],Upload_Indiv[[Player]:[Player]],$A41,Upload_Indiv[[Side]:[Side]],"Raintree Back")-IF(TRUNC(ROUND($B41,0)/9,0)=2,2+IF((ROUND($B41,0)-18)*2&gt;=S$2,1,0),IF(TRUNC(ROUND($B41,0)/9,0)=1,1+IF((ROUND($B41,0)-9)*2&gt;=S$2,1,0),IF(TRUNC(ROUND($B41,0)/9,0)=0,IF(TRUNC(ROUND($B41,0)/9,0)=0,0+IF((ROUND($B41,0))*2&gt;=S$2,1,0),"Not"))))-S$3,"")</f>
        <v>-0.14285714285714279</v>
      </c>
      <c r="T41" s="138">
        <f>IFERROR(AVERAGEIFS(Upload_Indiv[Score8],Upload_Indiv[[Player]:[Player]],$A41,Upload_Indiv[[Side]:[Side]],"Raintree Back")-IF(TRUNC(ROUND($B41,0)/9,0)=2,2+IF((ROUND($B41,0)-18)*2&gt;=T$2,1,0),IF(TRUNC(ROUND($B41,0)/9,0)=1,1+IF((ROUND($B41,0)-9)*2&gt;=T$2,1,0),IF(TRUNC(ROUND($B41,0)/9,0)=0,IF(TRUNC(ROUND($B41,0)/9,0)=0,0+IF((ROUND($B41,0))*2&gt;=T$2,1,0),"Not"))))-T$3,"")</f>
        <v>0.28571428571428559</v>
      </c>
      <c r="U41" s="138">
        <f>IFERROR(AVERAGEIFS(Upload_Indiv[Score9],Upload_Indiv[[Player]:[Player]],$A41,Upload_Indiv[[Side]:[Side]],"Raintree Back")-IF(TRUNC(ROUND($B41,0)/9,0)=2,2+IF((ROUND($B41,0)-18)*2&gt;=U$2,1,0),IF(TRUNC(ROUND($B41,0)/9,0)=1,1+IF((ROUND($B41,0)-9)*2&gt;=U$2,1,0),IF(TRUNC(ROUND($B41,0)/9,0)=0,IF(TRUNC(ROUND($B41,0)/9,0)=0,0+IF((ROUND($B41,0))*2&gt;=U$2,1,0),"Not"))))-U$3,"")</f>
        <v>1</v>
      </c>
      <c r="V41" s="138">
        <f t="shared" si="1"/>
        <v>1.7142857142857149</v>
      </c>
    </row>
    <row r="42" spans="1:22" ht="15" customHeight="1" x14ac:dyDescent="0.25">
      <c r="A42" s="4" t="s">
        <v>298</v>
      </c>
      <c r="B42" s="138">
        <f>IFERROR(AVERAGEIFS(Upload_Indiv[Hdcp],Upload_Indiv[[Player]:[Player]],$A42),"")</f>
        <v>8.0299999999999994</v>
      </c>
      <c r="C42" s="138">
        <f>IFERROR(AVERAGEIFS(Upload_Indiv[Score1],Upload_Indiv[[Player]:[Player]],$A42,Upload_Indiv[[Side]:[Side]],"Raintree Front")-IF(TRUNC(ROUND($B42,0)/9,0)=2,2+IF((ROUND($B42,0)-18)*2&gt;=C$2,1,0),IF(TRUNC(ROUND($B42,0)/9,0)=1,1+IF((ROUND($B42,0)-9)*2&gt;=C$2,1,0),IF(TRUNC(ROUND($B42,0)/9,0)=0,IF(TRUNC(ROUND($B42,0)/9,0)=0,0+IF((ROUND($B42,0))*2&gt;=C$2,1,0),"Not"))))-C$3,"")</f>
        <v>1</v>
      </c>
      <c r="D42" s="138">
        <f>IFERROR(AVERAGEIFS(Upload_Indiv[Score2],Upload_Indiv[[Player]:[Player]],$A42,Upload_Indiv[[Side]:[Side]],"Raintree Front")-IF(TRUNC(ROUND($B42,0)/9,0)=2,2+IF((ROUND($B42,0)-18)*2&gt;=D$2,1,0),IF(TRUNC(ROUND($B42,0)/9,0)=1,1+IF((ROUND($B42,0)-9)*2&gt;=D$2,1,0),IF(TRUNC(ROUND($B42,0)/9,0)=0,IF(TRUNC(ROUND($B42,0)/9,0)=0,0+IF((ROUND($B42,0))*2&gt;=D$2,1,0),"Not"))))-D$3,"")</f>
        <v>0.66666666666666696</v>
      </c>
      <c r="E42" s="138">
        <f>IFERROR(AVERAGEIFS(Upload_Indiv[Score3],Upload_Indiv[[Player]:[Player]],$A42,Upload_Indiv[[Side]:[Side]],"Raintree Front")-IF(TRUNC(ROUND($B42,0)/9,0)=2,2+IF((ROUND($B42,0)-18)*2&gt;=E$2,1,0),IF(TRUNC(ROUND($B42,0)/9,0)=1,1+IF((ROUND($B42,0)-9)*2&gt;=E$2,1,0),IF(TRUNC(ROUND($B42,0)/9,0)=0,IF(TRUNC(ROUND($B42,0)/9,0)=0,0+IF((ROUND($B42,0))*2&gt;=E$2,1,0),"Not"))))-E$3,"")</f>
        <v>0.33333333333333304</v>
      </c>
      <c r="F42" s="138">
        <f>IFERROR(AVERAGEIFS(Upload_Indiv[Score4],Upload_Indiv[[Player]:[Player]],$A42,Upload_Indiv[[Side]:[Side]],"Raintree Front")-IF(TRUNC(ROUND($B42,0)/9,0)=2,2+IF((ROUND($B42,0)-18)*2&gt;=F$2,1,0),IF(TRUNC(ROUND($B42,0)/9,0)=1,1+IF((ROUND($B42,0)-9)*2&gt;=F$2,1,0),IF(TRUNC(ROUND($B42,0)/9,0)=0,IF(TRUNC(ROUND($B42,0)/9,0)=0,0+IF((ROUND($B42,0))*2&gt;=F$2,1,0),"Not"))))-F$3,"")</f>
        <v>0</v>
      </c>
      <c r="G42" s="138">
        <f>IFERROR(AVERAGEIFS(Upload_Indiv[Score5],Upload_Indiv[[Player]:[Player]],$A42,Upload_Indiv[[Side]:[Side]],"Raintree Front")-IF(TRUNC(ROUND($B42,0)/9,0)=2,2+IF((ROUND($B42,0)-18)*2&gt;=G$2,1,0),IF(TRUNC(ROUND($B42,0)/9,0)=1,1+IF((ROUND($B42,0)-9)*2&gt;=G$2,1,0),IF(TRUNC(ROUND($B42,0)/9,0)=0,IF(TRUNC(ROUND($B42,0)/9,0)=0,0+IF((ROUND($B42,0))*2&gt;=G$2,1,0),"Not"))))-G$3,"")</f>
        <v>1.333333333333333</v>
      </c>
      <c r="H42" s="138">
        <f>IFERROR(AVERAGEIFS(Upload_Indiv[Score6],Upload_Indiv[[Player]:[Player]],$A42,Upload_Indiv[[Side]:[Side]],"Raintree Front")-IF(TRUNC(ROUND($B42,0)/9,0)=2,2+IF((ROUND($B42,0)-18)*2&gt;=H$2,1,0),IF(TRUNC(ROUND($B42,0)/9,0)=1,1+IF((ROUND($B42,0)-9)*2&gt;=H$2,1,0),IF(TRUNC(ROUND($B42,0)/9,0)=0,IF(TRUNC(ROUND($B42,0)/9,0)=0,0+IF((ROUND($B42,0))*2&gt;=H$2,1,0),"Not"))))-H$3,"")</f>
        <v>0.16666666666666696</v>
      </c>
      <c r="I42" s="138">
        <f>IFERROR(AVERAGEIFS(Upload_Indiv[Score7],Upload_Indiv[[Player]:[Player]],$A42,Upload_Indiv[[Side]:[Side]],"Raintree Front")-IF(TRUNC(ROUND($B42,0)/9,0)=2,2+IF((ROUND($B42,0)-18)*2&gt;=I$2,1,0),IF(TRUNC(ROUND($B42,0)/9,0)=1,1+IF((ROUND($B42,0)-9)*2&gt;=I$2,1,0),IF(TRUNC(ROUND($B42,0)/9,0)=0,IF(TRUNC(ROUND($B42,0)/9,0)=0,0+IF((ROUND($B42,0))*2&gt;=I$2,1,0),"Not"))))-I$3,"")</f>
        <v>1.5</v>
      </c>
      <c r="J42" s="138">
        <f>IFERROR(AVERAGEIFS(Upload_Indiv[Score8],Upload_Indiv[[Player]:[Player]],$A42,Upload_Indiv[[Side]:[Side]],"Raintree Front")-IF(TRUNC(ROUND($B42,0)/9,0)=2,2+IF((ROUND($B42,0)-18)*2&gt;=J$2,1,0),IF(TRUNC(ROUND($B42,0)/9,0)=1,1+IF((ROUND($B42,0)-9)*2&gt;=J$2,1,0),IF(TRUNC(ROUND($B42,0)/9,0)=0,IF(TRUNC(ROUND($B42,0)/9,0)=0,0+IF((ROUND($B42,0))*2&gt;=J$2,1,0),"Not"))))-J$3,"")</f>
        <v>0.5</v>
      </c>
      <c r="K42" s="138">
        <f>IFERROR(AVERAGEIFS(Upload_Indiv[Score9],Upload_Indiv[[Player]:[Player]],$A42,Upload_Indiv[[Side]:[Side]],"Raintree Front")-IF(TRUNC(ROUND($B42,0)/9,0)=2,2+IF((ROUND($B42,0)-18)*2&gt;=K$2,1,0),IF(TRUNC(ROUND($B42,0)/9,0)=1,1+IF((ROUND($B42,0)-9)*2&gt;=K$2,1,0),IF(TRUNC(ROUND($B42,0)/9,0)=0,IF(TRUNC(ROUND($B42,0)/9,0)=0,0+IF((ROUND($B42,0))*2&gt;=K$2,1,0),"Not"))))-K$3,"")</f>
        <v>0.83333333333333304</v>
      </c>
      <c r="L42" s="138">
        <f t="shared" si="0"/>
        <v>6.333333333333333</v>
      </c>
      <c r="M42" s="138">
        <f>IFERROR(AVERAGEIFS(Upload_Indiv[Score1],Upload_Indiv[[Player]:[Player]],$A42,Upload_Indiv[[Side]:[Side]],"Raintree Back")-IF(TRUNC(ROUND($B42,0)/9,0)=2,2+IF((ROUND($B42,0)-18)*2&gt;=M$2,1,0),IF(TRUNC(ROUND($B42,0)/9,0)=1,1+IF((ROUND($B42,0)-9)*2&gt;=M$2,1,0),IF(TRUNC(ROUND($B42,0)/9,0)=0,IF(TRUNC(ROUND($B42,0)/9,0)=0,0+IF((ROUND($B42,0))*2&gt;=M$2,1,0),"Not"))))-M$3,"")</f>
        <v>-0.33333333333333304</v>
      </c>
      <c r="N42" s="138">
        <f>IFERROR(AVERAGEIFS(Upload_Indiv[Score2],Upload_Indiv[[Player]:[Player]],$A42,Upload_Indiv[[Side]:[Side]],"Raintree Back")-IF(TRUNC(ROUND($B42,0)/9,0)=2,2+IF((ROUND($B42,0)-18)*2&gt;=N$2,1,0),IF(TRUNC(ROUND($B42,0)/9,0)=1,1+IF((ROUND($B42,0)-9)*2&gt;=N$2,1,0),IF(TRUNC(ROUND($B42,0)/9,0)=0,IF(TRUNC(ROUND($B42,0)/9,0)=0,0+IF((ROUND($B42,0))*2&gt;=N$2,1,0),"Not"))))-N$3,"")</f>
        <v>0.5</v>
      </c>
      <c r="O42" s="138">
        <f>IFERROR(AVERAGEIFS(Upload_Indiv[Score3],Upload_Indiv[[Player]:[Player]],$A42,Upload_Indiv[[Side]:[Side]],"Raintree Back")-IF(TRUNC(ROUND($B42,0)/9,0)=2,2+IF((ROUND($B42,0)-18)*2&gt;=O$2,1,0),IF(TRUNC(ROUND($B42,0)/9,0)=1,1+IF((ROUND($B42,0)-9)*2&gt;=O$2,1,0),IF(TRUNC(ROUND($B42,0)/9,0)=0,IF(TRUNC(ROUND($B42,0)/9,0)=0,0+IF((ROUND($B42,0))*2&gt;=O$2,1,0),"Not"))))-O$3,"")</f>
        <v>0.33333333333333304</v>
      </c>
      <c r="P42" s="138">
        <f>IFERROR(AVERAGEIFS(Upload_Indiv[Score4],Upload_Indiv[[Player]:[Player]],$A42,Upload_Indiv[[Side]:[Side]],"Raintree Back")-IF(TRUNC(ROUND($B42,0)/9,0)=2,2+IF((ROUND($B42,0)-18)*2&gt;=P$2,1,0),IF(TRUNC(ROUND($B42,0)/9,0)=1,1+IF((ROUND($B42,0)-9)*2&gt;=P$2,1,0),IF(TRUNC(ROUND($B42,0)/9,0)=0,IF(TRUNC(ROUND($B42,0)/9,0)=0,0+IF((ROUND($B42,0))*2&gt;=P$2,1,0),"Not"))))-P$3,"")</f>
        <v>0.66666666666666696</v>
      </c>
      <c r="Q42" s="138">
        <f>IFERROR(AVERAGEIFS(Upload_Indiv[Score5],Upload_Indiv[[Player]:[Player]],$A42,Upload_Indiv[[Side]:[Side]],"Raintree Back")-IF(TRUNC(ROUND($B42,0)/9,0)=2,2+IF((ROUND($B42,0)-18)*2&gt;=Q$2,1,0),IF(TRUNC(ROUND($B42,0)/9,0)=1,1+IF((ROUND($B42,0)-9)*2&gt;=Q$2,1,0),IF(TRUNC(ROUND($B42,0)/9,0)=0,IF(TRUNC(ROUND($B42,0)/9,0)=0,0+IF((ROUND($B42,0))*2&gt;=Q$2,1,0),"Not"))))-Q$3,"")</f>
        <v>0.16666666666666696</v>
      </c>
      <c r="R42" s="138">
        <f>IFERROR(AVERAGEIFS(Upload_Indiv[Score6],Upload_Indiv[[Player]:[Player]],$A42,Upload_Indiv[[Side]:[Side]],"Raintree Back")-IF(TRUNC(ROUND($B42,0)/9,0)=2,2+IF((ROUND($B42,0)-18)*2&gt;=R$2,1,0),IF(TRUNC(ROUND($B42,0)/9,0)=1,1+IF((ROUND($B42,0)-9)*2&gt;=R$2,1,0),IF(TRUNC(ROUND($B42,0)/9,0)=0,IF(TRUNC(ROUND($B42,0)/9,0)=0,0+IF((ROUND($B42,0))*2&gt;=R$2,1,0),"Not"))))-R$3,"")</f>
        <v>0.33333333333333304</v>
      </c>
      <c r="S42" s="138">
        <f>IFERROR(AVERAGEIFS(Upload_Indiv[Score7],Upload_Indiv[[Player]:[Player]],$A42,Upload_Indiv[[Side]:[Side]],"Raintree Back")-IF(TRUNC(ROUND($B42,0)/9,0)=2,2+IF((ROUND($B42,0)-18)*2&gt;=S$2,1,0),IF(TRUNC(ROUND($B42,0)/9,0)=1,1+IF((ROUND($B42,0)-9)*2&gt;=S$2,1,0),IF(TRUNC(ROUND($B42,0)/9,0)=0,IF(TRUNC(ROUND($B42,0)/9,0)=0,0+IF((ROUND($B42,0))*2&gt;=S$2,1,0),"Not"))))-S$3,"")</f>
        <v>0.5</v>
      </c>
      <c r="T42" s="138">
        <f>IFERROR(AVERAGEIFS(Upload_Indiv[Score8],Upload_Indiv[[Player]:[Player]],$A42,Upload_Indiv[[Side]:[Side]],"Raintree Back")-IF(TRUNC(ROUND($B42,0)/9,0)=2,2+IF((ROUND($B42,0)-18)*2&gt;=T$2,1,0),IF(TRUNC(ROUND($B42,0)/9,0)=1,1+IF((ROUND($B42,0)-9)*2&gt;=T$2,1,0),IF(TRUNC(ROUND($B42,0)/9,0)=0,IF(TRUNC(ROUND($B42,0)/9,0)=0,0+IF((ROUND($B42,0))*2&gt;=T$2,1,0),"Not"))))-T$3,"")</f>
        <v>0.16666666666666696</v>
      </c>
      <c r="U42" s="138">
        <f>IFERROR(AVERAGEIFS(Upload_Indiv[Score9],Upload_Indiv[[Player]:[Player]],$A42,Upload_Indiv[[Side]:[Side]],"Raintree Back")-IF(TRUNC(ROUND($B42,0)/9,0)=2,2+IF((ROUND($B42,0)-18)*2&gt;=U$2,1,0),IF(TRUNC(ROUND($B42,0)/9,0)=1,1+IF((ROUND($B42,0)-9)*2&gt;=U$2,1,0),IF(TRUNC(ROUND($B42,0)/9,0)=0,IF(TRUNC(ROUND($B42,0)/9,0)=0,0+IF((ROUND($B42,0))*2&gt;=U$2,1,0),"Not"))))-U$3,"")</f>
        <v>1</v>
      </c>
      <c r="V42" s="138">
        <f t="shared" si="1"/>
        <v>3.3333333333333339</v>
      </c>
    </row>
    <row r="43" spans="1:22" ht="15" customHeight="1" x14ac:dyDescent="0.25">
      <c r="A43" s="4" t="s">
        <v>265</v>
      </c>
      <c r="B43" s="138">
        <f>IFERROR(AVERAGEIFS(Upload_Indiv[Hdcp],Upload_Indiv[[Player]:[Player]],$A43),"")</f>
        <v>18.496428571428567</v>
      </c>
      <c r="C43" s="138">
        <f>IFERROR(AVERAGEIFS(Upload_Indiv[Score1],Upload_Indiv[[Player]:[Player]],$A43,Upload_Indiv[[Side]:[Side]],"Raintree Front")-IF(TRUNC(ROUND($B43,0)/9,0)=2,2+IF((ROUND($B43,0)-18)*2&gt;=C$2,1,0),IF(TRUNC(ROUND($B43,0)/9,0)=1,1+IF((ROUND($B43,0)-9)*2&gt;=C$2,1,0),IF(TRUNC(ROUND($B43,0)/9,0)=0,IF(TRUNC(ROUND($B43,0)/9,0)=0,0+IF((ROUND($B43,0))*2&gt;=C$2,1,0),"Not"))))-C$3,"")</f>
        <v>1.166666666666667</v>
      </c>
      <c r="D43" s="138">
        <f>IFERROR(AVERAGEIFS(Upload_Indiv[Score2],Upload_Indiv[[Player]:[Player]],$A43,Upload_Indiv[[Side]:[Side]],"Raintree Front")-IF(TRUNC(ROUND($B43,0)/9,0)=2,2+IF((ROUND($B43,0)-18)*2&gt;=D$2,1,0),IF(TRUNC(ROUND($B43,0)/9,0)=1,1+IF((ROUND($B43,0)-9)*2&gt;=D$2,1,0),IF(TRUNC(ROUND($B43,0)/9,0)=0,IF(TRUNC(ROUND($B43,0)/9,0)=0,0+IF((ROUND($B43,0))*2&gt;=D$2,1,0),"Not"))))-D$3,"")</f>
        <v>0.16666666666666696</v>
      </c>
      <c r="E43" s="138">
        <f>IFERROR(AVERAGEIFS(Upload_Indiv[Score3],Upload_Indiv[[Player]:[Player]],$A43,Upload_Indiv[[Side]:[Side]],"Raintree Front")-IF(TRUNC(ROUND($B43,0)/9,0)=2,2+IF((ROUND($B43,0)-18)*2&gt;=E$2,1,0),IF(TRUNC(ROUND($B43,0)/9,0)=1,1+IF((ROUND($B43,0)-9)*2&gt;=E$2,1,0),IF(TRUNC(ROUND($B43,0)/9,0)=0,IF(TRUNC(ROUND($B43,0)/9,0)=0,0+IF((ROUND($B43,0))*2&gt;=E$2,1,0),"Not"))))-E$3,"")</f>
        <v>0.16666666666666696</v>
      </c>
      <c r="F43" s="138">
        <f>IFERROR(AVERAGEIFS(Upload_Indiv[Score4],Upload_Indiv[[Player]:[Player]],$A43,Upload_Indiv[[Side]:[Side]],"Raintree Front")-IF(TRUNC(ROUND($B43,0)/9,0)=2,2+IF((ROUND($B43,0)-18)*2&gt;=F$2,1,0),IF(TRUNC(ROUND($B43,0)/9,0)=1,1+IF((ROUND($B43,0)-9)*2&gt;=F$2,1,0),IF(TRUNC(ROUND($B43,0)/9,0)=0,IF(TRUNC(ROUND($B43,0)/9,0)=0,0+IF((ROUND($B43,0))*2&gt;=F$2,1,0),"Not"))))-F$3,"")</f>
        <v>0.5</v>
      </c>
      <c r="G43" s="138">
        <f>IFERROR(AVERAGEIFS(Upload_Indiv[Score5],Upload_Indiv[[Player]:[Player]],$A43,Upload_Indiv[[Side]:[Side]],"Raintree Front")-IF(TRUNC(ROUND($B43,0)/9,0)=2,2+IF((ROUND($B43,0)-18)*2&gt;=G$2,1,0),IF(TRUNC(ROUND($B43,0)/9,0)=1,1+IF((ROUND($B43,0)-9)*2&gt;=G$2,1,0),IF(TRUNC(ROUND($B43,0)/9,0)=0,IF(TRUNC(ROUND($B43,0)/9,0)=0,0+IF((ROUND($B43,0))*2&gt;=G$2,1,0),"Not"))))-G$3,"")</f>
        <v>-0.16666666666666696</v>
      </c>
      <c r="H43" s="138">
        <f>IFERROR(AVERAGEIFS(Upload_Indiv[Score6],Upload_Indiv[[Player]:[Player]],$A43,Upload_Indiv[[Side]:[Side]],"Raintree Front")-IF(TRUNC(ROUND($B43,0)/9,0)=2,2+IF((ROUND($B43,0)-18)*2&gt;=H$2,1,0),IF(TRUNC(ROUND($B43,0)/9,0)=1,1+IF((ROUND($B43,0)-9)*2&gt;=H$2,1,0),IF(TRUNC(ROUND($B43,0)/9,0)=0,IF(TRUNC(ROUND($B43,0)/9,0)=0,0+IF((ROUND($B43,0))*2&gt;=H$2,1,0),"Not"))))-H$3,"")</f>
        <v>1</v>
      </c>
      <c r="I43" s="138">
        <f>IFERROR(AVERAGEIFS(Upload_Indiv[Score7],Upload_Indiv[[Player]:[Player]],$A43,Upload_Indiv[[Side]:[Side]],"Raintree Front")-IF(TRUNC(ROUND($B43,0)/9,0)=2,2+IF((ROUND($B43,0)-18)*2&gt;=I$2,1,0),IF(TRUNC(ROUND($B43,0)/9,0)=1,1+IF((ROUND($B43,0)-9)*2&gt;=I$2,1,0),IF(TRUNC(ROUND($B43,0)/9,0)=0,IF(TRUNC(ROUND($B43,0)/9,0)=0,0+IF((ROUND($B43,0))*2&gt;=I$2,1,0),"Not"))))-I$3,"")</f>
        <v>0.16666666666666696</v>
      </c>
      <c r="J43" s="138">
        <f>IFERROR(AVERAGEIFS(Upload_Indiv[Score8],Upload_Indiv[[Player]:[Player]],$A43,Upload_Indiv[[Side]:[Side]],"Raintree Front")-IF(TRUNC(ROUND($B43,0)/9,0)=2,2+IF((ROUND($B43,0)-18)*2&gt;=J$2,1,0),IF(TRUNC(ROUND($B43,0)/9,0)=1,1+IF((ROUND($B43,0)-9)*2&gt;=J$2,1,0),IF(TRUNC(ROUND($B43,0)/9,0)=0,IF(TRUNC(ROUND($B43,0)/9,0)=0,0+IF((ROUND($B43,0))*2&gt;=J$2,1,0),"Not"))))-J$3,"")</f>
        <v>-0.16666666666666696</v>
      </c>
      <c r="K43" s="138">
        <f>IFERROR(AVERAGEIFS(Upload_Indiv[Score9],Upload_Indiv[[Player]:[Player]],$A43,Upload_Indiv[[Side]:[Side]],"Raintree Front")-IF(TRUNC(ROUND($B43,0)/9,0)=2,2+IF((ROUND($B43,0)-18)*2&gt;=K$2,1,0),IF(TRUNC(ROUND($B43,0)/9,0)=1,1+IF((ROUND($B43,0)-9)*2&gt;=K$2,1,0),IF(TRUNC(ROUND($B43,0)/9,0)=0,IF(TRUNC(ROUND($B43,0)/9,0)=0,0+IF((ROUND($B43,0))*2&gt;=K$2,1,0),"Not"))))-K$3,"")</f>
        <v>-0.16666666666666696</v>
      </c>
      <c r="L43" s="138">
        <f t="shared" si="0"/>
        <v>2.666666666666667</v>
      </c>
      <c r="M43" s="138">
        <f>IFERROR(AVERAGEIFS(Upload_Indiv[Score1],Upload_Indiv[[Player]:[Player]],$A43,Upload_Indiv[[Side]:[Side]],"Raintree Back")-IF(TRUNC(ROUND($B43,0)/9,0)=2,2+IF((ROUND($B43,0)-18)*2&gt;=M$2,1,0),IF(TRUNC(ROUND($B43,0)/9,0)=1,1+IF((ROUND($B43,0)-9)*2&gt;=M$2,1,0),IF(TRUNC(ROUND($B43,0)/9,0)=0,IF(TRUNC(ROUND($B43,0)/9,0)=0,0+IF((ROUND($B43,0))*2&gt;=M$2,1,0),"Not"))))-M$3,"")</f>
        <v>0.375</v>
      </c>
      <c r="N43" s="138">
        <f>IFERROR(AVERAGEIFS(Upload_Indiv[Score2],Upload_Indiv[[Player]:[Player]],$A43,Upload_Indiv[[Side]:[Side]],"Raintree Back")-IF(TRUNC(ROUND($B43,0)/9,0)=2,2+IF((ROUND($B43,0)-18)*2&gt;=N$2,1,0),IF(TRUNC(ROUND($B43,0)/9,0)=1,1+IF((ROUND($B43,0)-9)*2&gt;=N$2,1,0),IF(TRUNC(ROUND($B43,0)/9,0)=0,IF(TRUNC(ROUND($B43,0)/9,0)=0,0+IF((ROUND($B43,0))*2&gt;=N$2,1,0),"Not"))))-N$3,"")</f>
        <v>0.125</v>
      </c>
      <c r="O43" s="138">
        <f>IFERROR(AVERAGEIFS(Upload_Indiv[Score3],Upload_Indiv[[Player]:[Player]],$A43,Upload_Indiv[[Side]:[Side]],"Raintree Back")-IF(TRUNC(ROUND($B43,0)/9,0)=2,2+IF((ROUND($B43,0)-18)*2&gt;=O$2,1,0),IF(TRUNC(ROUND($B43,0)/9,0)=1,1+IF((ROUND($B43,0)-9)*2&gt;=O$2,1,0),IF(TRUNC(ROUND($B43,0)/9,0)=0,IF(TRUNC(ROUND($B43,0)/9,0)=0,0+IF((ROUND($B43,0))*2&gt;=O$2,1,0),"Not"))))-O$3,"")</f>
        <v>0.625</v>
      </c>
      <c r="P43" s="138">
        <f>IFERROR(AVERAGEIFS(Upload_Indiv[Score4],Upload_Indiv[[Player]:[Player]],$A43,Upload_Indiv[[Side]:[Side]],"Raintree Back")-IF(TRUNC(ROUND($B43,0)/9,0)=2,2+IF((ROUND($B43,0)-18)*2&gt;=P$2,1,0),IF(TRUNC(ROUND($B43,0)/9,0)=1,1+IF((ROUND($B43,0)-9)*2&gt;=P$2,1,0),IF(TRUNC(ROUND($B43,0)/9,0)=0,IF(TRUNC(ROUND($B43,0)/9,0)=0,0+IF((ROUND($B43,0))*2&gt;=P$2,1,0),"Not"))))-P$3,"")</f>
        <v>0.75</v>
      </c>
      <c r="Q43" s="138">
        <f>IFERROR(AVERAGEIFS(Upload_Indiv[Score5],Upload_Indiv[[Player]:[Player]],$A43,Upload_Indiv[[Side]:[Side]],"Raintree Back")-IF(TRUNC(ROUND($B43,0)/9,0)=2,2+IF((ROUND($B43,0)-18)*2&gt;=Q$2,1,0),IF(TRUNC(ROUND($B43,0)/9,0)=1,1+IF((ROUND($B43,0)-9)*2&gt;=Q$2,1,0),IF(TRUNC(ROUND($B43,0)/9,0)=0,IF(TRUNC(ROUND($B43,0)/9,0)=0,0+IF((ROUND($B43,0))*2&gt;=Q$2,1,0),"Not"))))-Q$3,"")</f>
        <v>1</v>
      </c>
      <c r="R43" s="138">
        <f>IFERROR(AVERAGEIFS(Upload_Indiv[Score6],Upload_Indiv[[Player]:[Player]],$A43,Upload_Indiv[[Side]:[Side]],"Raintree Back")-IF(TRUNC(ROUND($B43,0)/9,0)=2,2+IF((ROUND($B43,0)-18)*2&gt;=R$2,1,0),IF(TRUNC(ROUND($B43,0)/9,0)=1,1+IF((ROUND($B43,0)-9)*2&gt;=R$2,1,0),IF(TRUNC(ROUND($B43,0)/9,0)=0,IF(TRUNC(ROUND($B43,0)/9,0)=0,0+IF((ROUND($B43,0))*2&gt;=R$2,1,0),"Not"))))-R$3,"")</f>
        <v>0.375</v>
      </c>
      <c r="S43" s="138">
        <f>IFERROR(AVERAGEIFS(Upload_Indiv[Score7],Upload_Indiv[[Player]:[Player]],$A43,Upload_Indiv[[Side]:[Side]],"Raintree Back")-IF(TRUNC(ROUND($B43,0)/9,0)=2,2+IF((ROUND($B43,0)-18)*2&gt;=S$2,1,0),IF(TRUNC(ROUND($B43,0)/9,0)=1,1+IF((ROUND($B43,0)-9)*2&gt;=S$2,1,0),IF(TRUNC(ROUND($B43,0)/9,0)=0,IF(TRUNC(ROUND($B43,0)/9,0)=0,0+IF((ROUND($B43,0))*2&gt;=S$2,1,0),"Not"))))-S$3,"")</f>
        <v>0.5</v>
      </c>
      <c r="T43" s="138">
        <f>IFERROR(AVERAGEIFS(Upload_Indiv[Score8],Upload_Indiv[[Player]:[Player]],$A43,Upload_Indiv[[Side]:[Side]],"Raintree Back")-IF(TRUNC(ROUND($B43,0)/9,0)=2,2+IF((ROUND($B43,0)-18)*2&gt;=T$2,1,0),IF(TRUNC(ROUND($B43,0)/9,0)=1,1+IF((ROUND($B43,0)-9)*2&gt;=T$2,1,0),IF(TRUNC(ROUND($B43,0)/9,0)=0,IF(TRUNC(ROUND($B43,0)/9,0)=0,0+IF((ROUND($B43,0))*2&gt;=T$2,1,0),"Not"))))-T$3,"")</f>
        <v>0.5</v>
      </c>
      <c r="U43" s="138">
        <f>IFERROR(AVERAGEIFS(Upload_Indiv[Score9],Upload_Indiv[[Player]:[Player]],$A43,Upload_Indiv[[Side]:[Side]],"Raintree Back")-IF(TRUNC(ROUND($B43,0)/9,0)=2,2+IF((ROUND($B43,0)-18)*2&gt;=U$2,1,0),IF(TRUNC(ROUND($B43,0)/9,0)=1,1+IF((ROUND($B43,0)-9)*2&gt;=U$2,1,0),IF(TRUNC(ROUND($B43,0)/9,0)=0,IF(TRUNC(ROUND($B43,0)/9,0)=0,0+IF((ROUND($B43,0))*2&gt;=U$2,1,0),"Not"))))-U$3,"")</f>
        <v>0.75</v>
      </c>
      <c r="V43" s="138">
        <f t="shared" si="1"/>
        <v>5</v>
      </c>
    </row>
    <row r="44" spans="1:22" ht="15" customHeight="1" x14ac:dyDescent="0.25">
      <c r="A44" s="4" t="s">
        <v>323</v>
      </c>
      <c r="B44" s="138">
        <f>IFERROR(AVERAGEIFS(Upload_Indiv[Hdcp],Upload_Indiv[[Player]:[Player]],$A44),"")</f>
        <v>0</v>
      </c>
      <c r="C44" s="138">
        <f>IFERROR(AVERAGEIFS(Upload_Indiv[Score1],Upload_Indiv[[Player]:[Player]],$A44,Upload_Indiv[[Side]:[Side]],"Raintree Front")-IF(TRUNC(ROUND($B44,0)/9,0)=2,2+IF((ROUND($B44,0)-18)*2&gt;=C$2,1,0),IF(TRUNC(ROUND($B44,0)/9,0)=1,1+IF((ROUND($B44,0)-9)*2&gt;=C$2,1,0),IF(TRUNC(ROUND($B44,0)/9,0)=0,IF(TRUNC(ROUND($B44,0)/9,0)=0,0+IF((ROUND($B44,0))*2&gt;=C$2,1,0),"Not"))))-C$3,"")</f>
        <v>1</v>
      </c>
      <c r="D44" s="138">
        <f>IFERROR(AVERAGEIFS(Upload_Indiv[Score2],Upload_Indiv[[Player]:[Player]],$A44,Upload_Indiv[[Side]:[Side]],"Raintree Front")-IF(TRUNC(ROUND($B44,0)/9,0)=2,2+IF((ROUND($B44,0)-18)*2&gt;=D$2,1,0),IF(TRUNC(ROUND($B44,0)/9,0)=1,1+IF((ROUND($B44,0)-9)*2&gt;=D$2,1,0),IF(TRUNC(ROUND($B44,0)/9,0)=0,IF(TRUNC(ROUND($B44,0)/9,0)=0,0+IF((ROUND($B44,0))*2&gt;=D$2,1,0),"Not"))))-D$3,"")</f>
        <v>0</v>
      </c>
      <c r="E44" s="138">
        <f>IFERROR(AVERAGEIFS(Upload_Indiv[Score3],Upload_Indiv[[Player]:[Player]],$A44,Upload_Indiv[[Side]:[Side]],"Raintree Front")-IF(TRUNC(ROUND($B44,0)/9,0)=2,2+IF((ROUND($B44,0)-18)*2&gt;=E$2,1,0),IF(TRUNC(ROUND($B44,0)/9,0)=1,1+IF((ROUND($B44,0)-9)*2&gt;=E$2,1,0),IF(TRUNC(ROUND($B44,0)/9,0)=0,IF(TRUNC(ROUND($B44,0)/9,0)=0,0+IF((ROUND($B44,0))*2&gt;=E$2,1,0),"Not"))))-E$3,"")</f>
        <v>0</v>
      </c>
      <c r="F44" s="138">
        <f>IFERROR(AVERAGEIFS(Upload_Indiv[Score4],Upload_Indiv[[Player]:[Player]],$A44,Upload_Indiv[[Side]:[Side]],"Raintree Front")-IF(TRUNC(ROUND($B44,0)/9,0)=2,2+IF((ROUND($B44,0)-18)*2&gt;=F$2,1,0),IF(TRUNC(ROUND($B44,0)/9,0)=1,1+IF((ROUND($B44,0)-9)*2&gt;=F$2,1,0),IF(TRUNC(ROUND($B44,0)/9,0)=0,IF(TRUNC(ROUND($B44,0)/9,0)=0,0+IF((ROUND($B44,0))*2&gt;=F$2,1,0),"Not"))))-F$3,"")</f>
        <v>0</v>
      </c>
      <c r="G44" s="138">
        <f>IFERROR(AVERAGEIFS(Upload_Indiv[Score5],Upload_Indiv[[Player]:[Player]],$A44,Upload_Indiv[[Side]:[Side]],"Raintree Front")-IF(TRUNC(ROUND($B44,0)/9,0)=2,2+IF((ROUND($B44,0)-18)*2&gt;=G$2,1,0),IF(TRUNC(ROUND($B44,0)/9,0)=1,1+IF((ROUND($B44,0)-9)*2&gt;=G$2,1,0),IF(TRUNC(ROUND($B44,0)/9,0)=0,IF(TRUNC(ROUND($B44,0)/9,0)=0,0+IF((ROUND($B44,0))*2&gt;=G$2,1,0),"Not"))))-G$3,"")</f>
        <v>0</v>
      </c>
      <c r="H44" s="138">
        <f>IFERROR(AVERAGEIFS(Upload_Indiv[Score6],Upload_Indiv[[Player]:[Player]],$A44,Upload_Indiv[[Side]:[Side]],"Raintree Front")-IF(TRUNC(ROUND($B44,0)/9,0)=2,2+IF((ROUND($B44,0)-18)*2&gt;=H$2,1,0),IF(TRUNC(ROUND($B44,0)/9,0)=1,1+IF((ROUND($B44,0)-9)*2&gt;=H$2,1,0),IF(TRUNC(ROUND($B44,0)/9,0)=0,IF(TRUNC(ROUND($B44,0)/9,0)=0,0+IF((ROUND($B44,0))*2&gt;=H$2,1,0),"Not"))))-H$3,"")</f>
        <v>1</v>
      </c>
      <c r="I44" s="138">
        <f>IFERROR(AVERAGEIFS(Upload_Indiv[Score7],Upload_Indiv[[Player]:[Player]],$A44,Upload_Indiv[[Side]:[Side]],"Raintree Front")-IF(TRUNC(ROUND($B44,0)/9,0)=2,2+IF((ROUND($B44,0)-18)*2&gt;=I$2,1,0),IF(TRUNC(ROUND($B44,0)/9,0)=1,1+IF((ROUND($B44,0)-9)*2&gt;=I$2,1,0),IF(TRUNC(ROUND($B44,0)/9,0)=0,IF(TRUNC(ROUND($B44,0)/9,0)=0,0+IF((ROUND($B44,0))*2&gt;=I$2,1,0),"Not"))))-I$3,"")</f>
        <v>0</v>
      </c>
      <c r="J44" s="138">
        <f>IFERROR(AVERAGEIFS(Upload_Indiv[Score8],Upload_Indiv[[Player]:[Player]],$A44,Upload_Indiv[[Side]:[Side]],"Raintree Front")-IF(TRUNC(ROUND($B44,0)/9,0)=2,2+IF((ROUND($B44,0)-18)*2&gt;=J$2,1,0),IF(TRUNC(ROUND($B44,0)/9,0)=1,1+IF((ROUND($B44,0)-9)*2&gt;=J$2,1,0),IF(TRUNC(ROUND($B44,0)/9,0)=0,IF(TRUNC(ROUND($B44,0)/9,0)=0,0+IF((ROUND($B44,0))*2&gt;=J$2,1,0),"Not"))))-J$3,"")</f>
        <v>0</v>
      </c>
      <c r="K44" s="138">
        <f>IFERROR(AVERAGEIFS(Upload_Indiv[Score9],Upload_Indiv[[Player]:[Player]],$A44,Upload_Indiv[[Side]:[Side]],"Raintree Front")-IF(TRUNC(ROUND($B44,0)/9,0)=2,2+IF((ROUND($B44,0)-18)*2&gt;=K$2,1,0),IF(TRUNC(ROUND($B44,0)/9,0)=1,1+IF((ROUND($B44,0)-9)*2&gt;=K$2,1,0),IF(TRUNC(ROUND($B44,0)/9,0)=0,IF(TRUNC(ROUND($B44,0)/9,0)=0,0+IF((ROUND($B44,0))*2&gt;=K$2,1,0),"Not"))))-K$3,"")</f>
        <v>0</v>
      </c>
      <c r="L44" s="138">
        <f t="shared" si="0"/>
        <v>2</v>
      </c>
      <c r="M44" s="138">
        <f>IFERROR(AVERAGEIFS(Upload_Indiv[Score1],Upload_Indiv[[Player]:[Player]],$A44,Upload_Indiv[[Side]:[Side]],"Raintree Back")-IF(TRUNC(ROUND($B44,0)/9,0)=2,2+IF((ROUND($B44,0)-18)*2&gt;=M$2,1,0),IF(TRUNC(ROUND($B44,0)/9,0)=1,1+IF((ROUND($B44,0)-9)*2&gt;=M$2,1,0),IF(TRUNC(ROUND($B44,0)/9,0)=0,IF(TRUNC(ROUND($B44,0)/9,0)=0,0+IF((ROUND($B44,0))*2&gt;=M$2,1,0),"Not"))))-M$3,"")</f>
        <v>0</v>
      </c>
      <c r="N44" s="138">
        <f>IFERROR(AVERAGEIFS(Upload_Indiv[Score2],Upload_Indiv[[Player]:[Player]],$A44,Upload_Indiv[[Side]:[Side]],"Raintree Back")-IF(TRUNC(ROUND($B44,0)/9,0)=2,2+IF((ROUND($B44,0)-18)*2&gt;=N$2,1,0),IF(TRUNC(ROUND($B44,0)/9,0)=1,1+IF((ROUND($B44,0)-9)*2&gt;=N$2,1,0),IF(TRUNC(ROUND($B44,0)/9,0)=0,IF(TRUNC(ROUND($B44,0)/9,0)=0,0+IF((ROUND($B44,0))*2&gt;=N$2,1,0),"Not"))))-N$3,"")</f>
        <v>0</v>
      </c>
      <c r="O44" s="138">
        <f>IFERROR(AVERAGEIFS(Upload_Indiv[Score3],Upload_Indiv[[Player]:[Player]],$A44,Upload_Indiv[[Side]:[Side]],"Raintree Back")-IF(TRUNC(ROUND($B44,0)/9,0)=2,2+IF((ROUND($B44,0)-18)*2&gt;=O$2,1,0),IF(TRUNC(ROUND($B44,0)/9,0)=1,1+IF((ROUND($B44,0)-9)*2&gt;=O$2,1,0),IF(TRUNC(ROUND($B44,0)/9,0)=0,IF(TRUNC(ROUND($B44,0)/9,0)=0,0+IF((ROUND($B44,0))*2&gt;=O$2,1,0),"Not"))))-O$3,"")</f>
        <v>0</v>
      </c>
      <c r="P44" s="138">
        <f>IFERROR(AVERAGEIFS(Upload_Indiv[Score4],Upload_Indiv[[Player]:[Player]],$A44,Upload_Indiv[[Side]:[Side]],"Raintree Back")-IF(TRUNC(ROUND($B44,0)/9,0)=2,2+IF((ROUND($B44,0)-18)*2&gt;=P$2,1,0),IF(TRUNC(ROUND($B44,0)/9,0)=1,1+IF((ROUND($B44,0)-9)*2&gt;=P$2,1,0),IF(TRUNC(ROUND($B44,0)/9,0)=0,IF(TRUNC(ROUND($B44,0)/9,0)=0,0+IF((ROUND($B44,0))*2&gt;=P$2,1,0),"Not"))))-P$3,"")</f>
        <v>1</v>
      </c>
      <c r="Q44" s="138">
        <f>IFERROR(AVERAGEIFS(Upload_Indiv[Score5],Upload_Indiv[[Player]:[Player]],$A44,Upload_Indiv[[Side]:[Side]],"Raintree Back")-IF(TRUNC(ROUND($B44,0)/9,0)=2,2+IF((ROUND($B44,0)-18)*2&gt;=Q$2,1,0),IF(TRUNC(ROUND($B44,0)/9,0)=1,1+IF((ROUND($B44,0)-9)*2&gt;=Q$2,1,0),IF(TRUNC(ROUND($B44,0)/9,0)=0,IF(TRUNC(ROUND($B44,0)/9,0)=0,0+IF((ROUND($B44,0))*2&gt;=Q$2,1,0),"Not"))))-Q$3,"")</f>
        <v>0</v>
      </c>
      <c r="R44" s="138">
        <f>IFERROR(AVERAGEIFS(Upload_Indiv[Score6],Upload_Indiv[[Player]:[Player]],$A44,Upload_Indiv[[Side]:[Side]],"Raintree Back")-IF(TRUNC(ROUND($B44,0)/9,0)=2,2+IF((ROUND($B44,0)-18)*2&gt;=R$2,1,0),IF(TRUNC(ROUND($B44,0)/9,0)=1,1+IF((ROUND($B44,0)-9)*2&gt;=R$2,1,0),IF(TRUNC(ROUND($B44,0)/9,0)=0,IF(TRUNC(ROUND($B44,0)/9,0)=0,0+IF((ROUND($B44,0))*2&gt;=R$2,1,0),"Not"))))-R$3,"")</f>
        <v>0</v>
      </c>
      <c r="S44" s="138">
        <f>IFERROR(AVERAGEIFS(Upload_Indiv[Score7],Upload_Indiv[[Player]:[Player]],$A44,Upload_Indiv[[Side]:[Side]],"Raintree Back")-IF(TRUNC(ROUND($B44,0)/9,0)=2,2+IF((ROUND($B44,0)-18)*2&gt;=S$2,1,0),IF(TRUNC(ROUND($B44,0)/9,0)=1,1+IF((ROUND($B44,0)-9)*2&gt;=S$2,1,0),IF(TRUNC(ROUND($B44,0)/9,0)=0,IF(TRUNC(ROUND($B44,0)/9,0)=0,0+IF((ROUND($B44,0))*2&gt;=S$2,1,0),"Not"))))-S$3,"")</f>
        <v>0</v>
      </c>
      <c r="T44" s="138">
        <f>IFERROR(AVERAGEIFS(Upload_Indiv[Score8],Upload_Indiv[[Player]:[Player]],$A44,Upload_Indiv[[Side]:[Side]],"Raintree Back")-IF(TRUNC(ROUND($B44,0)/9,0)=2,2+IF((ROUND($B44,0)-18)*2&gt;=T$2,1,0),IF(TRUNC(ROUND($B44,0)/9,0)=1,1+IF((ROUND($B44,0)-9)*2&gt;=T$2,1,0),IF(TRUNC(ROUND($B44,0)/9,0)=0,IF(TRUNC(ROUND($B44,0)/9,0)=0,0+IF((ROUND($B44,0))*2&gt;=T$2,1,0),"Not"))))-T$3,"")</f>
        <v>1</v>
      </c>
      <c r="U44" s="138">
        <f>IFERROR(AVERAGEIFS(Upload_Indiv[Score9],Upload_Indiv[[Player]:[Player]],$A44,Upload_Indiv[[Side]:[Side]],"Raintree Back")-IF(TRUNC(ROUND($B44,0)/9,0)=2,2+IF((ROUND($B44,0)-18)*2&gt;=U$2,1,0),IF(TRUNC(ROUND($B44,0)/9,0)=1,1+IF((ROUND($B44,0)-9)*2&gt;=U$2,1,0),IF(TRUNC(ROUND($B44,0)/9,0)=0,IF(TRUNC(ROUND($B44,0)/9,0)=0,0+IF((ROUND($B44,0))*2&gt;=U$2,1,0),"Not"))))-U$3,"")</f>
        <v>-0.5</v>
      </c>
      <c r="V44" s="138">
        <f t="shared" si="1"/>
        <v>1.5</v>
      </c>
    </row>
    <row r="45" spans="1:22" ht="15" customHeight="1" x14ac:dyDescent="0.25">
      <c r="A45" s="4" t="s">
        <v>324</v>
      </c>
      <c r="B45" s="138">
        <f>IFERROR(AVERAGEIFS(Upload_Indiv[Hdcp],Upload_Indiv[[Player]:[Player]],$A45),"")</f>
        <v>0</v>
      </c>
      <c r="C45" s="138">
        <f>IFERROR(AVERAGEIFS(Upload_Indiv[Score1],Upload_Indiv[[Player]:[Player]],$A45,Upload_Indiv[[Side]:[Side]],"Raintree Front")-IF(TRUNC(ROUND($B45,0)/9,0)=2,2+IF((ROUND($B45,0)-18)*2&gt;=C$2,1,0),IF(TRUNC(ROUND($B45,0)/9,0)=1,1+IF((ROUND($B45,0)-9)*2&gt;=C$2,1,0),IF(TRUNC(ROUND($B45,0)/9,0)=0,IF(TRUNC(ROUND($B45,0)/9,0)=0,0+IF((ROUND($B45,0))*2&gt;=C$2,1,0),"Not"))))-C$3,"")</f>
        <v>1</v>
      </c>
      <c r="D45" s="138">
        <f>IFERROR(AVERAGEIFS(Upload_Indiv[Score2],Upload_Indiv[[Player]:[Player]],$A45,Upload_Indiv[[Side]:[Side]],"Raintree Front")-IF(TRUNC(ROUND($B45,0)/9,0)=2,2+IF((ROUND($B45,0)-18)*2&gt;=D$2,1,0),IF(TRUNC(ROUND($B45,0)/9,0)=1,1+IF((ROUND($B45,0)-9)*2&gt;=D$2,1,0),IF(TRUNC(ROUND($B45,0)/9,0)=0,IF(TRUNC(ROUND($B45,0)/9,0)=0,0+IF((ROUND($B45,0))*2&gt;=D$2,1,0),"Not"))))-D$3,"")</f>
        <v>0</v>
      </c>
      <c r="E45" s="138">
        <f>IFERROR(AVERAGEIFS(Upload_Indiv[Score3],Upload_Indiv[[Player]:[Player]],$A45,Upload_Indiv[[Side]:[Side]],"Raintree Front")-IF(TRUNC(ROUND($B45,0)/9,0)=2,2+IF((ROUND($B45,0)-18)*2&gt;=E$2,1,0),IF(TRUNC(ROUND($B45,0)/9,0)=1,1+IF((ROUND($B45,0)-9)*2&gt;=E$2,1,0),IF(TRUNC(ROUND($B45,0)/9,0)=0,IF(TRUNC(ROUND($B45,0)/9,0)=0,0+IF((ROUND($B45,0))*2&gt;=E$2,1,0),"Not"))))-E$3,"")</f>
        <v>0</v>
      </c>
      <c r="F45" s="138">
        <f>IFERROR(AVERAGEIFS(Upload_Indiv[Score4],Upload_Indiv[[Player]:[Player]],$A45,Upload_Indiv[[Side]:[Side]],"Raintree Front")-IF(TRUNC(ROUND($B45,0)/9,0)=2,2+IF((ROUND($B45,0)-18)*2&gt;=F$2,1,0),IF(TRUNC(ROUND($B45,0)/9,0)=1,1+IF((ROUND($B45,0)-9)*2&gt;=F$2,1,0),IF(TRUNC(ROUND($B45,0)/9,0)=0,IF(TRUNC(ROUND($B45,0)/9,0)=0,0+IF((ROUND($B45,0))*2&gt;=F$2,1,0),"Not"))))-F$3,"")</f>
        <v>0</v>
      </c>
      <c r="G45" s="138">
        <f>IFERROR(AVERAGEIFS(Upload_Indiv[Score5],Upload_Indiv[[Player]:[Player]],$A45,Upload_Indiv[[Side]:[Side]],"Raintree Front")-IF(TRUNC(ROUND($B45,0)/9,0)=2,2+IF((ROUND($B45,0)-18)*2&gt;=G$2,1,0),IF(TRUNC(ROUND($B45,0)/9,0)=1,1+IF((ROUND($B45,0)-9)*2&gt;=G$2,1,0),IF(TRUNC(ROUND($B45,0)/9,0)=0,IF(TRUNC(ROUND($B45,0)/9,0)=0,0+IF((ROUND($B45,0))*2&gt;=G$2,1,0),"Not"))))-G$3,"")</f>
        <v>0</v>
      </c>
      <c r="H45" s="138">
        <f>IFERROR(AVERAGEIFS(Upload_Indiv[Score6],Upload_Indiv[[Player]:[Player]],$A45,Upload_Indiv[[Side]:[Side]],"Raintree Front")-IF(TRUNC(ROUND($B45,0)/9,0)=2,2+IF((ROUND($B45,0)-18)*2&gt;=H$2,1,0),IF(TRUNC(ROUND($B45,0)/9,0)=1,1+IF((ROUND($B45,0)-9)*2&gt;=H$2,1,0),IF(TRUNC(ROUND($B45,0)/9,0)=0,IF(TRUNC(ROUND($B45,0)/9,0)=0,0+IF((ROUND($B45,0))*2&gt;=H$2,1,0),"Not"))))-H$3,"")</f>
        <v>1</v>
      </c>
      <c r="I45" s="138">
        <f>IFERROR(AVERAGEIFS(Upload_Indiv[Score7],Upload_Indiv[[Player]:[Player]],$A45,Upload_Indiv[[Side]:[Side]],"Raintree Front")-IF(TRUNC(ROUND($B45,0)/9,0)=2,2+IF((ROUND($B45,0)-18)*2&gt;=I$2,1,0),IF(TRUNC(ROUND($B45,0)/9,0)=1,1+IF((ROUND($B45,0)-9)*2&gt;=I$2,1,0),IF(TRUNC(ROUND($B45,0)/9,0)=0,IF(TRUNC(ROUND($B45,0)/9,0)=0,0+IF((ROUND($B45,0))*2&gt;=I$2,1,0),"Not"))))-I$3,"")</f>
        <v>0</v>
      </c>
      <c r="J45" s="138">
        <f>IFERROR(AVERAGEIFS(Upload_Indiv[Score8],Upload_Indiv[[Player]:[Player]],$A45,Upload_Indiv[[Side]:[Side]],"Raintree Front")-IF(TRUNC(ROUND($B45,0)/9,0)=2,2+IF((ROUND($B45,0)-18)*2&gt;=J$2,1,0),IF(TRUNC(ROUND($B45,0)/9,0)=1,1+IF((ROUND($B45,0)-9)*2&gt;=J$2,1,0),IF(TRUNC(ROUND($B45,0)/9,0)=0,IF(TRUNC(ROUND($B45,0)/9,0)=0,0+IF((ROUND($B45,0))*2&gt;=J$2,1,0),"Not"))))-J$3,"")</f>
        <v>0</v>
      </c>
      <c r="K45" s="138">
        <f>IFERROR(AVERAGEIFS(Upload_Indiv[Score9],Upload_Indiv[[Player]:[Player]],$A45,Upload_Indiv[[Side]:[Side]],"Raintree Front")-IF(TRUNC(ROUND($B45,0)/9,0)=2,2+IF((ROUND($B45,0)-18)*2&gt;=K$2,1,0),IF(TRUNC(ROUND($B45,0)/9,0)=1,1+IF((ROUND($B45,0)-9)*2&gt;=K$2,1,0),IF(TRUNC(ROUND($B45,0)/9,0)=0,IF(TRUNC(ROUND($B45,0)/9,0)=0,0+IF((ROUND($B45,0))*2&gt;=K$2,1,0),"Not"))))-K$3,"")</f>
        <v>0</v>
      </c>
      <c r="L45" s="138">
        <f t="shared" si="0"/>
        <v>2</v>
      </c>
      <c r="M45" s="138">
        <f>IFERROR(AVERAGEIFS(Upload_Indiv[Score1],Upload_Indiv[[Player]:[Player]],$A45,Upload_Indiv[[Side]:[Side]],"Raintree Back")-IF(TRUNC(ROUND($B45,0)/9,0)=2,2+IF((ROUND($B45,0)-18)*2&gt;=M$2,1,0),IF(TRUNC(ROUND($B45,0)/9,0)=1,1+IF((ROUND($B45,0)-9)*2&gt;=M$2,1,0),IF(TRUNC(ROUND($B45,0)/9,0)=0,IF(TRUNC(ROUND($B45,0)/9,0)=0,0+IF((ROUND($B45,0))*2&gt;=M$2,1,0),"Not"))))-M$3,"")</f>
        <v>0</v>
      </c>
      <c r="N45" s="138">
        <f>IFERROR(AVERAGEIFS(Upload_Indiv[Score2],Upload_Indiv[[Player]:[Player]],$A45,Upload_Indiv[[Side]:[Side]],"Raintree Back")-IF(TRUNC(ROUND($B45,0)/9,0)=2,2+IF((ROUND($B45,0)-18)*2&gt;=N$2,1,0),IF(TRUNC(ROUND($B45,0)/9,0)=1,1+IF((ROUND($B45,0)-9)*2&gt;=N$2,1,0),IF(TRUNC(ROUND($B45,0)/9,0)=0,IF(TRUNC(ROUND($B45,0)/9,0)=0,0+IF((ROUND($B45,0))*2&gt;=N$2,1,0),"Not"))))-N$3,"")</f>
        <v>0</v>
      </c>
      <c r="O45" s="138">
        <f>IFERROR(AVERAGEIFS(Upload_Indiv[Score3],Upload_Indiv[[Player]:[Player]],$A45,Upload_Indiv[[Side]:[Side]],"Raintree Back")-IF(TRUNC(ROUND($B45,0)/9,0)=2,2+IF((ROUND($B45,0)-18)*2&gt;=O$2,1,0),IF(TRUNC(ROUND($B45,0)/9,0)=1,1+IF((ROUND($B45,0)-9)*2&gt;=O$2,1,0),IF(TRUNC(ROUND($B45,0)/9,0)=0,IF(TRUNC(ROUND($B45,0)/9,0)=0,0+IF((ROUND($B45,0))*2&gt;=O$2,1,0),"Not"))))-O$3,"")</f>
        <v>0</v>
      </c>
      <c r="P45" s="138">
        <f>IFERROR(AVERAGEIFS(Upload_Indiv[Score4],Upload_Indiv[[Player]:[Player]],$A45,Upload_Indiv[[Side]:[Side]],"Raintree Back")-IF(TRUNC(ROUND($B45,0)/9,0)=2,2+IF((ROUND($B45,0)-18)*2&gt;=P$2,1,0),IF(TRUNC(ROUND($B45,0)/9,0)=1,1+IF((ROUND($B45,0)-9)*2&gt;=P$2,1,0),IF(TRUNC(ROUND($B45,0)/9,0)=0,IF(TRUNC(ROUND($B45,0)/9,0)=0,0+IF((ROUND($B45,0))*2&gt;=P$2,1,0),"Not"))))-P$3,"")</f>
        <v>1</v>
      </c>
      <c r="Q45" s="138">
        <f>IFERROR(AVERAGEIFS(Upload_Indiv[Score5],Upload_Indiv[[Player]:[Player]],$A45,Upload_Indiv[[Side]:[Side]],"Raintree Back")-IF(TRUNC(ROUND($B45,0)/9,0)=2,2+IF((ROUND($B45,0)-18)*2&gt;=Q$2,1,0),IF(TRUNC(ROUND($B45,0)/9,0)=1,1+IF((ROUND($B45,0)-9)*2&gt;=Q$2,1,0),IF(TRUNC(ROUND($B45,0)/9,0)=0,IF(TRUNC(ROUND($B45,0)/9,0)=0,0+IF((ROUND($B45,0))*2&gt;=Q$2,1,0),"Not"))))-Q$3,"")</f>
        <v>0</v>
      </c>
      <c r="R45" s="138">
        <f>IFERROR(AVERAGEIFS(Upload_Indiv[Score6],Upload_Indiv[[Player]:[Player]],$A45,Upload_Indiv[[Side]:[Side]],"Raintree Back")-IF(TRUNC(ROUND($B45,0)/9,0)=2,2+IF((ROUND($B45,0)-18)*2&gt;=R$2,1,0),IF(TRUNC(ROUND($B45,0)/9,0)=1,1+IF((ROUND($B45,0)-9)*2&gt;=R$2,1,0),IF(TRUNC(ROUND($B45,0)/9,0)=0,IF(TRUNC(ROUND($B45,0)/9,0)=0,0+IF((ROUND($B45,0))*2&gt;=R$2,1,0),"Not"))))-R$3,"")</f>
        <v>0</v>
      </c>
      <c r="S45" s="138">
        <f>IFERROR(AVERAGEIFS(Upload_Indiv[Score7],Upload_Indiv[[Player]:[Player]],$A45,Upload_Indiv[[Side]:[Side]],"Raintree Back")-IF(TRUNC(ROUND($B45,0)/9,0)=2,2+IF((ROUND($B45,0)-18)*2&gt;=S$2,1,0),IF(TRUNC(ROUND($B45,0)/9,0)=1,1+IF((ROUND($B45,0)-9)*2&gt;=S$2,1,0),IF(TRUNC(ROUND($B45,0)/9,0)=0,IF(TRUNC(ROUND($B45,0)/9,0)=0,0+IF((ROUND($B45,0))*2&gt;=S$2,1,0),"Not"))))-S$3,"")</f>
        <v>0</v>
      </c>
      <c r="T45" s="138">
        <f>IFERROR(AVERAGEIFS(Upload_Indiv[Score8],Upload_Indiv[[Player]:[Player]],$A45,Upload_Indiv[[Side]:[Side]],"Raintree Back")-IF(TRUNC(ROUND($B45,0)/9,0)=2,2+IF((ROUND($B45,0)-18)*2&gt;=T$2,1,0),IF(TRUNC(ROUND($B45,0)/9,0)=1,1+IF((ROUND($B45,0)-9)*2&gt;=T$2,1,0),IF(TRUNC(ROUND($B45,0)/9,0)=0,IF(TRUNC(ROUND($B45,0)/9,0)=0,0+IF((ROUND($B45,0))*2&gt;=T$2,1,0),"Not"))))-T$3,"")</f>
        <v>1</v>
      </c>
      <c r="U45" s="138">
        <f>IFERROR(AVERAGEIFS(Upload_Indiv[Score9],Upload_Indiv[[Player]:[Player]],$A45,Upload_Indiv[[Side]:[Side]],"Raintree Back")-IF(TRUNC(ROUND($B45,0)/9,0)=2,2+IF((ROUND($B45,0)-18)*2&gt;=U$2,1,0),IF(TRUNC(ROUND($B45,0)/9,0)=1,1+IF((ROUND($B45,0)-9)*2&gt;=U$2,1,0),IF(TRUNC(ROUND($B45,0)/9,0)=0,IF(TRUNC(ROUND($B45,0)/9,0)=0,0+IF((ROUND($B45,0))*2&gt;=U$2,1,0),"Not"))))-U$3,"")</f>
        <v>-0.5</v>
      </c>
      <c r="V45" s="138">
        <f t="shared" si="1"/>
        <v>1.5</v>
      </c>
    </row>
    <row r="46" spans="1:22" ht="15" customHeight="1" x14ac:dyDescent="0.25">
      <c r="A46" s="4" t="s">
        <v>325</v>
      </c>
      <c r="B46" s="138">
        <f>IFERROR(AVERAGEIFS(Upload_Indiv[Hdcp],Upload_Indiv[[Player]:[Player]],$A46),"")</f>
        <v>0</v>
      </c>
      <c r="C46" s="138">
        <f>IFERROR(AVERAGEIFS(Upload_Indiv[Score1],Upload_Indiv[[Player]:[Player]],$A46,Upload_Indiv[[Side]:[Side]],"Raintree Front")-IF(TRUNC(ROUND($B46,0)/9,0)=2,2+IF((ROUND($B46,0)-18)*2&gt;=C$2,1,0),IF(TRUNC(ROUND($B46,0)/9,0)=1,1+IF((ROUND($B46,0)-9)*2&gt;=C$2,1,0),IF(TRUNC(ROUND($B46,0)/9,0)=0,IF(TRUNC(ROUND($B46,0)/9,0)=0,0+IF((ROUND($B46,0))*2&gt;=C$2,1,0),"Not"))))-C$3,"")</f>
        <v>1</v>
      </c>
      <c r="D46" s="138">
        <f>IFERROR(AVERAGEIFS(Upload_Indiv[Score2],Upload_Indiv[[Player]:[Player]],$A46,Upload_Indiv[[Side]:[Side]],"Raintree Front")-IF(TRUNC(ROUND($B46,0)/9,0)=2,2+IF((ROUND($B46,0)-18)*2&gt;=D$2,1,0),IF(TRUNC(ROUND($B46,0)/9,0)=1,1+IF((ROUND($B46,0)-9)*2&gt;=D$2,1,0),IF(TRUNC(ROUND($B46,0)/9,0)=0,IF(TRUNC(ROUND($B46,0)/9,0)=0,0+IF((ROUND($B46,0))*2&gt;=D$2,1,0),"Not"))))-D$3,"")</f>
        <v>0</v>
      </c>
      <c r="E46" s="138">
        <f>IFERROR(AVERAGEIFS(Upload_Indiv[Score3],Upload_Indiv[[Player]:[Player]],$A46,Upload_Indiv[[Side]:[Side]],"Raintree Front")-IF(TRUNC(ROUND($B46,0)/9,0)=2,2+IF((ROUND($B46,0)-18)*2&gt;=E$2,1,0),IF(TRUNC(ROUND($B46,0)/9,0)=1,1+IF((ROUND($B46,0)-9)*2&gt;=E$2,1,0),IF(TRUNC(ROUND($B46,0)/9,0)=0,IF(TRUNC(ROUND($B46,0)/9,0)=0,0+IF((ROUND($B46,0))*2&gt;=E$2,1,0),"Not"))))-E$3,"")</f>
        <v>0</v>
      </c>
      <c r="F46" s="138">
        <f>IFERROR(AVERAGEIFS(Upload_Indiv[Score4],Upload_Indiv[[Player]:[Player]],$A46,Upload_Indiv[[Side]:[Side]],"Raintree Front")-IF(TRUNC(ROUND($B46,0)/9,0)=2,2+IF((ROUND($B46,0)-18)*2&gt;=F$2,1,0),IF(TRUNC(ROUND($B46,0)/9,0)=1,1+IF((ROUND($B46,0)-9)*2&gt;=F$2,1,0),IF(TRUNC(ROUND($B46,0)/9,0)=0,IF(TRUNC(ROUND($B46,0)/9,0)=0,0+IF((ROUND($B46,0))*2&gt;=F$2,1,0),"Not"))))-F$3,"")</f>
        <v>0</v>
      </c>
      <c r="G46" s="138">
        <f>IFERROR(AVERAGEIFS(Upload_Indiv[Score5],Upload_Indiv[[Player]:[Player]],$A46,Upload_Indiv[[Side]:[Side]],"Raintree Front")-IF(TRUNC(ROUND($B46,0)/9,0)=2,2+IF((ROUND($B46,0)-18)*2&gt;=G$2,1,0),IF(TRUNC(ROUND($B46,0)/9,0)=1,1+IF((ROUND($B46,0)-9)*2&gt;=G$2,1,0),IF(TRUNC(ROUND($B46,0)/9,0)=0,IF(TRUNC(ROUND($B46,0)/9,0)=0,0+IF((ROUND($B46,0))*2&gt;=G$2,1,0),"Not"))))-G$3,"")</f>
        <v>0</v>
      </c>
      <c r="H46" s="138">
        <f>IFERROR(AVERAGEIFS(Upload_Indiv[Score6],Upload_Indiv[[Player]:[Player]],$A46,Upload_Indiv[[Side]:[Side]],"Raintree Front")-IF(TRUNC(ROUND($B46,0)/9,0)=2,2+IF((ROUND($B46,0)-18)*2&gt;=H$2,1,0),IF(TRUNC(ROUND($B46,0)/9,0)=1,1+IF((ROUND($B46,0)-9)*2&gt;=H$2,1,0),IF(TRUNC(ROUND($B46,0)/9,0)=0,IF(TRUNC(ROUND($B46,0)/9,0)=0,0+IF((ROUND($B46,0))*2&gt;=H$2,1,0),"Not"))))-H$3,"")</f>
        <v>1</v>
      </c>
      <c r="I46" s="138">
        <f>IFERROR(AVERAGEIFS(Upload_Indiv[Score7],Upload_Indiv[[Player]:[Player]],$A46,Upload_Indiv[[Side]:[Side]],"Raintree Front")-IF(TRUNC(ROUND($B46,0)/9,0)=2,2+IF((ROUND($B46,0)-18)*2&gt;=I$2,1,0),IF(TRUNC(ROUND($B46,0)/9,0)=1,1+IF((ROUND($B46,0)-9)*2&gt;=I$2,1,0),IF(TRUNC(ROUND($B46,0)/9,0)=0,IF(TRUNC(ROUND($B46,0)/9,0)=0,0+IF((ROUND($B46,0))*2&gt;=I$2,1,0),"Not"))))-I$3,"")</f>
        <v>0</v>
      </c>
      <c r="J46" s="138">
        <f>IFERROR(AVERAGEIFS(Upload_Indiv[Score8],Upload_Indiv[[Player]:[Player]],$A46,Upload_Indiv[[Side]:[Side]],"Raintree Front")-IF(TRUNC(ROUND($B46,0)/9,0)=2,2+IF((ROUND($B46,0)-18)*2&gt;=J$2,1,0),IF(TRUNC(ROUND($B46,0)/9,0)=1,1+IF((ROUND($B46,0)-9)*2&gt;=J$2,1,0),IF(TRUNC(ROUND($B46,0)/9,0)=0,IF(TRUNC(ROUND($B46,0)/9,0)=0,0+IF((ROUND($B46,0))*2&gt;=J$2,1,0),"Not"))))-J$3,"")</f>
        <v>0</v>
      </c>
      <c r="K46" s="138">
        <f>IFERROR(AVERAGEIFS(Upload_Indiv[Score9],Upload_Indiv[[Player]:[Player]],$A46,Upload_Indiv[[Side]:[Side]],"Raintree Front")-IF(TRUNC(ROUND($B46,0)/9,0)=2,2+IF((ROUND($B46,0)-18)*2&gt;=K$2,1,0),IF(TRUNC(ROUND($B46,0)/9,0)=1,1+IF((ROUND($B46,0)-9)*2&gt;=K$2,1,0),IF(TRUNC(ROUND($B46,0)/9,0)=0,IF(TRUNC(ROUND($B46,0)/9,0)=0,0+IF((ROUND($B46,0))*2&gt;=K$2,1,0),"Not"))))-K$3,"")</f>
        <v>0</v>
      </c>
      <c r="L46" s="138">
        <f t="shared" si="0"/>
        <v>2</v>
      </c>
      <c r="M46" s="138">
        <f>IFERROR(AVERAGEIFS(Upload_Indiv[Score1],Upload_Indiv[[Player]:[Player]],$A46,Upload_Indiv[[Side]:[Side]],"Raintree Back")-IF(TRUNC(ROUND($B46,0)/9,0)=2,2+IF((ROUND($B46,0)-18)*2&gt;=M$2,1,0),IF(TRUNC(ROUND($B46,0)/9,0)=1,1+IF((ROUND($B46,0)-9)*2&gt;=M$2,1,0),IF(TRUNC(ROUND($B46,0)/9,0)=0,IF(TRUNC(ROUND($B46,0)/9,0)=0,0+IF((ROUND($B46,0))*2&gt;=M$2,1,0),"Not"))))-M$3,"")</f>
        <v>0</v>
      </c>
      <c r="N46" s="138">
        <f>IFERROR(AVERAGEIFS(Upload_Indiv[Score2],Upload_Indiv[[Player]:[Player]],$A46,Upload_Indiv[[Side]:[Side]],"Raintree Back")-IF(TRUNC(ROUND($B46,0)/9,0)=2,2+IF((ROUND($B46,0)-18)*2&gt;=N$2,1,0),IF(TRUNC(ROUND($B46,0)/9,0)=1,1+IF((ROUND($B46,0)-9)*2&gt;=N$2,1,0),IF(TRUNC(ROUND($B46,0)/9,0)=0,IF(TRUNC(ROUND($B46,0)/9,0)=0,0+IF((ROUND($B46,0))*2&gt;=N$2,1,0),"Not"))))-N$3,"")</f>
        <v>0</v>
      </c>
      <c r="O46" s="138">
        <f>IFERROR(AVERAGEIFS(Upload_Indiv[Score3],Upload_Indiv[[Player]:[Player]],$A46,Upload_Indiv[[Side]:[Side]],"Raintree Back")-IF(TRUNC(ROUND($B46,0)/9,0)=2,2+IF((ROUND($B46,0)-18)*2&gt;=O$2,1,0),IF(TRUNC(ROUND($B46,0)/9,0)=1,1+IF((ROUND($B46,0)-9)*2&gt;=O$2,1,0),IF(TRUNC(ROUND($B46,0)/9,0)=0,IF(TRUNC(ROUND($B46,0)/9,0)=0,0+IF((ROUND($B46,0))*2&gt;=O$2,1,0),"Not"))))-O$3,"")</f>
        <v>0</v>
      </c>
      <c r="P46" s="138">
        <f>IFERROR(AVERAGEIFS(Upload_Indiv[Score4],Upload_Indiv[[Player]:[Player]],$A46,Upload_Indiv[[Side]:[Side]],"Raintree Back")-IF(TRUNC(ROUND($B46,0)/9,0)=2,2+IF((ROUND($B46,0)-18)*2&gt;=P$2,1,0),IF(TRUNC(ROUND($B46,0)/9,0)=1,1+IF((ROUND($B46,0)-9)*2&gt;=P$2,1,0),IF(TRUNC(ROUND($B46,0)/9,0)=0,IF(TRUNC(ROUND($B46,0)/9,0)=0,0+IF((ROUND($B46,0))*2&gt;=P$2,1,0),"Not"))))-P$3,"")</f>
        <v>1</v>
      </c>
      <c r="Q46" s="138">
        <f>IFERROR(AVERAGEIFS(Upload_Indiv[Score5],Upload_Indiv[[Player]:[Player]],$A46,Upload_Indiv[[Side]:[Side]],"Raintree Back")-IF(TRUNC(ROUND($B46,0)/9,0)=2,2+IF((ROUND($B46,0)-18)*2&gt;=Q$2,1,0),IF(TRUNC(ROUND($B46,0)/9,0)=1,1+IF((ROUND($B46,0)-9)*2&gt;=Q$2,1,0),IF(TRUNC(ROUND($B46,0)/9,0)=0,IF(TRUNC(ROUND($B46,0)/9,0)=0,0+IF((ROUND($B46,0))*2&gt;=Q$2,1,0),"Not"))))-Q$3,"")</f>
        <v>0</v>
      </c>
      <c r="R46" s="138">
        <f>IFERROR(AVERAGEIFS(Upload_Indiv[Score6],Upload_Indiv[[Player]:[Player]],$A46,Upload_Indiv[[Side]:[Side]],"Raintree Back")-IF(TRUNC(ROUND($B46,0)/9,0)=2,2+IF((ROUND($B46,0)-18)*2&gt;=R$2,1,0),IF(TRUNC(ROUND($B46,0)/9,0)=1,1+IF((ROUND($B46,0)-9)*2&gt;=R$2,1,0),IF(TRUNC(ROUND($B46,0)/9,0)=0,IF(TRUNC(ROUND($B46,0)/9,0)=0,0+IF((ROUND($B46,0))*2&gt;=R$2,1,0),"Not"))))-R$3,"")</f>
        <v>0</v>
      </c>
      <c r="S46" s="138">
        <f>IFERROR(AVERAGEIFS(Upload_Indiv[Score7],Upload_Indiv[[Player]:[Player]],$A46,Upload_Indiv[[Side]:[Side]],"Raintree Back")-IF(TRUNC(ROUND($B46,0)/9,0)=2,2+IF((ROUND($B46,0)-18)*2&gt;=S$2,1,0),IF(TRUNC(ROUND($B46,0)/9,0)=1,1+IF((ROUND($B46,0)-9)*2&gt;=S$2,1,0),IF(TRUNC(ROUND($B46,0)/9,0)=0,IF(TRUNC(ROUND($B46,0)/9,0)=0,0+IF((ROUND($B46,0))*2&gt;=S$2,1,0),"Not"))))-S$3,"")</f>
        <v>0</v>
      </c>
      <c r="T46" s="138">
        <f>IFERROR(AVERAGEIFS(Upload_Indiv[Score8],Upload_Indiv[[Player]:[Player]],$A46,Upload_Indiv[[Side]:[Side]],"Raintree Back")-IF(TRUNC(ROUND($B46,0)/9,0)=2,2+IF((ROUND($B46,0)-18)*2&gt;=T$2,1,0),IF(TRUNC(ROUND($B46,0)/9,0)=1,1+IF((ROUND($B46,0)-9)*2&gt;=T$2,1,0),IF(TRUNC(ROUND($B46,0)/9,0)=0,IF(TRUNC(ROUND($B46,0)/9,0)=0,0+IF((ROUND($B46,0))*2&gt;=T$2,1,0),"Not"))))-T$3,"")</f>
        <v>1</v>
      </c>
      <c r="U46" s="138">
        <f>IFERROR(AVERAGEIFS(Upload_Indiv[Score9],Upload_Indiv[[Player]:[Player]],$A46,Upload_Indiv[[Side]:[Side]],"Raintree Back")-IF(TRUNC(ROUND($B46,0)/9,0)=2,2+IF((ROUND($B46,0)-18)*2&gt;=U$2,1,0),IF(TRUNC(ROUND($B46,0)/9,0)=1,1+IF((ROUND($B46,0)-9)*2&gt;=U$2,1,0),IF(TRUNC(ROUND($B46,0)/9,0)=0,IF(TRUNC(ROUND($B46,0)/9,0)=0,0+IF((ROUND($B46,0))*2&gt;=U$2,1,0),"Not"))))-U$3,"")</f>
        <v>-0.5</v>
      </c>
      <c r="V46" s="138">
        <f t="shared" si="1"/>
        <v>1.5</v>
      </c>
    </row>
    <row r="47" spans="1:22" ht="15" customHeight="1" x14ac:dyDescent="0.25">
      <c r="A47" s="4" t="s">
        <v>326</v>
      </c>
      <c r="B47" s="138">
        <f>IFERROR(AVERAGEIFS(Upload_Indiv[Hdcp],Upload_Indiv[[Player]:[Player]],$A47),"")</f>
        <v>0</v>
      </c>
      <c r="C47" s="138">
        <f>IFERROR(AVERAGEIFS(Upload_Indiv[Score1],Upload_Indiv[[Player]:[Player]],$A47,Upload_Indiv[[Side]:[Side]],"Raintree Front")-IF(TRUNC(ROUND($B47,0)/9,0)=2,2+IF((ROUND($B47,0)-18)*2&gt;=C$2,1,0),IF(TRUNC(ROUND($B47,0)/9,0)=1,1+IF((ROUND($B47,0)-9)*2&gt;=C$2,1,0),IF(TRUNC(ROUND($B47,0)/9,0)=0,IF(TRUNC(ROUND($B47,0)/9,0)=0,0+IF((ROUND($B47,0))*2&gt;=C$2,1,0),"Not"))))-C$3,"")</f>
        <v>1</v>
      </c>
      <c r="D47" s="138">
        <f>IFERROR(AVERAGEIFS(Upload_Indiv[Score2],Upload_Indiv[[Player]:[Player]],$A47,Upload_Indiv[[Side]:[Side]],"Raintree Front")-IF(TRUNC(ROUND($B47,0)/9,0)=2,2+IF((ROUND($B47,0)-18)*2&gt;=D$2,1,0),IF(TRUNC(ROUND($B47,0)/9,0)=1,1+IF((ROUND($B47,0)-9)*2&gt;=D$2,1,0),IF(TRUNC(ROUND($B47,0)/9,0)=0,IF(TRUNC(ROUND($B47,0)/9,0)=0,0+IF((ROUND($B47,0))*2&gt;=D$2,1,0),"Not"))))-D$3,"")</f>
        <v>0</v>
      </c>
      <c r="E47" s="138">
        <f>IFERROR(AVERAGEIFS(Upload_Indiv[Score3],Upload_Indiv[[Player]:[Player]],$A47,Upload_Indiv[[Side]:[Side]],"Raintree Front")-IF(TRUNC(ROUND($B47,0)/9,0)=2,2+IF((ROUND($B47,0)-18)*2&gt;=E$2,1,0),IF(TRUNC(ROUND($B47,0)/9,0)=1,1+IF((ROUND($B47,0)-9)*2&gt;=E$2,1,0),IF(TRUNC(ROUND($B47,0)/9,0)=0,IF(TRUNC(ROUND($B47,0)/9,0)=0,0+IF((ROUND($B47,0))*2&gt;=E$2,1,0),"Not"))))-E$3,"")</f>
        <v>0</v>
      </c>
      <c r="F47" s="138">
        <f>IFERROR(AVERAGEIFS(Upload_Indiv[Score4],Upload_Indiv[[Player]:[Player]],$A47,Upload_Indiv[[Side]:[Side]],"Raintree Front")-IF(TRUNC(ROUND($B47,0)/9,0)=2,2+IF((ROUND($B47,0)-18)*2&gt;=F$2,1,0),IF(TRUNC(ROUND($B47,0)/9,0)=1,1+IF((ROUND($B47,0)-9)*2&gt;=F$2,1,0),IF(TRUNC(ROUND($B47,0)/9,0)=0,IF(TRUNC(ROUND($B47,0)/9,0)=0,0+IF((ROUND($B47,0))*2&gt;=F$2,1,0),"Not"))))-F$3,"")</f>
        <v>0</v>
      </c>
      <c r="G47" s="138">
        <f>IFERROR(AVERAGEIFS(Upload_Indiv[Score5],Upload_Indiv[[Player]:[Player]],$A47,Upload_Indiv[[Side]:[Side]],"Raintree Front")-IF(TRUNC(ROUND($B47,0)/9,0)=2,2+IF((ROUND($B47,0)-18)*2&gt;=G$2,1,0),IF(TRUNC(ROUND($B47,0)/9,0)=1,1+IF((ROUND($B47,0)-9)*2&gt;=G$2,1,0),IF(TRUNC(ROUND($B47,0)/9,0)=0,IF(TRUNC(ROUND($B47,0)/9,0)=0,0+IF((ROUND($B47,0))*2&gt;=G$2,1,0),"Not"))))-G$3,"")</f>
        <v>0</v>
      </c>
      <c r="H47" s="138">
        <f>IFERROR(AVERAGEIFS(Upload_Indiv[Score6],Upload_Indiv[[Player]:[Player]],$A47,Upload_Indiv[[Side]:[Side]],"Raintree Front")-IF(TRUNC(ROUND($B47,0)/9,0)=2,2+IF((ROUND($B47,0)-18)*2&gt;=H$2,1,0),IF(TRUNC(ROUND($B47,0)/9,0)=1,1+IF((ROUND($B47,0)-9)*2&gt;=H$2,1,0),IF(TRUNC(ROUND($B47,0)/9,0)=0,IF(TRUNC(ROUND($B47,0)/9,0)=0,0+IF((ROUND($B47,0))*2&gt;=H$2,1,0),"Not"))))-H$3,"")</f>
        <v>1</v>
      </c>
      <c r="I47" s="138">
        <f>IFERROR(AVERAGEIFS(Upload_Indiv[Score7],Upload_Indiv[[Player]:[Player]],$A47,Upload_Indiv[[Side]:[Side]],"Raintree Front")-IF(TRUNC(ROUND($B47,0)/9,0)=2,2+IF((ROUND($B47,0)-18)*2&gt;=I$2,1,0),IF(TRUNC(ROUND($B47,0)/9,0)=1,1+IF((ROUND($B47,0)-9)*2&gt;=I$2,1,0),IF(TRUNC(ROUND($B47,0)/9,0)=0,IF(TRUNC(ROUND($B47,0)/9,0)=0,0+IF((ROUND($B47,0))*2&gt;=I$2,1,0),"Not"))))-I$3,"")</f>
        <v>0</v>
      </c>
      <c r="J47" s="138">
        <f>IFERROR(AVERAGEIFS(Upload_Indiv[Score8],Upload_Indiv[[Player]:[Player]],$A47,Upload_Indiv[[Side]:[Side]],"Raintree Front")-IF(TRUNC(ROUND($B47,0)/9,0)=2,2+IF((ROUND($B47,0)-18)*2&gt;=J$2,1,0),IF(TRUNC(ROUND($B47,0)/9,0)=1,1+IF((ROUND($B47,0)-9)*2&gt;=J$2,1,0),IF(TRUNC(ROUND($B47,0)/9,0)=0,IF(TRUNC(ROUND($B47,0)/9,0)=0,0+IF((ROUND($B47,0))*2&gt;=J$2,1,0),"Not"))))-J$3,"")</f>
        <v>0</v>
      </c>
      <c r="K47" s="138">
        <f>IFERROR(AVERAGEIFS(Upload_Indiv[Score9],Upload_Indiv[[Player]:[Player]],$A47,Upload_Indiv[[Side]:[Side]],"Raintree Front")-IF(TRUNC(ROUND($B47,0)/9,0)=2,2+IF((ROUND($B47,0)-18)*2&gt;=K$2,1,0),IF(TRUNC(ROUND($B47,0)/9,0)=1,1+IF((ROUND($B47,0)-9)*2&gt;=K$2,1,0),IF(TRUNC(ROUND($B47,0)/9,0)=0,IF(TRUNC(ROUND($B47,0)/9,0)=0,0+IF((ROUND($B47,0))*2&gt;=K$2,1,0),"Not"))))-K$3,"")</f>
        <v>0</v>
      </c>
      <c r="L47" s="138">
        <f t="shared" si="0"/>
        <v>2</v>
      </c>
      <c r="M47" s="138">
        <f>IFERROR(AVERAGEIFS(Upload_Indiv[Score1],Upload_Indiv[[Player]:[Player]],$A47,Upload_Indiv[[Side]:[Side]],"Raintree Back")-IF(TRUNC(ROUND($B47,0)/9,0)=2,2+IF((ROUND($B47,0)-18)*2&gt;=M$2,1,0),IF(TRUNC(ROUND($B47,0)/9,0)=1,1+IF((ROUND($B47,0)-9)*2&gt;=M$2,1,0),IF(TRUNC(ROUND($B47,0)/9,0)=0,IF(TRUNC(ROUND($B47,0)/9,0)=0,0+IF((ROUND($B47,0))*2&gt;=M$2,1,0),"Not"))))-M$3,"")</f>
        <v>0</v>
      </c>
      <c r="N47" s="138">
        <f>IFERROR(AVERAGEIFS(Upload_Indiv[Score2],Upload_Indiv[[Player]:[Player]],$A47,Upload_Indiv[[Side]:[Side]],"Raintree Back")-IF(TRUNC(ROUND($B47,0)/9,0)=2,2+IF((ROUND($B47,0)-18)*2&gt;=N$2,1,0),IF(TRUNC(ROUND($B47,0)/9,0)=1,1+IF((ROUND($B47,0)-9)*2&gt;=N$2,1,0),IF(TRUNC(ROUND($B47,0)/9,0)=0,IF(TRUNC(ROUND($B47,0)/9,0)=0,0+IF((ROUND($B47,0))*2&gt;=N$2,1,0),"Not"))))-N$3,"")</f>
        <v>0</v>
      </c>
      <c r="O47" s="138">
        <f>IFERROR(AVERAGEIFS(Upload_Indiv[Score3],Upload_Indiv[[Player]:[Player]],$A47,Upload_Indiv[[Side]:[Side]],"Raintree Back")-IF(TRUNC(ROUND($B47,0)/9,0)=2,2+IF((ROUND($B47,0)-18)*2&gt;=O$2,1,0),IF(TRUNC(ROUND($B47,0)/9,0)=1,1+IF((ROUND($B47,0)-9)*2&gt;=O$2,1,0),IF(TRUNC(ROUND($B47,0)/9,0)=0,IF(TRUNC(ROUND($B47,0)/9,0)=0,0+IF((ROUND($B47,0))*2&gt;=O$2,1,0),"Not"))))-O$3,"")</f>
        <v>0</v>
      </c>
      <c r="P47" s="138">
        <f>IFERROR(AVERAGEIFS(Upload_Indiv[Score4],Upload_Indiv[[Player]:[Player]],$A47,Upload_Indiv[[Side]:[Side]],"Raintree Back")-IF(TRUNC(ROUND($B47,0)/9,0)=2,2+IF((ROUND($B47,0)-18)*2&gt;=P$2,1,0),IF(TRUNC(ROUND($B47,0)/9,0)=1,1+IF((ROUND($B47,0)-9)*2&gt;=P$2,1,0),IF(TRUNC(ROUND($B47,0)/9,0)=0,IF(TRUNC(ROUND($B47,0)/9,0)=0,0+IF((ROUND($B47,0))*2&gt;=P$2,1,0),"Not"))))-P$3,"")</f>
        <v>1</v>
      </c>
      <c r="Q47" s="138">
        <f>IFERROR(AVERAGEIFS(Upload_Indiv[Score5],Upload_Indiv[[Player]:[Player]],$A47,Upload_Indiv[[Side]:[Side]],"Raintree Back")-IF(TRUNC(ROUND($B47,0)/9,0)=2,2+IF((ROUND($B47,0)-18)*2&gt;=Q$2,1,0),IF(TRUNC(ROUND($B47,0)/9,0)=1,1+IF((ROUND($B47,0)-9)*2&gt;=Q$2,1,0),IF(TRUNC(ROUND($B47,0)/9,0)=0,IF(TRUNC(ROUND($B47,0)/9,0)=0,0+IF((ROUND($B47,0))*2&gt;=Q$2,1,0),"Not"))))-Q$3,"")</f>
        <v>0</v>
      </c>
      <c r="R47" s="138">
        <f>IFERROR(AVERAGEIFS(Upload_Indiv[Score6],Upload_Indiv[[Player]:[Player]],$A47,Upload_Indiv[[Side]:[Side]],"Raintree Back")-IF(TRUNC(ROUND($B47,0)/9,0)=2,2+IF((ROUND($B47,0)-18)*2&gt;=R$2,1,0),IF(TRUNC(ROUND($B47,0)/9,0)=1,1+IF((ROUND($B47,0)-9)*2&gt;=R$2,1,0),IF(TRUNC(ROUND($B47,0)/9,0)=0,IF(TRUNC(ROUND($B47,0)/9,0)=0,0+IF((ROUND($B47,0))*2&gt;=R$2,1,0),"Not"))))-R$3,"")</f>
        <v>0</v>
      </c>
      <c r="S47" s="138">
        <f>IFERROR(AVERAGEIFS(Upload_Indiv[Score7],Upload_Indiv[[Player]:[Player]],$A47,Upload_Indiv[[Side]:[Side]],"Raintree Back")-IF(TRUNC(ROUND($B47,0)/9,0)=2,2+IF((ROUND($B47,0)-18)*2&gt;=S$2,1,0),IF(TRUNC(ROUND($B47,0)/9,0)=1,1+IF((ROUND($B47,0)-9)*2&gt;=S$2,1,0),IF(TRUNC(ROUND($B47,0)/9,0)=0,IF(TRUNC(ROUND($B47,0)/9,0)=0,0+IF((ROUND($B47,0))*2&gt;=S$2,1,0),"Not"))))-S$3,"")</f>
        <v>0</v>
      </c>
      <c r="T47" s="138">
        <f>IFERROR(AVERAGEIFS(Upload_Indiv[Score8],Upload_Indiv[[Player]:[Player]],$A47,Upload_Indiv[[Side]:[Side]],"Raintree Back")-IF(TRUNC(ROUND($B47,0)/9,0)=2,2+IF((ROUND($B47,0)-18)*2&gt;=T$2,1,0),IF(TRUNC(ROUND($B47,0)/9,0)=1,1+IF((ROUND($B47,0)-9)*2&gt;=T$2,1,0),IF(TRUNC(ROUND($B47,0)/9,0)=0,IF(TRUNC(ROUND($B47,0)/9,0)=0,0+IF((ROUND($B47,0))*2&gt;=T$2,1,0),"Not"))))-T$3,"")</f>
        <v>1</v>
      </c>
      <c r="U47" s="138">
        <f>IFERROR(AVERAGEIFS(Upload_Indiv[Score9],Upload_Indiv[[Player]:[Player]],$A47,Upload_Indiv[[Side]:[Side]],"Raintree Back")-IF(TRUNC(ROUND($B47,0)/9,0)=2,2+IF((ROUND($B47,0)-18)*2&gt;=U$2,1,0),IF(TRUNC(ROUND($B47,0)/9,0)=1,1+IF((ROUND($B47,0)-9)*2&gt;=U$2,1,0),IF(TRUNC(ROUND($B47,0)/9,0)=0,IF(TRUNC(ROUND($B47,0)/9,0)=0,0+IF((ROUND($B47,0))*2&gt;=U$2,1,0),"Not"))))-U$3,"")</f>
        <v>-0.5</v>
      </c>
      <c r="V47" s="138">
        <f t="shared" si="1"/>
        <v>1.5</v>
      </c>
    </row>
    <row r="48" spans="1:22" ht="15" customHeight="1" x14ac:dyDescent="0.25">
      <c r="A48" s="4" t="s">
        <v>262</v>
      </c>
      <c r="B48" s="138">
        <f>IFERROR(AVERAGEIFS(Upload_Indiv[Hdcp],Upload_Indiv[[Player]:[Player]],$A48),"")</f>
        <v>10.37</v>
      </c>
      <c r="C48" s="138">
        <f>IFERROR(AVERAGEIFS(Upload_Indiv[Score1],Upload_Indiv[[Player]:[Player]],$A48,Upload_Indiv[[Side]:[Side]],"Raintree Front")-IF(TRUNC(ROUND($B48,0)/9,0)=2,2+IF((ROUND($B48,0)-18)*2&gt;=C$2,1,0),IF(TRUNC(ROUND($B48,0)/9,0)=1,1+IF((ROUND($B48,0)-9)*2&gt;=C$2,1,0),IF(TRUNC(ROUND($B48,0)/9,0)=0,IF(TRUNC(ROUND($B48,0)/9,0)=0,0+IF((ROUND($B48,0))*2&gt;=C$2,1,0),"Not"))))-C$3,"")</f>
        <v>1</v>
      </c>
      <c r="D48" s="138">
        <f>IFERROR(AVERAGEIFS(Upload_Indiv[Score2],Upload_Indiv[[Player]:[Player]],$A48,Upload_Indiv[[Side]:[Side]],"Raintree Front")-IF(TRUNC(ROUND($B48,0)/9,0)=2,2+IF((ROUND($B48,0)-18)*2&gt;=D$2,1,0),IF(TRUNC(ROUND($B48,0)/9,0)=1,1+IF((ROUND($B48,0)-9)*2&gt;=D$2,1,0),IF(TRUNC(ROUND($B48,0)/9,0)=0,IF(TRUNC(ROUND($B48,0)/9,0)=0,0+IF((ROUND($B48,0))*2&gt;=D$2,1,0),"Not"))))-D$3,"")</f>
        <v>2</v>
      </c>
      <c r="E48" s="138">
        <f>IFERROR(AVERAGEIFS(Upload_Indiv[Score3],Upload_Indiv[[Player]:[Player]],$A48,Upload_Indiv[[Side]:[Side]],"Raintree Front")-IF(TRUNC(ROUND($B48,0)/9,0)=2,2+IF((ROUND($B48,0)-18)*2&gt;=E$2,1,0),IF(TRUNC(ROUND($B48,0)/9,0)=1,1+IF((ROUND($B48,0)-9)*2&gt;=E$2,1,0),IF(TRUNC(ROUND($B48,0)/9,0)=0,IF(TRUNC(ROUND($B48,0)/9,0)=0,0+IF((ROUND($B48,0))*2&gt;=E$2,1,0),"Not"))))-E$3,"")</f>
        <v>2</v>
      </c>
      <c r="F48" s="138">
        <f>IFERROR(AVERAGEIFS(Upload_Indiv[Score4],Upload_Indiv[[Player]:[Player]],$A48,Upload_Indiv[[Side]:[Side]],"Raintree Front")-IF(TRUNC(ROUND($B48,0)/9,0)=2,2+IF((ROUND($B48,0)-18)*2&gt;=F$2,1,0),IF(TRUNC(ROUND($B48,0)/9,0)=1,1+IF((ROUND($B48,0)-9)*2&gt;=F$2,1,0),IF(TRUNC(ROUND($B48,0)/9,0)=0,IF(TRUNC(ROUND($B48,0)/9,0)=0,0+IF((ROUND($B48,0))*2&gt;=F$2,1,0),"Not"))))-F$3,"")</f>
        <v>-1</v>
      </c>
      <c r="G48" s="138">
        <f>IFERROR(AVERAGEIFS(Upload_Indiv[Score5],Upload_Indiv[[Player]:[Player]],$A48,Upload_Indiv[[Side]:[Side]],"Raintree Front")-IF(TRUNC(ROUND($B48,0)/9,0)=2,2+IF((ROUND($B48,0)-18)*2&gt;=G$2,1,0),IF(TRUNC(ROUND($B48,0)/9,0)=1,1+IF((ROUND($B48,0)-9)*2&gt;=G$2,1,0),IF(TRUNC(ROUND($B48,0)/9,0)=0,IF(TRUNC(ROUND($B48,0)/9,0)=0,0+IF((ROUND($B48,0))*2&gt;=G$2,1,0),"Not"))))-G$3,"")</f>
        <v>0</v>
      </c>
      <c r="H48" s="138">
        <f>IFERROR(AVERAGEIFS(Upload_Indiv[Score6],Upload_Indiv[[Player]:[Player]],$A48,Upload_Indiv[[Side]:[Side]],"Raintree Front")-IF(TRUNC(ROUND($B48,0)/9,0)=2,2+IF((ROUND($B48,0)-18)*2&gt;=H$2,1,0),IF(TRUNC(ROUND($B48,0)/9,0)=1,1+IF((ROUND($B48,0)-9)*2&gt;=H$2,1,0),IF(TRUNC(ROUND($B48,0)/9,0)=0,IF(TRUNC(ROUND($B48,0)/9,0)=0,0+IF((ROUND($B48,0))*2&gt;=H$2,1,0),"Not"))))-H$3,"")</f>
        <v>0</v>
      </c>
      <c r="I48" s="138">
        <f>IFERROR(AVERAGEIFS(Upload_Indiv[Score7],Upload_Indiv[[Player]:[Player]],$A48,Upload_Indiv[[Side]:[Side]],"Raintree Front")-IF(TRUNC(ROUND($B48,0)/9,0)=2,2+IF((ROUND($B48,0)-18)*2&gt;=I$2,1,0),IF(TRUNC(ROUND($B48,0)/9,0)=1,1+IF((ROUND($B48,0)-9)*2&gt;=I$2,1,0),IF(TRUNC(ROUND($B48,0)/9,0)=0,IF(TRUNC(ROUND($B48,0)/9,0)=0,0+IF((ROUND($B48,0))*2&gt;=I$2,1,0),"Not"))))-I$3,"")</f>
        <v>2</v>
      </c>
      <c r="J48" s="138">
        <f>IFERROR(AVERAGEIFS(Upload_Indiv[Score8],Upload_Indiv[[Player]:[Player]],$A48,Upload_Indiv[[Side]:[Side]],"Raintree Front")-IF(TRUNC(ROUND($B48,0)/9,0)=2,2+IF((ROUND($B48,0)-18)*2&gt;=J$2,1,0),IF(TRUNC(ROUND($B48,0)/9,0)=1,1+IF((ROUND($B48,0)-9)*2&gt;=J$2,1,0),IF(TRUNC(ROUND($B48,0)/9,0)=0,IF(TRUNC(ROUND($B48,0)/9,0)=0,0+IF((ROUND($B48,0))*2&gt;=J$2,1,0),"Not"))))-J$3,"")</f>
        <v>0</v>
      </c>
      <c r="K48" s="138">
        <f>IFERROR(AVERAGEIFS(Upload_Indiv[Score9],Upload_Indiv[[Player]:[Player]],$A48,Upload_Indiv[[Side]:[Side]],"Raintree Front")-IF(TRUNC(ROUND($B48,0)/9,0)=2,2+IF((ROUND($B48,0)-18)*2&gt;=K$2,1,0),IF(TRUNC(ROUND($B48,0)/9,0)=1,1+IF((ROUND($B48,0)-9)*2&gt;=K$2,1,0),IF(TRUNC(ROUND($B48,0)/9,0)=0,IF(TRUNC(ROUND($B48,0)/9,0)=0,0+IF((ROUND($B48,0))*2&gt;=K$2,1,0),"Not"))))-K$3,"")</f>
        <v>-1</v>
      </c>
      <c r="L48" s="138">
        <f t="shared" si="0"/>
        <v>5</v>
      </c>
      <c r="M48" s="138" t="str">
        <f>IFERROR(AVERAGEIFS(Upload_Indiv[Score1],Upload_Indiv[[Player]:[Player]],$A48,Upload_Indiv[[Side]:[Side]],"Raintree Back")-IF(TRUNC(ROUND($B48,0)/9,0)=2,2+IF((ROUND($B48,0)-18)*2&gt;=M$2,1,0),IF(TRUNC(ROUND($B48,0)/9,0)=1,1+IF((ROUND($B48,0)-9)*2&gt;=M$2,1,0),IF(TRUNC(ROUND($B48,0)/9,0)=0,IF(TRUNC(ROUND($B48,0)/9,0)=0,0+IF((ROUND($B48,0))*2&gt;=M$2,1,0),"Not"))))-M$3,"")</f>
        <v/>
      </c>
      <c r="N48" s="138" t="str">
        <f>IFERROR(AVERAGEIFS(Upload_Indiv[Score2],Upload_Indiv[[Player]:[Player]],$A48,Upload_Indiv[[Side]:[Side]],"Raintree Back")-IF(TRUNC(ROUND($B48,0)/9,0)=2,2+IF((ROUND($B48,0)-18)*2&gt;=N$2,1,0),IF(TRUNC(ROUND($B48,0)/9,0)=1,1+IF((ROUND($B48,0)-9)*2&gt;=N$2,1,0),IF(TRUNC(ROUND($B48,0)/9,0)=0,IF(TRUNC(ROUND($B48,0)/9,0)=0,0+IF((ROUND($B48,0))*2&gt;=N$2,1,0),"Not"))))-N$3,"")</f>
        <v/>
      </c>
      <c r="O48" s="138" t="str">
        <f>IFERROR(AVERAGEIFS(Upload_Indiv[Score3],Upload_Indiv[[Player]:[Player]],$A48,Upload_Indiv[[Side]:[Side]],"Raintree Back")-IF(TRUNC(ROUND($B48,0)/9,0)=2,2+IF((ROUND($B48,0)-18)*2&gt;=O$2,1,0),IF(TRUNC(ROUND($B48,0)/9,0)=1,1+IF((ROUND($B48,0)-9)*2&gt;=O$2,1,0),IF(TRUNC(ROUND($B48,0)/9,0)=0,IF(TRUNC(ROUND($B48,0)/9,0)=0,0+IF((ROUND($B48,0))*2&gt;=O$2,1,0),"Not"))))-O$3,"")</f>
        <v/>
      </c>
      <c r="P48" s="138" t="str">
        <f>IFERROR(AVERAGEIFS(Upload_Indiv[Score4],Upload_Indiv[[Player]:[Player]],$A48,Upload_Indiv[[Side]:[Side]],"Raintree Back")-IF(TRUNC(ROUND($B48,0)/9,0)=2,2+IF((ROUND($B48,0)-18)*2&gt;=P$2,1,0),IF(TRUNC(ROUND($B48,0)/9,0)=1,1+IF((ROUND($B48,0)-9)*2&gt;=P$2,1,0),IF(TRUNC(ROUND($B48,0)/9,0)=0,IF(TRUNC(ROUND($B48,0)/9,0)=0,0+IF((ROUND($B48,0))*2&gt;=P$2,1,0),"Not"))))-P$3,"")</f>
        <v/>
      </c>
      <c r="Q48" s="138" t="str">
        <f>IFERROR(AVERAGEIFS(Upload_Indiv[Score5],Upload_Indiv[[Player]:[Player]],$A48,Upload_Indiv[[Side]:[Side]],"Raintree Back")-IF(TRUNC(ROUND($B48,0)/9,0)=2,2+IF((ROUND($B48,0)-18)*2&gt;=Q$2,1,0),IF(TRUNC(ROUND($B48,0)/9,0)=1,1+IF((ROUND($B48,0)-9)*2&gt;=Q$2,1,0),IF(TRUNC(ROUND($B48,0)/9,0)=0,IF(TRUNC(ROUND($B48,0)/9,0)=0,0+IF((ROUND($B48,0))*2&gt;=Q$2,1,0),"Not"))))-Q$3,"")</f>
        <v/>
      </c>
      <c r="R48" s="138" t="str">
        <f>IFERROR(AVERAGEIFS(Upload_Indiv[Score6],Upload_Indiv[[Player]:[Player]],$A48,Upload_Indiv[[Side]:[Side]],"Raintree Back")-IF(TRUNC(ROUND($B48,0)/9,0)=2,2+IF((ROUND($B48,0)-18)*2&gt;=R$2,1,0),IF(TRUNC(ROUND($B48,0)/9,0)=1,1+IF((ROUND($B48,0)-9)*2&gt;=R$2,1,0),IF(TRUNC(ROUND($B48,0)/9,0)=0,IF(TRUNC(ROUND($B48,0)/9,0)=0,0+IF((ROUND($B48,0))*2&gt;=R$2,1,0),"Not"))))-R$3,"")</f>
        <v/>
      </c>
      <c r="S48" s="138" t="str">
        <f>IFERROR(AVERAGEIFS(Upload_Indiv[Score7],Upload_Indiv[[Player]:[Player]],$A48,Upload_Indiv[[Side]:[Side]],"Raintree Back")-IF(TRUNC(ROUND($B48,0)/9,0)=2,2+IF((ROUND($B48,0)-18)*2&gt;=S$2,1,0),IF(TRUNC(ROUND($B48,0)/9,0)=1,1+IF((ROUND($B48,0)-9)*2&gt;=S$2,1,0),IF(TRUNC(ROUND($B48,0)/9,0)=0,IF(TRUNC(ROUND($B48,0)/9,0)=0,0+IF((ROUND($B48,0))*2&gt;=S$2,1,0),"Not"))))-S$3,"")</f>
        <v/>
      </c>
      <c r="T48" s="138" t="str">
        <f>IFERROR(AVERAGEIFS(Upload_Indiv[Score8],Upload_Indiv[[Player]:[Player]],$A48,Upload_Indiv[[Side]:[Side]],"Raintree Back")-IF(TRUNC(ROUND($B48,0)/9,0)=2,2+IF((ROUND($B48,0)-18)*2&gt;=T$2,1,0),IF(TRUNC(ROUND($B48,0)/9,0)=1,1+IF((ROUND($B48,0)-9)*2&gt;=T$2,1,0),IF(TRUNC(ROUND($B48,0)/9,0)=0,IF(TRUNC(ROUND($B48,0)/9,0)=0,0+IF((ROUND($B48,0))*2&gt;=T$2,1,0),"Not"))))-T$3,"")</f>
        <v/>
      </c>
      <c r="U48" s="138" t="str">
        <f>IFERROR(AVERAGEIFS(Upload_Indiv[Score9],Upload_Indiv[[Player]:[Player]],$A48,Upload_Indiv[[Side]:[Side]],"Raintree Back")-IF(TRUNC(ROUND($B48,0)/9,0)=2,2+IF((ROUND($B48,0)-18)*2&gt;=U$2,1,0),IF(TRUNC(ROUND($B48,0)/9,0)=1,1+IF((ROUND($B48,0)-9)*2&gt;=U$2,1,0),IF(TRUNC(ROUND($B48,0)/9,0)=0,IF(TRUNC(ROUND($B48,0)/9,0)=0,0+IF((ROUND($B48,0))*2&gt;=U$2,1,0),"Not"))))-U$3,"")</f>
        <v/>
      </c>
      <c r="V48" s="138">
        <f t="shared" si="1"/>
        <v>0</v>
      </c>
    </row>
    <row r="49" spans="1:22" ht="15" customHeight="1" x14ac:dyDescent="0.25">
      <c r="A49" s="4" t="s">
        <v>425</v>
      </c>
      <c r="B49" s="138">
        <f>IFERROR(AVERAGEIFS(Upload_Indiv[Hdcp],Upload_Indiv[[Player]:[Player]],$A49),"")</f>
        <v>15.82555555555556</v>
      </c>
      <c r="C49" s="138">
        <f>IFERROR(AVERAGEIFS(Upload_Indiv[Score1],Upload_Indiv[[Player]:[Player]],$A49,Upload_Indiv[[Side]:[Side]],"Raintree Front")-IF(TRUNC(ROUND($B49,0)/9,0)=2,2+IF((ROUND($B49,0)-18)*2&gt;=C$2,1,0),IF(TRUNC(ROUND($B49,0)/9,0)=1,1+IF((ROUND($B49,0)-9)*2&gt;=C$2,1,0),IF(TRUNC(ROUND($B49,0)/9,0)=0,IF(TRUNC(ROUND($B49,0)/9,0)=0,0+IF((ROUND($B49,0))*2&gt;=C$2,1,0),"Not"))))-C$3,"")</f>
        <v>1.4000000000000004</v>
      </c>
      <c r="D49" s="138">
        <f>IFERROR(AVERAGEIFS(Upload_Indiv[Score2],Upload_Indiv[[Player]:[Player]],$A49,Upload_Indiv[[Side]:[Side]],"Raintree Front")-IF(TRUNC(ROUND($B49,0)/9,0)=2,2+IF((ROUND($B49,0)-18)*2&gt;=D$2,1,0),IF(TRUNC(ROUND($B49,0)/9,0)=1,1+IF((ROUND($B49,0)-9)*2&gt;=D$2,1,0),IF(TRUNC(ROUND($B49,0)/9,0)=0,IF(TRUNC(ROUND($B49,0)/9,0)=0,0+IF((ROUND($B49,0))*2&gt;=D$2,1,0),"Not"))))-D$3,"")</f>
        <v>-0.40000000000000036</v>
      </c>
      <c r="E49" s="138">
        <f>IFERROR(AVERAGEIFS(Upload_Indiv[Score3],Upload_Indiv[[Player]:[Player]],$A49,Upload_Indiv[[Side]:[Side]],"Raintree Front")-IF(TRUNC(ROUND($B49,0)/9,0)=2,2+IF((ROUND($B49,0)-18)*2&gt;=E$2,1,0),IF(TRUNC(ROUND($B49,0)/9,0)=1,1+IF((ROUND($B49,0)-9)*2&gt;=E$2,1,0),IF(TRUNC(ROUND($B49,0)/9,0)=0,IF(TRUNC(ROUND($B49,0)/9,0)=0,0+IF((ROUND($B49,0))*2&gt;=E$2,1,0),"Not"))))-E$3,"")</f>
        <v>0.40000000000000036</v>
      </c>
      <c r="F49" s="138">
        <f>IFERROR(AVERAGEIFS(Upload_Indiv[Score4],Upload_Indiv[[Player]:[Player]],$A49,Upload_Indiv[[Side]:[Side]],"Raintree Front")-IF(TRUNC(ROUND($B49,0)/9,0)=2,2+IF((ROUND($B49,0)-18)*2&gt;=F$2,1,0),IF(TRUNC(ROUND($B49,0)/9,0)=1,1+IF((ROUND($B49,0)-9)*2&gt;=F$2,1,0),IF(TRUNC(ROUND($B49,0)/9,0)=0,IF(TRUNC(ROUND($B49,0)/9,0)=0,0+IF((ROUND($B49,0))*2&gt;=F$2,1,0),"Not"))))-F$3,"")</f>
        <v>0.20000000000000018</v>
      </c>
      <c r="G49" s="138">
        <f>IFERROR(AVERAGEIFS(Upload_Indiv[Score5],Upload_Indiv[[Player]:[Player]],$A49,Upload_Indiv[[Side]:[Side]],"Raintree Front")-IF(TRUNC(ROUND($B49,0)/9,0)=2,2+IF((ROUND($B49,0)-18)*2&gt;=G$2,1,0),IF(TRUNC(ROUND($B49,0)/9,0)=1,1+IF((ROUND($B49,0)-9)*2&gt;=G$2,1,0),IF(TRUNC(ROUND($B49,0)/9,0)=0,IF(TRUNC(ROUND($B49,0)/9,0)=0,0+IF((ROUND($B49,0))*2&gt;=G$2,1,0),"Not"))))-G$3,"")</f>
        <v>1</v>
      </c>
      <c r="H49" s="138">
        <f>IFERROR(AVERAGEIFS(Upload_Indiv[Score6],Upload_Indiv[[Player]:[Player]],$A49,Upload_Indiv[[Side]:[Side]],"Raintree Front")-IF(TRUNC(ROUND($B49,0)/9,0)=2,2+IF((ROUND($B49,0)-18)*2&gt;=H$2,1,0),IF(TRUNC(ROUND($B49,0)/9,0)=1,1+IF((ROUND($B49,0)-9)*2&gt;=H$2,1,0),IF(TRUNC(ROUND($B49,0)/9,0)=0,IF(TRUNC(ROUND($B49,0)/9,0)=0,0+IF((ROUND($B49,0))*2&gt;=H$2,1,0),"Not"))))-H$3,"")</f>
        <v>0.20000000000000018</v>
      </c>
      <c r="I49" s="138">
        <f>IFERROR(AVERAGEIFS(Upload_Indiv[Score7],Upload_Indiv[[Player]:[Player]],$A49,Upload_Indiv[[Side]:[Side]],"Raintree Front")-IF(TRUNC(ROUND($B49,0)/9,0)=2,2+IF((ROUND($B49,0)-18)*2&gt;=I$2,1,0),IF(TRUNC(ROUND($B49,0)/9,0)=1,1+IF((ROUND($B49,0)-9)*2&gt;=I$2,1,0),IF(TRUNC(ROUND($B49,0)/9,0)=0,IF(TRUNC(ROUND($B49,0)/9,0)=0,0+IF((ROUND($B49,0))*2&gt;=I$2,1,0),"Not"))))-I$3,"")</f>
        <v>1.1999999999999993</v>
      </c>
      <c r="J49" s="138">
        <f>IFERROR(AVERAGEIFS(Upload_Indiv[Score8],Upload_Indiv[[Player]:[Player]],$A49,Upload_Indiv[[Side]:[Side]],"Raintree Front")-IF(TRUNC(ROUND($B49,0)/9,0)=2,2+IF((ROUND($B49,0)-18)*2&gt;=J$2,1,0),IF(TRUNC(ROUND($B49,0)/9,0)=1,1+IF((ROUND($B49,0)-9)*2&gt;=J$2,1,0),IF(TRUNC(ROUND($B49,0)/9,0)=0,IF(TRUNC(ROUND($B49,0)/9,0)=0,0+IF((ROUND($B49,0))*2&gt;=J$2,1,0),"Not"))))-J$3,"")</f>
        <v>-0.40000000000000036</v>
      </c>
      <c r="K49" s="138">
        <f>IFERROR(AVERAGEIFS(Upload_Indiv[Score9],Upload_Indiv[[Player]:[Player]],$A49,Upload_Indiv[[Side]:[Side]],"Raintree Front")-IF(TRUNC(ROUND($B49,0)/9,0)=2,2+IF((ROUND($B49,0)-18)*2&gt;=K$2,1,0),IF(TRUNC(ROUND($B49,0)/9,0)=1,1+IF((ROUND($B49,0)-9)*2&gt;=K$2,1,0),IF(TRUNC(ROUND($B49,0)/9,0)=0,IF(TRUNC(ROUND($B49,0)/9,0)=0,0+IF((ROUND($B49,0))*2&gt;=K$2,1,0),"Not"))))-K$3,"")</f>
        <v>1.2000000000000002</v>
      </c>
      <c r="L49" s="138">
        <f t="shared" si="0"/>
        <v>4.8</v>
      </c>
      <c r="M49" s="138">
        <f>IFERROR(AVERAGEIFS(Upload_Indiv[Score1],Upload_Indiv[[Player]:[Player]],$A49,Upload_Indiv[[Side]:[Side]],"Raintree Back")-IF(TRUNC(ROUND($B49,0)/9,0)=2,2+IF((ROUND($B49,0)-18)*2&gt;=M$2,1,0),IF(TRUNC(ROUND($B49,0)/9,0)=1,1+IF((ROUND($B49,0)-9)*2&gt;=M$2,1,0),IF(TRUNC(ROUND($B49,0)/9,0)=0,IF(TRUNC(ROUND($B49,0)/9,0)=0,0+IF((ROUND($B49,0))*2&gt;=M$2,1,0),"Not"))))-M$3,"")</f>
        <v>-0.25</v>
      </c>
      <c r="N49" s="138">
        <f>IFERROR(AVERAGEIFS(Upload_Indiv[Score2],Upload_Indiv[[Player]:[Player]],$A49,Upload_Indiv[[Side]:[Side]],"Raintree Back")-IF(TRUNC(ROUND($B49,0)/9,0)=2,2+IF((ROUND($B49,0)-18)*2&gt;=N$2,1,0),IF(TRUNC(ROUND($B49,0)/9,0)=1,1+IF((ROUND($B49,0)-9)*2&gt;=N$2,1,0),IF(TRUNC(ROUND($B49,0)/9,0)=0,IF(TRUNC(ROUND($B49,0)/9,0)=0,0+IF((ROUND($B49,0))*2&gt;=N$2,1,0),"Not"))))-N$3,"")</f>
        <v>0.75</v>
      </c>
      <c r="O49" s="138">
        <f>IFERROR(AVERAGEIFS(Upload_Indiv[Score3],Upload_Indiv[[Player]:[Player]],$A49,Upload_Indiv[[Side]:[Side]],"Raintree Back")-IF(TRUNC(ROUND($B49,0)/9,0)=2,2+IF((ROUND($B49,0)-18)*2&gt;=O$2,1,0),IF(TRUNC(ROUND($B49,0)/9,0)=1,1+IF((ROUND($B49,0)-9)*2&gt;=O$2,1,0),IF(TRUNC(ROUND($B49,0)/9,0)=0,IF(TRUNC(ROUND($B49,0)/9,0)=0,0+IF((ROUND($B49,0))*2&gt;=O$2,1,0),"Not"))))-O$3,"")</f>
        <v>2.25</v>
      </c>
      <c r="P49" s="138">
        <f>IFERROR(AVERAGEIFS(Upload_Indiv[Score4],Upload_Indiv[[Player]:[Player]],$A49,Upload_Indiv[[Side]:[Side]],"Raintree Back")-IF(TRUNC(ROUND($B49,0)/9,0)=2,2+IF((ROUND($B49,0)-18)*2&gt;=P$2,1,0),IF(TRUNC(ROUND($B49,0)/9,0)=1,1+IF((ROUND($B49,0)-9)*2&gt;=P$2,1,0),IF(TRUNC(ROUND($B49,0)/9,0)=0,IF(TRUNC(ROUND($B49,0)/9,0)=0,0+IF((ROUND($B49,0))*2&gt;=P$2,1,0),"Not"))))-P$3,"")</f>
        <v>0</v>
      </c>
      <c r="Q49" s="138">
        <f>IFERROR(AVERAGEIFS(Upload_Indiv[Score5],Upload_Indiv[[Player]:[Player]],$A49,Upload_Indiv[[Side]:[Side]],"Raintree Back")-IF(TRUNC(ROUND($B49,0)/9,0)=2,2+IF((ROUND($B49,0)-18)*2&gt;=Q$2,1,0),IF(TRUNC(ROUND($B49,0)/9,0)=1,1+IF((ROUND($B49,0)-9)*2&gt;=Q$2,1,0),IF(TRUNC(ROUND($B49,0)/9,0)=0,IF(TRUNC(ROUND($B49,0)/9,0)=0,0+IF((ROUND($B49,0))*2&gt;=Q$2,1,0),"Not"))))-Q$3,"")</f>
        <v>0.25</v>
      </c>
      <c r="R49" s="138">
        <f>IFERROR(AVERAGEIFS(Upload_Indiv[Score6],Upload_Indiv[[Player]:[Player]],$A49,Upload_Indiv[[Side]:[Side]],"Raintree Back")-IF(TRUNC(ROUND($B49,0)/9,0)=2,2+IF((ROUND($B49,0)-18)*2&gt;=R$2,1,0),IF(TRUNC(ROUND($B49,0)/9,0)=1,1+IF((ROUND($B49,0)-9)*2&gt;=R$2,1,0),IF(TRUNC(ROUND($B49,0)/9,0)=0,IF(TRUNC(ROUND($B49,0)/9,0)=0,0+IF((ROUND($B49,0))*2&gt;=R$2,1,0),"Not"))))-R$3,"")</f>
        <v>1.25</v>
      </c>
      <c r="S49" s="138">
        <f>IFERROR(AVERAGEIFS(Upload_Indiv[Score7],Upload_Indiv[[Player]:[Player]],$A49,Upload_Indiv[[Side]:[Side]],"Raintree Back")-IF(TRUNC(ROUND($B49,0)/9,0)=2,2+IF((ROUND($B49,0)-18)*2&gt;=S$2,1,0),IF(TRUNC(ROUND($B49,0)/9,0)=1,1+IF((ROUND($B49,0)-9)*2&gt;=S$2,1,0),IF(TRUNC(ROUND($B49,0)/9,0)=0,IF(TRUNC(ROUND($B49,0)/9,0)=0,0+IF((ROUND($B49,0))*2&gt;=S$2,1,0),"Not"))))-S$3,"")</f>
        <v>0.75</v>
      </c>
      <c r="T49" s="138">
        <f>IFERROR(AVERAGEIFS(Upload_Indiv[Score8],Upload_Indiv[[Player]:[Player]],$A49,Upload_Indiv[[Side]:[Side]],"Raintree Back")-IF(TRUNC(ROUND($B49,0)/9,0)=2,2+IF((ROUND($B49,0)-18)*2&gt;=T$2,1,0),IF(TRUNC(ROUND($B49,0)/9,0)=1,1+IF((ROUND($B49,0)-9)*2&gt;=T$2,1,0),IF(TRUNC(ROUND($B49,0)/9,0)=0,IF(TRUNC(ROUND($B49,0)/9,0)=0,0+IF((ROUND($B49,0))*2&gt;=T$2,1,0),"Not"))))-T$3,"")</f>
        <v>-0.75</v>
      </c>
      <c r="U49" s="138">
        <f>IFERROR(AVERAGEIFS(Upload_Indiv[Score9],Upload_Indiv[[Player]:[Player]],$A49,Upload_Indiv[[Side]:[Side]],"Raintree Back")-IF(TRUNC(ROUND($B49,0)/9,0)=2,2+IF((ROUND($B49,0)-18)*2&gt;=U$2,1,0),IF(TRUNC(ROUND($B49,0)/9,0)=1,1+IF((ROUND($B49,0)-9)*2&gt;=U$2,1,0),IF(TRUNC(ROUND($B49,0)/9,0)=0,IF(TRUNC(ROUND($B49,0)/9,0)=0,0+IF((ROUND($B49,0))*2&gt;=U$2,1,0),"Not"))))-U$3,"")</f>
        <v>0.75</v>
      </c>
      <c r="V49" s="138">
        <f t="shared" si="1"/>
        <v>5</v>
      </c>
    </row>
    <row r="50" spans="1:22" ht="15" customHeight="1" x14ac:dyDescent="0.25">
      <c r="A50" s="4" t="s">
        <v>281</v>
      </c>
      <c r="B50" s="138">
        <f>IFERROR(AVERAGEIFS(Upload_Indiv[Hdcp],Upload_Indiv[[Player]:[Player]],$A50),"")</f>
        <v>0</v>
      </c>
      <c r="C50" s="138">
        <f>IFERROR(AVERAGEIFS(Upload_Indiv[Score1],Upload_Indiv[[Player]:[Player]],$A50,Upload_Indiv[[Side]:[Side]],"Raintree Front")-IF(TRUNC(ROUND($B50,0)/9,0)=2,2+IF((ROUND($B50,0)-18)*2&gt;=C$2,1,0),IF(TRUNC(ROUND($B50,0)/9,0)=1,1+IF((ROUND($B50,0)-9)*2&gt;=C$2,1,0),IF(TRUNC(ROUND($B50,0)/9,0)=0,IF(TRUNC(ROUND($B50,0)/9,0)=0,0+IF((ROUND($B50,0))*2&gt;=C$2,1,0),"Not"))))-C$3,"")</f>
        <v>1</v>
      </c>
      <c r="D50" s="138">
        <f>IFERROR(AVERAGEIFS(Upload_Indiv[Score2],Upload_Indiv[[Player]:[Player]],$A50,Upload_Indiv[[Side]:[Side]],"Raintree Front")-IF(TRUNC(ROUND($B50,0)/9,0)=2,2+IF((ROUND($B50,0)-18)*2&gt;=D$2,1,0),IF(TRUNC(ROUND($B50,0)/9,0)=1,1+IF((ROUND($B50,0)-9)*2&gt;=D$2,1,0),IF(TRUNC(ROUND($B50,0)/9,0)=0,IF(TRUNC(ROUND($B50,0)/9,0)=0,0+IF((ROUND($B50,0))*2&gt;=D$2,1,0),"Not"))))-D$3,"")</f>
        <v>0</v>
      </c>
      <c r="E50" s="138">
        <f>IFERROR(AVERAGEIFS(Upload_Indiv[Score3],Upload_Indiv[[Player]:[Player]],$A50,Upload_Indiv[[Side]:[Side]],"Raintree Front")-IF(TRUNC(ROUND($B50,0)/9,0)=2,2+IF((ROUND($B50,0)-18)*2&gt;=E$2,1,0),IF(TRUNC(ROUND($B50,0)/9,0)=1,1+IF((ROUND($B50,0)-9)*2&gt;=E$2,1,0),IF(TRUNC(ROUND($B50,0)/9,0)=0,IF(TRUNC(ROUND($B50,0)/9,0)=0,0+IF((ROUND($B50,0))*2&gt;=E$2,1,0),"Not"))))-E$3,"")</f>
        <v>1</v>
      </c>
      <c r="F50" s="138">
        <f>IFERROR(AVERAGEIFS(Upload_Indiv[Score4],Upload_Indiv[[Player]:[Player]],$A50,Upload_Indiv[[Side]:[Side]],"Raintree Front")-IF(TRUNC(ROUND($B50,0)/9,0)=2,2+IF((ROUND($B50,0)-18)*2&gt;=F$2,1,0),IF(TRUNC(ROUND($B50,0)/9,0)=1,1+IF((ROUND($B50,0)-9)*2&gt;=F$2,1,0),IF(TRUNC(ROUND($B50,0)/9,0)=0,IF(TRUNC(ROUND($B50,0)/9,0)=0,0+IF((ROUND($B50,0))*2&gt;=F$2,1,0),"Not"))))-F$3,"")</f>
        <v>0</v>
      </c>
      <c r="G50" s="138">
        <f>IFERROR(AVERAGEIFS(Upload_Indiv[Score5],Upload_Indiv[[Player]:[Player]],$A50,Upload_Indiv[[Side]:[Side]],"Raintree Front")-IF(TRUNC(ROUND($B50,0)/9,0)=2,2+IF((ROUND($B50,0)-18)*2&gt;=G$2,1,0),IF(TRUNC(ROUND($B50,0)/9,0)=1,1+IF((ROUND($B50,0)-9)*2&gt;=G$2,1,0),IF(TRUNC(ROUND($B50,0)/9,0)=0,IF(TRUNC(ROUND($B50,0)/9,0)=0,0+IF((ROUND($B50,0))*2&gt;=G$2,1,0),"Not"))))-G$3,"")</f>
        <v>0</v>
      </c>
      <c r="H50" s="138">
        <f>IFERROR(AVERAGEIFS(Upload_Indiv[Score6],Upload_Indiv[[Player]:[Player]],$A50,Upload_Indiv[[Side]:[Side]],"Raintree Front")-IF(TRUNC(ROUND($B50,0)/9,0)=2,2+IF((ROUND($B50,0)-18)*2&gt;=H$2,1,0),IF(TRUNC(ROUND($B50,0)/9,0)=1,1+IF((ROUND($B50,0)-9)*2&gt;=H$2,1,0),IF(TRUNC(ROUND($B50,0)/9,0)=0,IF(TRUNC(ROUND($B50,0)/9,0)=0,0+IF((ROUND($B50,0))*2&gt;=H$2,1,0),"Not"))))-H$3,"")</f>
        <v>1</v>
      </c>
      <c r="I50" s="138">
        <f>IFERROR(AVERAGEIFS(Upload_Indiv[Score7],Upload_Indiv[[Player]:[Player]],$A50,Upload_Indiv[[Side]:[Side]],"Raintree Front")-IF(TRUNC(ROUND($B50,0)/9,0)=2,2+IF((ROUND($B50,0)-18)*2&gt;=I$2,1,0),IF(TRUNC(ROUND($B50,0)/9,0)=1,1+IF((ROUND($B50,0)-9)*2&gt;=I$2,1,0),IF(TRUNC(ROUND($B50,0)/9,0)=0,IF(TRUNC(ROUND($B50,0)/9,0)=0,0+IF((ROUND($B50,0))*2&gt;=I$2,1,0),"Not"))))-I$3,"")</f>
        <v>0</v>
      </c>
      <c r="J50" s="138">
        <f>IFERROR(AVERAGEIFS(Upload_Indiv[Score8],Upload_Indiv[[Player]:[Player]],$A50,Upload_Indiv[[Side]:[Side]],"Raintree Front")-IF(TRUNC(ROUND($B50,0)/9,0)=2,2+IF((ROUND($B50,0)-18)*2&gt;=J$2,1,0),IF(TRUNC(ROUND($B50,0)/9,0)=1,1+IF((ROUND($B50,0)-9)*2&gt;=J$2,1,0),IF(TRUNC(ROUND($B50,0)/9,0)=0,IF(TRUNC(ROUND($B50,0)/9,0)=0,0+IF((ROUND($B50,0))*2&gt;=J$2,1,0),"Not"))))-J$3,"")</f>
        <v>0</v>
      </c>
      <c r="K50" s="138">
        <f>IFERROR(AVERAGEIFS(Upload_Indiv[Score9],Upload_Indiv[[Player]:[Player]],$A50,Upload_Indiv[[Side]:[Side]],"Raintree Front")-IF(TRUNC(ROUND($B50,0)/9,0)=2,2+IF((ROUND($B50,0)-18)*2&gt;=K$2,1,0),IF(TRUNC(ROUND($B50,0)/9,0)=1,1+IF((ROUND($B50,0)-9)*2&gt;=K$2,1,0),IF(TRUNC(ROUND($B50,0)/9,0)=0,IF(TRUNC(ROUND($B50,0)/9,0)=0,0+IF((ROUND($B50,0))*2&gt;=K$2,1,0),"Not"))))-K$3,"")</f>
        <v>1</v>
      </c>
      <c r="L50" s="138">
        <f t="shared" si="0"/>
        <v>4</v>
      </c>
      <c r="M50" s="138" t="str">
        <f>IFERROR(AVERAGEIFS(Upload_Indiv[Score1],Upload_Indiv[[Player]:[Player]],$A50,Upload_Indiv[[Side]:[Side]],"Raintree Back")-IF(TRUNC(ROUND($B50,0)/9,0)=2,2+IF((ROUND($B50,0)-18)*2&gt;=M$2,1,0),IF(TRUNC(ROUND($B50,0)/9,0)=1,1+IF((ROUND($B50,0)-9)*2&gt;=M$2,1,0),IF(TRUNC(ROUND($B50,0)/9,0)=0,IF(TRUNC(ROUND($B50,0)/9,0)=0,0+IF((ROUND($B50,0))*2&gt;=M$2,1,0),"Not"))))-M$3,"")</f>
        <v/>
      </c>
      <c r="N50" s="138" t="str">
        <f>IFERROR(AVERAGEIFS(Upload_Indiv[Score2],Upload_Indiv[[Player]:[Player]],$A50,Upload_Indiv[[Side]:[Side]],"Raintree Back")-IF(TRUNC(ROUND($B50,0)/9,0)=2,2+IF((ROUND($B50,0)-18)*2&gt;=N$2,1,0),IF(TRUNC(ROUND($B50,0)/9,0)=1,1+IF((ROUND($B50,0)-9)*2&gt;=N$2,1,0),IF(TRUNC(ROUND($B50,0)/9,0)=0,IF(TRUNC(ROUND($B50,0)/9,0)=0,0+IF((ROUND($B50,0))*2&gt;=N$2,1,0),"Not"))))-N$3,"")</f>
        <v/>
      </c>
      <c r="O50" s="138" t="str">
        <f>IFERROR(AVERAGEIFS(Upload_Indiv[Score3],Upload_Indiv[[Player]:[Player]],$A50,Upload_Indiv[[Side]:[Side]],"Raintree Back")-IF(TRUNC(ROUND($B50,0)/9,0)=2,2+IF((ROUND($B50,0)-18)*2&gt;=O$2,1,0),IF(TRUNC(ROUND($B50,0)/9,0)=1,1+IF((ROUND($B50,0)-9)*2&gt;=O$2,1,0),IF(TRUNC(ROUND($B50,0)/9,0)=0,IF(TRUNC(ROUND($B50,0)/9,0)=0,0+IF((ROUND($B50,0))*2&gt;=O$2,1,0),"Not"))))-O$3,"")</f>
        <v/>
      </c>
      <c r="P50" s="138" t="str">
        <f>IFERROR(AVERAGEIFS(Upload_Indiv[Score4],Upload_Indiv[[Player]:[Player]],$A50,Upload_Indiv[[Side]:[Side]],"Raintree Back")-IF(TRUNC(ROUND($B50,0)/9,0)=2,2+IF((ROUND($B50,0)-18)*2&gt;=P$2,1,0),IF(TRUNC(ROUND($B50,0)/9,0)=1,1+IF((ROUND($B50,0)-9)*2&gt;=P$2,1,0),IF(TRUNC(ROUND($B50,0)/9,0)=0,IF(TRUNC(ROUND($B50,0)/9,0)=0,0+IF((ROUND($B50,0))*2&gt;=P$2,1,0),"Not"))))-P$3,"")</f>
        <v/>
      </c>
      <c r="Q50" s="138" t="str">
        <f>IFERROR(AVERAGEIFS(Upload_Indiv[Score5],Upload_Indiv[[Player]:[Player]],$A50,Upload_Indiv[[Side]:[Side]],"Raintree Back")-IF(TRUNC(ROUND($B50,0)/9,0)=2,2+IF((ROUND($B50,0)-18)*2&gt;=Q$2,1,0),IF(TRUNC(ROUND($B50,0)/9,0)=1,1+IF((ROUND($B50,0)-9)*2&gt;=Q$2,1,0),IF(TRUNC(ROUND($B50,0)/9,0)=0,IF(TRUNC(ROUND($B50,0)/9,0)=0,0+IF((ROUND($B50,0))*2&gt;=Q$2,1,0),"Not"))))-Q$3,"")</f>
        <v/>
      </c>
      <c r="R50" s="138" t="str">
        <f>IFERROR(AVERAGEIFS(Upload_Indiv[Score6],Upload_Indiv[[Player]:[Player]],$A50,Upload_Indiv[[Side]:[Side]],"Raintree Back")-IF(TRUNC(ROUND($B50,0)/9,0)=2,2+IF((ROUND($B50,0)-18)*2&gt;=R$2,1,0),IF(TRUNC(ROUND($B50,0)/9,0)=1,1+IF((ROUND($B50,0)-9)*2&gt;=R$2,1,0),IF(TRUNC(ROUND($B50,0)/9,0)=0,IF(TRUNC(ROUND($B50,0)/9,0)=0,0+IF((ROUND($B50,0))*2&gt;=R$2,1,0),"Not"))))-R$3,"")</f>
        <v/>
      </c>
      <c r="S50" s="138" t="str">
        <f>IFERROR(AVERAGEIFS(Upload_Indiv[Score7],Upload_Indiv[[Player]:[Player]],$A50,Upload_Indiv[[Side]:[Side]],"Raintree Back")-IF(TRUNC(ROUND($B50,0)/9,0)=2,2+IF((ROUND($B50,0)-18)*2&gt;=S$2,1,0),IF(TRUNC(ROUND($B50,0)/9,0)=1,1+IF((ROUND($B50,0)-9)*2&gt;=S$2,1,0),IF(TRUNC(ROUND($B50,0)/9,0)=0,IF(TRUNC(ROUND($B50,0)/9,0)=0,0+IF((ROUND($B50,0))*2&gt;=S$2,1,0),"Not"))))-S$3,"")</f>
        <v/>
      </c>
      <c r="T50" s="138" t="str">
        <f>IFERROR(AVERAGEIFS(Upload_Indiv[Score8],Upload_Indiv[[Player]:[Player]],$A50,Upload_Indiv[[Side]:[Side]],"Raintree Back")-IF(TRUNC(ROUND($B50,0)/9,0)=2,2+IF((ROUND($B50,0)-18)*2&gt;=T$2,1,0),IF(TRUNC(ROUND($B50,0)/9,0)=1,1+IF((ROUND($B50,0)-9)*2&gt;=T$2,1,0),IF(TRUNC(ROUND($B50,0)/9,0)=0,IF(TRUNC(ROUND($B50,0)/9,0)=0,0+IF((ROUND($B50,0))*2&gt;=T$2,1,0),"Not"))))-T$3,"")</f>
        <v/>
      </c>
      <c r="U50" s="138" t="str">
        <f>IFERROR(AVERAGEIFS(Upload_Indiv[Score9],Upload_Indiv[[Player]:[Player]],$A50,Upload_Indiv[[Side]:[Side]],"Raintree Back")-IF(TRUNC(ROUND($B50,0)/9,0)=2,2+IF((ROUND($B50,0)-18)*2&gt;=U$2,1,0),IF(TRUNC(ROUND($B50,0)/9,0)=1,1+IF((ROUND($B50,0)-9)*2&gt;=U$2,1,0),IF(TRUNC(ROUND($B50,0)/9,0)=0,IF(TRUNC(ROUND($B50,0)/9,0)=0,0+IF((ROUND($B50,0))*2&gt;=U$2,1,0),"Not"))))-U$3,"")</f>
        <v/>
      </c>
      <c r="V50" s="138">
        <f t="shared" si="1"/>
        <v>0</v>
      </c>
    </row>
    <row r="51" spans="1:22" ht="15" customHeight="1" x14ac:dyDescent="0.25">
      <c r="A51" s="4" t="s">
        <v>296</v>
      </c>
      <c r="B51" s="138">
        <f>IFERROR(AVERAGEIFS(Upload_Indiv[Hdcp],Upload_Indiv[[Player]:[Player]],$A51),"")</f>
        <v>0</v>
      </c>
      <c r="C51" s="138" t="str">
        <f>IFERROR(AVERAGEIFS(Upload_Indiv[Score1],Upload_Indiv[[Player]:[Player]],$A51,Upload_Indiv[[Side]:[Side]],"Raintree Front")-IF(TRUNC(ROUND($B51,0)/9,0)=2,2+IF((ROUND($B51,0)-18)*2&gt;=C$2,1,0),IF(TRUNC(ROUND($B51,0)/9,0)=1,1+IF((ROUND($B51,0)-9)*2&gt;=C$2,1,0),IF(TRUNC(ROUND($B51,0)/9,0)=0,IF(TRUNC(ROUND($B51,0)/9,0)=0,0+IF((ROUND($B51,0))*2&gt;=C$2,1,0),"Not"))))-C$3,"")</f>
        <v/>
      </c>
      <c r="D51" s="138" t="str">
        <f>IFERROR(AVERAGEIFS(Upload_Indiv[Score2],Upload_Indiv[[Player]:[Player]],$A51,Upload_Indiv[[Side]:[Side]],"Raintree Front")-IF(TRUNC(ROUND($B51,0)/9,0)=2,2+IF((ROUND($B51,0)-18)*2&gt;=D$2,1,0),IF(TRUNC(ROUND($B51,0)/9,0)=1,1+IF((ROUND($B51,0)-9)*2&gt;=D$2,1,0),IF(TRUNC(ROUND($B51,0)/9,0)=0,IF(TRUNC(ROUND($B51,0)/9,0)=0,0+IF((ROUND($B51,0))*2&gt;=D$2,1,0),"Not"))))-D$3,"")</f>
        <v/>
      </c>
      <c r="E51" s="138" t="str">
        <f>IFERROR(AVERAGEIFS(Upload_Indiv[Score3],Upload_Indiv[[Player]:[Player]],$A51,Upload_Indiv[[Side]:[Side]],"Raintree Front")-IF(TRUNC(ROUND($B51,0)/9,0)=2,2+IF((ROUND($B51,0)-18)*2&gt;=E$2,1,0),IF(TRUNC(ROUND($B51,0)/9,0)=1,1+IF((ROUND($B51,0)-9)*2&gt;=E$2,1,0),IF(TRUNC(ROUND($B51,0)/9,0)=0,IF(TRUNC(ROUND($B51,0)/9,0)=0,0+IF((ROUND($B51,0))*2&gt;=E$2,1,0),"Not"))))-E$3,"")</f>
        <v/>
      </c>
      <c r="F51" s="138" t="str">
        <f>IFERROR(AVERAGEIFS(Upload_Indiv[Score4],Upload_Indiv[[Player]:[Player]],$A51,Upload_Indiv[[Side]:[Side]],"Raintree Front")-IF(TRUNC(ROUND($B51,0)/9,0)=2,2+IF((ROUND($B51,0)-18)*2&gt;=F$2,1,0),IF(TRUNC(ROUND($B51,0)/9,0)=1,1+IF((ROUND($B51,0)-9)*2&gt;=F$2,1,0),IF(TRUNC(ROUND($B51,0)/9,0)=0,IF(TRUNC(ROUND($B51,0)/9,0)=0,0+IF((ROUND($B51,0))*2&gt;=F$2,1,0),"Not"))))-F$3,"")</f>
        <v/>
      </c>
      <c r="G51" s="138" t="str">
        <f>IFERROR(AVERAGEIFS(Upload_Indiv[Score5],Upload_Indiv[[Player]:[Player]],$A51,Upload_Indiv[[Side]:[Side]],"Raintree Front")-IF(TRUNC(ROUND($B51,0)/9,0)=2,2+IF((ROUND($B51,0)-18)*2&gt;=G$2,1,0),IF(TRUNC(ROUND($B51,0)/9,0)=1,1+IF((ROUND($B51,0)-9)*2&gt;=G$2,1,0),IF(TRUNC(ROUND($B51,0)/9,0)=0,IF(TRUNC(ROUND($B51,0)/9,0)=0,0+IF((ROUND($B51,0))*2&gt;=G$2,1,0),"Not"))))-G$3,"")</f>
        <v/>
      </c>
      <c r="H51" s="138" t="str">
        <f>IFERROR(AVERAGEIFS(Upload_Indiv[Score6],Upload_Indiv[[Player]:[Player]],$A51,Upload_Indiv[[Side]:[Side]],"Raintree Front")-IF(TRUNC(ROUND($B51,0)/9,0)=2,2+IF((ROUND($B51,0)-18)*2&gt;=H$2,1,0),IF(TRUNC(ROUND($B51,0)/9,0)=1,1+IF((ROUND($B51,0)-9)*2&gt;=H$2,1,0),IF(TRUNC(ROUND($B51,0)/9,0)=0,IF(TRUNC(ROUND($B51,0)/9,0)=0,0+IF((ROUND($B51,0))*2&gt;=H$2,1,0),"Not"))))-H$3,"")</f>
        <v/>
      </c>
      <c r="I51" s="138" t="str">
        <f>IFERROR(AVERAGEIFS(Upload_Indiv[Score7],Upload_Indiv[[Player]:[Player]],$A51,Upload_Indiv[[Side]:[Side]],"Raintree Front")-IF(TRUNC(ROUND($B51,0)/9,0)=2,2+IF((ROUND($B51,0)-18)*2&gt;=I$2,1,0),IF(TRUNC(ROUND($B51,0)/9,0)=1,1+IF((ROUND($B51,0)-9)*2&gt;=I$2,1,0),IF(TRUNC(ROUND($B51,0)/9,0)=0,IF(TRUNC(ROUND($B51,0)/9,0)=0,0+IF((ROUND($B51,0))*2&gt;=I$2,1,0),"Not"))))-I$3,"")</f>
        <v/>
      </c>
      <c r="J51" s="138" t="str">
        <f>IFERROR(AVERAGEIFS(Upload_Indiv[Score8],Upload_Indiv[[Player]:[Player]],$A51,Upload_Indiv[[Side]:[Side]],"Raintree Front")-IF(TRUNC(ROUND($B51,0)/9,0)=2,2+IF((ROUND($B51,0)-18)*2&gt;=J$2,1,0),IF(TRUNC(ROUND($B51,0)/9,0)=1,1+IF((ROUND($B51,0)-9)*2&gt;=J$2,1,0),IF(TRUNC(ROUND($B51,0)/9,0)=0,IF(TRUNC(ROUND($B51,0)/9,0)=0,0+IF((ROUND($B51,0))*2&gt;=J$2,1,0),"Not"))))-J$3,"")</f>
        <v/>
      </c>
      <c r="K51" s="138" t="str">
        <f>IFERROR(AVERAGEIFS(Upload_Indiv[Score9],Upload_Indiv[[Player]:[Player]],$A51,Upload_Indiv[[Side]:[Side]],"Raintree Front")-IF(TRUNC(ROUND($B51,0)/9,0)=2,2+IF((ROUND($B51,0)-18)*2&gt;=K$2,1,0),IF(TRUNC(ROUND($B51,0)/9,0)=1,1+IF((ROUND($B51,0)-9)*2&gt;=K$2,1,0),IF(TRUNC(ROUND($B51,0)/9,0)=0,IF(TRUNC(ROUND($B51,0)/9,0)=0,0+IF((ROUND($B51,0))*2&gt;=K$2,1,0),"Not"))))-K$3,"")</f>
        <v/>
      </c>
      <c r="L51" s="138">
        <f t="shared" si="0"/>
        <v>0</v>
      </c>
      <c r="M51" s="138">
        <f>IFERROR(AVERAGEIFS(Upload_Indiv[Score1],Upload_Indiv[[Player]:[Player]],$A51,Upload_Indiv[[Side]:[Side]],"Raintree Back")-IF(TRUNC(ROUND($B51,0)/9,0)=2,2+IF((ROUND($B51,0)-18)*2&gt;=M$2,1,0),IF(TRUNC(ROUND($B51,0)/9,0)=1,1+IF((ROUND($B51,0)-9)*2&gt;=M$2,1,0),IF(TRUNC(ROUND($B51,0)/9,0)=0,IF(TRUNC(ROUND($B51,0)/9,0)=0,0+IF((ROUND($B51,0))*2&gt;=M$2,1,0),"Not"))))-M$3,"")</f>
        <v>0</v>
      </c>
      <c r="N51" s="138">
        <f>IFERROR(AVERAGEIFS(Upload_Indiv[Score2],Upload_Indiv[[Player]:[Player]],$A51,Upload_Indiv[[Side]:[Side]],"Raintree Back")-IF(TRUNC(ROUND($B51,0)/9,0)=2,2+IF((ROUND($B51,0)-18)*2&gt;=N$2,1,0),IF(TRUNC(ROUND($B51,0)/9,0)=1,1+IF((ROUND($B51,0)-9)*2&gt;=N$2,1,0),IF(TRUNC(ROUND($B51,0)/9,0)=0,IF(TRUNC(ROUND($B51,0)/9,0)=0,0+IF((ROUND($B51,0))*2&gt;=N$2,1,0),"Not"))))-N$3,"")</f>
        <v>0</v>
      </c>
      <c r="O51" s="138">
        <f>IFERROR(AVERAGEIFS(Upload_Indiv[Score3],Upload_Indiv[[Player]:[Player]],$A51,Upload_Indiv[[Side]:[Side]],"Raintree Back")-IF(TRUNC(ROUND($B51,0)/9,0)=2,2+IF((ROUND($B51,0)-18)*2&gt;=O$2,1,0),IF(TRUNC(ROUND($B51,0)/9,0)=1,1+IF((ROUND($B51,0)-9)*2&gt;=O$2,1,0),IF(TRUNC(ROUND($B51,0)/9,0)=0,IF(TRUNC(ROUND($B51,0)/9,0)=0,0+IF((ROUND($B51,0))*2&gt;=O$2,1,0),"Not"))))-O$3,"")</f>
        <v>0</v>
      </c>
      <c r="P51" s="138">
        <f>IFERROR(AVERAGEIFS(Upload_Indiv[Score4],Upload_Indiv[[Player]:[Player]],$A51,Upload_Indiv[[Side]:[Side]],"Raintree Back")-IF(TRUNC(ROUND($B51,0)/9,0)=2,2+IF((ROUND($B51,0)-18)*2&gt;=P$2,1,0),IF(TRUNC(ROUND($B51,0)/9,0)=1,1+IF((ROUND($B51,0)-9)*2&gt;=P$2,1,0),IF(TRUNC(ROUND($B51,0)/9,0)=0,IF(TRUNC(ROUND($B51,0)/9,0)=0,0+IF((ROUND($B51,0))*2&gt;=P$2,1,0),"Not"))))-P$3,"")</f>
        <v>1</v>
      </c>
      <c r="Q51" s="138">
        <f>IFERROR(AVERAGEIFS(Upload_Indiv[Score5],Upload_Indiv[[Player]:[Player]],$A51,Upload_Indiv[[Side]:[Side]],"Raintree Back")-IF(TRUNC(ROUND($B51,0)/9,0)=2,2+IF((ROUND($B51,0)-18)*2&gt;=Q$2,1,0),IF(TRUNC(ROUND($B51,0)/9,0)=1,1+IF((ROUND($B51,0)-9)*2&gt;=Q$2,1,0),IF(TRUNC(ROUND($B51,0)/9,0)=0,IF(TRUNC(ROUND($B51,0)/9,0)=0,0+IF((ROUND($B51,0))*2&gt;=Q$2,1,0),"Not"))))-Q$3,"")</f>
        <v>1</v>
      </c>
      <c r="R51" s="138">
        <f>IFERROR(AVERAGEIFS(Upload_Indiv[Score6],Upload_Indiv[[Player]:[Player]],$A51,Upload_Indiv[[Side]:[Side]],"Raintree Back")-IF(TRUNC(ROUND($B51,0)/9,0)=2,2+IF((ROUND($B51,0)-18)*2&gt;=R$2,1,0),IF(TRUNC(ROUND($B51,0)/9,0)=1,1+IF((ROUND($B51,0)-9)*2&gt;=R$2,1,0),IF(TRUNC(ROUND($B51,0)/9,0)=0,IF(TRUNC(ROUND($B51,0)/9,0)=0,0+IF((ROUND($B51,0))*2&gt;=R$2,1,0),"Not"))))-R$3,"")</f>
        <v>0</v>
      </c>
      <c r="S51" s="138">
        <f>IFERROR(AVERAGEIFS(Upload_Indiv[Score7],Upload_Indiv[[Player]:[Player]],$A51,Upload_Indiv[[Side]:[Side]],"Raintree Back")-IF(TRUNC(ROUND($B51,0)/9,0)=2,2+IF((ROUND($B51,0)-18)*2&gt;=S$2,1,0),IF(TRUNC(ROUND($B51,0)/9,0)=1,1+IF((ROUND($B51,0)-9)*2&gt;=S$2,1,0),IF(TRUNC(ROUND($B51,0)/9,0)=0,IF(TRUNC(ROUND($B51,0)/9,0)=0,0+IF((ROUND($B51,0))*2&gt;=S$2,1,0),"Not"))))-S$3,"")</f>
        <v>0</v>
      </c>
      <c r="T51" s="138">
        <f>IFERROR(AVERAGEIFS(Upload_Indiv[Score8],Upload_Indiv[[Player]:[Player]],$A51,Upload_Indiv[[Side]:[Side]],"Raintree Back")-IF(TRUNC(ROUND($B51,0)/9,0)=2,2+IF((ROUND($B51,0)-18)*2&gt;=T$2,1,0),IF(TRUNC(ROUND($B51,0)/9,0)=1,1+IF((ROUND($B51,0)-9)*2&gt;=T$2,1,0),IF(TRUNC(ROUND($B51,0)/9,0)=0,IF(TRUNC(ROUND($B51,0)/9,0)=0,0+IF((ROUND($B51,0))*2&gt;=T$2,1,0),"Not"))))-T$3,"")</f>
        <v>1</v>
      </c>
      <c r="U51" s="138">
        <f>IFERROR(AVERAGEIFS(Upload_Indiv[Score9],Upload_Indiv[[Player]:[Player]],$A51,Upload_Indiv[[Side]:[Side]],"Raintree Back")-IF(TRUNC(ROUND($B51,0)/9,0)=2,2+IF((ROUND($B51,0)-18)*2&gt;=U$2,1,0),IF(TRUNC(ROUND($B51,0)/9,0)=1,1+IF((ROUND($B51,0)-9)*2&gt;=U$2,1,0),IF(TRUNC(ROUND($B51,0)/9,0)=0,IF(TRUNC(ROUND($B51,0)/9,0)=0,0+IF((ROUND($B51,0))*2&gt;=U$2,1,0),"Not"))))-U$3,"")</f>
        <v>1</v>
      </c>
      <c r="V51" s="138">
        <f t="shared" si="1"/>
        <v>4</v>
      </c>
    </row>
    <row r="52" spans="1:22" ht="15" customHeight="1" x14ac:dyDescent="0.25">
      <c r="A52" s="4" t="s">
        <v>429</v>
      </c>
      <c r="B52" s="138">
        <f>IFERROR(AVERAGEIFS(Upload_Indiv[Hdcp],Upload_Indiv[[Player]:[Player]],$A52),"")</f>
        <v>8.64</v>
      </c>
      <c r="C52" s="138">
        <f>IFERROR(AVERAGEIFS(Upload_Indiv[Score1],Upload_Indiv[[Player]:[Player]],$A52,Upload_Indiv[[Side]:[Side]],"Raintree Front")-IF(TRUNC(ROUND($B52,0)/9,0)=2,2+IF((ROUND($B52,0)-18)*2&gt;=C$2,1,0),IF(TRUNC(ROUND($B52,0)/9,0)=1,1+IF((ROUND($B52,0)-9)*2&gt;=C$2,1,0),IF(TRUNC(ROUND($B52,0)/9,0)=0,IF(TRUNC(ROUND($B52,0)/9,0)=0,0+IF((ROUND($B52,0))*2&gt;=C$2,1,0),"Not"))))-C$3,"")</f>
        <v>2</v>
      </c>
      <c r="D52" s="138">
        <f>IFERROR(AVERAGEIFS(Upload_Indiv[Score2],Upload_Indiv[[Player]:[Player]],$A52,Upload_Indiv[[Side]:[Side]],"Raintree Front")-IF(TRUNC(ROUND($B52,0)/9,0)=2,2+IF((ROUND($B52,0)-18)*2&gt;=D$2,1,0),IF(TRUNC(ROUND($B52,0)/9,0)=1,1+IF((ROUND($B52,0)-9)*2&gt;=D$2,1,0),IF(TRUNC(ROUND($B52,0)/9,0)=0,IF(TRUNC(ROUND($B52,0)/9,0)=0,0+IF((ROUND($B52,0))*2&gt;=D$2,1,0),"Not"))))-D$3,"")</f>
        <v>0</v>
      </c>
      <c r="E52" s="138">
        <f>IFERROR(AVERAGEIFS(Upload_Indiv[Score3],Upload_Indiv[[Player]:[Player]],$A52,Upload_Indiv[[Side]:[Side]],"Raintree Front")-IF(TRUNC(ROUND($B52,0)/9,0)=2,2+IF((ROUND($B52,0)-18)*2&gt;=E$2,1,0),IF(TRUNC(ROUND($B52,0)/9,0)=1,1+IF((ROUND($B52,0)-9)*2&gt;=E$2,1,0),IF(TRUNC(ROUND($B52,0)/9,0)=0,IF(TRUNC(ROUND($B52,0)/9,0)=0,0+IF((ROUND($B52,0))*2&gt;=E$2,1,0),"Not"))))-E$3,"")</f>
        <v>2</v>
      </c>
      <c r="F52" s="138">
        <f>IFERROR(AVERAGEIFS(Upload_Indiv[Score4],Upload_Indiv[[Player]:[Player]],$A52,Upload_Indiv[[Side]:[Side]],"Raintree Front")-IF(TRUNC(ROUND($B52,0)/9,0)=2,2+IF((ROUND($B52,0)-18)*2&gt;=F$2,1,0),IF(TRUNC(ROUND($B52,0)/9,0)=1,1+IF((ROUND($B52,0)-9)*2&gt;=F$2,1,0),IF(TRUNC(ROUND($B52,0)/9,0)=0,IF(TRUNC(ROUND($B52,0)/9,0)=0,0+IF((ROUND($B52,0))*2&gt;=F$2,1,0),"Not"))))-F$3,"")</f>
        <v>1</v>
      </c>
      <c r="G52" s="138">
        <f>IFERROR(AVERAGEIFS(Upload_Indiv[Score5],Upload_Indiv[[Player]:[Player]],$A52,Upload_Indiv[[Side]:[Side]],"Raintree Front")-IF(TRUNC(ROUND($B52,0)/9,0)=2,2+IF((ROUND($B52,0)-18)*2&gt;=G$2,1,0),IF(TRUNC(ROUND($B52,0)/9,0)=1,1+IF((ROUND($B52,0)-9)*2&gt;=G$2,1,0),IF(TRUNC(ROUND($B52,0)/9,0)=0,IF(TRUNC(ROUND($B52,0)/9,0)=0,0+IF((ROUND($B52,0))*2&gt;=G$2,1,0),"Not"))))-G$3,"")</f>
        <v>1</v>
      </c>
      <c r="H52" s="138">
        <f>IFERROR(AVERAGEIFS(Upload_Indiv[Score6],Upload_Indiv[[Player]:[Player]],$A52,Upload_Indiv[[Side]:[Side]],"Raintree Front")-IF(TRUNC(ROUND($B52,0)/9,0)=2,2+IF((ROUND($B52,0)-18)*2&gt;=H$2,1,0),IF(TRUNC(ROUND($B52,0)/9,0)=1,1+IF((ROUND($B52,0)-9)*2&gt;=H$2,1,0),IF(TRUNC(ROUND($B52,0)/9,0)=0,IF(TRUNC(ROUND($B52,0)/9,0)=0,0+IF((ROUND($B52,0))*2&gt;=H$2,1,0),"Not"))))-H$3,"")</f>
        <v>0</v>
      </c>
      <c r="I52" s="138">
        <f>IFERROR(AVERAGEIFS(Upload_Indiv[Score7],Upload_Indiv[[Player]:[Player]],$A52,Upload_Indiv[[Side]:[Side]],"Raintree Front")-IF(TRUNC(ROUND($B52,0)/9,0)=2,2+IF((ROUND($B52,0)-18)*2&gt;=I$2,1,0),IF(TRUNC(ROUND($B52,0)/9,0)=1,1+IF((ROUND($B52,0)-9)*2&gt;=I$2,1,0),IF(TRUNC(ROUND($B52,0)/9,0)=0,IF(TRUNC(ROUND($B52,0)/9,0)=0,0+IF((ROUND($B52,0))*2&gt;=I$2,1,0),"Not"))))-I$3,"")</f>
        <v>0</v>
      </c>
      <c r="J52" s="138">
        <f>IFERROR(AVERAGEIFS(Upload_Indiv[Score8],Upload_Indiv[[Player]:[Player]],$A52,Upload_Indiv[[Side]:[Side]],"Raintree Front")-IF(TRUNC(ROUND($B52,0)/9,0)=2,2+IF((ROUND($B52,0)-18)*2&gt;=J$2,1,0),IF(TRUNC(ROUND($B52,0)/9,0)=1,1+IF((ROUND($B52,0)-9)*2&gt;=J$2,1,0),IF(TRUNC(ROUND($B52,0)/9,0)=0,IF(TRUNC(ROUND($B52,0)/9,0)=0,0+IF((ROUND($B52,0))*2&gt;=J$2,1,0),"Not"))))-J$3,"")</f>
        <v>1</v>
      </c>
      <c r="K52" s="138">
        <f>IFERROR(AVERAGEIFS(Upload_Indiv[Score9],Upload_Indiv[[Player]:[Player]],$A52,Upload_Indiv[[Side]:[Side]],"Raintree Front")-IF(TRUNC(ROUND($B52,0)/9,0)=2,2+IF((ROUND($B52,0)-18)*2&gt;=K$2,1,0),IF(TRUNC(ROUND($B52,0)/9,0)=1,1+IF((ROUND($B52,0)-9)*2&gt;=K$2,1,0),IF(TRUNC(ROUND($B52,0)/9,0)=0,IF(TRUNC(ROUND($B52,0)/9,0)=0,0+IF((ROUND($B52,0))*2&gt;=K$2,1,0),"Not"))))-K$3,"")</f>
        <v>0</v>
      </c>
      <c r="L52" s="138">
        <f t="shared" si="0"/>
        <v>7</v>
      </c>
      <c r="M52" s="138" t="str">
        <f>IFERROR(AVERAGEIFS(Upload_Indiv[Score1],Upload_Indiv[[Player]:[Player]],$A52,Upload_Indiv[[Side]:[Side]],"Raintree Back")-IF(TRUNC(ROUND($B52,0)/9,0)=2,2+IF((ROUND($B52,0)-18)*2&gt;=M$2,1,0),IF(TRUNC(ROUND($B52,0)/9,0)=1,1+IF((ROUND($B52,0)-9)*2&gt;=M$2,1,0),IF(TRUNC(ROUND($B52,0)/9,0)=0,IF(TRUNC(ROUND($B52,0)/9,0)=0,0+IF((ROUND($B52,0))*2&gt;=M$2,1,0),"Not"))))-M$3,"")</f>
        <v/>
      </c>
      <c r="N52" s="138" t="str">
        <f>IFERROR(AVERAGEIFS(Upload_Indiv[Score2],Upload_Indiv[[Player]:[Player]],$A52,Upload_Indiv[[Side]:[Side]],"Raintree Back")-IF(TRUNC(ROUND($B52,0)/9,0)=2,2+IF((ROUND($B52,0)-18)*2&gt;=N$2,1,0),IF(TRUNC(ROUND($B52,0)/9,0)=1,1+IF((ROUND($B52,0)-9)*2&gt;=N$2,1,0),IF(TRUNC(ROUND($B52,0)/9,0)=0,IF(TRUNC(ROUND($B52,0)/9,0)=0,0+IF((ROUND($B52,0))*2&gt;=N$2,1,0),"Not"))))-N$3,"")</f>
        <v/>
      </c>
      <c r="O52" s="138" t="str">
        <f>IFERROR(AVERAGEIFS(Upload_Indiv[Score3],Upload_Indiv[[Player]:[Player]],$A52,Upload_Indiv[[Side]:[Side]],"Raintree Back")-IF(TRUNC(ROUND($B52,0)/9,0)=2,2+IF((ROUND($B52,0)-18)*2&gt;=O$2,1,0),IF(TRUNC(ROUND($B52,0)/9,0)=1,1+IF((ROUND($B52,0)-9)*2&gt;=O$2,1,0),IF(TRUNC(ROUND($B52,0)/9,0)=0,IF(TRUNC(ROUND($B52,0)/9,0)=0,0+IF((ROUND($B52,0))*2&gt;=O$2,1,0),"Not"))))-O$3,"")</f>
        <v/>
      </c>
      <c r="P52" s="138" t="str">
        <f>IFERROR(AVERAGEIFS(Upload_Indiv[Score4],Upload_Indiv[[Player]:[Player]],$A52,Upload_Indiv[[Side]:[Side]],"Raintree Back")-IF(TRUNC(ROUND($B52,0)/9,0)=2,2+IF((ROUND($B52,0)-18)*2&gt;=P$2,1,0),IF(TRUNC(ROUND($B52,0)/9,0)=1,1+IF((ROUND($B52,0)-9)*2&gt;=P$2,1,0),IF(TRUNC(ROUND($B52,0)/9,0)=0,IF(TRUNC(ROUND($B52,0)/9,0)=0,0+IF((ROUND($B52,0))*2&gt;=P$2,1,0),"Not"))))-P$3,"")</f>
        <v/>
      </c>
      <c r="Q52" s="138" t="str">
        <f>IFERROR(AVERAGEIFS(Upload_Indiv[Score5],Upload_Indiv[[Player]:[Player]],$A52,Upload_Indiv[[Side]:[Side]],"Raintree Back")-IF(TRUNC(ROUND($B52,0)/9,0)=2,2+IF((ROUND($B52,0)-18)*2&gt;=Q$2,1,0),IF(TRUNC(ROUND($B52,0)/9,0)=1,1+IF((ROUND($B52,0)-9)*2&gt;=Q$2,1,0),IF(TRUNC(ROUND($B52,0)/9,0)=0,IF(TRUNC(ROUND($B52,0)/9,0)=0,0+IF((ROUND($B52,0))*2&gt;=Q$2,1,0),"Not"))))-Q$3,"")</f>
        <v/>
      </c>
      <c r="R52" s="138" t="str">
        <f>IFERROR(AVERAGEIFS(Upload_Indiv[Score6],Upload_Indiv[[Player]:[Player]],$A52,Upload_Indiv[[Side]:[Side]],"Raintree Back")-IF(TRUNC(ROUND($B52,0)/9,0)=2,2+IF((ROUND($B52,0)-18)*2&gt;=R$2,1,0),IF(TRUNC(ROUND($B52,0)/9,0)=1,1+IF((ROUND($B52,0)-9)*2&gt;=R$2,1,0),IF(TRUNC(ROUND($B52,0)/9,0)=0,IF(TRUNC(ROUND($B52,0)/9,0)=0,0+IF((ROUND($B52,0))*2&gt;=R$2,1,0),"Not"))))-R$3,"")</f>
        <v/>
      </c>
      <c r="S52" s="138" t="str">
        <f>IFERROR(AVERAGEIFS(Upload_Indiv[Score7],Upload_Indiv[[Player]:[Player]],$A52,Upload_Indiv[[Side]:[Side]],"Raintree Back")-IF(TRUNC(ROUND($B52,0)/9,0)=2,2+IF((ROUND($B52,0)-18)*2&gt;=S$2,1,0),IF(TRUNC(ROUND($B52,0)/9,0)=1,1+IF((ROUND($B52,0)-9)*2&gt;=S$2,1,0),IF(TRUNC(ROUND($B52,0)/9,0)=0,IF(TRUNC(ROUND($B52,0)/9,0)=0,0+IF((ROUND($B52,0))*2&gt;=S$2,1,0),"Not"))))-S$3,"")</f>
        <v/>
      </c>
      <c r="T52" s="138" t="str">
        <f>IFERROR(AVERAGEIFS(Upload_Indiv[Score8],Upload_Indiv[[Player]:[Player]],$A52,Upload_Indiv[[Side]:[Side]],"Raintree Back")-IF(TRUNC(ROUND($B52,0)/9,0)=2,2+IF((ROUND($B52,0)-18)*2&gt;=T$2,1,0),IF(TRUNC(ROUND($B52,0)/9,0)=1,1+IF((ROUND($B52,0)-9)*2&gt;=T$2,1,0),IF(TRUNC(ROUND($B52,0)/9,0)=0,IF(TRUNC(ROUND($B52,0)/9,0)=0,0+IF((ROUND($B52,0))*2&gt;=T$2,1,0),"Not"))))-T$3,"")</f>
        <v/>
      </c>
      <c r="U52" s="138" t="str">
        <f>IFERROR(AVERAGEIFS(Upload_Indiv[Score9],Upload_Indiv[[Player]:[Player]],$A52,Upload_Indiv[[Side]:[Side]],"Raintree Back")-IF(TRUNC(ROUND($B52,0)/9,0)=2,2+IF((ROUND($B52,0)-18)*2&gt;=U$2,1,0),IF(TRUNC(ROUND($B52,0)/9,0)=1,1+IF((ROUND($B52,0)-9)*2&gt;=U$2,1,0),IF(TRUNC(ROUND($B52,0)/9,0)=0,IF(TRUNC(ROUND($B52,0)/9,0)=0,0+IF((ROUND($B52,0))*2&gt;=U$2,1,0),"Not"))))-U$3,"")</f>
        <v/>
      </c>
      <c r="V52" s="138">
        <f t="shared" si="1"/>
        <v>0</v>
      </c>
    </row>
    <row r="53" spans="1:22" ht="15" customHeight="1" x14ac:dyDescent="0.25">
      <c r="A53" s="4" t="s">
        <v>431</v>
      </c>
      <c r="B53" s="138">
        <f>IFERROR(AVERAGEIFS(Upload_Indiv[Hdcp],Upload_Indiv[[Player]:[Player]],$A53),"")</f>
        <v>3.8</v>
      </c>
      <c r="C53" s="138" t="str">
        <f>IFERROR(AVERAGEIFS(Upload_Indiv[Score1],Upload_Indiv[[Player]:[Player]],$A53,Upload_Indiv[[Side]:[Side]],"Raintree Front")-IF(TRUNC(ROUND($B53,0)/9,0)=2,2+IF((ROUND($B53,0)-18)*2&gt;=C$2,1,0),IF(TRUNC(ROUND($B53,0)/9,0)=1,1+IF((ROUND($B53,0)-9)*2&gt;=C$2,1,0),IF(TRUNC(ROUND($B53,0)/9,0)=0,IF(TRUNC(ROUND($B53,0)/9,0)=0,0+IF((ROUND($B53,0))*2&gt;=C$2,1,0),"Not"))))-C$3,"")</f>
        <v/>
      </c>
      <c r="D53" s="138" t="str">
        <f>IFERROR(AVERAGEIFS(Upload_Indiv[Score2],Upload_Indiv[[Player]:[Player]],$A53,Upload_Indiv[[Side]:[Side]],"Raintree Front")-IF(TRUNC(ROUND($B53,0)/9,0)=2,2+IF((ROUND($B53,0)-18)*2&gt;=D$2,1,0),IF(TRUNC(ROUND($B53,0)/9,0)=1,1+IF((ROUND($B53,0)-9)*2&gt;=D$2,1,0),IF(TRUNC(ROUND($B53,0)/9,0)=0,IF(TRUNC(ROUND($B53,0)/9,0)=0,0+IF((ROUND($B53,0))*2&gt;=D$2,1,0),"Not"))))-D$3,"")</f>
        <v/>
      </c>
      <c r="E53" s="138" t="str">
        <f>IFERROR(AVERAGEIFS(Upload_Indiv[Score3],Upload_Indiv[[Player]:[Player]],$A53,Upload_Indiv[[Side]:[Side]],"Raintree Front")-IF(TRUNC(ROUND($B53,0)/9,0)=2,2+IF((ROUND($B53,0)-18)*2&gt;=E$2,1,0),IF(TRUNC(ROUND($B53,0)/9,0)=1,1+IF((ROUND($B53,0)-9)*2&gt;=E$2,1,0),IF(TRUNC(ROUND($B53,0)/9,0)=0,IF(TRUNC(ROUND($B53,0)/9,0)=0,0+IF((ROUND($B53,0))*2&gt;=E$2,1,0),"Not"))))-E$3,"")</f>
        <v/>
      </c>
      <c r="F53" s="138" t="str">
        <f>IFERROR(AVERAGEIFS(Upload_Indiv[Score4],Upload_Indiv[[Player]:[Player]],$A53,Upload_Indiv[[Side]:[Side]],"Raintree Front")-IF(TRUNC(ROUND($B53,0)/9,0)=2,2+IF((ROUND($B53,0)-18)*2&gt;=F$2,1,0),IF(TRUNC(ROUND($B53,0)/9,0)=1,1+IF((ROUND($B53,0)-9)*2&gt;=F$2,1,0),IF(TRUNC(ROUND($B53,0)/9,0)=0,IF(TRUNC(ROUND($B53,0)/9,0)=0,0+IF((ROUND($B53,0))*2&gt;=F$2,1,0),"Not"))))-F$3,"")</f>
        <v/>
      </c>
      <c r="G53" s="138" t="str">
        <f>IFERROR(AVERAGEIFS(Upload_Indiv[Score5],Upload_Indiv[[Player]:[Player]],$A53,Upload_Indiv[[Side]:[Side]],"Raintree Front")-IF(TRUNC(ROUND($B53,0)/9,0)=2,2+IF((ROUND($B53,0)-18)*2&gt;=G$2,1,0),IF(TRUNC(ROUND($B53,0)/9,0)=1,1+IF((ROUND($B53,0)-9)*2&gt;=G$2,1,0),IF(TRUNC(ROUND($B53,0)/9,0)=0,IF(TRUNC(ROUND($B53,0)/9,0)=0,0+IF((ROUND($B53,0))*2&gt;=G$2,1,0),"Not"))))-G$3,"")</f>
        <v/>
      </c>
      <c r="H53" s="138" t="str">
        <f>IFERROR(AVERAGEIFS(Upload_Indiv[Score6],Upload_Indiv[[Player]:[Player]],$A53,Upload_Indiv[[Side]:[Side]],"Raintree Front")-IF(TRUNC(ROUND($B53,0)/9,0)=2,2+IF((ROUND($B53,0)-18)*2&gt;=H$2,1,0),IF(TRUNC(ROUND($B53,0)/9,0)=1,1+IF((ROUND($B53,0)-9)*2&gt;=H$2,1,0),IF(TRUNC(ROUND($B53,0)/9,0)=0,IF(TRUNC(ROUND($B53,0)/9,0)=0,0+IF((ROUND($B53,0))*2&gt;=H$2,1,0),"Not"))))-H$3,"")</f>
        <v/>
      </c>
      <c r="I53" s="138" t="str">
        <f>IFERROR(AVERAGEIFS(Upload_Indiv[Score7],Upload_Indiv[[Player]:[Player]],$A53,Upload_Indiv[[Side]:[Side]],"Raintree Front")-IF(TRUNC(ROUND($B53,0)/9,0)=2,2+IF((ROUND($B53,0)-18)*2&gt;=I$2,1,0),IF(TRUNC(ROUND($B53,0)/9,0)=1,1+IF((ROUND($B53,0)-9)*2&gt;=I$2,1,0),IF(TRUNC(ROUND($B53,0)/9,0)=0,IF(TRUNC(ROUND($B53,0)/9,0)=0,0+IF((ROUND($B53,0))*2&gt;=I$2,1,0),"Not"))))-I$3,"")</f>
        <v/>
      </c>
      <c r="J53" s="138" t="str">
        <f>IFERROR(AVERAGEIFS(Upload_Indiv[Score8],Upload_Indiv[[Player]:[Player]],$A53,Upload_Indiv[[Side]:[Side]],"Raintree Front")-IF(TRUNC(ROUND($B53,0)/9,0)=2,2+IF((ROUND($B53,0)-18)*2&gt;=J$2,1,0),IF(TRUNC(ROUND($B53,0)/9,0)=1,1+IF((ROUND($B53,0)-9)*2&gt;=J$2,1,0),IF(TRUNC(ROUND($B53,0)/9,0)=0,IF(TRUNC(ROUND($B53,0)/9,0)=0,0+IF((ROUND($B53,0))*2&gt;=J$2,1,0),"Not"))))-J$3,"")</f>
        <v/>
      </c>
      <c r="K53" s="138" t="str">
        <f>IFERROR(AVERAGEIFS(Upload_Indiv[Score9],Upload_Indiv[[Player]:[Player]],$A53,Upload_Indiv[[Side]:[Side]],"Raintree Front")-IF(TRUNC(ROUND($B53,0)/9,0)=2,2+IF((ROUND($B53,0)-18)*2&gt;=K$2,1,0),IF(TRUNC(ROUND($B53,0)/9,0)=1,1+IF((ROUND($B53,0)-9)*2&gt;=K$2,1,0),IF(TRUNC(ROUND($B53,0)/9,0)=0,IF(TRUNC(ROUND($B53,0)/9,0)=0,0+IF((ROUND($B53,0))*2&gt;=K$2,1,0),"Not"))))-K$3,"")</f>
        <v/>
      </c>
      <c r="L53" s="138">
        <f t="shared" si="0"/>
        <v>0</v>
      </c>
      <c r="M53" s="138">
        <f>IFERROR(AVERAGEIFS(Upload_Indiv[Score1],Upload_Indiv[[Player]:[Player]],$A53,Upload_Indiv[[Side]:[Side]],"Raintree Back")-IF(TRUNC(ROUND($B53,0)/9,0)=2,2+IF((ROUND($B53,0)-18)*2&gt;=M$2,1,0),IF(TRUNC(ROUND($B53,0)/9,0)=1,1+IF((ROUND($B53,0)-9)*2&gt;=M$2,1,0),IF(TRUNC(ROUND($B53,0)/9,0)=0,IF(TRUNC(ROUND($B53,0)/9,0)=0,0+IF((ROUND($B53,0))*2&gt;=M$2,1,0),"Not"))))-M$3,"")</f>
        <v>1</v>
      </c>
      <c r="N53" s="138">
        <f>IFERROR(AVERAGEIFS(Upload_Indiv[Score2],Upload_Indiv[[Player]:[Player]],$A53,Upload_Indiv[[Side]:[Side]],"Raintree Back")-IF(TRUNC(ROUND($B53,0)/9,0)=2,2+IF((ROUND($B53,0)-18)*2&gt;=N$2,1,0),IF(TRUNC(ROUND($B53,0)/9,0)=1,1+IF((ROUND($B53,0)-9)*2&gt;=N$2,1,0),IF(TRUNC(ROUND($B53,0)/9,0)=0,IF(TRUNC(ROUND($B53,0)/9,0)=0,0+IF((ROUND($B53,0))*2&gt;=N$2,1,0),"Not"))))-N$3,"")</f>
        <v>0</v>
      </c>
      <c r="O53" s="138">
        <f>IFERROR(AVERAGEIFS(Upload_Indiv[Score3],Upload_Indiv[[Player]:[Player]],$A53,Upload_Indiv[[Side]:[Side]],"Raintree Back")-IF(TRUNC(ROUND($B53,0)/9,0)=2,2+IF((ROUND($B53,0)-18)*2&gt;=O$2,1,0),IF(TRUNC(ROUND($B53,0)/9,0)=1,1+IF((ROUND($B53,0)-9)*2&gt;=O$2,1,0),IF(TRUNC(ROUND($B53,0)/9,0)=0,IF(TRUNC(ROUND($B53,0)/9,0)=0,0+IF((ROUND($B53,0))*2&gt;=O$2,1,0),"Not"))))-O$3,"")</f>
        <v>1</v>
      </c>
      <c r="P53" s="138">
        <f>IFERROR(AVERAGEIFS(Upload_Indiv[Score4],Upload_Indiv[[Player]:[Player]],$A53,Upload_Indiv[[Side]:[Side]],"Raintree Back")-IF(TRUNC(ROUND($B53,0)/9,0)=2,2+IF((ROUND($B53,0)-18)*2&gt;=P$2,1,0),IF(TRUNC(ROUND($B53,0)/9,0)=1,1+IF((ROUND($B53,0)-9)*2&gt;=P$2,1,0),IF(TRUNC(ROUND($B53,0)/9,0)=0,IF(TRUNC(ROUND($B53,0)/9,0)=0,0+IF((ROUND($B53,0))*2&gt;=P$2,1,0),"Not"))))-P$3,"")</f>
        <v>0</v>
      </c>
      <c r="Q53" s="138">
        <f>IFERROR(AVERAGEIFS(Upload_Indiv[Score5],Upload_Indiv[[Player]:[Player]],$A53,Upload_Indiv[[Side]:[Side]],"Raintree Back")-IF(TRUNC(ROUND($B53,0)/9,0)=2,2+IF((ROUND($B53,0)-18)*2&gt;=Q$2,1,0),IF(TRUNC(ROUND($B53,0)/9,0)=1,1+IF((ROUND($B53,0)-9)*2&gt;=Q$2,1,0),IF(TRUNC(ROUND($B53,0)/9,0)=0,IF(TRUNC(ROUND($B53,0)/9,0)=0,0+IF((ROUND($B53,0))*2&gt;=Q$2,1,0),"Not"))))-Q$3,"")</f>
        <v>1</v>
      </c>
      <c r="R53" s="138">
        <f>IFERROR(AVERAGEIFS(Upload_Indiv[Score6],Upload_Indiv[[Player]:[Player]],$A53,Upload_Indiv[[Side]:[Side]],"Raintree Back")-IF(TRUNC(ROUND($B53,0)/9,0)=2,2+IF((ROUND($B53,0)-18)*2&gt;=R$2,1,0),IF(TRUNC(ROUND($B53,0)/9,0)=1,1+IF((ROUND($B53,0)-9)*2&gt;=R$2,1,0),IF(TRUNC(ROUND($B53,0)/9,0)=0,IF(TRUNC(ROUND($B53,0)/9,0)=0,0+IF((ROUND($B53,0))*2&gt;=R$2,1,0),"Not"))))-R$3,"")</f>
        <v>0</v>
      </c>
      <c r="S53" s="138">
        <f>IFERROR(AVERAGEIFS(Upload_Indiv[Score7],Upload_Indiv[[Player]:[Player]],$A53,Upload_Indiv[[Side]:[Side]],"Raintree Back")-IF(TRUNC(ROUND($B53,0)/9,0)=2,2+IF((ROUND($B53,0)-18)*2&gt;=S$2,1,0),IF(TRUNC(ROUND($B53,0)/9,0)=1,1+IF((ROUND($B53,0)-9)*2&gt;=S$2,1,0),IF(TRUNC(ROUND($B53,0)/9,0)=0,IF(TRUNC(ROUND($B53,0)/9,0)=0,0+IF((ROUND($B53,0))*2&gt;=S$2,1,0),"Not"))))-S$3,"")</f>
        <v>0</v>
      </c>
      <c r="T53" s="138">
        <f>IFERROR(AVERAGEIFS(Upload_Indiv[Score8],Upload_Indiv[[Player]:[Player]],$A53,Upload_Indiv[[Side]:[Side]],"Raintree Back")-IF(TRUNC(ROUND($B53,0)/9,0)=2,2+IF((ROUND($B53,0)-18)*2&gt;=T$2,1,0),IF(TRUNC(ROUND($B53,0)/9,0)=1,1+IF((ROUND($B53,0)-9)*2&gt;=T$2,1,0),IF(TRUNC(ROUND($B53,0)/9,0)=0,IF(TRUNC(ROUND($B53,0)/9,0)=0,0+IF((ROUND($B53,0))*2&gt;=T$2,1,0),"Not"))))-T$3,"")</f>
        <v>-1</v>
      </c>
      <c r="U53" s="138">
        <f>IFERROR(AVERAGEIFS(Upload_Indiv[Score9],Upload_Indiv[[Player]:[Player]],$A53,Upload_Indiv[[Side]:[Side]],"Raintree Back")-IF(TRUNC(ROUND($B53,0)/9,0)=2,2+IF((ROUND($B53,0)-18)*2&gt;=U$2,1,0),IF(TRUNC(ROUND($B53,0)/9,0)=1,1+IF((ROUND($B53,0)-9)*2&gt;=U$2,1,0),IF(TRUNC(ROUND($B53,0)/9,0)=0,IF(TRUNC(ROUND($B53,0)/9,0)=0,0+IF((ROUND($B53,0))*2&gt;=U$2,1,0),"Not"))))-U$3,"")</f>
        <v>-1</v>
      </c>
      <c r="V53" s="138">
        <f t="shared" si="1"/>
        <v>1</v>
      </c>
    </row>
    <row r="54" spans="1:22" ht="15" customHeight="1" x14ac:dyDescent="0.25">
      <c r="A54" s="4" t="s">
        <v>433</v>
      </c>
      <c r="B54" s="138">
        <f>IFERROR(AVERAGEIFS(Upload_Indiv[Hdcp],Upload_Indiv[[Player]:[Player]],$A54),"")</f>
        <v>5.4799999999999995</v>
      </c>
      <c r="C54" s="138">
        <f>IFERROR(AVERAGEIFS(Upload_Indiv[Score1],Upload_Indiv[[Player]:[Player]],$A54,Upload_Indiv[[Side]:[Side]],"Raintree Front")-IF(TRUNC(ROUND($B54,0)/9,0)=2,2+IF((ROUND($B54,0)-18)*2&gt;=C$2,1,0),IF(TRUNC(ROUND($B54,0)/9,0)=1,1+IF((ROUND($B54,0)-9)*2&gt;=C$2,1,0),IF(TRUNC(ROUND($B54,0)/9,0)=0,IF(TRUNC(ROUND($B54,0)/9,0)=0,0+IF((ROUND($B54,0))*2&gt;=C$2,1,0),"Not"))))-C$3,"")</f>
        <v>0</v>
      </c>
      <c r="D54" s="138">
        <f>IFERROR(AVERAGEIFS(Upload_Indiv[Score2],Upload_Indiv[[Player]:[Player]],$A54,Upload_Indiv[[Side]:[Side]],"Raintree Front")-IF(TRUNC(ROUND($B54,0)/9,0)=2,2+IF((ROUND($B54,0)-18)*2&gt;=D$2,1,0),IF(TRUNC(ROUND($B54,0)/9,0)=1,1+IF((ROUND($B54,0)-9)*2&gt;=D$2,1,0),IF(TRUNC(ROUND($B54,0)/9,0)=0,IF(TRUNC(ROUND($B54,0)/9,0)=0,0+IF((ROUND($B54,0))*2&gt;=D$2,1,0),"Not"))))-D$3,"")</f>
        <v>0</v>
      </c>
      <c r="E54" s="138">
        <f>IFERROR(AVERAGEIFS(Upload_Indiv[Score3],Upload_Indiv[[Player]:[Player]],$A54,Upload_Indiv[[Side]:[Side]],"Raintree Front")-IF(TRUNC(ROUND($B54,0)/9,0)=2,2+IF((ROUND($B54,0)-18)*2&gt;=E$2,1,0),IF(TRUNC(ROUND($B54,0)/9,0)=1,1+IF((ROUND($B54,0)-9)*2&gt;=E$2,1,0),IF(TRUNC(ROUND($B54,0)/9,0)=0,IF(TRUNC(ROUND($B54,0)/9,0)=0,0+IF((ROUND($B54,0))*2&gt;=E$2,1,0),"Not"))))-E$3,"")</f>
        <v>1.666666666666667</v>
      </c>
      <c r="F54" s="138">
        <f>IFERROR(AVERAGEIFS(Upload_Indiv[Score4],Upload_Indiv[[Player]:[Player]],$A54,Upload_Indiv[[Side]:[Side]],"Raintree Front")-IF(TRUNC(ROUND($B54,0)/9,0)=2,2+IF((ROUND($B54,0)-18)*2&gt;=F$2,1,0),IF(TRUNC(ROUND($B54,0)/9,0)=1,1+IF((ROUND($B54,0)-9)*2&gt;=F$2,1,0),IF(TRUNC(ROUND($B54,0)/9,0)=0,IF(TRUNC(ROUND($B54,0)/9,0)=0,0+IF((ROUND($B54,0))*2&gt;=F$2,1,0),"Not"))))-F$3,"")</f>
        <v>0.33333333333333348</v>
      </c>
      <c r="G54" s="138">
        <f>IFERROR(AVERAGEIFS(Upload_Indiv[Score5],Upload_Indiv[[Player]:[Player]],$A54,Upload_Indiv[[Side]:[Side]],"Raintree Front")-IF(TRUNC(ROUND($B54,0)/9,0)=2,2+IF((ROUND($B54,0)-18)*2&gt;=G$2,1,0),IF(TRUNC(ROUND($B54,0)/9,0)=1,1+IF((ROUND($B54,0)-9)*2&gt;=G$2,1,0),IF(TRUNC(ROUND($B54,0)/9,0)=0,IF(TRUNC(ROUND($B54,0)/9,0)=0,0+IF((ROUND($B54,0))*2&gt;=G$2,1,0),"Not"))))-G$3,"")</f>
        <v>1</v>
      </c>
      <c r="H54" s="138">
        <f>IFERROR(AVERAGEIFS(Upload_Indiv[Score6],Upload_Indiv[[Player]:[Player]],$A54,Upload_Indiv[[Side]:[Side]],"Raintree Front")-IF(TRUNC(ROUND($B54,0)/9,0)=2,2+IF((ROUND($B54,0)-18)*2&gt;=H$2,1,0),IF(TRUNC(ROUND($B54,0)/9,0)=1,1+IF((ROUND($B54,0)-9)*2&gt;=H$2,1,0),IF(TRUNC(ROUND($B54,0)/9,0)=0,IF(TRUNC(ROUND($B54,0)/9,0)=0,0+IF((ROUND($B54,0))*2&gt;=H$2,1,0),"Not"))))-H$3,"")</f>
        <v>-0.33333333333333304</v>
      </c>
      <c r="I54" s="138">
        <f>IFERROR(AVERAGEIFS(Upload_Indiv[Score7],Upload_Indiv[[Player]:[Player]],$A54,Upload_Indiv[[Side]:[Side]],"Raintree Front")-IF(TRUNC(ROUND($B54,0)/9,0)=2,2+IF((ROUND($B54,0)-18)*2&gt;=I$2,1,0),IF(TRUNC(ROUND($B54,0)/9,0)=1,1+IF((ROUND($B54,0)-9)*2&gt;=I$2,1,0),IF(TRUNC(ROUND($B54,0)/9,0)=0,IF(TRUNC(ROUND($B54,0)/9,0)=0,0+IF((ROUND($B54,0))*2&gt;=I$2,1,0),"Not"))))-I$3,"")</f>
        <v>0</v>
      </c>
      <c r="J54" s="138">
        <f>IFERROR(AVERAGEIFS(Upload_Indiv[Score8],Upload_Indiv[[Player]:[Player]],$A54,Upload_Indiv[[Side]:[Side]],"Raintree Front")-IF(TRUNC(ROUND($B54,0)/9,0)=2,2+IF((ROUND($B54,0)-18)*2&gt;=J$2,1,0),IF(TRUNC(ROUND($B54,0)/9,0)=1,1+IF((ROUND($B54,0)-9)*2&gt;=J$2,1,0),IF(TRUNC(ROUND($B54,0)/9,0)=0,IF(TRUNC(ROUND($B54,0)/9,0)=0,0+IF((ROUND($B54,0))*2&gt;=J$2,1,0),"Not"))))-J$3,"")</f>
        <v>1.333333333333333</v>
      </c>
      <c r="K54" s="138">
        <f>IFERROR(AVERAGEIFS(Upload_Indiv[Score9],Upload_Indiv[[Player]:[Player]],$A54,Upload_Indiv[[Side]:[Side]],"Raintree Front")-IF(TRUNC(ROUND($B54,0)/9,0)=2,2+IF((ROUND($B54,0)-18)*2&gt;=K$2,1,0),IF(TRUNC(ROUND($B54,0)/9,0)=1,1+IF((ROUND($B54,0)-9)*2&gt;=K$2,1,0),IF(TRUNC(ROUND($B54,0)/9,0)=0,IF(TRUNC(ROUND($B54,0)/9,0)=0,0+IF((ROUND($B54,0))*2&gt;=K$2,1,0),"Not"))))-K$3,"")</f>
        <v>0.66666666666666696</v>
      </c>
      <c r="L54" s="138">
        <f t="shared" si="0"/>
        <v>4.666666666666667</v>
      </c>
      <c r="M54" s="138">
        <f>IFERROR(AVERAGEIFS(Upload_Indiv[Score1],Upload_Indiv[[Player]:[Player]],$A54,Upload_Indiv[[Side]:[Side]],"Raintree Back")-IF(TRUNC(ROUND($B54,0)/9,0)=2,2+IF((ROUND($B54,0)-18)*2&gt;=M$2,1,0),IF(TRUNC(ROUND($B54,0)/9,0)=1,1+IF((ROUND($B54,0)-9)*2&gt;=M$2,1,0),IF(TRUNC(ROUND($B54,0)/9,0)=0,IF(TRUNC(ROUND($B54,0)/9,0)=0,0+IF((ROUND($B54,0))*2&gt;=M$2,1,0),"Not"))))-M$3,"")</f>
        <v>1</v>
      </c>
      <c r="N54" s="138">
        <f>IFERROR(AVERAGEIFS(Upload_Indiv[Score2],Upload_Indiv[[Player]:[Player]],$A54,Upload_Indiv[[Side]:[Side]],"Raintree Back")-IF(TRUNC(ROUND($B54,0)/9,0)=2,2+IF((ROUND($B54,0)-18)*2&gt;=N$2,1,0),IF(TRUNC(ROUND($B54,0)/9,0)=1,1+IF((ROUND($B54,0)-9)*2&gt;=N$2,1,0),IF(TRUNC(ROUND($B54,0)/9,0)=0,IF(TRUNC(ROUND($B54,0)/9,0)=0,0+IF((ROUND($B54,0))*2&gt;=N$2,1,0),"Not"))))-N$3,"")</f>
        <v>1</v>
      </c>
      <c r="O54" s="138">
        <f>IFERROR(AVERAGEIFS(Upload_Indiv[Score3],Upload_Indiv[[Player]:[Player]],$A54,Upload_Indiv[[Side]:[Side]],"Raintree Back")-IF(TRUNC(ROUND($B54,0)/9,0)=2,2+IF((ROUND($B54,0)-18)*2&gt;=O$2,1,0),IF(TRUNC(ROUND($B54,0)/9,0)=1,1+IF((ROUND($B54,0)-9)*2&gt;=O$2,1,0),IF(TRUNC(ROUND($B54,0)/9,0)=0,IF(TRUNC(ROUND($B54,0)/9,0)=0,0+IF((ROUND($B54,0))*2&gt;=O$2,1,0),"Not"))))-O$3,"")</f>
        <v>1</v>
      </c>
      <c r="P54" s="138">
        <f>IFERROR(AVERAGEIFS(Upload_Indiv[Score4],Upload_Indiv[[Player]:[Player]],$A54,Upload_Indiv[[Side]:[Side]],"Raintree Back")-IF(TRUNC(ROUND($B54,0)/9,0)=2,2+IF((ROUND($B54,0)-18)*2&gt;=P$2,1,0),IF(TRUNC(ROUND($B54,0)/9,0)=1,1+IF((ROUND($B54,0)-9)*2&gt;=P$2,1,0),IF(TRUNC(ROUND($B54,0)/9,0)=0,IF(TRUNC(ROUND($B54,0)/9,0)=0,0+IF((ROUND($B54,0))*2&gt;=P$2,1,0),"Not"))))-P$3,"")</f>
        <v>-0.5</v>
      </c>
      <c r="Q54" s="138">
        <f>IFERROR(AVERAGEIFS(Upload_Indiv[Score5],Upload_Indiv[[Player]:[Player]],$A54,Upload_Indiv[[Side]:[Side]],"Raintree Back")-IF(TRUNC(ROUND($B54,0)/9,0)=2,2+IF((ROUND($B54,0)-18)*2&gt;=Q$2,1,0),IF(TRUNC(ROUND($B54,0)/9,0)=1,1+IF((ROUND($B54,0)-9)*2&gt;=Q$2,1,0),IF(TRUNC(ROUND($B54,0)/9,0)=0,IF(TRUNC(ROUND($B54,0)/9,0)=0,0+IF((ROUND($B54,0))*2&gt;=Q$2,1,0),"Not"))))-Q$3,"")</f>
        <v>0.5</v>
      </c>
      <c r="R54" s="138">
        <f>IFERROR(AVERAGEIFS(Upload_Indiv[Score6],Upload_Indiv[[Player]:[Player]],$A54,Upload_Indiv[[Side]:[Side]],"Raintree Back")-IF(TRUNC(ROUND($B54,0)/9,0)=2,2+IF((ROUND($B54,0)-18)*2&gt;=R$2,1,0),IF(TRUNC(ROUND($B54,0)/9,0)=1,1+IF((ROUND($B54,0)-9)*2&gt;=R$2,1,0),IF(TRUNC(ROUND($B54,0)/9,0)=0,IF(TRUNC(ROUND($B54,0)/9,0)=0,0+IF((ROUND($B54,0))*2&gt;=R$2,1,0),"Not"))))-R$3,"")</f>
        <v>-1.25</v>
      </c>
      <c r="S54" s="138">
        <f>IFERROR(AVERAGEIFS(Upload_Indiv[Score7],Upload_Indiv[[Player]:[Player]],$A54,Upload_Indiv[[Side]:[Side]],"Raintree Back")-IF(TRUNC(ROUND($B54,0)/9,0)=2,2+IF((ROUND($B54,0)-18)*2&gt;=S$2,1,0),IF(TRUNC(ROUND($B54,0)/9,0)=1,1+IF((ROUND($B54,0)-9)*2&gt;=S$2,1,0),IF(TRUNC(ROUND($B54,0)/9,0)=0,IF(TRUNC(ROUND($B54,0)/9,0)=0,0+IF((ROUND($B54,0))*2&gt;=S$2,1,0),"Not"))))-S$3,"")</f>
        <v>0.75</v>
      </c>
      <c r="T54" s="138">
        <f>IFERROR(AVERAGEIFS(Upload_Indiv[Score8],Upload_Indiv[[Player]:[Player]],$A54,Upload_Indiv[[Side]:[Side]],"Raintree Back")-IF(TRUNC(ROUND($B54,0)/9,0)=2,2+IF((ROUND($B54,0)-18)*2&gt;=T$2,1,0),IF(TRUNC(ROUND($B54,0)/9,0)=1,1+IF((ROUND($B54,0)-9)*2&gt;=T$2,1,0),IF(TRUNC(ROUND($B54,0)/9,0)=0,IF(TRUNC(ROUND($B54,0)/9,0)=0,0+IF((ROUND($B54,0))*2&gt;=T$2,1,0),"Not"))))-T$3,"")</f>
        <v>-0.25</v>
      </c>
      <c r="U54" s="138">
        <f>IFERROR(AVERAGEIFS(Upload_Indiv[Score9],Upload_Indiv[[Player]:[Player]],$A54,Upload_Indiv[[Side]:[Side]],"Raintree Back")-IF(TRUNC(ROUND($B54,0)/9,0)=2,2+IF((ROUND($B54,0)-18)*2&gt;=U$2,1,0),IF(TRUNC(ROUND($B54,0)/9,0)=1,1+IF((ROUND($B54,0)-9)*2&gt;=U$2,1,0),IF(TRUNC(ROUND($B54,0)/9,0)=0,IF(TRUNC(ROUND($B54,0)/9,0)=0,0+IF((ROUND($B54,0))*2&gt;=U$2,1,0),"Not"))))-U$3,"")</f>
        <v>0</v>
      </c>
      <c r="V54" s="138">
        <f t="shared" si="1"/>
        <v>2.25</v>
      </c>
    </row>
    <row r="55" spans="1:22" ht="15" customHeight="1" x14ac:dyDescent="0.25">
      <c r="A55" s="4" t="s">
        <v>479</v>
      </c>
      <c r="B55" s="138">
        <f>IFERROR(AVERAGEIFS(Upload_Indiv[Hdcp],Upload_Indiv[[Player]:[Player]],$A55),"")</f>
        <v>20</v>
      </c>
      <c r="C55" s="138">
        <f>IFERROR(AVERAGEIFS(Upload_Indiv[Score1],Upload_Indiv[[Player]:[Player]],$A55,Upload_Indiv[[Side]:[Side]],"Raintree Front")-IF(TRUNC(ROUND($B55,0)/9,0)=2,2+IF((ROUND($B55,0)-18)*2&gt;=C$2,1,0),IF(TRUNC(ROUND($B55,0)/9,0)=1,1+IF((ROUND($B55,0)-9)*2&gt;=C$2,1,0),IF(TRUNC(ROUND($B55,0)/9,0)=0,IF(TRUNC(ROUND($B55,0)/9,0)=0,0+IF((ROUND($B55,0))*2&gt;=C$2,1,0),"Not"))))-C$3,"")</f>
        <v>1.6666666666666661</v>
      </c>
      <c r="D55" s="138">
        <f>IFERROR(AVERAGEIFS(Upload_Indiv[Score2],Upload_Indiv[[Player]:[Player]],$A55,Upload_Indiv[[Side]:[Side]],"Raintree Front")-IF(TRUNC(ROUND($B55,0)/9,0)=2,2+IF((ROUND($B55,0)-18)*2&gt;=D$2,1,0),IF(TRUNC(ROUND($B55,0)/9,0)=1,1+IF((ROUND($B55,0)-9)*2&gt;=D$2,1,0),IF(TRUNC(ROUND($B55,0)/9,0)=0,IF(TRUNC(ROUND($B55,0)/9,0)=0,0+IF((ROUND($B55,0))*2&gt;=D$2,1,0),"Not"))))-D$3,"")</f>
        <v>2.6666666666666661</v>
      </c>
      <c r="E55" s="138">
        <f>IFERROR(AVERAGEIFS(Upload_Indiv[Score3],Upload_Indiv[[Player]:[Player]],$A55,Upload_Indiv[[Side]:[Side]],"Raintree Front")-IF(TRUNC(ROUND($B55,0)/9,0)=2,2+IF((ROUND($B55,0)-18)*2&gt;=E$2,1,0),IF(TRUNC(ROUND($B55,0)/9,0)=1,1+IF((ROUND($B55,0)-9)*2&gt;=E$2,1,0),IF(TRUNC(ROUND($B55,0)/9,0)=0,IF(TRUNC(ROUND($B55,0)/9,0)=0,0+IF((ROUND($B55,0))*2&gt;=E$2,1,0),"Not"))))-E$3,"")</f>
        <v>1.666666666666667</v>
      </c>
      <c r="F55" s="138">
        <f>IFERROR(AVERAGEIFS(Upload_Indiv[Score4],Upload_Indiv[[Player]:[Player]],$A55,Upload_Indiv[[Side]:[Side]],"Raintree Front")-IF(TRUNC(ROUND($B55,0)/9,0)=2,2+IF((ROUND($B55,0)-18)*2&gt;=F$2,1,0),IF(TRUNC(ROUND($B55,0)/9,0)=1,1+IF((ROUND($B55,0)-9)*2&gt;=F$2,1,0),IF(TRUNC(ROUND($B55,0)/9,0)=0,IF(TRUNC(ROUND($B55,0)/9,0)=0,0+IF((ROUND($B55,0))*2&gt;=F$2,1,0),"Not"))))-F$3,"")</f>
        <v>0.66666666666666696</v>
      </c>
      <c r="G55" s="138">
        <f>IFERROR(AVERAGEIFS(Upload_Indiv[Score5],Upload_Indiv[[Player]:[Player]],$A55,Upload_Indiv[[Side]:[Side]],"Raintree Front")-IF(TRUNC(ROUND($B55,0)/9,0)=2,2+IF((ROUND($B55,0)-18)*2&gt;=G$2,1,0),IF(TRUNC(ROUND($B55,0)/9,0)=1,1+IF((ROUND($B55,0)-9)*2&gt;=G$2,1,0),IF(TRUNC(ROUND($B55,0)/9,0)=0,IF(TRUNC(ROUND($B55,0)/9,0)=0,0+IF((ROUND($B55,0))*2&gt;=G$2,1,0),"Not"))))-G$3,"")</f>
        <v>1.666666666666667</v>
      </c>
      <c r="H55" s="138">
        <f>IFERROR(AVERAGEIFS(Upload_Indiv[Score6],Upload_Indiv[[Player]:[Player]],$A55,Upload_Indiv[[Side]:[Side]],"Raintree Front")-IF(TRUNC(ROUND($B55,0)/9,0)=2,2+IF((ROUND($B55,0)-18)*2&gt;=H$2,1,0),IF(TRUNC(ROUND($B55,0)/9,0)=1,1+IF((ROUND($B55,0)-9)*2&gt;=H$2,1,0),IF(TRUNC(ROUND($B55,0)/9,0)=0,IF(TRUNC(ROUND($B55,0)/9,0)=0,0+IF((ROUND($B55,0))*2&gt;=H$2,1,0),"Not"))))-H$3,"")</f>
        <v>1</v>
      </c>
      <c r="I55" s="138">
        <f>IFERROR(AVERAGEIFS(Upload_Indiv[Score7],Upload_Indiv[[Player]:[Player]],$A55,Upload_Indiv[[Side]:[Side]],"Raintree Front")-IF(TRUNC(ROUND($B55,0)/9,0)=2,2+IF((ROUND($B55,0)-18)*2&gt;=I$2,1,0),IF(TRUNC(ROUND($B55,0)/9,0)=1,1+IF((ROUND($B55,0)-9)*2&gt;=I$2,1,0),IF(TRUNC(ROUND($B55,0)/9,0)=0,IF(TRUNC(ROUND($B55,0)/9,0)=0,0+IF((ROUND($B55,0))*2&gt;=I$2,1,0),"Not"))))-I$3,"")</f>
        <v>2.3333333333333339</v>
      </c>
      <c r="J55" s="138">
        <f>IFERROR(AVERAGEIFS(Upload_Indiv[Score8],Upload_Indiv[[Player]:[Player]],$A55,Upload_Indiv[[Side]:[Side]],"Raintree Front")-IF(TRUNC(ROUND($B55,0)/9,0)=2,2+IF((ROUND($B55,0)-18)*2&gt;=J$2,1,0),IF(TRUNC(ROUND($B55,0)/9,0)=1,1+IF((ROUND($B55,0)-9)*2&gt;=J$2,1,0),IF(TRUNC(ROUND($B55,0)/9,0)=0,IF(TRUNC(ROUND($B55,0)/9,0)=0,0+IF((ROUND($B55,0))*2&gt;=J$2,1,0),"Not"))))-J$3,"")</f>
        <v>2.333333333333333</v>
      </c>
      <c r="K55" s="138">
        <f>IFERROR(AVERAGEIFS(Upload_Indiv[Score9],Upload_Indiv[[Player]:[Player]],$A55,Upload_Indiv[[Side]:[Side]],"Raintree Front")-IF(TRUNC(ROUND($B55,0)/9,0)=2,2+IF((ROUND($B55,0)-18)*2&gt;=K$2,1,0),IF(TRUNC(ROUND($B55,0)/9,0)=1,1+IF((ROUND($B55,0)-9)*2&gt;=K$2,1,0),IF(TRUNC(ROUND($B55,0)/9,0)=0,IF(TRUNC(ROUND($B55,0)/9,0)=0,0+IF((ROUND($B55,0))*2&gt;=K$2,1,0),"Not"))))-K$3,"")</f>
        <v>2.3333333333333339</v>
      </c>
      <c r="L55" s="138">
        <f t="shared" si="0"/>
        <v>16.333333333333336</v>
      </c>
      <c r="M55" s="138">
        <f>IFERROR(AVERAGEIFS(Upload_Indiv[Score1],Upload_Indiv[[Player]:[Player]],$A55,Upload_Indiv[[Side]:[Side]],"Raintree Back")-IF(TRUNC(ROUND($B55,0)/9,0)=2,2+IF((ROUND($B55,0)-18)*2&gt;=M$2,1,0),IF(TRUNC(ROUND($B55,0)/9,0)=1,1+IF((ROUND($B55,0)-9)*2&gt;=M$2,1,0),IF(TRUNC(ROUND($B55,0)/9,0)=0,IF(TRUNC(ROUND($B55,0)/9,0)=0,0+IF((ROUND($B55,0))*2&gt;=M$2,1,0),"Not"))))-M$3,"")</f>
        <v>2.6666666666666661</v>
      </c>
      <c r="N55" s="138">
        <f>IFERROR(AVERAGEIFS(Upload_Indiv[Score2],Upload_Indiv[[Player]:[Player]],$A55,Upload_Indiv[[Side]:[Side]],"Raintree Back")-IF(TRUNC(ROUND($B55,0)/9,0)=2,2+IF((ROUND($B55,0)-18)*2&gt;=N$2,1,0),IF(TRUNC(ROUND($B55,0)/9,0)=1,1+IF((ROUND($B55,0)-9)*2&gt;=N$2,1,0),IF(TRUNC(ROUND($B55,0)/9,0)=0,IF(TRUNC(ROUND($B55,0)/9,0)=0,0+IF((ROUND($B55,0))*2&gt;=N$2,1,0),"Not"))))-N$3,"")</f>
        <v>-0.66666666666666696</v>
      </c>
      <c r="O55" s="138">
        <f>IFERROR(AVERAGEIFS(Upload_Indiv[Score3],Upload_Indiv[[Player]:[Player]],$A55,Upload_Indiv[[Side]:[Side]],"Raintree Back")-IF(TRUNC(ROUND($B55,0)/9,0)=2,2+IF((ROUND($B55,0)-18)*2&gt;=O$2,1,0),IF(TRUNC(ROUND($B55,0)/9,0)=1,1+IF((ROUND($B55,0)-9)*2&gt;=O$2,1,0),IF(TRUNC(ROUND($B55,0)/9,0)=0,IF(TRUNC(ROUND($B55,0)/9,0)=0,0+IF((ROUND($B55,0))*2&gt;=O$2,1,0),"Not"))))-O$3,"")</f>
        <v>-0.66666666666666696</v>
      </c>
      <c r="P55" s="138">
        <f>IFERROR(AVERAGEIFS(Upload_Indiv[Score4],Upload_Indiv[[Player]:[Player]],$A55,Upload_Indiv[[Side]:[Side]],"Raintree Back")-IF(TRUNC(ROUND($B55,0)/9,0)=2,2+IF((ROUND($B55,0)-18)*2&gt;=P$2,1,0),IF(TRUNC(ROUND($B55,0)/9,0)=1,1+IF((ROUND($B55,0)-9)*2&gt;=P$2,1,0),IF(TRUNC(ROUND($B55,0)/9,0)=0,IF(TRUNC(ROUND($B55,0)/9,0)=0,0+IF((ROUND($B55,0))*2&gt;=P$2,1,0),"Not"))))-P$3,"")</f>
        <v>-1.333333333333333</v>
      </c>
      <c r="Q55" s="138">
        <f>IFERROR(AVERAGEIFS(Upload_Indiv[Score5],Upload_Indiv[[Player]:[Player]],$A55,Upload_Indiv[[Side]:[Side]],"Raintree Back")-IF(TRUNC(ROUND($B55,0)/9,0)=2,2+IF((ROUND($B55,0)-18)*2&gt;=Q$2,1,0),IF(TRUNC(ROUND($B55,0)/9,0)=1,1+IF((ROUND($B55,0)-9)*2&gt;=Q$2,1,0),IF(TRUNC(ROUND($B55,0)/9,0)=0,IF(TRUNC(ROUND($B55,0)/9,0)=0,0+IF((ROUND($B55,0))*2&gt;=Q$2,1,0),"Not"))))-Q$3,"")</f>
        <v>-0.33333333333333304</v>
      </c>
      <c r="R55" s="138">
        <f>IFERROR(AVERAGEIFS(Upload_Indiv[Score6],Upload_Indiv[[Player]:[Player]],$A55,Upload_Indiv[[Side]:[Side]],"Raintree Back")-IF(TRUNC(ROUND($B55,0)/9,0)=2,2+IF((ROUND($B55,0)-18)*2&gt;=R$2,1,0),IF(TRUNC(ROUND($B55,0)/9,0)=1,1+IF((ROUND($B55,0)-9)*2&gt;=R$2,1,0),IF(TRUNC(ROUND($B55,0)/9,0)=0,IF(TRUNC(ROUND($B55,0)/9,0)=0,0+IF((ROUND($B55,0))*2&gt;=R$2,1,0),"Not"))))-R$3,"")</f>
        <v>-1</v>
      </c>
      <c r="S55" s="138">
        <f>IFERROR(AVERAGEIFS(Upload_Indiv[Score7],Upload_Indiv[[Player]:[Player]],$A55,Upload_Indiv[[Side]:[Side]],"Raintree Back")-IF(TRUNC(ROUND($B55,0)/9,0)=2,2+IF((ROUND($B55,0)-18)*2&gt;=S$2,1,0),IF(TRUNC(ROUND($B55,0)/9,0)=1,1+IF((ROUND($B55,0)-9)*2&gt;=S$2,1,0),IF(TRUNC(ROUND($B55,0)/9,0)=0,IF(TRUNC(ROUND($B55,0)/9,0)=0,0+IF((ROUND($B55,0))*2&gt;=S$2,1,0),"Not"))))-S$3,"")</f>
        <v>-1</v>
      </c>
      <c r="T55" s="138">
        <f>IFERROR(AVERAGEIFS(Upload_Indiv[Score8],Upload_Indiv[[Player]:[Player]],$A55,Upload_Indiv[[Side]:[Side]],"Raintree Back")-IF(TRUNC(ROUND($B55,0)/9,0)=2,2+IF((ROUND($B55,0)-18)*2&gt;=T$2,1,0),IF(TRUNC(ROUND($B55,0)/9,0)=1,1+IF((ROUND($B55,0)-9)*2&gt;=T$2,1,0),IF(TRUNC(ROUND($B55,0)/9,0)=0,IF(TRUNC(ROUND($B55,0)/9,0)=0,0+IF((ROUND($B55,0))*2&gt;=T$2,1,0),"Not"))))-T$3,"")</f>
        <v>-2.333333333333333</v>
      </c>
      <c r="U55" s="138">
        <f>IFERROR(AVERAGEIFS(Upload_Indiv[Score9],Upload_Indiv[[Player]:[Player]],$A55,Upload_Indiv[[Side]:[Side]],"Raintree Back")-IF(TRUNC(ROUND($B55,0)/9,0)=2,2+IF((ROUND($B55,0)-18)*2&gt;=U$2,1,0),IF(TRUNC(ROUND($B55,0)/9,0)=1,1+IF((ROUND($B55,0)-9)*2&gt;=U$2,1,0),IF(TRUNC(ROUND($B55,0)/9,0)=0,IF(TRUNC(ROUND($B55,0)/9,0)=0,0+IF((ROUND($B55,0))*2&gt;=U$2,1,0),"Not"))))-U$3,"")</f>
        <v>-0.66666666666666696</v>
      </c>
      <c r="V55" s="138">
        <f t="shared" si="1"/>
        <v>-5.3333333333333339</v>
      </c>
    </row>
    <row r="56" spans="1:22" ht="15" customHeight="1" x14ac:dyDescent="0.25">
      <c r="A56" s="4" t="s">
        <v>484</v>
      </c>
      <c r="B56" s="138">
        <f>IFERROR(AVERAGEIFS(Upload_Indiv[Hdcp],Upload_Indiv[[Player]:[Player]],$A56),"")</f>
        <v>16.537333333333333</v>
      </c>
      <c r="C56" s="138">
        <f>IFERROR(AVERAGEIFS(Upload_Indiv[Score1],Upload_Indiv[[Player]:[Player]],$A56,Upload_Indiv[[Side]:[Side]],"Raintree Front")-IF(TRUNC(ROUND($B56,0)/9,0)=2,2+IF((ROUND($B56,0)-18)*2&gt;=C$2,1,0),IF(TRUNC(ROUND($B56,0)/9,0)=1,1+IF((ROUND($B56,0)-9)*2&gt;=C$2,1,0),IF(TRUNC(ROUND($B56,0)/9,0)=0,IF(TRUNC(ROUND($B56,0)/9,0)=0,0+IF((ROUND($B56,0))*2&gt;=C$2,1,0),"Not"))))-C$3,"")</f>
        <v>0.28571428571428559</v>
      </c>
      <c r="D56" s="138">
        <f>IFERROR(AVERAGEIFS(Upload_Indiv[Score2],Upload_Indiv[[Player]:[Player]],$A56,Upload_Indiv[[Side]:[Side]],"Raintree Front")-IF(TRUNC(ROUND($B56,0)/9,0)=2,2+IF((ROUND($B56,0)-18)*2&gt;=D$2,1,0),IF(TRUNC(ROUND($B56,0)/9,0)=1,1+IF((ROUND($B56,0)-9)*2&gt;=D$2,1,0),IF(TRUNC(ROUND($B56,0)/9,0)=0,IF(TRUNC(ROUND($B56,0)/9,0)=0,0+IF((ROUND($B56,0))*2&gt;=D$2,1,0),"Not"))))-D$3,"")</f>
        <v>0</v>
      </c>
      <c r="E56" s="138">
        <f>IFERROR(AVERAGEIFS(Upload_Indiv[Score3],Upload_Indiv[[Player]:[Player]],$A56,Upload_Indiv[[Side]:[Side]],"Raintree Front")-IF(TRUNC(ROUND($B56,0)/9,0)=2,2+IF((ROUND($B56,0)-18)*2&gt;=E$2,1,0),IF(TRUNC(ROUND($B56,0)/9,0)=1,1+IF((ROUND($B56,0)-9)*2&gt;=E$2,1,0),IF(TRUNC(ROUND($B56,0)/9,0)=0,IF(TRUNC(ROUND($B56,0)/9,0)=0,0+IF((ROUND($B56,0))*2&gt;=E$2,1,0),"Not"))))-E$3,"")</f>
        <v>-0.42857142857142883</v>
      </c>
      <c r="F56" s="138">
        <f>IFERROR(AVERAGEIFS(Upload_Indiv[Score4],Upload_Indiv[[Player]:[Player]],$A56,Upload_Indiv[[Side]:[Side]],"Raintree Front")-IF(TRUNC(ROUND($B56,0)/9,0)=2,2+IF((ROUND($B56,0)-18)*2&gt;=F$2,1,0),IF(TRUNC(ROUND($B56,0)/9,0)=1,1+IF((ROUND($B56,0)-9)*2&gt;=F$2,1,0),IF(TRUNC(ROUND($B56,0)/9,0)=0,IF(TRUNC(ROUND($B56,0)/9,0)=0,0+IF((ROUND($B56,0))*2&gt;=F$2,1,0),"Not"))))-F$3,"")</f>
        <v>-0.42857142857142883</v>
      </c>
      <c r="G56" s="138">
        <f>IFERROR(AVERAGEIFS(Upload_Indiv[Score5],Upload_Indiv[[Player]:[Player]],$A56,Upload_Indiv[[Side]:[Side]],"Raintree Front")-IF(TRUNC(ROUND($B56,0)/9,0)=2,2+IF((ROUND($B56,0)-18)*2&gt;=G$2,1,0),IF(TRUNC(ROUND($B56,0)/9,0)=1,1+IF((ROUND($B56,0)-9)*2&gt;=G$2,1,0),IF(TRUNC(ROUND($B56,0)/9,0)=0,IF(TRUNC(ROUND($B56,0)/9,0)=0,0+IF((ROUND($B56,0))*2&gt;=G$2,1,0),"Not"))))-G$3,"")</f>
        <v>1.7142857142857144</v>
      </c>
      <c r="H56" s="138">
        <f>IFERROR(AVERAGEIFS(Upload_Indiv[Score6],Upload_Indiv[[Player]:[Player]],$A56,Upload_Indiv[[Side]:[Side]],"Raintree Front")-IF(TRUNC(ROUND($B56,0)/9,0)=2,2+IF((ROUND($B56,0)-18)*2&gt;=H$2,1,0),IF(TRUNC(ROUND($B56,0)/9,0)=1,1+IF((ROUND($B56,0)-9)*2&gt;=H$2,1,0),IF(TRUNC(ROUND($B56,0)/9,0)=0,IF(TRUNC(ROUND($B56,0)/9,0)=0,0+IF((ROUND($B56,0))*2&gt;=H$2,1,0),"Not"))))-H$3,"")</f>
        <v>0.14285714285714324</v>
      </c>
      <c r="I56" s="138">
        <f>IFERROR(AVERAGEIFS(Upload_Indiv[Score7],Upload_Indiv[[Player]:[Player]],$A56,Upload_Indiv[[Side]:[Side]],"Raintree Front")-IF(TRUNC(ROUND($B56,0)/9,0)=2,2+IF((ROUND($B56,0)-18)*2&gt;=I$2,1,0),IF(TRUNC(ROUND($B56,0)/9,0)=1,1+IF((ROUND($B56,0)-9)*2&gt;=I$2,1,0),IF(TRUNC(ROUND($B56,0)/9,0)=0,IF(TRUNC(ROUND($B56,0)/9,0)=0,0+IF((ROUND($B56,0))*2&gt;=I$2,1,0),"Not"))))-I$3,"")</f>
        <v>0.42857142857142883</v>
      </c>
      <c r="J56" s="138">
        <f>IFERROR(AVERAGEIFS(Upload_Indiv[Score8],Upload_Indiv[[Player]:[Player]],$A56,Upload_Indiv[[Side]:[Side]],"Raintree Front")-IF(TRUNC(ROUND($B56,0)/9,0)=2,2+IF((ROUND($B56,0)-18)*2&gt;=J$2,1,0),IF(TRUNC(ROUND($B56,0)/9,0)=1,1+IF((ROUND($B56,0)-9)*2&gt;=J$2,1,0),IF(TRUNC(ROUND($B56,0)/9,0)=0,IF(TRUNC(ROUND($B56,0)/9,0)=0,0+IF((ROUND($B56,0))*2&gt;=J$2,1,0),"Not"))))-J$3,"")</f>
        <v>-0.14285714285714324</v>
      </c>
      <c r="K56" s="138">
        <f>IFERROR(AVERAGEIFS(Upload_Indiv[Score9],Upload_Indiv[[Player]:[Player]],$A56,Upload_Indiv[[Side]:[Side]],"Raintree Front")-IF(TRUNC(ROUND($B56,0)/9,0)=2,2+IF((ROUND($B56,0)-18)*2&gt;=K$2,1,0),IF(TRUNC(ROUND($B56,0)/9,0)=1,1+IF((ROUND($B56,0)-9)*2&gt;=K$2,1,0),IF(TRUNC(ROUND($B56,0)/9,0)=0,IF(TRUNC(ROUND($B56,0)/9,0)=0,0+IF((ROUND($B56,0))*2&gt;=K$2,1,0),"Not"))))-K$3,"")</f>
        <v>-1</v>
      </c>
      <c r="L56" s="138">
        <f t="shared" si="0"/>
        <v>0.57142857142857117</v>
      </c>
      <c r="M56" s="138">
        <f>IFERROR(AVERAGEIFS(Upload_Indiv[Score1],Upload_Indiv[[Player]:[Player]],$A56,Upload_Indiv[[Side]:[Side]],"Raintree Back")-IF(TRUNC(ROUND($B56,0)/9,0)=2,2+IF((ROUND($B56,0)-18)*2&gt;=M$2,1,0),IF(TRUNC(ROUND($B56,0)/9,0)=1,1+IF((ROUND($B56,0)-9)*2&gt;=M$2,1,0),IF(TRUNC(ROUND($B56,0)/9,0)=0,IF(TRUNC(ROUND($B56,0)/9,0)=0,0+IF((ROUND($B56,0))*2&gt;=M$2,1,0),"Not"))))-M$3,"")</f>
        <v>0.375</v>
      </c>
      <c r="N56" s="138">
        <f>IFERROR(AVERAGEIFS(Upload_Indiv[Score2],Upload_Indiv[[Player]:[Player]],$A56,Upload_Indiv[[Side]:[Side]],"Raintree Back")-IF(TRUNC(ROUND($B56,0)/9,0)=2,2+IF((ROUND($B56,0)-18)*2&gt;=N$2,1,0),IF(TRUNC(ROUND($B56,0)/9,0)=1,1+IF((ROUND($B56,0)-9)*2&gt;=N$2,1,0),IF(TRUNC(ROUND($B56,0)/9,0)=0,IF(TRUNC(ROUND($B56,0)/9,0)=0,0+IF((ROUND($B56,0))*2&gt;=N$2,1,0),"Not"))))-N$3,"")</f>
        <v>0.25</v>
      </c>
      <c r="O56" s="138">
        <f>IFERROR(AVERAGEIFS(Upload_Indiv[Score3],Upload_Indiv[[Player]:[Player]],$A56,Upload_Indiv[[Side]:[Side]],"Raintree Back")-IF(TRUNC(ROUND($B56,0)/9,0)=2,2+IF((ROUND($B56,0)-18)*2&gt;=O$2,1,0),IF(TRUNC(ROUND($B56,0)/9,0)=1,1+IF((ROUND($B56,0)-9)*2&gt;=O$2,1,0),IF(TRUNC(ROUND($B56,0)/9,0)=0,IF(TRUNC(ROUND($B56,0)/9,0)=0,0+IF((ROUND($B56,0))*2&gt;=O$2,1,0),"Not"))))-O$3,"")</f>
        <v>0.5</v>
      </c>
      <c r="P56" s="138">
        <f>IFERROR(AVERAGEIFS(Upload_Indiv[Score4],Upload_Indiv[[Player]:[Player]],$A56,Upload_Indiv[[Side]:[Side]],"Raintree Back")-IF(TRUNC(ROUND($B56,0)/9,0)=2,2+IF((ROUND($B56,0)-18)*2&gt;=P$2,1,0),IF(TRUNC(ROUND($B56,0)/9,0)=1,1+IF((ROUND($B56,0)-9)*2&gt;=P$2,1,0),IF(TRUNC(ROUND($B56,0)/9,0)=0,IF(TRUNC(ROUND($B56,0)/9,0)=0,0+IF((ROUND($B56,0))*2&gt;=P$2,1,0),"Not"))))-P$3,"")</f>
        <v>0.75</v>
      </c>
      <c r="Q56" s="138">
        <f>IFERROR(AVERAGEIFS(Upload_Indiv[Score5],Upload_Indiv[[Player]:[Player]],$A56,Upload_Indiv[[Side]:[Side]],"Raintree Back")-IF(TRUNC(ROUND($B56,0)/9,0)=2,2+IF((ROUND($B56,0)-18)*2&gt;=Q$2,1,0),IF(TRUNC(ROUND($B56,0)/9,0)=1,1+IF((ROUND($B56,0)-9)*2&gt;=Q$2,1,0),IF(TRUNC(ROUND($B56,0)/9,0)=0,IF(TRUNC(ROUND($B56,0)/9,0)=0,0+IF((ROUND($B56,0))*2&gt;=Q$2,1,0),"Not"))))-Q$3,"")</f>
        <v>-0.375</v>
      </c>
      <c r="R56" s="138">
        <f>IFERROR(AVERAGEIFS(Upload_Indiv[Score6],Upload_Indiv[[Player]:[Player]],$A56,Upload_Indiv[[Side]:[Side]],"Raintree Back")-IF(TRUNC(ROUND($B56,0)/9,0)=2,2+IF((ROUND($B56,0)-18)*2&gt;=R$2,1,0),IF(TRUNC(ROUND($B56,0)/9,0)=1,1+IF((ROUND($B56,0)-9)*2&gt;=R$2,1,0),IF(TRUNC(ROUND($B56,0)/9,0)=0,IF(TRUNC(ROUND($B56,0)/9,0)=0,0+IF((ROUND($B56,0))*2&gt;=R$2,1,0),"Not"))))-R$3,"")</f>
        <v>-0.625</v>
      </c>
      <c r="S56" s="138">
        <f>IFERROR(AVERAGEIFS(Upload_Indiv[Score7],Upload_Indiv[[Player]:[Player]],$A56,Upload_Indiv[[Side]:[Side]],"Raintree Back")-IF(TRUNC(ROUND($B56,0)/9,0)=2,2+IF((ROUND($B56,0)-18)*2&gt;=S$2,1,0),IF(TRUNC(ROUND($B56,0)/9,0)=1,1+IF((ROUND($B56,0)-9)*2&gt;=S$2,1,0),IF(TRUNC(ROUND($B56,0)/9,0)=0,IF(TRUNC(ROUND($B56,0)/9,0)=0,0+IF((ROUND($B56,0))*2&gt;=S$2,1,0),"Not"))))-S$3,"")</f>
        <v>0.625</v>
      </c>
      <c r="T56" s="138">
        <f>IFERROR(AVERAGEIFS(Upload_Indiv[Score8],Upload_Indiv[[Player]:[Player]],$A56,Upload_Indiv[[Side]:[Side]],"Raintree Back")-IF(TRUNC(ROUND($B56,0)/9,0)=2,2+IF((ROUND($B56,0)-18)*2&gt;=T$2,1,0),IF(TRUNC(ROUND($B56,0)/9,0)=1,1+IF((ROUND($B56,0)-9)*2&gt;=T$2,1,0),IF(TRUNC(ROUND($B56,0)/9,0)=0,IF(TRUNC(ROUND($B56,0)/9,0)=0,0+IF((ROUND($B56,0))*2&gt;=T$2,1,0),"Not"))))-T$3,"")</f>
        <v>0.75</v>
      </c>
      <c r="U56" s="138">
        <f>IFERROR(AVERAGEIFS(Upload_Indiv[Score9],Upload_Indiv[[Player]:[Player]],$A56,Upload_Indiv[[Side]:[Side]],"Raintree Back")-IF(TRUNC(ROUND($B56,0)/9,0)=2,2+IF((ROUND($B56,0)-18)*2&gt;=U$2,1,0),IF(TRUNC(ROUND($B56,0)/9,0)=1,1+IF((ROUND($B56,0)-9)*2&gt;=U$2,1,0),IF(TRUNC(ROUND($B56,0)/9,0)=0,IF(TRUNC(ROUND($B56,0)/9,0)=0,0+IF((ROUND($B56,0))*2&gt;=U$2,1,0),"Not"))))-U$3,"")</f>
        <v>0.875</v>
      </c>
      <c r="V56" s="138">
        <f t="shared" si="1"/>
        <v>3.125</v>
      </c>
    </row>
    <row r="57" spans="1:22" ht="15" customHeight="1" x14ac:dyDescent="0.25">
      <c r="A57" s="4" t="s">
        <v>485</v>
      </c>
      <c r="B57" s="138">
        <f>IFERROR(AVERAGEIFS(Upload_Indiv[Hdcp],Upload_Indiv[[Player]:[Player]],$A57),"")</f>
        <v>11.293333333333335</v>
      </c>
      <c r="C57" s="138">
        <f>IFERROR(AVERAGEIFS(Upload_Indiv[Score1],Upload_Indiv[[Player]:[Player]],$A57,Upload_Indiv[[Side]:[Side]],"Raintree Front")-IF(TRUNC(ROUND($B57,0)/9,0)=2,2+IF((ROUND($B57,0)-18)*2&gt;=C$2,1,0),IF(TRUNC(ROUND($B57,0)/9,0)=1,1+IF((ROUND($B57,0)-9)*2&gt;=C$2,1,0),IF(TRUNC(ROUND($B57,0)/9,0)=0,IF(TRUNC(ROUND($B57,0)/9,0)=0,0+IF((ROUND($B57,0))*2&gt;=C$2,1,0),"Not"))))-C$3,"")</f>
        <v>-0.59999999999999964</v>
      </c>
      <c r="D57" s="138">
        <f>IFERROR(AVERAGEIFS(Upload_Indiv[Score2],Upload_Indiv[[Player]:[Player]],$A57,Upload_Indiv[[Side]:[Side]],"Raintree Front")-IF(TRUNC(ROUND($B57,0)/9,0)=2,2+IF((ROUND($B57,0)-18)*2&gt;=D$2,1,0),IF(TRUNC(ROUND($B57,0)/9,0)=1,1+IF((ROUND($B57,0)-9)*2&gt;=D$2,1,0),IF(TRUNC(ROUND($B57,0)/9,0)=0,IF(TRUNC(ROUND($B57,0)/9,0)=0,0+IF((ROUND($B57,0))*2&gt;=D$2,1,0),"Not"))))-D$3,"")</f>
        <v>0.79999999999999982</v>
      </c>
      <c r="E57" s="138">
        <f>IFERROR(AVERAGEIFS(Upload_Indiv[Score3],Upload_Indiv[[Player]:[Player]],$A57,Upload_Indiv[[Side]:[Side]],"Raintree Front")-IF(TRUNC(ROUND($B57,0)/9,0)=2,2+IF((ROUND($B57,0)-18)*2&gt;=E$2,1,0),IF(TRUNC(ROUND($B57,0)/9,0)=1,1+IF((ROUND($B57,0)-9)*2&gt;=E$2,1,0),IF(TRUNC(ROUND($B57,0)/9,0)=0,IF(TRUNC(ROUND($B57,0)/9,0)=0,0+IF((ROUND($B57,0))*2&gt;=E$2,1,0),"Not"))))-E$3,"")</f>
        <v>-0.40000000000000036</v>
      </c>
      <c r="F57" s="138">
        <f>IFERROR(AVERAGEIFS(Upload_Indiv[Score4],Upload_Indiv[[Player]:[Player]],$A57,Upload_Indiv[[Side]:[Side]],"Raintree Front")-IF(TRUNC(ROUND($B57,0)/9,0)=2,2+IF((ROUND($B57,0)-18)*2&gt;=F$2,1,0),IF(TRUNC(ROUND($B57,0)/9,0)=1,1+IF((ROUND($B57,0)-9)*2&gt;=F$2,1,0),IF(TRUNC(ROUND($B57,0)/9,0)=0,IF(TRUNC(ROUND($B57,0)/9,0)=0,0+IF((ROUND($B57,0))*2&gt;=F$2,1,0),"Not"))))-F$3,"")</f>
        <v>0</v>
      </c>
      <c r="G57" s="138">
        <f>IFERROR(AVERAGEIFS(Upload_Indiv[Score5],Upload_Indiv[[Player]:[Player]],$A57,Upload_Indiv[[Side]:[Side]],"Raintree Front")-IF(TRUNC(ROUND($B57,0)/9,0)=2,2+IF((ROUND($B57,0)-18)*2&gt;=G$2,1,0),IF(TRUNC(ROUND($B57,0)/9,0)=1,1+IF((ROUND($B57,0)-9)*2&gt;=G$2,1,0),IF(TRUNC(ROUND($B57,0)/9,0)=0,IF(TRUNC(ROUND($B57,0)/9,0)=0,0+IF((ROUND($B57,0))*2&gt;=G$2,1,0),"Not"))))-G$3,"")</f>
        <v>1</v>
      </c>
      <c r="H57" s="138">
        <f>IFERROR(AVERAGEIFS(Upload_Indiv[Score6],Upload_Indiv[[Player]:[Player]],$A57,Upload_Indiv[[Side]:[Side]],"Raintree Front")-IF(TRUNC(ROUND($B57,0)/9,0)=2,2+IF((ROUND($B57,0)-18)*2&gt;=H$2,1,0),IF(TRUNC(ROUND($B57,0)/9,0)=1,1+IF((ROUND($B57,0)-9)*2&gt;=H$2,1,0),IF(TRUNC(ROUND($B57,0)/9,0)=0,IF(TRUNC(ROUND($B57,0)/9,0)=0,0+IF((ROUND($B57,0))*2&gt;=H$2,1,0),"Not"))))-H$3,"")</f>
        <v>-0.40000000000000036</v>
      </c>
      <c r="I57" s="138">
        <f>IFERROR(AVERAGEIFS(Upload_Indiv[Score7],Upload_Indiv[[Player]:[Player]],$A57,Upload_Indiv[[Side]:[Side]],"Raintree Front")-IF(TRUNC(ROUND($B57,0)/9,0)=2,2+IF((ROUND($B57,0)-18)*2&gt;=I$2,1,0),IF(TRUNC(ROUND($B57,0)/9,0)=1,1+IF((ROUND($B57,0)-9)*2&gt;=I$2,1,0),IF(TRUNC(ROUND($B57,0)/9,0)=0,IF(TRUNC(ROUND($B57,0)/9,0)=0,0+IF((ROUND($B57,0))*2&gt;=I$2,1,0),"Not"))))-I$3,"")</f>
        <v>0.20000000000000018</v>
      </c>
      <c r="J57" s="138">
        <f>IFERROR(AVERAGEIFS(Upload_Indiv[Score8],Upload_Indiv[[Player]:[Player]],$A57,Upload_Indiv[[Side]:[Side]],"Raintree Front")-IF(TRUNC(ROUND($B57,0)/9,0)=2,2+IF((ROUND($B57,0)-18)*2&gt;=J$2,1,0),IF(TRUNC(ROUND($B57,0)/9,0)=1,1+IF((ROUND($B57,0)-9)*2&gt;=J$2,1,0),IF(TRUNC(ROUND($B57,0)/9,0)=0,IF(TRUNC(ROUND($B57,0)/9,0)=0,0+IF((ROUND($B57,0))*2&gt;=J$2,1,0),"Not"))))-J$3,"")</f>
        <v>0.20000000000000018</v>
      </c>
      <c r="K57" s="138">
        <f>IFERROR(AVERAGEIFS(Upload_Indiv[Score9],Upload_Indiv[[Player]:[Player]],$A57,Upload_Indiv[[Side]:[Side]],"Raintree Front")-IF(TRUNC(ROUND($B57,0)/9,0)=2,2+IF((ROUND($B57,0)-18)*2&gt;=K$2,1,0),IF(TRUNC(ROUND($B57,0)/9,0)=1,1+IF((ROUND($B57,0)-9)*2&gt;=K$2,1,0),IF(TRUNC(ROUND($B57,0)/9,0)=0,IF(TRUNC(ROUND($B57,0)/9,0)=0,0+IF((ROUND($B57,0))*2&gt;=K$2,1,0),"Not"))))-K$3,"")</f>
        <v>1.4000000000000004</v>
      </c>
      <c r="L57" s="138">
        <f t="shared" si="0"/>
        <v>2.2000000000000002</v>
      </c>
      <c r="M57" s="138">
        <f>IFERROR(AVERAGEIFS(Upload_Indiv[Score1],Upload_Indiv[[Player]:[Player]],$A57,Upload_Indiv[[Side]:[Side]],"Raintree Back")-IF(TRUNC(ROUND($B57,0)/9,0)=2,2+IF((ROUND($B57,0)-18)*2&gt;=M$2,1,0),IF(TRUNC(ROUND($B57,0)/9,0)=1,1+IF((ROUND($B57,0)-9)*2&gt;=M$2,1,0),IF(TRUNC(ROUND($B57,0)/9,0)=0,IF(TRUNC(ROUND($B57,0)/9,0)=0,0+IF((ROUND($B57,0))*2&gt;=M$2,1,0),"Not"))))-M$3,"")</f>
        <v>0.28571428571428559</v>
      </c>
      <c r="N57" s="138">
        <f>IFERROR(AVERAGEIFS(Upload_Indiv[Score2],Upload_Indiv[[Player]:[Player]],$A57,Upload_Indiv[[Side]:[Side]],"Raintree Back")-IF(TRUNC(ROUND($B57,0)/9,0)=2,2+IF((ROUND($B57,0)-18)*2&gt;=N$2,1,0),IF(TRUNC(ROUND($B57,0)/9,0)=1,1+IF((ROUND($B57,0)-9)*2&gt;=N$2,1,0),IF(TRUNC(ROUND($B57,0)/9,0)=0,IF(TRUNC(ROUND($B57,0)/9,0)=0,0+IF((ROUND($B57,0))*2&gt;=N$2,1,0),"Not"))))-N$3,"")</f>
        <v>0</v>
      </c>
      <c r="O57" s="138">
        <f>IFERROR(AVERAGEIFS(Upload_Indiv[Score3],Upload_Indiv[[Player]:[Player]],$A57,Upload_Indiv[[Side]:[Side]],"Raintree Back")-IF(TRUNC(ROUND($B57,0)/9,0)=2,2+IF((ROUND($B57,0)-18)*2&gt;=O$2,1,0),IF(TRUNC(ROUND($B57,0)/9,0)=1,1+IF((ROUND($B57,0)-9)*2&gt;=O$2,1,0),IF(TRUNC(ROUND($B57,0)/9,0)=0,IF(TRUNC(ROUND($B57,0)/9,0)=0,0+IF((ROUND($B57,0))*2&gt;=O$2,1,0),"Not"))))-O$3,"")</f>
        <v>0.71428571428571441</v>
      </c>
      <c r="P57" s="138">
        <f>IFERROR(AVERAGEIFS(Upload_Indiv[Score4],Upload_Indiv[[Player]:[Player]],$A57,Upload_Indiv[[Side]:[Side]],"Raintree Back")-IF(TRUNC(ROUND($B57,0)/9,0)=2,2+IF((ROUND($B57,0)-18)*2&gt;=P$2,1,0),IF(TRUNC(ROUND($B57,0)/9,0)=1,1+IF((ROUND($B57,0)-9)*2&gt;=P$2,1,0),IF(TRUNC(ROUND($B57,0)/9,0)=0,IF(TRUNC(ROUND($B57,0)/9,0)=0,0+IF((ROUND($B57,0))*2&gt;=P$2,1,0),"Not"))))-P$3,"")</f>
        <v>-0.57142857142857117</v>
      </c>
      <c r="Q57" s="138">
        <f>IFERROR(AVERAGEIFS(Upload_Indiv[Score5],Upload_Indiv[[Player]:[Player]],$A57,Upload_Indiv[[Side]:[Side]],"Raintree Back")-IF(TRUNC(ROUND($B57,0)/9,0)=2,2+IF((ROUND($B57,0)-18)*2&gt;=Q$2,1,0),IF(TRUNC(ROUND($B57,0)/9,0)=1,1+IF((ROUND($B57,0)-9)*2&gt;=Q$2,1,0),IF(TRUNC(ROUND($B57,0)/9,0)=0,IF(TRUNC(ROUND($B57,0)/9,0)=0,0+IF((ROUND($B57,0))*2&gt;=Q$2,1,0),"Not"))))-Q$3,"")</f>
        <v>0.42857142857142883</v>
      </c>
      <c r="R57" s="138">
        <f>IFERROR(AVERAGEIFS(Upload_Indiv[Score6],Upload_Indiv[[Player]:[Player]],$A57,Upload_Indiv[[Side]:[Side]],"Raintree Back")-IF(TRUNC(ROUND($B57,0)/9,0)=2,2+IF((ROUND($B57,0)-18)*2&gt;=R$2,1,0),IF(TRUNC(ROUND($B57,0)/9,0)=1,1+IF((ROUND($B57,0)-9)*2&gt;=R$2,1,0),IF(TRUNC(ROUND($B57,0)/9,0)=0,IF(TRUNC(ROUND($B57,0)/9,0)=0,0+IF((ROUND($B57,0))*2&gt;=R$2,1,0),"Not"))))-R$3,"")</f>
        <v>1</v>
      </c>
      <c r="S57" s="138">
        <f>IFERROR(AVERAGEIFS(Upload_Indiv[Score7],Upload_Indiv[[Player]:[Player]],$A57,Upload_Indiv[[Side]:[Side]],"Raintree Back")-IF(TRUNC(ROUND($B57,0)/9,0)=2,2+IF((ROUND($B57,0)-18)*2&gt;=S$2,1,0),IF(TRUNC(ROUND($B57,0)/9,0)=1,1+IF((ROUND($B57,0)-9)*2&gt;=S$2,1,0),IF(TRUNC(ROUND($B57,0)/9,0)=0,IF(TRUNC(ROUND($B57,0)/9,0)=0,0+IF((ROUND($B57,0))*2&gt;=S$2,1,0),"Not"))))-S$3,"")</f>
        <v>1.1428571428571432</v>
      </c>
      <c r="T57" s="138">
        <f>IFERROR(AVERAGEIFS(Upload_Indiv[Score8],Upload_Indiv[[Player]:[Player]],$A57,Upload_Indiv[[Side]:[Side]],"Raintree Back")-IF(TRUNC(ROUND($B57,0)/9,0)=2,2+IF((ROUND($B57,0)-18)*2&gt;=T$2,1,0),IF(TRUNC(ROUND($B57,0)/9,0)=1,1+IF((ROUND($B57,0)-9)*2&gt;=T$2,1,0),IF(TRUNC(ROUND($B57,0)/9,0)=0,IF(TRUNC(ROUND($B57,0)/9,0)=0,0+IF((ROUND($B57,0))*2&gt;=T$2,1,0),"Not"))))-T$3,"")</f>
        <v>-0.28571428571428559</v>
      </c>
      <c r="U57" s="138">
        <f>IFERROR(AVERAGEIFS(Upload_Indiv[Score9],Upload_Indiv[[Player]:[Player]],$A57,Upload_Indiv[[Side]:[Side]],"Raintree Back")-IF(TRUNC(ROUND($B57,0)/9,0)=2,2+IF((ROUND($B57,0)-18)*2&gt;=U$2,1,0),IF(TRUNC(ROUND($B57,0)/9,0)=1,1+IF((ROUND($B57,0)-9)*2&gt;=U$2,1,0),IF(TRUNC(ROUND($B57,0)/9,0)=0,IF(TRUNC(ROUND($B57,0)/9,0)=0,0+IF((ROUND($B57,0))*2&gt;=U$2,1,0),"Not"))))-U$3,"")</f>
        <v>1.2857142857142856</v>
      </c>
      <c r="V57" s="138">
        <f t="shared" si="1"/>
        <v>4.0000000000000009</v>
      </c>
    </row>
    <row r="58" spans="1:22" ht="15" customHeight="1" x14ac:dyDescent="0.25">
      <c r="A58" s="4" t="s">
        <v>491</v>
      </c>
      <c r="B58" s="138">
        <f>IFERROR(AVERAGEIFS(Upload_Indiv[Hdcp],Upload_Indiv[[Player]:[Player]],$A58),"")</f>
        <v>20</v>
      </c>
      <c r="C58" s="138">
        <f>IFERROR(AVERAGEIFS(Upload_Indiv[Score1],Upload_Indiv[[Player]:[Player]],$A58,Upload_Indiv[[Side]:[Side]],"Raintree Front")-IF(TRUNC(ROUND($B58,0)/9,0)=2,2+IF((ROUND($B58,0)-18)*2&gt;=C$2,1,0),IF(TRUNC(ROUND($B58,0)/9,0)=1,1+IF((ROUND($B58,0)-9)*2&gt;=C$2,1,0),IF(TRUNC(ROUND($B58,0)/9,0)=0,IF(TRUNC(ROUND($B58,0)/9,0)=0,0+IF((ROUND($B58,0))*2&gt;=C$2,1,0),"Not"))))-C$3,"")</f>
        <v>1</v>
      </c>
      <c r="D58" s="138">
        <f>IFERROR(AVERAGEIFS(Upload_Indiv[Score2],Upload_Indiv[[Player]:[Player]],$A58,Upload_Indiv[[Side]:[Side]],"Raintree Front")-IF(TRUNC(ROUND($B58,0)/9,0)=2,2+IF((ROUND($B58,0)-18)*2&gt;=D$2,1,0),IF(TRUNC(ROUND($B58,0)/9,0)=1,1+IF((ROUND($B58,0)-9)*2&gt;=D$2,1,0),IF(TRUNC(ROUND($B58,0)/9,0)=0,IF(TRUNC(ROUND($B58,0)/9,0)=0,0+IF((ROUND($B58,0))*2&gt;=D$2,1,0),"Not"))))-D$3,"")</f>
        <v>1</v>
      </c>
      <c r="E58" s="138">
        <f>IFERROR(AVERAGEIFS(Upload_Indiv[Score3],Upload_Indiv[[Player]:[Player]],$A58,Upload_Indiv[[Side]:[Side]],"Raintree Front")-IF(TRUNC(ROUND($B58,0)/9,0)=2,2+IF((ROUND($B58,0)-18)*2&gt;=E$2,1,0),IF(TRUNC(ROUND($B58,0)/9,0)=1,1+IF((ROUND($B58,0)-9)*2&gt;=E$2,1,0),IF(TRUNC(ROUND($B58,0)/9,0)=0,IF(TRUNC(ROUND($B58,0)/9,0)=0,0+IF((ROUND($B58,0))*2&gt;=E$2,1,0),"Not"))))-E$3,"")</f>
        <v>2</v>
      </c>
      <c r="F58" s="138">
        <f>IFERROR(AVERAGEIFS(Upload_Indiv[Score4],Upload_Indiv[[Player]:[Player]],$A58,Upload_Indiv[[Side]:[Side]],"Raintree Front")-IF(TRUNC(ROUND($B58,0)/9,0)=2,2+IF((ROUND($B58,0)-18)*2&gt;=F$2,1,0),IF(TRUNC(ROUND($B58,0)/9,0)=1,1+IF((ROUND($B58,0)-9)*2&gt;=F$2,1,0),IF(TRUNC(ROUND($B58,0)/9,0)=0,IF(TRUNC(ROUND($B58,0)/9,0)=0,0+IF((ROUND($B58,0))*2&gt;=F$2,1,0),"Not"))))-F$3,"")</f>
        <v>0</v>
      </c>
      <c r="G58" s="138">
        <f>IFERROR(AVERAGEIFS(Upload_Indiv[Score5],Upload_Indiv[[Player]:[Player]],$A58,Upload_Indiv[[Side]:[Side]],"Raintree Front")-IF(TRUNC(ROUND($B58,0)/9,0)=2,2+IF((ROUND($B58,0)-18)*2&gt;=G$2,1,0),IF(TRUNC(ROUND($B58,0)/9,0)=1,1+IF((ROUND($B58,0)-9)*2&gt;=G$2,1,0),IF(TRUNC(ROUND($B58,0)/9,0)=0,IF(TRUNC(ROUND($B58,0)/9,0)=0,0+IF((ROUND($B58,0))*2&gt;=G$2,1,0),"Not"))))-G$3,"")</f>
        <v>0</v>
      </c>
      <c r="H58" s="138">
        <f>IFERROR(AVERAGEIFS(Upload_Indiv[Score6],Upload_Indiv[[Player]:[Player]],$A58,Upload_Indiv[[Side]:[Side]],"Raintree Front")-IF(TRUNC(ROUND($B58,0)/9,0)=2,2+IF((ROUND($B58,0)-18)*2&gt;=H$2,1,0),IF(TRUNC(ROUND($B58,0)/9,0)=1,1+IF((ROUND($B58,0)-9)*2&gt;=H$2,1,0),IF(TRUNC(ROUND($B58,0)/9,0)=0,IF(TRUNC(ROUND($B58,0)/9,0)=0,0+IF((ROUND($B58,0))*2&gt;=H$2,1,0),"Not"))))-H$3,"")</f>
        <v>-1</v>
      </c>
      <c r="I58" s="138">
        <f>IFERROR(AVERAGEIFS(Upload_Indiv[Score7],Upload_Indiv[[Player]:[Player]],$A58,Upload_Indiv[[Side]:[Side]],"Raintree Front")-IF(TRUNC(ROUND($B58,0)/9,0)=2,2+IF((ROUND($B58,0)-18)*2&gt;=I$2,1,0),IF(TRUNC(ROUND($B58,0)/9,0)=1,1+IF((ROUND($B58,0)-9)*2&gt;=I$2,1,0),IF(TRUNC(ROUND($B58,0)/9,0)=0,IF(TRUNC(ROUND($B58,0)/9,0)=0,0+IF((ROUND($B58,0))*2&gt;=I$2,1,0),"Not"))))-I$3,"")</f>
        <v>1</v>
      </c>
      <c r="J58" s="138">
        <f>IFERROR(AVERAGEIFS(Upload_Indiv[Score8],Upload_Indiv[[Player]:[Player]],$A58,Upload_Indiv[[Side]:[Side]],"Raintree Front")-IF(TRUNC(ROUND($B58,0)/9,0)=2,2+IF((ROUND($B58,0)-18)*2&gt;=J$2,1,0),IF(TRUNC(ROUND($B58,0)/9,0)=1,1+IF((ROUND($B58,0)-9)*2&gt;=J$2,1,0),IF(TRUNC(ROUND($B58,0)/9,0)=0,IF(TRUNC(ROUND($B58,0)/9,0)=0,0+IF((ROUND($B58,0))*2&gt;=J$2,1,0),"Not"))))-J$3,"")</f>
        <v>3</v>
      </c>
      <c r="K58" s="138">
        <f>IFERROR(AVERAGEIFS(Upload_Indiv[Score9],Upload_Indiv[[Player]:[Player]],$A58,Upload_Indiv[[Side]:[Side]],"Raintree Front")-IF(TRUNC(ROUND($B58,0)/9,0)=2,2+IF((ROUND($B58,0)-18)*2&gt;=K$2,1,0),IF(TRUNC(ROUND($B58,0)/9,0)=1,1+IF((ROUND($B58,0)-9)*2&gt;=K$2,1,0),IF(TRUNC(ROUND($B58,0)/9,0)=0,IF(TRUNC(ROUND($B58,0)/9,0)=0,0+IF((ROUND($B58,0))*2&gt;=K$2,1,0),"Not"))))-K$3,"")</f>
        <v>1</v>
      </c>
      <c r="L58" s="138">
        <f t="shared" si="0"/>
        <v>8</v>
      </c>
      <c r="M58" s="138" t="str">
        <f>IFERROR(AVERAGEIFS(Upload_Indiv[Score1],Upload_Indiv[[Player]:[Player]],$A58,Upload_Indiv[[Side]:[Side]],"Raintree Back")-IF(TRUNC(ROUND($B58,0)/9,0)=2,2+IF((ROUND($B58,0)-18)*2&gt;=M$2,1,0),IF(TRUNC(ROUND($B58,0)/9,0)=1,1+IF((ROUND($B58,0)-9)*2&gt;=M$2,1,0),IF(TRUNC(ROUND($B58,0)/9,0)=0,IF(TRUNC(ROUND($B58,0)/9,0)=0,0+IF((ROUND($B58,0))*2&gt;=M$2,1,0),"Not"))))-M$3,"")</f>
        <v/>
      </c>
      <c r="N58" s="138" t="str">
        <f>IFERROR(AVERAGEIFS(Upload_Indiv[Score2],Upload_Indiv[[Player]:[Player]],$A58,Upload_Indiv[[Side]:[Side]],"Raintree Back")-IF(TRUNC(ROUND($B58,0)/9,0)=2,2+IF((ROUND($B58,0)-18)*2&gt;=N$2,1,0),IF(TRUNC(ROUND($B58,0)/9,0)=1,1+IF((ROUND($B58,0)-9)*2&gt;=N$2,1,0),IF(TRUNC(ROUND($B58,0)/9,0)=0,IF(TRUNC(ROUND($B58,0)/9,0)=0,0+IF((ROUND($B58,0))*2&gt;=N$2,1,0),"Not"))))-N$3,"")</f>
        <v/>
      </c>
      <c r="O58" s="138" t="str">
        <f>IFERROR(AVERAGEIFS(Upload_Indiv[Score3],Upload_Indiv[[Player]:[Player]],$A58,Upload_Indiv[[Side]:[Side]],"Raintree Back")-IF(TRUNC(ROUND($B58,0)/9,0)=2,2+IF((ROUND($B58,0)-18)*2&gt;=O$2,1,0),IF(TRUNC(ROUND($B58,0)/9,0)=1,1+IF((ROUND($B58,0)-9)*2&gt;=O$2,1,0),IF(TRUNC(ROUND($B58,0)/9,0)=0,IF(TRUNC(ROUND($B58,0)/9,0)=0,0+IF((ROUND($B58,0))*2&gt;=O$2,1,0),"Not"))))-O$3,"")</f>
        <v/>
      </c>
      <c r="P58" s="138" t="str">
        <f>IFERROR(AVERAGEIFS(Upload_Indiv[Score4],Upload_Indiv[[Player]:[Player]],$A58,Upload_Indiv[[Side]:[Side]],"Raintree Back")-IF(TRUNC(ROUND($B58,0)/9,0)=2,2+IF((ROUND($B58,0)-18)*2&gt;=P$2,1,0),IF(TRUNC(ROUND($B58,0)/9,0)=1,1+IF((ROUND($B58,0)-9)*2&gt;=P$2,1,0),IF(TRUNC(ROUND($B58,0)/9,0)=0,IF(TRUNC(ROUND($B58,0)/9,0)=0,0+IF((ROUND($B58,0))*2&gt;=P$2,1,0),"Not"))))-P$3,"")</f>
        <v/>
      </c>
      <c r="Q58" s="138" t="str">
        <f>IFERROR(AVERAGEIFS(Upload_Indiv[Score5],Upload_Indiv[[Player]:[Player]],$A58,Upload_Indiv[[Side]:[Side]],"Raintree Back")-IF(TRUNC(ROUND($B58,0)/9,0)=2,2+IF((ROUND($B58,0)-18)*2&gt;=Q$2,1,0),IF(TRUNC(ROUND($B58,0)/9,0)=1,1+IF((ROUND($B58,0)-9)*2&gt;=Q$2,1,0),IF(TRUNC(ROUND($B58,0)/9,0)=0,IF(TRUNC(ROUND($B58,0)/9,0)=0,0+IF((ROUND($B58,0))*2&gt;=Q$2,1,0),"Not"))))-Q$3,"")</f>
        <v/>
      </c>
      <c r="R58" s="138" t="str">
        <f>IFERROR(AVERAGEIFS(Upload_Indiv[Score6],Upload_Indiv[[Player]:[Player]],$A58,Upload_Indiv[[Side]:[Side]],"Raintree Back")-IF(TRUNC(ROUND($B58,0)/9,0)=2,2+IF((ROUND($B58,0)-18)*2&gt;=R$2,1,0),IF(TRUNC(ROUND($B58,0)/9,0)=1,1+IF((ROUND($B58,0)-9)*2&gt;=R$2,1,0),IF(TRUNC(ROUND($B58,0)/9,0)=0,IF(TRUNC(ROUND($B58,0)/9,0)=0,0+IF((ROUND($B58,0))*2&gt;=R$2,1,0),"Not"))))-R$3,"")</f>
        <v/>
      </c>
      <c r="S58" s="138" t="str">
        <f>IFERROR(AVERAGEIFS(Upload_Indiv[Score7],Upload_Indiv[[Player]:[Player]],$A58,Upload_Indiv[[Side]:[Side]],"Raintree Back")-IF(TRUNC(ROUND($B58,0)/9,0)=2,2+IF((ROUND($B58,0)-18)*2&gt;=S$2,1,0),IF(TRUNC(ROUND($B58,0)/9,0)=1,1+IF((ROUND($B58,0)-9)*2&gt;=S$2,1,0),IF(TRUNC(ROUND($B58,0)/9,0)=0,IF(TRUNC(ROUND($B58,0)/9,0)=0,0+IF((ROUND($B58,0))*2&gt;=S$2,1,0),"Not"))))-S$3,"")</f>
        <v/>
      </c>
      <c r="T58" s="138" t="str">
        <f>IFERROR(AVERAGEIFS(Upload_Indiv[Score8],Upload_Indiv[[Player]:[Player]],$A58,Upload_Indiv[[Side]:[Side]],"Raintree Back")-IF(TRUNC(ROUND($B58,0)/9,0)=2,2+IF((ROUND($B58,0)-18)*2&gt;=T$2,1,0),IF(TRUNC(ROUND($B58,0)/9,0)=1,1+IF((ROUND($B58,0)-9)*2&gt;=T$2,1,0),IF(TRUNC(ROUND($B58,0)/9,0)=0,IF(TRUNC(ROUND($B58,0)/9,0)=0,0+IF((ROUND($B58,0))*2&gt;=T$2,1,0),"Not"))))-T$3,"")</f>
        <v/>
      </c>
      <c r="U58" s="138" t="str">
        <f>IFERROR(AVERAGEIFS(Upload_Indiv[Score9],Upload_Indiv[[Player]:[Player]],$A58,Upload_Indiv[[Side]:[Side]],"Raintree Back")-IF(TRUNC(ROUND($B58,0)/9,0)=2,2+IF((ROUND($B58,0)-18)*2&gt;=U$2,1,0),IF(TRUNC(ROUND($B58,0)/9,0)=1,1+IF((ROUND($B58,0)-9)*2&gt;=U$2,1,0),IF(TRUNC(ROUND($B58,0)/9,0)=0,IF(TRUNC(ROUND($B58,0)/9,0)=0,0+IF((ROUND($B58,0))*2&gt;=U$2,1,0),"Not"))))-U$3,"")</f>
        <v/>
      </c>
      <c r="V58" s="138">
        <f t="shared" si="1"/>
        <v>0</v>
      </c>
    </row>
    <row r="59" spans="1:22" ht="15" customHeight="1" x14ac:dyDescent="0.25">
      <c r="A59" s="4" t="s">
        <v>495</v>
      </c>
      <c r="B59" s="138">
        <f>IFERROR(AVERAGEIFS(Upload_Indiv[Hdcp],Upload_Indiv[[Player]:[Player]],$A59),"")</f>
        <v>9.52</v>
      </c>
      <c r="C59" s="138" t="str">
        <f>IFERROR(AVERAGEIFS(Upload_Indiv[Score1],Upload_Indiv[[Player]:[Player]],$A59,Upload_Indiv[[Side]:[Side]],"Raintree Front")-IF(TRUNC(ROUND($B59,0)/9,0)=2,2+IF((ROUND($B59,0)-18)*2&gt;=C$2,1,0),IF(TRUNC(ROUND($B59,0)/9,0)=1,1+IF((ROUND($B59,0)-9)*2&gt;=C$2,1,0),IF(TRUNC(ROUND($B59,0)/9,0)=0,IF(TRUNC(ROUND($B59,0)/9,0)=0,0+IF((ROUND($B59,0))*2&gt;=C$2,1,0),"Not"))))-C$3,"")</f>
        <v/>
      </c>
      <c r="D59" s="138" t="str">
        <f>IFERROR(AVERAGEIFS(Upload_Indiv[Score2],Upload_Indiv[[Player]:[Player]],$A59,Upload_Indiv[[Side]:[Side]],"Raintree Front")-IF(TRUNC(ROUND($B59,0)/9,0)=2,2+IF((ROUND($B59,0)-18)*2&gt;=D$2,1,0),IF(TRUNC(ROUND($B59,0)/9,0)=1,1+IF((ROUND($B59,0)-9)*2&gt;=D$2,1,0),IF(TRUNC(ROUND($B59,0)/9,0)=0,IF(TRUNC(ROUND($B59,0)/9,0)=0,0+IF((ROUND($B59,0))*2&gt;=D$2,1,0),"Not"))))-D$3,"")</f>
        <v/>
      </c>
      <c r="E59" s="138" t="str">
        <f>IFERROR(AVERAGEIFS(Upload_Indiv[Score3],Upload_Indiv[[Player]:[Player]],$A59,Upload_Indiv[[Side]:[Side]],"Raintree Front")-IF(TRUNC(ROUND($B59,0)/9,0)=2,2+IF((ROUND($B59,0)-18)*2&gt;=E$2,1,0),IF(TRUNC(ROUND($B59,0)/9,0)=1,1+IF((ROUND($B59,0)-9)*2&gt;=E$2,1,0),IF(TRUNC(ROUND($B59,0)/9,0)=0,IF(TRUNC(ROUND($B59,0)/9,0)=0,0+IF((ROUND($B59,0))*2&gt;=E$2,1,0),"Not"))))-E$3,"")</f>
        <v/>
      </c>
      <c r="F59" s="138" t="str">
        <f>IFERROR(AVERAGEIFS(Upload_Indiv[Score4],Upload_Indiv[[Player]:[Player]],$A59,Upload_Indiv[[Side]:[Side]],"Raintree Front")-IF(TRUNC(ROUND($B59,0)/9,0)=2,2+IF((ROUND($B59,0)-18)*2&gt;=F$2,1,0),IF(TRUNC(ROUND($B59,0)/9,0)=1,1+IF((ROUND($B59,0)-9)*2&gt;=F$2,1,0),IF(TRUNC(ROUND($B59,0)/9,0)=0,IF(TRUNC(ROUND($B59,0)/9,0)=0,0+IF((ROUND($B59,0))*2&gt;=F$2,1,0),"Not"))))-F$3,"")</f>
        <v/>
      </c>
      <c r="G59" s="138" t="str">
        <f>IFERROR(AVERAGEIFS(Upload_Indiv[Score5],Upload_Indiv[[Player]:[Player]],$A59,Upload_Indiv[[Side]:[Side]],"Raintree Front")-IF(TRUNC(ROUND($B59,0)/9,0)=2,2+IF((ROUND($B59,0)-18)*2&gt;=G$2,1,0),IF(TRUNC(ROUND($B59,0)/9,0)=1,1+IF((ROUND($B59,0)-9)*2&gt;=G$2,1,0),IF(TRUNC(ROUND($B59,0)/9,0)=0,IF(TRUNC(ROUND($B59,0)/9,0)=0,0+IF((ROUND($B59,0))*2&gt;=G$2,1,0),"Not"))))-G$3,"")</f>
        <v/>
      </c>
      <c r="H59" s="138" t="str">
        <f>IFERROR(AVERAGEIFS(Upload_Indiv[Score6],Upload_Indiv[[Player]:[Player]],$A59,Upload_Indiv[[Side]:[Side]],"Raintree Front")-IF(TRUNC(ROUND($B59,0)/9,0)=2,2+IF((ROUND($B59,0)-18)*2&gt;=H$2,1,0),IF(TRUNC(ROUND($B59,0)/9,0)=1,1+IF((ROUND($B59,0)-9)*2&gt;=H$2,1,0),IF(TRUNC(ROUND($B59,0)/9,0)=0,IF(TRUNC(ROUND($B59,0)/9,0)=0,0+IF((ROUND($B59,0))*2&gt;=H$2,1,0),"Not"))))-H$3,"")</f>
        <v/>
      </c>
      <c r="I59" s="138" t="str">
        <f>IFERROR(AVERAGEIFS(Upload_Indiv[Score7],Upload_Indiv[[Player]:[Player]],$A59,Upload_Indiv[[Side]:[Side]],"Raintree Front")-IF(TRUNC(ROUND($B59,0)/9,0)=2,2+IF((ROUND($B59,0)-18)*2&gt;=I$2,1,0),IF(TRUNC(ROUND($B59,0)/9,0)=1,1+IF((ROUND($B59,0)-9)*2&gt;=I$2,1,0),IF(TRUNC(ROUND($B59,0)/9,0)=0,IF(TRUNC(ROUND($B59,0)/9,0)=0,0+IF((ROUND($B59,0))*2&gt;=I$2,1,0),"Not"))))-I$3,"")</f>
        <v/>
      </c>
      <c r="J59" s="138" t="str">
        <f>IFERROR(AVERAGEIFS(Upload_Indiv[Score8],Upload_Indiv[[Player]:[Player]],$A59,Upload_Indiv[[Side]:[Side]],"Raintree Front")-IF(TRUNC(ROUND($B59,0)/9,0)=2,2+IF((ROUND($B59,0)-18)*2&gt;=J$2,1,0),IF(TRUNC(ROUND($B59,0)/9,0)=1,1+IF((ROUND($B59,0)-9)*2&gt;=J$2,1,0),IF(TRUNC(ROUND($B59,0)/9,0)=0,IF(TRUNC(ROUND($B59,0)/9,0)=0,0+IF((ROUND($B59,0))*2&gt;=J$2,1,0),"Not"))))-J$3,"")</f>
        <v/>
      </c>
      <c r="K59" s="138" t="str">
        <f>IFERROR(AVERAGEIFS(Upload_Indiv[Score9],Upload_Indiv[[Player]:[Player]],$A59,Upload_Indiv[[Side]:[Side]],"Raintree Front")-IF(TRUNC(ROUND($B59,0)/9,0)=2,2+IF((ROUND($B59,0)-18)*2&gt;=K$2,1,0),IF(TRUNC(ROUND($B59,0)/9,0)=1,1+IF((ROUND($B59,0)-9)*2&gt;=K$2,1,0),IF(TRUNC(ROUND($B59,0)/9,0)=0,IF(TRUNC(ROUND($B59,0)/9,0)=0,0+IF((ROUND($B59,0))*2&gt;=K$2,1,0),"Not"))))-K$3,"")</f>
        <v/>
      </c>
      <c r="L59" s="138">
        <f t="shared" si="0"/>
        <v>0</v>
      </c>
      <c r="M59" s="138">
        <f>IFERROR(AVERAGEIFS(Upload_Indiv[Score1],Upload_Indiv[[Player]:[Player]],$A59,Upload_Indiv[[Side]:[Side]],"Raintree Back")-IF(TRUNC(ROUND($B59,0)/9,0)=2,2+IF((ROUND($B59,0)-18)*2&gt;=M$2,1,0),IF(TRUNC(ROUND($B59,0)/9,0)=1,1+IF((ROUND($B59,0)-9)*2&gt;=M$2,1,0),IF(TRUNC(ROUND($B59,0)/9,0)=0,IF(TRUNC(ROUND($B59,0)/9,0)=0,0+IF((ROUND($B59,0))*2&gt;=M$2,1,0),"Not"))))-M$3,"")</f>
        <v>1</v>
      </c>
      <c r="N59" s="138">
        <f>IFERROR(AVERAGEIFS(Upload_Indiv[Score2],Upload_Indiv[[Player]:[Player]],$A59,Upload_Indiv[[Side]:[Side]],"Raintree Back")-IF(TRUNC(ROUND($B59,0)/9,0)=2,2+IF((ROUND($B59,0)-18)*2&gt;=N$2,1,0),IF(TRUNC(ROUND($B59,0)/9,0)=1,1+IF((ROUND($B59,0)-9)*2&gt;=N$2,1,0),IF(TRUNC(ROUND($B59,0)/9,0)=0,IF(TRUNC(ROUND($B59,0)/9,0)=0,0+IF((ROUND($B59,0))*2&gt;=N$2,1,0),"Not"))))-N$3,"")</f>
        <v>1</v>
      </c>
      <c r="O59" s="138">
        <f>IFERROR(AVERAGEIFS(Upload_Indiv[Score3],Upload_Indiv[[Player]:[Player]],$A59,Upload_Indiv[[Side]:[Side]],"Raintree Back")-IF(TRUNC(ROUND($B59,0)/9,0)=2,2+IF((ROUND($B59,0)-18)*2&gt;=O$2,1,0),IF(TRUNC(ROUND($B59,0)/9,0)=1,1+IF((ROUND($B59,0)-9)*2&gt;=O$2,1,0),IF(TRUNC(ROUND($B59,0)/9,0)=0,IF(TRUNC(ROUND($B59,0)/9,0)=0,0+IF((ROUND($B59,0))*2&gt;=O$2,1,0),"Not"))))-O$3,"")</f>
        <v>0</v>
      </c>
      <c r="P59" s="138">
        <f>IFERROR(AVERAGEIFS(Upload_Indiv[Score4],Upload_Indiv[[Player]:[Player]],$A59,Upload_Indiv[[Side]:[Side]],"Raintree Back")-IF(TRUNC(ROUND($B59,0)/9,0)=2,2+IF((ROUND($B59,0)-18)*2&gt;=P$2,1,0),IF(TRUNC(ROUND($B59,0)/9,0)=1,1+IF((ROUND($B59,0)-9)*2&gt;=P$2,1,0),IF(TRUNC(ROUND($B59,0)/9,0)=0,IF(TRUNC(ROUND($B59,0)/9,0)=0,0+IF((ROUND($B59,0))*2&gt;=P$2,1,0),"Not"))))-P$3,"")</f>
        <v>0</v>
      </c>
      <c r="Q59" s="138">
        <f>IFERROR(AVERAGEIFS(Upload_Indiv[Score5],Upload_Indiv[[Player]:[Player]],$A59,Upload_Indiv[[Side]:[Side]],"Raintree Back")-IF(TRUNC(ROUND($B59,0)/9,0)=2,2+IF((ROUND($B59,0)-18)*2&gt;=Q$2,1,0),IF(TRUNC(ROUND($B59,0)/9,0)=1,1+IF((ROUND($B59,0)-9)*2&gt;=Q$2,1,0),IF(TRUNC(ROUND($B59,0)/9,0)=0,IF(TRUNC(ROUND($B59,0)/9,0)=0,0+IF((ROUND($B59,0))*2&gt;=Q$2,1,0),"Not"))))-Q$3,"")</f>
        <v>0</v>
      </c>
      <c r="R59" s="138">
        <f>IFERROR(AVERAGEIFS(Upload_Indiv[Score6],Upload_Indiv[[Player]:[Player]],$A59,Upload_Indiv[[Side]:[Side]],"Raintree Back")-IF(TRUNC(ROUND($B59,0)/9,0)=2,2+IF((ROUND($B59,0)-18)*2&gt;=R$2,1,0),IF(TRUNC(ROUND($B59,0)/9,0)=1,1+IF((ROUND($B59,0)-9)*2&gt;=R$2,1,0),IF(TRUNC(ROUND($B59,0)/9,0)=0,IF(TRUNC(ROUND($B59,0)/9,0)=0,0+IF((ROUND($B59,0))*2&gt;=R$2,1,0),"Not"))))-R$3,"")</f>
        <v>1</v>
      </c>
      <c r="S59" s="138">
        <f>IFERROR(AVERAGEIFS(Upload_Indiv[Score7],Upload_Indiv[[Player]:[Player]],$A59,Upload_Indiv[[Side]:[Side]],"Raintree Back")-IF(TRUNC(ROUND($B59,0)/9,0)=2,2+IF((ROUND($B59,0)-18)*2&gt;=S$2,1,0),IF(TRUNC(ROUND($B59,0)/9,0)=1,1+IF((ROUND($B59,0)-9)*2&gt;=S$2,1,0),IF(TRUNC(ROUND($B59,0)/9,0)=0,IF(TRUNC(ROUND($B59,0)/9,0)=0,0+IF((ROUND($B59,0))*2&gt;=S$2,1,0),"Not"))))-S$3,"")</f>
        <v>0</v>
      </c>
      <c r="T59" s="138">
        <f>IFERROR(AVERAGEIFS(Upload_Indiv[Score8],Upload_Indiv[[Player]:[Player]],$A59,Upload_Indiv[[Side]:[Side]],"Raintree Back")-IF(TRUNC(ROUND($B59,0)/9,0)=2,2+IF((ROUND($B59,0)-18)*2&gt;=T$2,1,0),IF(TRUNC(ROUND($B59,0)/9,0)=1,1+IF((ROUND($B59,0)-9)*2&gt;=T$2,1,0),IF(TRUNC(ROUND($B59,0)/9,0)=0,IF(TRUNC(ROUND($B59,0)/9,0)=0,0+IF((ROUND($B59,0))*2&gt;=T$2,1,0),"Not"))))-T$3,"")</f>
        <v>-2</v>
      </c>
      <c r="U59" s="138">
        <f>IFERROR(AVERAGEIFS(Upload_Indiv[Score9],Upload_Indiv[[Player]:[Player]],$A59,Upload_Indiv[[Side]:[Side]],"Raintree Back")-IF(TRUNC(ROUND($B59,0)/9,0)=2,2+IF((ROUND($B59,0)-18)*2&gt;=U$2,1,0),IF(TRUNC(ROUND($B59,0)/9,0)=1,1+IF((ROUND($B59,0)-9)*2&gt;=U$2,1,0),IF(TRUNC(ROUND($B59,0)/9,0)=0,IF(TRUNC(ROUND($B59,0)/9,0)=0,0+IF((ROUND($B59,0))*2&gt;=U$2,1,0),"Not"))))-U$3,"")</f>
        <v>1</v>
      </c>
      <c r="V59" s="138">
        <f t="shared" si="1"/>
        <v>2</v>
      </c>
    </row>
    <row r="60" spans="1:22" ht="15" customHeight="1" x14ac:dyDescent="0.25">
      <c r="A60" s="4" t="s">
        <v>271</v>
      </c>
      <c r="B60" s="138">
        <f>IFERROR(AVERAGEIFS(Upload_Indiv[Hdcp],Upload_Indiv[[Player]:[Player]],$A60),"")</f>
        <v>0</v>
      </c>
      <c r="C60" s="138" t="str">
        <f>IFERROR(AVERAGEIFS(Upload_Indiv[Score1],Upload_Indiv[[Player]:[Player]],$A60,Upload_Indiv[[Side]:[Side]],"Raintree Front")-IF(TRUNC(ROUND($B60,0)/9,0)=2,2+IF((ROUND($B60,0)-18)*2&gt;=C$2,1,0),IF(TRUNC(ROUND($B60,0)/9,0)=1,1+IF((ROUND($B60,0)-9)*2&gt;=C$2,1,0),IF(TRUNC(ROUND($B60,0)/9,0)=0,IF(TRUNC(ROUND($B60,0)/9,0)=0,0+IF((ROUND($B60,0))*2&gt;=C$2,1,0),"Not"))))-C$3,"")</f>
        <v/>
      </c>
      <c r="D60" s="138" t="str">
        <f>IFERROR(AVERAGEIFS(Upload_Indiv[Score2],Upload_Indiv[[Player]:[Player]],$A60,Upload_Indiv[[Side]:[Side]],"Raintree Front")-IF(TRUNC(ROUND($B60,0)/9,0)=2,2+IF((ROUND($B60,0)-18)*2&gt;=D$2,1,0),IF(TRUNC(ROUND($B60,0)/9,0)=1,1+IF((ROUND($B60,0)-9)*2&gt;=D$2,1,0),IF(TRUNC(ROUND($B60,0)/9,0)=0,IF(TRUNC(ROUND($B60,0)/9,0)=0,0+IF((ROUND($B60,0))*2&gt;=D$2,1,0),"Not"))))-D$3,"")</f>
        <v/>
      </c>
      <c r="E60" s="138" t="str">
        <f>IFERROR(AVERAGEIFS(Upload_Indiv[Score3],Upload_Indiv[[Player]:[Player]],$A60,Upload_Indiv[[Side]:[Side]],"Raintree Front")-IF(TRUNC(ROUND($B60,0)/9,0)=2,2+IF((ROUND($B60,0)-18)*2&gt;=E$2,1,0),IF(TRUNC(ROUND($B60,0)/9,0)=1,1+IF((ROUND($B60,0)-9)*2&gt;=E$2,1,0),IF(TRUNC(ROUND($B60,0)/9,0)=0,IF(TRUNC(ROUND($B60,0)/9,0)=0,0+IF((ROUND($B60,0))*2&gt;=E$2,1,0),"Not"))))-E$3,"")</f>
        <v/>
      </c>
      <c r="F60" s="138" t="str">
        <f>IFERROR(AVERAGEIFS(Upload_Indiv[Score4],Upload_Indiv[[Player]:[Player]],$A60,Upload_Indiv[[Side]:[Side]],"Raintree Front")-IF(TRUNC(ROUND($B60,0)/9,0)=2,2+IF((ROUND($B60,0)-18)*2&gt;=F$2,1,0),IF(TRUNC(ROUND($B60,0)/9,0)=1,1+IF((ROUND($B60,0)-9)*2&gt;=F$2,1,0),IF(TRUNC(ROUND($B60,0)/9,0)=0,IF(TRUNC(ROUND($B60,0)/9,0)=0,0+IF((ROUND($B60,0))*2&gt;=F$2,1,0),"Not"))))-F$3,"")</f>
        <v/>
      </c>
      <c r="G60" s="138" t="str">
        <f>IFERROR(AVERAGEIFS(Upload_Indiv[Score5],Upload_Indiv[[Player]:[Player]],$A60,Upload_Indiv[[Side]:[Side]],"Raintree Front")-IF(TRUNC(ROUND($B60,0)/9,0)=2,2+IF((ROUND($B60,0)-18)*2&gt;=G$2,1,0),IF(TRUNC(ROUND($B60,0)/9,0)=1,1+IF((ROUND($B60,0)-9)*2&gt;=G$2,1,0),IF(TRUNC(ROUND($B60,0)/9,0)=0,IF(TRUNC(ROUND($B60,0)/9,0)=0,0+IF((ROUND($B60,0))*2&gt;=G$2,1,0),"Not"))))-G$3,"")</f>
        <v/>
      </c>
      <c r="H60" s="138" t="str">
        <f>IFERROR(AVERAGEIFS(Upload_Indiv[Score6],Upload_Indiv[[Player]:[Player]],$A60,Upload_Indiv[[Side]:[Side]],"Raintree Front")-IF(TRUNC(ROUND($B60,0)/9,0)=2,2+IF((ROUND($B60,0)-18)*2&gt;=H$2,1,0),IF(TRUNC(ROUND($B60,0)/9,0)=1,1+IF((ROUND($B60,0)-9)*2&gt;=H$2,1,0),IF(TRUNC(ROUND($B60,0)/9,0)=0,IF(TRUNC(ROUND($B60,0)/9,0)=0,0+IF((ROUND($B60,0))*2&gt;=H$2,1,0),"Not"))))-H$3,"")</f>
        <v/>
      </c>
      <c r="I60" s="138" t="str">
        <f>IFERROR(AVERAGEIFS(Upload_Indiv[Score7],Upload_Indiv[[Player]:[Player]],$A60,Upload_Indiv[[Side]:[Side]],"Raintree Front")-IF(TRUNC(ROUND($B60,0)/9,0)=2,2+IF((ROUND($B60,0)-18)*2&gt;=I$2,1,0),IF(TRUNC(ROUND($B60,0)/9,0)=1,1+IF((ROUND($B60,0)-9)*2&gt;=I$2,1,0),IF(TRUNC(ROUND($B60,0)/9,0)=0,IF(TRUNC(ROUND($B60,0)/9,0)=0,0+IF((ROUND($B60,0))*2&gt;=I$2,1,0),"Not"))))-I$3,"")</f>
        <v/>
      </c>
      <c r="J60" s="138" t="str">
        <f>IFERROR(AVERAGEIFS(Upload_Indiv[Score8],Upload_Indiv[[Player]:[Player]],$A60,Upload_Indiv[[Side]:[Side]],"Raintree Front")-IF(TRUNC(ROUND($B60,0)/9,0)=2,2+IF((ROUND($B60,0)-18)*2&gt;=J$2,1,0),IF(TRUNC(ROUND($B60,0)/9,0)=1,1+IF((ROUND($B60,0)-9)*2&gt;=J$2,1,0),IF(TRUNC(ROUND($B60,0)/9,0)=0,IF(TRUNC(ROUND($B60,0)/9,0)=0,0+IF((ROUND($B60,0))*2&gt;=J$2,1,0),"Not"))))-J$3,"")</f>
        <v/>
      </c>
      <c r="K60" s="138" t="str">
        <f>IFERROR(AVERAGEIFS(Upload_Indiv[Score9],Upload_Indiv[[Player]:[Player]],$A60,Upload_Indiv[[Side]:[Side]],"Raintree Front")-IF(TRUNC(ROUND($B60,0)/9,0)=2,2+IF((ROUND($B60,0)-18)*2&gt;=K$2,1,0),IF(TRUNC(ROUND($B60,0)/9,0)=1,1+IF((ROUND($B60,0)-9)*2&gt;=K$2,1,0),IF(TRUNC(ROUND($B60,0)/9,0)=0,IF(TRUNC(ROUND($B60,0)/9,0)=0,0+IF((ROUND($B60,0))*2&gt;=K$2,1,0),"Not"))))-K$3,"")</f>
        <v/>
      </c>
      <c r="L60" s="138">
        <f t="shared" si="0"/>
        <v>0</v>
      </c>
      <c r="M60" s="138">
        <f>IFERROR(AVERAGEIFS(Upload_Indiv[Score1],Upload_Indiv[[Player]:[Player]],$A60,Upload_Indiv[[Side]:[Side]],"Raintree Back")-IF(TRUNC(ROUND($B60,0)/9,0)=2,2+IF((ROUND($B60,0)-18)*2&gt;=M$2,1,0),IF(TRUNC(ROUND($B60,0)/9,0)=1,1+IF((ROUND($B60,0)-9)*2&gt;=M$2,1,0),IF(TRUNC(ROUND($B60,0)/9,0)=0,IF(TRUNC(ROUND($B60,0)/9,0)=0,0+IF((ROUND($B60,0))*2&gt;=M$2,1,0),"Not"))))-M$3,"")</f>
        <v>0</v>
      </c>
      <c r="N60" s="138">
        <f>IFERROR(AVERAGEIFS(Upload_Indiv[Score2],Upload_Indiv[[Player]:[Player]],$A60,Upload_Indiv[[Side]:[Side]],"Raintree Back")-IF(TRUNC(ROUND($B60,0)/9,0)=2,2+IF((ROUND($B60,0)-18)*2&gt;=N$2,1,0),IF(TRUNC(ROUND($B60,0)/9,0)=1,1+IF((ROUND($B60,0)-9)*2&gt;=N$2,1,0),IF(TRUNC(ROUND($B60,0)/9,0)=0,IF(TRUNC(ROUND($B60,0)/9,0)=0,0+IF((ROUND($B60,0))*2&gt;=N$2,1,0),"Not"))))-N$3,"")</f>
        <v>0</v>
      </c>
      <c r="O60" s="138">
        <f>IFERROR(AVERAGEIFS(Upload_Indiv[Score3],Upload_Indiv[[Player]:[Player]],$A60,Upload_Indiv[[Side]:[Side]],"Raintree Back")-IF(TRUNC(ROUND($B60,0)/9,0)=2,2+IF((ROUND($B60,0)-18)*2&gt;=O$2,1,0),IF(TRUNC(ROUND($B60,0)/9,0)=1,1+IF((ROUND($B60,0)-9)*2&gt;=O$2,1,0),IF(TRUNC(ROUND($B60,0)/9,0)=0,IF(TRUNC(ROUND($B60,0)/9,0)=0,0+IF((ROUND($B60,0))*2&gt;=O$2,1,0),"Not"))))-O$3,"")</f>
        <v>0</v>
      </c>
      <c r="P60" s="138">
        <f>IFERROR(AVERAGEIFS(Upload_Indiv[Score4],Upload_Indiv[[Player]:[Player]],$A60,Upload_Indiv[[Side]:[Side]],"Raintree Back")-IF(TRUNC(ROUND($B60,0)/9,0)=2,2+IF((ROUND($B60,0)-18)*2&gt;=P$2,1,0),IF(TRUNC(ROUND($B60,0)/9,0)=1,1+IF((ROUND($B60,0)-9)*2&gt;=P$2,1,0),IF(TRUNC(ROUND($B60,0)/9,0)=0,IF(TRUNC(ROUND($B60,0)/9,0)=0,0+IF((ROUND($B60,0))*2&gt;=P$2,1,0),"Not"))))-P$3,"")</f>
        <v>1</v>
      </c>
      <c r="Q60" s="138">
        <f>IFERROR(AVERAGEIFS(Upload_Indiv[Score5],Upload_Indiv[[Player]:[Player]],$A60,Upload_Indiv[[Side]:[Side]],"Raintree Back")-IF(TRUNC(ROUND($B60,0)/9,0)=2,2+IF((ROUND($B60,0)-18)*2&gt;=Q$2,1,0),IF(TRUNC(ROUND($B60,0)/9,0)=1,1+IF((ROUND($B60,0)-9)*2&gt;=Q$2,1,0),IF(TRUNC(ROUND($B60,0)/9,0)=0,IF(TRUNC(ROUND($B60,0)/9,0)=0,0+IF((ROUND($B60,0))*2&gt;=Q$2,1,0),"Not"))))-Q$3,"")</f>
        <v>1</v>
      </c>
      <c r="R60" s="138">
        <f>IFERROR(AVERAGEIFS(Upload_Indiv[Score6],Upload_Indiv[[Player]:[Player]],$A60,Upload_Indiv[[Side]:[Side]],"Raintree Back")-IF(TRUNC(ROUND($B60,0)/9,0)=2,2+IF((ROUND($B60,0)-18)*2&gt;=R$2,1,0),IF(TRUNC(ROUND($B60,0)/9,0)=1,1+IF((ROUND($B60,0)-9)*2&gt;=R$2,1,0),IF(TRUNC(ROUND($B60,0)/9,0)=0,IF(TRUNC(ROUND($B60,0)/9,0)=0,0+IF((ROUND($B60,0))*2&gt;=R$2,1,0),"Not"))))-R$3,"")</f>
        <v>0</v>
      </c>
      <c r="S60" s="138">
        <f>IFERROR(AVERAGEIFS(Upload_Indiv[Score7],Upload_Indiv[[Player]:[Player]],$A60,Upload_Indiv[[Side]:[Side]],"Raintree Back")-IF(TRUNC(ROUND($B60,0)/9,0)=2,2+IF((ROUND($B60,0)-18)*2&gt;=S$2,1,0),IF(TRUNC(ROUND($B60,0)/9,0)=1,1+IF((ROUND($B60,0)-9)*2&gt;=S$2,1,0),IF(TRUNC(ROUND($B60,0)/9,0)=0,IF(TRUNC(ROUND($B60,0)/9,0)=0,0+IF((ROUND($B60,0))*2&gt;=S$2,1,0),"Not"))))-S$3,"")</f>
        <v>0</v>
      </c>
      <c r="T60" s="138">
        <f>IFERROR(AVERAGEIFS(Upload_Indiv[Score8],Upload_Indiv[[Player]:[Player]],$A60,Upload_Indiv[[Side]:[Side]],"Raintree Back")-IF(TRUNC(ROUND($B60,0)/9,0)=2,2+IF((ROUND($B60,0)-18)*2&gt;=T$2,1,0),IF(TRUNC(ROUND($B60,0)/9,0)=1,1+IF((ROUND($B60,0)-9)*2&gt;=T$2,1,0),IF(TRUNC(ROUND($B60,0)/9,0)=0,IF(TRUNC(ROUND($B60,0)/9,0)=0,0+IF((ROUND($B60,0))*2&gt;=T$2,1,0),"Not"))))-T$3,"")</f>
        <v>1</v>
      </c>
      <c r="U60" s="138">
        <f>IFERROR(AVERAGEIFS(Upload_Indiv[Score9],Upload_Indiv[[Player]:[Player]],$A60,Upload_Indiv[[Side]:[Side]],"Raintree Back")-IF(TRUNC(ROUND($B60,0)/9,0)=2,2+IF((ROUND($B60,0)-18)*2&gt;=U$2,1,0),IF(TRUNC(ROUND($B60,0)/9,0)=1,1+IF((ROUND($B60,0)-9)*2&gt;=U$2,1,0),IF(TRUNC(ROUND($B60,0)/9,0)=0,IF(TRUNC(ROUND($B60,0)/9,0)=0,0+IF((ROUND($B60,0))*2&gt;=U$2,1,0),"Not"))))-U$3,"")</f>
        <v>1</v>
      </c>
      <c r="V60" s="138">
        <f t="shared" si="1"/>
        <v>4</v>
      </c>
    </row>
    <row r="61" spans="1:22" x14ac:dyDescent="0.25">
      <c r="A61" s="4" t="s">
        <v>513</v>
      </c>
    </row>
    <row r="62" spans="1:22" x14ac:dyDescent="0.25">
      <c r="A62" s="4" t="s">
        <v>30</v>
      </c>
    </row>
    <row r="63" spans="1:22" x14ac:dyDescent="0.25">
      <c r="A63" s="4" t="s">
        <v>528</v>
      </c>
    </row>
    <row r="64" spans="1:22" x14ac:dyDescent="0.25">
      <c r="A64" s="4" t="s">
        <v>306</v>
      </c>
    </row>
    <row r="65" spans="1:1" x14ac:dyDescent="0.25">
      <c r="A65" s="4" t="s">
        <v>304</v>
      </c>
    </row>
    <row r="66" spans="1:1" x14ac:dyDescent="0.25">
      <c r="A66" s="4" t="s">
        <v>103</v>
      </c>
    </row>
  </sheetData>
  <mergeCells count="22">
    <mergeCell ref="H4:H5"/>
    <mergeCell ref="C4:C5"/>
    <mergeCell ref="D4:D5"/>
    <mergeCell ref="E4:E5"/>
    <mergeCell ref="F4:F5"/>
    <mergeCell ref="G4:G5"/>
    <mergeCell ref="U4:U5"/>
    <mergeCell ref="V4:V5"/>
    <mergeCell ref="C1:K1"/>
    <mergeCell ref="M1:U1"/>
    <mergeCell ref="O4:O5"/>
    <mergeCell ref="P4:P5"/>
    <mergeCell ref="Q4:Q5"/>
    <mergeCell ref="R4:R5"/>
    <mergeCell ref="S4:S5"/>
    <mergeCell ref="T4:T5"/>
    <mergeCell ref="I4:I5"/>
    <mergeCell ref="J4:J5"/>
    <mergeCell ref="K4:K5"/>
    <mergeCell ref="L4:L5"/>
    <mergeCell ref="M4:M5"/>
    <mergeCell ref="N4:N5"/>
  </mergeCells>
  <conditionalFormatting sqref="C6:K6">
    <cfRule type="cellIs" dxfId="247" priority="9" operator="lessThan">
      <formula>0</formula>
    </cfRule>
    <cfRule type="cellIs" dxfId="246" priority="10" operator="greaterThan">
      <formula>0</formula>
    </cfRule>
  </conditionalFormatting>
  <conditionalFormatting sqref="L6">
    <cfRule type="cellIs" dxfId="245" priority="7" operator="lessThan">
      <formula>0</formula>
    </cfRule>
    <cfRule type="cellIs" dxfId="244" priority="8" operator="greaterThan">
      <formula>0</formula>
    </cfRule>
  </conditionalFormatting>
  <conditionalFormatting sqref="M6:U6">
    <cfRule type="cellIs" dxfId="243" priority="5" operator="lessThan">
      <formula>0</formula>
    </cfRule>
    <cfRule type="cellIs" dxfId="242" priority="6" operator="greaterThan">
      <formula>0</formula>
    </cfRule>
  </conditionalFormatting>
  <conditionalFormatting sqref="V6">
    <cfRule type="cellIs" dxfId="241" priority="3" operator="lessThan">
      <formula>0</formula>
    </cfRule>
    <cfRule type="cellIs" dxfId="240" priority="4" operator="greaterThan">
      <formula>0</formula>
    </cfRule>
  </conditionalFormatting>
  <conditionalFormatting sqref="C8:V60">
    <cfRule type="cellIs" dxfId="239" priority="1" operator="lessThan">
      <formula>0</formula>
    </cfRule>
    <cfRule type="cellIs" dxfId="238" priority="2" operator="greaterThan">
      <formula>0</formula>
    </cfRule>
  </conditionalFormatting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234AE-3A71-4286-BB18-C9D326DA3ACB}">
  <sheetPr codeName="Sheet28"/>
  <dimension ref="A1:BJ67"/>
  <sheetViews>
    <sheetView workbookViewId="0"/>
  </sheetViews>
  <sheetFormatPr defaultRowHeight="13.2" x14ac:dyDescent="0.25"/>
  <cols>
    <col min="1" max="1" width="27.21875" bestFit="1" customWidth="1"/>
    <col min="2" max="2" width="10.77734375" customWidth="1"/>
    <col min="3" max="3" width="6.5546875" customWidth="1"/>
    <col min="4" max="4" width="7.5546875" customWidth="1"/>
    <col min="5" max="5" width="9.5546875" customWidth="1"/>
    <col min="6" max="6" width="6.5546875" customWidth="1"/>
    <col min="7" max="7" width="7.5546875" customWidth="1"/>
    <col min="8" max="8" width="9.5546875" customWidth="1"/>
    <col min="9" max="9" width="6.5546875" customWidth="1"/>
    <col min="10" max="10" width="7.5546875" customWidth="1"/>
    <col min="11" max="11" width="9.5546875" customWidth="1"/>
    <col min="12" max="12" width="6.5546875" customWidth="1"/>
    <col min="13" max="13" width="7.5546875" customWidth="1"/>
    <col min="14" max="14" width="9.5546875" customWidth="1"/>
    <col min="15" max="15" width="6.5546875" customWidth="1"/>
    <col min="16" max="16" width="7.5546875" customWidth="1"/>
    <col min="17" max="17" width="9.5546875" customWidth="1"/>
    <col min="18" max="18" width="6.5546875" customWidth="1"/>
    <col min="19" max="19" width="7.5546875" customWidth="1"/>
    <col min="20" max="20" width="9.5546875" customWidth="1"/>
    <col min="21" max="21" width="6.5546875" customWidth="1"/>
    <col min="22" max="22" width="7.5546875" customWidth="1"/>
    <col min="23" max="23" width="9.5546875" customWidth="1"/>
    <col min="24" max="24" width="6.5546875" customWidth="1"/>
    <col min="25" max="25" width="7.5546875" customWidth="1"/>
    <col min="26" max="26" width="9.5546875" customWidth="1"/>
    <col min="27" max="27" width="6.5546875" customWidth="1"/>
    <col min="28" max="28" width="7.5546875" customWidth="1"/>
    <col min="29" max="29" width="9.5546875" customWidth="1"/>
    <col min="30" max="30" width="6.5546875" customWidth="1"/>
    <col min="31" max="31" width="7.5546875" customWidth="1"/>
    <col min="32" max="32" width="9.5546875" customWidth="1"/>
    <col min="33" max="33" width="6.5546875" customWidth="1"/>
    <col min="34" max="34" width="7.5546875" customWidth="1"/>
    <col min="35" max="35" width="9.5546875" customWidth="1"/>
    <col min="36" max="36" width="6.5546875" customWidth="1"/>
    <col min="37" max="37" width="7.5546875" customWidth="1"/>
    <col min="38" max="38" width="9.5546875" customWidth="1"/>
    <col min="39" max="39" width="6.5546875" customWidth="1"/>
    <col min="40" max="40" width="7.5546875" customWidth="1"/>
    <col min="41" max="41" width="9.5546875" customWidth="1"/>
    <col min="42" max="42" width="6.5546875" customWidth="1"/>
    <col min="43" max="43" width="7.5546875" customWidth="1"/>
    <col min="44" max="44" width="9.5546875" customWidth="1"/>
    <col min="45" max="45" width="6.5546875" customWidth="1"/>
    <col min="46" max="46" width="7.5546875" customWidth="1"/>
    <col min="47" max="47" width="9.5546875" customWidth="1"/>
    <col min="48" max="48" width="6.5546875" customWidth="1"/>
    <col min="49" max="49" width="7.5546875" customWidth="1"/>
    <col min="50" max="50" width="9.5546875" customWidth="1"/>
    <col min="51" max="51" width="6.5546875" customWidth="1"/>
    <col min="52" max="52" width="7.5546875" customWidth="1"/>
    <col min="53" max="53" width="9.5546875" customWidth="1"/>
    <col min="54" max="54" width="6.5546875" customWidth="1"/>
    <col min="55" max="55" width="7.5546875" customWidth="1"/>
    <col min="56" max="56" width="9.5546875" customWidth="1"/>
    <col min="57" max="57" width="6.5546875" customWidth="1"/>
    <col min="58" max="58" width="7.5546875" customWidth="1"/>
    <col min="59" max="59" width="9.5546875" customWidth="1"/>
    <col min="60" max="60" width="6.5546875" customWidth="1"/>
    <col min="61" max="61" width="7.5546875" customWidth="1"/>
    <col min="62" max="62" width="9.5546875" customWidth="1"/>
    <col min="63" max="63" width="7.5546875" customWidth="1"/>
    <col min="64" max="64" width="9.5546875" customWidth="1"/>
  </cols>
  <sheetData>
    <row r="1" spans="1:62" ht="15" customHeight="1" x14ac:dyDescent="0.25">
      <c r="A1" s="123"/>
      <c r="B1" s="160"/>
      <c r="C1" s="232" t="s">
        <v>408</v>
      </c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3" t="s">
        <v>406</v>
      </c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T1" s="233"/>
      <c r="AU1" s="233"/>
      <c r="AV1" s="233"/>
      <c r="AW1" s="233"/>
      <c r="AX1" s="233"/>
      <c r="AY1" s="233"/>
      <c r="AZ1" s="233"/>
      <c r="BA1" s="233"/>
      <c r="BB1" s="233"/>
      <c r="BC1" s="233"/>
      <c r="BD1" s="233"/>
      <c r="BE1" s="233"/>
      <c r="BF1" s="233"/>
      <c r="BG1" s="233"/>
      <c r="BH1" s="233"/>
      <c r="BI1" s="233"/>
      <c r="BJ1" s="233"/>
    </row>
    <row r="2" spans="1:62" s="178" customFormat="1" ht="15" customHeight="1" x14ac:dyDescent="0.3">
      <c r="A2" s="176"/>
      <c r="B2" s="177" t="s">
        <v>96</v>
      </c>
      <c r="C2" s="234">
        <v>1</v>
      </c>
      <c r="D2" s="234"/>
      <c r="E2" s="234"/>
      <c r="F2" s="235">
        <v>2</v>
      </c>
      <c r="G2" s="235"/>
      <c r="H2" s="235"/>
      <c r="I2" s="234">
        <v>3</v>
      </c>
      <c r="J2" s="234"/>
      <c r="K2" s="234"/>
      <c r="L2" s="235">
        <v>4</v>
      </c>
      <c r="M2" s="235"/>
      <c r="N2" s="235"/>
      <c r="O2" s="234">
        <v>5</v>
      </c>
      <c r="P2" s="234"/>
      <c r="Q2" s="234"/>
      <c r="R2" s="235">
        <v>6</v>
      </c>
      <c r="S2" s="235"/>
      <c r="T2" s="235"/>
      <c r="U2" s="234">
        <v>7</v>
      </c>
      <c r="V2" s="234"/>
      <c r="W2" s="234"/>
      <c r="X2" s="235">
        <v>8</v>
      </c>
      <c r="Y2" s="235"/>
      <c r="Z2" s="235"/>
      <c r="AA2" s="234">
        <v>9</v>
      </c>
      <c r="AB2" s="234"/>
      <c r="AC2" s="234"/>
      <c r="AD2" s="239" t="s">
        <v>418</v>
      </c>
      <c r="AE2" s="239"/>
      <c r="AF2" s="239"/>
      <c r="AG2" s="234">
        <v>10</v>
      </c>
      <c r="AH2" s="234"/>
      <c r="AI2" s="234"/>
      <c r="AJ2" s="235">
        <v>11</v>
      </c>
      <c r="AK2" s="235"/>
      <c r="AL2" s="235"/>
      <c r="AM2" s="234">
        <v>12</v>
      </c>
      <c r="AN2" s="234"/>
      <c r="AO2" s="234"/>
      <c r="AP2" s="235">
        <v>13</v>
      </c>
      <c r="AQ2" s="235"/>
      <c r="AR2" s="235"/>
      <c r="AS2" s="234">
        <v>14</v>
      </c>
      <c r="AT2" s="234"/>
      <c r="AU2" s="234"/>
      <c r="AV2" s="235">
        <v>15</v>
      </c>
      <c r="AW2" s="235"/>
      <c r="AX2" s="235"/>
      <c r="AY2" s="234">
        <v>16</v>
      </c>
      <c r="AZ2" s="234"/>
      <c r="BA2" s="234"/>
      <c r="BB2" s="235">
        <v>17</v>
      </c>
      <c r="BC2" s="235"/>
      <c r="BD2" s="235"/>
      <c r="BE2" s="234">
        <v>18</v>
      </c>
      <c r="BF2" s="234"/>
      <c r="BG2" s="234"/>
      <c r="BH2" s="242" t="s">
        <v>419</v>
      </c>
      <c r="BI2" s="242"/>
      <c r="BJ2" s="242"/>
    </row>
    <row r="3" spans="1:62" s="153" customFormat="1" ht="15" customHeight="1" x14ac:dyDescent="0.2">
      <c r="A3" s="166"/>
      <c r="B3" s="168" t="s">
        <v>95</v>
      </c>
      <c r="C3" s="236">
        <v>4</v>
      </c>
      <c r="D3" s="236"/>
      <c r="E3" s="236"/>
      <c r="F3" s="237">
        <v>5</v>
      </c>
      <c r="G3" s="237"/>
      <c r="H3" s="237"/>
      <c r="I3" s="236">
        <v>4</v>
      </c>
      <c r="J3" s="236"/>
      <c r="K3" s="236"/>
      <c r="L3" s="237">
        <v>3</v>
      </c>
      <c r="M3" s="237"/>
      <c r="N3" s="237"/>
      <c r="O3" s="236">
        <v>4</v>
      </c>
      <c r="P3" s="236"/>
      <c r="Q3" s="236"/>
      <c r="R3" s="237">
        <v>4</v>
      </c>
      <c r="S3" s="237"/>
      <c r="T3" s="237"/>
      <c r="U3" s="236">
        <v>5</v>
      </c>
      <c r="V3" s="236"/>
      <c r="W3" s="236"/>
      <c r="X3" s="237">
        <v>3</v>
      </c>
      <c r="Y3" s="237"/>
      <c r="Z3" s="237"/>
      <c r="AA3" s="236">
        <v>4</v>
      </c>
      <c r="AB3" s="236"/>
      <c r="AC3" s="236"/>
      <c r="AD3" s="238"/>
      <c r="AE3" s="240">
        <f>SUM(C3:AC3)</f>
        <v>36</v>
      </c>
      <c r="AF3" s="238"/>
      <c r="AG3" s="236">
        <v>4</v>
      </c>
      <c r="AH3" s="236"/>
      <c r="AI3" s="236"/>
      <c r="AJ3" s="237">
        <v>3</v>
      </c>
      <c r="AK3" s="237"/>
      <c r="AL3" s="237"/>
      <c r="AM3" s="236">
        <v>4</v>
      </c>
      <c r="AN3" s="236"/>
      <c r="AO3" s="236"/>
      <c r="AP3" s="237">
        <v>4</v>
      </c>
      <c r="AQ3" s="237"/>
      <c r="AR3" s="237"/>
      <c r="AS3" s="236">
        <v>4</v>
      </c>
      <c r="AT3" s="236"/>
      <c r="AU3" s="236"/>
      <c r="AV3" s="237">
        <v>5</v>
      </c>
      <c r="AW3" s="237"/>
      <c r="AX3" s="237"/>
      <c r="AY3" s="236">
        <v>3</v>
      </c>
      <c r="AZ3" s="236"/>
      <c r="BA3" s="236"/>
      <c r="BB3" s="237">
        <v>4</v>
      </c>
      <c r="BC3" s="237"/>
      <c r="BD3" s="237"/>
      <c r="BE3" s="236">
        <v>5</v>
      </c>
      <c r="BF3" s="236"/>
      <c r="BG3" s="236"/>
      <c r="BH3" s="241"/>
      <c r="BI3" s="243">
        <f>SUM(AG3:BG3)</f>
        <v>36</v>
      </c>
      <c r="BJ3" s="241"/>
    </row>
    <row r="4" spans="1:62" s="153" customFormat="1" ht="15" customHeight="1" x14ac:dyDescent="0.2">
      <c r="A4" s="166"/>
      <c r="B4" s="168" t="s">
        <v>94</v>
      </c>
      <c r="C4" s="236">
        <v>3</v>
      </c>
      <c r="D4" s="236"/>
      <c r="E4" s="236"/>
      <c r="F4" s="237">
        <v>13</v>
      </c>
      <c r="G4" s="237"/>
      <c r="H4" s="237"/>
      <c r="I4" s="236">
        <v>5</v>
      </c>
      <c r="J4" s="236"/>
      <c r="K4" s="236"/>
      <c r="L4" s="237">
        <v>15</v>
      </c>
      <c r="M4" s="237"/>
      <c r="N4" s="237"/>
      <c r="O4" s="236">
        <v>17</v>
      </c>
      <c r="P4" s="236"/>
      <c r="Q4" s="236"/>
      <c r="R4" s="237">
        <v>1</v>
      </c>
      <c r="S4" s="237"/>
      <c r="T4" s="237"/>
      <c r="U4" s="236">
        <v>9</v>
      </c>
      <c r="V4" s="236"/>
      <c r="W4" s="236"/>
      <c r="X4" s="237">
        <v>11</v>
      </c>
      <c r="Y4" s="237"/>
      <c r="Z4" s="237"/>
      <c r="AA4" s="236">
        <v>7</v>
      </c>
      <c r="AB4" s="236"/>
      <c r="AC4" s="236"/>
      <c r="AD4" s="238"/>
      <c r="AE4" s="238"/>
      <c r="AF4" s="238"/>
      <c r="AG4" s="236">
        <v>14</v>
      </c>
      <c r="AH4" s="236"/>
      <c r="AI4" s="236"/>
      <c r="AJ4" s="237">
        <v>12</v>
      </c>
      <c r="AK4" s="237"/>
      <c r="AL4" s="237"/>
      <c r="AM4" s="236">
        <v>16</v>
      </c>
      <c r="AN4" s="236"/>
      <c r="AO4" s="236"/>
      <c r="AP4" s="237">
        <v>4</v>
      </c>
      <c r="AQ4" s="237"/>
      <c r="AR4" s="237"/>
      <c r="AS4" s="236">
        <v>6</v>
      </c>
      <c r="AT4" s="236"/>
      <c r="AU4" s="236"/>
      <c r="AV4" s="237">
        <v>10</v>
      </c>
      <c r="AW4" s="237"/>
      <c r="AX4" s="237"/>
      <c r="AY4" s="236">
        <v>18</v>
      </c>
      <c r="AZ4" s="236"/>
      <c r="BA4" s="236"/>
      <c r="BB4" s="237">
        <v>2</v>
      </c>
      <c r="BC4" s="237"/>
      <c r="BD4" s="237"/>
      <c r="BE4" s="236">
        <v>8</v>
      </c>
      <c r="BF4" s="236"/>
      <c r="BG4" s="236"/>
      <c r="BH4" s="241"/>
      <c r="BI4" s="241"/>
      <c r="BJ4" s="241"/>
    </row>
    <row r="5" spans="1:62" ht="15" customHeight="1" x14ac:dyDescent="0.25">
      <c r="A5" s="123"/>
      <c r="B5" s="160"/>
      <c r="C5" s="141"/>
      <c r="D5" s="140" t="s">
        <v>422</v>
      </c>
      <c r="E5" s="142" t="s">
        <v>63</v>
      </c>
      <c r="F5" s="143"/>
      <c r="G5" s="139" t="s">
        <v>422</v>
      </c>
      <c r="H5" s="144" t="s">
        <v>63</v>
      </c>
      <c r="I5" s="141"/>
      <c r="J5" s="140" t="s">
        <v>422</v>
      </c>
      <c r="K5" s="142" t="s">
        <v>63</v>
      </c>
      <c r="L5" s="143"/>
      <c r="M5" s="139" t="s">
        <v>422</v>
      </c>
      <c r="N5" s="144" t="s">
        <v>63</v>
      </c>
      <c r="O5" s="141"/>
      <c r="P5" s="140" t="s">
        <v>422</v>
      </c>
      <c r="Q5" s="142" t="s">
        <v>63</v>
      </c>
      <c r="R5" s="143"/>
      <c r="S5" s="139" t="s">
        <v>422</v>
      </c>
      <c r="T5" s="144" t="s">
        <v>63</v>
      </c>
      <c r="U5" s="141"/>
      <c r="V5" s="140" t="s">
        <v>422</v>
      </c>
      <c r="W5" s="142" t="s">
        <v>63</v>
      </c>
      <c r="X5" s="143"/>
      <c r="Y5" s="139" t="s">
        <v>422</v>
      </c>
      <c r="Z5" s="144" t="s">
        <v>63</v>
      </c>
      <c r="AA5" s="141"/>
      <c r="AB5" s="140" t="s">
        <v>422</v>
      </c>
      <c r="AC5" s="142" t="s">
        <v>63</v>
      </c>
      <c r="AD5" s="160"/>
      <c r="AE5" s="158" t="s">
        <v>422</v>
      </c>
      <c r="AF5" s="161" t="s">
        <v>63</v>
      </c>
      <c r="AG5" s="141"/>
      <c r="AH5" s="140" t="s">
        <v>422</v>
      </c>
      <c r="AI5" s="142" t="s">
        <v>63</v>
      </c>
      <c r="AJ5" s="143"/>
      <c r="AK5" s="139" t="s">
        <v>422</v>
      </c>
      <c r="AL5" s="144" t="s">
        <v>63</v>
      </c>
      <c r="AM5" s="141"/>
      <c r="AN5" s="140" t="s">
        <v>422</v>
      </c>
      <c r="AO5" s="142" t="s">
        <v>63</v>
      </c>
      <c r="AP5" s="143"/>
      <c r="AQ5" s="139" t="s">
        <v>422</v>
      </c>
      <c r="AR5" s="144" t="s">
        <v>63</v>
      </c>
      <c r="AS5" s="141"/>
      <c r="AT5" s="140" t="s">
        <v>422</v>
      </c>
      <c r="AU5" s="142" t="s">
        <v>63</v>
      </c>
      <c r="AV5" s="143"/>
      <c r="AW5" s="139" t="s">
        <v>422</v>
      </c>
      <c r="AX5" s="144" t="s">
        <v>63</v>
      </c>
      <c r="AY5" s="141"/>
      <c r="AZ5" s="140" t="s">
        <v>422</v>
      </c>
      <c r="BA5" s="142" t="s">
        <v>63</v>
      </c>
      <c r="BB5" s="143"/>
      <c r="BC5" s="139" t="s">
        <v>422</v>
      </c>
      <c r="BD5" s="144" t="s">
        <v>63</v>
      </c>
      <c r="BE5" s="141"/>
      <c r="BF5" s="140" t="s">
        <v>422</v>
      </c>
      <c r="BG5" s="142" t="s">
        <v>63</v>
      </c>
      <c r="BH5" s="172"/>
      <c r="BI5" s="171" t="s">
        <v>422</v>
      </c>
      <c r="BJ5" s="173" t="s">
        <v>63</v>
      </c>
    </row>
    <row r="6" spans="1:62" ht="15" customHeight="1" thickBot="1" x14ac:dyDescent="0.3">
      <c r="A6" s="123"/>
      <c r="B6" s="162" t="s">
        <v>420</v>
      </c>
      <c r="C6" s="154" t="s">
        <v>136</v>
      </c>
      <c r="D6" s="154" t="s">
        <v>145</v>
      </c>
      <c r="E6" s="155" t="s">
        <v>423</v>
      </c>
      <c r="F6" s="156" t="s">
        <v>136</v>
      </c>
      <c r="G6" s="156" t="s">
        <v>145</v>
      </c>
      <c r="H6" s="157" t="s">
        <v>423</v>
      </c>
      <c r="I6" s="154" t="s">
        <v>136</v>
      </c>
      <c r="J6" s="154" t="s">
        <v>145</v>
      </c>
      <c r="K6" s="155" t="s">
        <v>423</v>
      </c>
      <c r="L6" s="156" t="s">
        <v>136</v>
      </c>
      <c r="M6" s="156" t="s">
        <v>145</v>
      </c>
      <c r="N6" s="157" t="s">
        <v>423</v>
      </c>
      <c r="O6" s="154" t="s">
        <v>136</v>
      </c>
      <c r="P6" s="154" t="s">
        <v>145</v>
      </c>
      <c r="Q6" s="155" t="s">
        <v>423</v>
      </c>
      <c r="R6" s="156" t="s">
        <v>136</v>
      </c>
      <c r="S6" s="156" t="s">
        <v>145</v>
      </c>
      <c r="T6" s="157" t="s">
        <v>423</v>
      </c>
      <c r="U6" s="154" t="s">
        <v>136</v>
      </c>
      <c r="V6" s="154" t="s">
        <v>145</v>
      </c>
      <c r="W6" s="155" t="s">
        <v>423</v>
      </c>
      <c r="X6" s="156" t="s">
        <v>136</v>
      </c>
      <c r="Y6" s="156" t="s">
        <v>145</v>
      </c>
      <c r="Z6" s="157" t="s">
        <v>423</v>
      </c>
      <c r="AA6" s="154" t="s">
        <v>136</v>
      </c>
      <c r="AB6" s="154" t="s">
        <v>145</v>
      </c>
      <c r="AC6" s="155" t="s">
        <v>423</v>
      </c>
      <c r="AD6" s="162" t="s">
        <v>136</v>
      </c>
      <c r="AE6" s="162" t="s">
        <v>145</v>
      </c>
      <c r="AF6" s="163" t="s">
        <v>423</v>
      </c>
      <c r="AG6" s="154" t="s">
        <v>136</v>
      </c>
      <c r="AH6" s="154" t="s">
        <v>145</v>
      </c>
      <c r="AI6" s="155" t="s">
        <v>423</v>
      </c>
      <c r="AJ6" s="156" t="s">
        <v>136</v>
      </c>
      <c r="AK6" s="156" t="s">
        <v>145</v>
      </c>
      <c r="AL6" s="157" t="s">
        <v>423</v>
      </c>
      <c r="AM6" s="154" t="s">
        <v>136</v>
      </c>
      <c r="AN6" s="154" t="s">
        <v>145</v>
      </c>
      <c r="AO6" s="155" t="s">
        <v>423</v>
      </c>
      <c r="AP6" s="156" t="s">
        <v>136</v>
      </c>
      <c r="AQ6" s="156" t="s">
        <v>145</v>
      </c>
      <c r="AR6" s="157" t="s">
        <v>423</v>
      </c>
      <c r="AS6" s="154" t="s">
        <v>136</v>
      </c>
      <c r="AT6" s="154" t="s">
        <v>145</v>
      </c>
      <c r="AU6" s="155" t="s">
        <v>423</v>
      </c>
      <c r="AV6" s="156" t="s">
        <v>136</v>
      </c>
      <c r="AW6" s="156" t="s">
        <v>145</v>
      </c>
      <c r="AX6" s="157" t="s">
        <v>423</v>
      </c>
      <c r="AY6" s="154" t="s">
        <v>136</v>
      </c>
      <c r="AZ6" s="154" t="s">
        <v>145</v>
      </c>
      <c r="BA6" s="155" t="s">
        <v>423</v>
      </c>
      <c r="BB6" s="156" t="s">
        <v>136</v>
      </c>
      <c r="BC6" s="156" t="s">
        <v>145</v>
      </c>
      <c r="BD6" s="157" t="s">
        <v>423</v>
      </c>
      <c r="BE6" s="154" t="s">
        <v>136</v>
      </c>
      <c r="BF6" s="154" t="s">
        <v>145</v>
      </c>
      <c r="BG6" s="155" t="s">
        <v>423</v>
      </c>
      <c r="BH6" s="174" t="s">
        <v>136</v>
      </c>
      <c r="BI6" s="174" t="s">
        <v>145</v>
      </c>
      <c r="BJ6" s="175" t="s">
        <v>423</v>
      </c>
    </row>
    <row r="7" spans="1:62" ht="15" customHeight="1" thickTop="1" x14ac:dyDescent="0.25">
      <c r="A7" s="167" t="s">
        <v>424</v>
      </c>
      <c r="B7" s="159">
        <f>AVERAGEIF(Upload_Indiv[[Excl Score]:[Excl Score]],0,Upload_Indiv[Hdcp])</f>
        <v>9.8388325991189589</v>
      </c>
      <c r="C7" s="145">
        <f>IFERROR(COUNTIFS(Upload_Indiv[[Side]:[Side]],"Raintree Front",Upload_Indiv[[Excl Score]:[Excl Score]],0),"")</f>
        <v>228</v>
      </c>
      <c r="D7" s="146">
        <f>IFERROR(AVERAGEIFS(Upload_Indiv[Score1],Upload_Indiv[[Side]:[Side]],"Raintree Front",Upload_Indiv[[Excl Score]:[Excl Score]],0),"")</f>
        <v>5.8684210526315788</v>
      </c>
      <c r="E7" s="146">
        <f>IFERROR(D7-IF(TRUNC(ROUND($B7,0)/9,0)=2,2+IF((ROUND($B7,0)-18)*2&gt;=C$4,1,0),IF(TRUNC(ROUND($B7,0)/9,0)=1,1+IF((ROUND($B7,0)-9)*2&gt;=C$4,1,0),IF(TRUNC(ROUND($B7,0)/9,0)=0,IF(TRUNC(ROUND($B7,0)/9,0)=0,0+IF((ROUND($B7,0))*2&gt;=C$4,1,0),"Not"))))-C$3,"")</f>
        <v>0.86842105263157876</v>
      </c>
      <c r="F7" s="147">
        <f>IFERROR(COUNTIFS(Upload_Indiv[[Side]:[Side]],"Raintree Front",Upload_Indiv[[Excl Score]:[Excl Score]],0),"")</f>
        <v>228</v>
      </c>
      <c r="G7" s="148">
        <f>IFERROR(AVERAGEIFS(Upload_Indiv[Score2],Upload_Indiv[[Side]:[Side]],"Raintree Front",Upload_Indiv[[Excl Score]:[Excl Score]],0),"")</f>
        <v>6.2894736842105265</v>
      </c>
      <c r="H7" s="148">
        <f>IFERROR(G7-IF(TRUNC(ROUND($B7,0)/9,0)=2,2+IF((ROUND($B7,0)-18)*2&gt;=F$4,1,0),IF(TRUNC(ROUND($B7,0)/9,0)=1,1+IF((ROUND($B7,0)-9)*2&gt;=F$4,1,0),IF(TRUNC(ROUND($B7,0)/9,0)=0,IF(TRUNC(ROUND($B7,0)/9,0)=0,0+IF((ROUND($B7,0))*2&gt;=F$4,1,0),"Not"))))-F$3,"")</f>
        <v>0.28947368421052655</v>
      </c>
      <c r="I7" s="145">
        <f>IFERROR(COUNTIFS(Upload_Indiv[[Side]:[Side]],"Raintree Front",Upload_Indiv[[Excl Score]:[Excl Score]],0),"")</f>
        <v>228</v>
      </c>
      <c r="J7" s="146">
        <f>IFERROR(AVERAGEIFS(Upload_Indiv[Score3],Upload_Indiv[[Side]:[Side]],"Raintree Front",Upload_Indiv[[Excl Score]:[Excl Score]],0),"")</f>
        <v>5.666666666666667</v>
      </c>
      <c r="K7" s="146">
        <f>IFERROR(J7-IF(TRUNC(ROUND($B7,0)/9,0)=2,2+IF((ROUND($B7,0)-18)*2&gt;=I$4,1,0),IF(TRUNC(ROUND($B7,0)/9,0)=1,1+IF((ROUND($B7,0)-9)*2&gt;=I$4,1,0),IF(TRUNC(ROUND($B7,0)/9,0)=0,IF(TRUNC(ROUND($B7,0)/9,0)=0,0+IF((ROUND($B7,0))*2&gt;=I$4,1,0),"Not"))))-I$3,"")</f>
        <v>0.66666666666666696</v>
      </c>
      <c r="L7" s="147">
        <f>IFERROR(COUNTIFS(Upload_Indiv[[Side]:[Side]],"Raintree Front",Upload_Indiv[[Excl Score]:[Excl Score]],0),"")</f>
        <v>228</v>
      </c>
      <c r="M7" s="148">
        <f>IFERROR(AVERAGEIFS(Upload_Indiv[Score4],Upload_Indiv[[Side]:[Side]],"Raintree Front",Upload_Indiv[[Excl Score]:[Excl Score]],0),"")</f>
        <v>4.192982456140351</v>
      </c>
      <c r="N7" s="148">
        <f>IFERROR(M7-IF(TRUNC(ROUND($B7,0)/9,0)=2,2+IF((ROUND($B7,0)-18)*2&gt;=L$4,1,0),IF(TRUNC(ROUND($B7,0)/9,0)=1,1+IF((ROUND($B7,0)-9)*2&gt;=L$4,1,0),IF(TRUNC(ROUND($B7,0)/9,0)=0,IF(TRUNC(ROUND($B7,0)/9,0)=0,0+IF((ROUND($B7,0))*2&gt;=L$4,1,0),"Not"))))-L$3,"")</f>
        <v>0.19298245614035103</v>
      </c>
      <c r="O7" s="145">
        <f>IFERROR(COUNTIFS(Upload_Indiv[[Side]:[Side]],"Raintree Front",Upload_Indiv[[Excl Score]:[Excl Score]],0),"")</f>
        <v>228</v>
      </c>
      <c r="P7" s="146">
        <f>IFERROR(AVERAGEIFS(Upload_Indiv[Score5],Upload_Indiv[[Side]:[Side]],"Raintree Front",Upload_Indiv[[Excl Score]:[Excl Score]],0),"")</f>
        <v>5.5482456140350873</v>
      </c>
      <c r="Q7" s="146">
        <f>IFERROR(P7-IF(TRUNC(ROUND($B7,0)/9,0)=2,2+IF((ROUND($B7,0)-18)*2&gt;=O$4,1,0),IF(TRUNC(ROUND($B7,0)/9,0)=1,1+IF((ROUND($B7,0)-9)*2&gt;=O$4,1,0),IF(TRUNC(ROUND($B7,0)/9,0)=0,IF(TRUNC(ROUND($B7,0)/9,0)=0,0+IF((ROUND($B7,0))*2&gt;=O$4,1,0),"Not"))))-O$3,"")</f>
        <v>0.54824561403508731</v>
      </c>
      <c r="R7" s="147">
        <f>IFERROR(COUNTIFS(Upload_Indiv[[Side]:[Side]],"Raintree Front",Upload_Indiv[[Excl Score]:[Excl Score]],0),"")</f>
        <v>228</v>
      </c>
      <c r="S7" s="148">
        <f>IFERROR(AVERAGEIFS(Upload_Indiv[Score6],Upload_Indiv[[Side]:[Side]],"Raintree Front",Upload_Indiv[[Excl Score]:[Excl Score]],0),"")</f>
        <v>5.7061403508771926</v>
      </c>
      <c r="T7" s="148">
        <f>IFERROR(S7-IF(TRUNC(ROUND($B7,0)/9,0)=2,2+IF((ROUND($B7,0)-18)*2&gt;=R$4,1,0),IF(TRUNC(ROUND($B7,0)/9,0)=1,1+IF((ROUND($B7,0)-9)*2&gt;=R$4,1,0),IF(TRUNC(ROUND($B7,0)/9,0)=0,IF(TRUNC(ROUND($B7,0)/9,0)=0,0+IF((ROUND($B7,0))*2&gt;=R$4,1,0),"Not"))))-R$3,"")</f>
        <v>-0.29385964912280738</v>
      </c>
      <c r="U7" s="145">
        <f>IFERROR(COUNTIFS(Upload_Indiv[[Side]:[Side]],"Raintree Front",Upload_Indiv[[Excl Score]:[Excl Score]],0),"")</f>
        <v>228</v>
      </c>
      <c r="V7" s="146">
        <f>IFERROR(AVERAGEIFS(Upload_Indiv[Score7],Upload_Indiv[[Side]:[Side]],"Raintree Front",Upload_Indiv[[Excl Score]:[Excl Score]],0),"")</f>
        <v>6.8289473684210522</v>
      </c>
      <c r="W7" s="146">
        <f>IFERROR(V7-IF(TRUNC(ROUND($B7,0)/9,0)=2,2+IF((ROUND($B7,0)-18)*2&gt;=U$4,1,0),IF(TRUNC(ROUND($B7,0)/9,0)=1,1+IF((ROUND($B7,0)-9)*2&gt;=U$4,1,0),IF(TRUNC(ROUND($B7,0)/9,0)=0,IF(TRUNC(ROUND($B7,0)/9,0)=0,0+IF((ROUND($B7,0))*2&gt;=U$4,1,0),"Not"))))-U$3,"")</f>
        <v>0.82894736842105221</v>
      </c>
      <c r="X7" s="147">
        <f>IFERROR(COUNTIFS(Upload_Indiv[[Side]:[Side]],"Raintree Front",Upload_Indiv[[Excl Score]:[Excl Score]],0),"")</f>
        <v>228</v>
      </c>
      <c r="Y7" s="148">
        <f>IFERROR(AVERAGEIFS(Upload_Indiv[Score8],Upload_Indiv[[Side]:[Side]],"Raintree Front",Upload_Indiv[[Excl Score]:[Excl Score]],0),"")</f>
        <v>4.4035087719298245</v>
      </c>
      <c r="Z7" s="148">
        <f>IFERROR(Y7-IF(TRUNC(ROUND($B7,0)/9,0)=2,2+IF((ROUND($B7,0)-18)*2&gt;=X$4,1,0),IF(TRUNC(ROUND($B7,0)/9,0)=1,1+IF((ROUND($B7,0)-9)*2&gt;=X$4,1,0),IF(TRUNC(ROUND($B7,0)/9,0)=0,IF(TRUNC(ROUND($B7,0)/9,0)=0,0+IF((ROUND($B7,0))*2&gt;=X$4,1,0),"Not"))))-X$3,"")</f>
        <v>0.40350877192982448</v>
      </c>
      <c r="AA7" s="145">
        <f>IFERROR(COUNTIFS(Upload_Indiv[[Side]:[Side]],"Raintree Front",Upload_Indiv[[Excl Score]:[Excl Score]],0),"")</f>
        <v>228</v>
      </c>
      <c r="AB7" s="146">
        <f>IFERROR(AVERAGEIFS(Upload_Indiv[Score9],Upload_Indiv[[Side]:[Side]],"Raintree Front",Upload_Indiv[[Excl Score]:[Excl Score]],0),"")</f>
        <v>5.5921052631578947</v>
      </c>
      <c r="AC7" s="146">
        <f>IFERROR(AB7-IF(TRUNC(ROUND($B7,0)/9,0)=2,2+IF((ROUND($B7,0)-18)*2&gt;=AA$4,1,0),IF(TRUNC(ROUND($B7,0)/9,0)=1,1+IF((ROUND($B7,0)-9)*2&gt;=AA$4,1,0),IF(TRUNC(ROUND($B7,0)/9,0)=0,IF(TRUNC(ROUND($B7,0)/9,0)=0,0+IF((ROUND($B7,0))*2&gt;=AA$4,1,0),"Not"))))-AA$3,"")</f>
        <v>0.59210526315789469</v>
      </c>
      <c r="AD7" s="159">
        <f>AA7</f>
        <v>228</v>
      </c>
      <c r="AE7" s="159">
        <f>SUMIF($C$6:$AC$6,AE$6,$C7:$AC7)</f>
        <v>50.096491228070178</v>
      </c>
      <c r="AF7" s="159">
        <f>SUMIF($C$6:$AC$6,AF$6,$C7:$AC7)</f>
        <v>4.0964912280701746</v>
      </c>
      <c r="AG7" s="145">
        <f>IFERROR(COUNTIFS(Upload_Indiv[[Side]:[Side]],"Raintree Back",Upload_Indiv[[Excl Score]:[Excl Score]],0),"")</f>
        <v>226</v>
      </c>
      <c r="AH7" s="146">
        <f>IFERROR(AVERAGEIFS(Upload_Indiv[Score1],Upload_Indiv[[Side]:[Side]],"Raintree Back",Upload_Indiv[[Excl Score]:[Excl Score]],0),"")</f>
        <v>5.1194690265486722</v>
      </c>
      <c r="AI7" s="146">
        <f>IFERROR(AH7-IF(TRUNC(ROUND($B7,0)/9,0)=2,2+IF((ROUND($B7,0)-18)*2&gt;=AG$4,1,0),IF(TRUNC(ROUND($B7,0)/9,0)=1,1+IF((ROUND($B7,0)-9)*2&gt;=AG$4,1,0),IF(TRUNC(ROUND($B7,0)/9,0)=0,IF(TRUNC(ROUND($B7,0)/9,0)=0,0+IF((ROUND($B7,0))*2&gt;=AG$4,1,0),"Not"))))-AG$3,"")</f>
        <v>0.1194690265486722</v>
      </c>
      <c r="AJ7" s="147">
        <f>IFERROR(COUNTIFS(Upload_Indiv[[Side]:[Side]],"Raintree Back",Upload_Indiv[[Excl Score]:[Excl Score]],0),"")</f>
        <v>226</v>
      </c>
      <c r="AK7" s="148">
        <f>IFERROR(AVERAGEIFS(Upload_Indiv[Score2],Upload_Indiv[[Side]:[Side]],"Raintree Back",Upload_Indiv[[Excl Score]:[Excl Score]],0),"")</f>
        <v>4.2920353982300883</v>
      </c>
      <c r="AL7" s="148">
        <f>IFERROR(AK7-IF(TRUNC(ROUND($B7,0)/9,0)=2,2+IF((ROUND($B7,0)-18)*2&gt;=AJ$4,1,0),IF(TRUNC(ROUND($B7,0)/9,0)=1,1+IF((ROUND($B7,0)-9)*2&gt;=AJ$4,1,0),IF(TRUNC(ROUND($B7,0)/9,0)=0,IF(TRUNC(ROUND($B7,0)/9,0)=0,0+IF((ROUND($B7,0))*2&gt;=AJ$4,1,0),"Not"))))-AJ$3,"")</f>
        <v>0.29203539823008828</v>
      </c>
      <c r="AM7" s="145">
        <f>IFERROR(COUNTIFS(Upload_Indiv[[Side]:[Side]],"Raintree Back",Upload_Indiv[[Excl Score]:[Excl Score]],0),"")</f>
        <v>226</v>
      </c>
      <c r="AN7" s="146">
        <f>IFERROR(AVERAGEIFS(Upload_Indiv[Score3],Upload_Indiv[[Side]:[Side]],"Raintree Back",Upload_Indiv[[Excl Score]:[Excl Score]],0),"")</f>
        <v>5.4292035398230087</v>
      </c>
      <c r="AO7" s="146">
        <f>IFERROR(AN7-IF(TRUNC(ROUND($B7,0)/9,0)=2,2+IF((ROUND($B7,0)-18)*2&gt;=AM$4,1,0),IF(TRUNC(ROUND($B7,0)/9,0)=1,1+IF((ROUND($B7,0)-9)*2&gt;=AM$4,1,0),IF(TRUNC(ROUND($B7,0)/9,0)=0,IF(TRUNC(ROUND($B7,0)/9,0)=0,0+IF((ROUND($B7,0))*2&gt;=AM$4,1,0),"Not"))))-AM$3,"")</f>
        <v>0.42920353982300874</v>
      </c>
      <c r="AP7" s="147">
        <f>IFERROR(COUNTIFS(Upload_Indiv[[Side]:[Side]],"Raintree Back",Upload_Indiv[[Excl Score]:[Excl Score]],0),"")</f>
        <v>226</v>
      </c>
      <c r="AQ7" s="148">
        <f>IFERROR(AVERAGEIFS(Upload_Indiv[Score4],Upload_Indiv[[Side]:[Side]],"Raintree Back",Upload_Indiv[[Excl Score]:[Excl Score]],0),"")</f>
        <v>5.8185840707964598</v>
      </c>
      <c r="AR7" s="148">
        <f>IFERROR(AQ7-IF(TRUNC(ROUND($B7,0)/9,0)=2,2+IF((ROUND($B7,0)-18)*2&gt;=AP$4,1,0),IF(TRUNC(ROUND($B7,0)/9,0)=1,1+IF((ROUND($B7,0)-9)*2&gt;=AP$4,1,0),IF(TRUNC(ROUND($B7,0)/9,0)=0,IF(TRUNC(ROUND($B7,0)/9,0)=0,0+IF((ROUND($B7,0))*2&gt;=AP$4,1,0),"Not"))))-AP$3,"")</f>
        <v>0.81858407079645978</v>
      </c>
      <c r="AS7" s="145">
        <f>IFERROR(COUNTIFS(Upload_Indiv[[Side]:[Side]],"Raintree Back",Upload_Indiv[[Excl Score]:[Excl Score]],0),"")</f>
        <v>226</v>
      </c>
      <c r="AT7" s="146">
        <f>IFERROR(AVERAGEIFS(Upload_Indiv[Score5],Upload_Indiv[[Side]:[Side]],"Raintree Back",Upload_Indiv[[Excl Score]:[Excl Score]],0),"")</f>
        <v>5.5221238938053094</v>
      </c>
      <c r="AU7" s="146">
        <f>IFERROR(AT7-IF(TRUNC(ROUND($B7,0)/9,0)=2,2+IF((ROUND($B7,0)-18)*2&gt;=AS$4,1,0),IF(TRUNC(ROUND($B7,0)/9,0)=1,1+IF((ROUND($B7,0)-9)*2&gt;=AS$4,1,0),IF(TRUNC(ROUND($B7,0)/9,0)=0,IF(TRUNC(ROUND($B7,0)/9,0)=0,0+IF((ROUND($B7,0))*2&gt;=AS$4,1,0),"Not"))))-AS$3,"")</f>
        <v>0.52212389380530944</v>
      </c>
      <c r="AV7" s="147">
        <f>IFERROR(COUNTIFS(Upload_Indiv[[Side]:[Side]],"Raintree Back",Upload_Indiv[[Excl Score]:[Excl Score]],0),"")</f>
        <v>226</v>
      </c>
      <c r="AW7" s="148">
        <f>IFERROR(AVERAGEIFS(Upload_Indiv[Score6],Upload_Indiv[[Side]:[Side]],"Raintree Back",Upload_Indiv[[Excl Score]:[Excl Score]],0),"")</f>
        <v>6.331858407079646</v>
      </c>
      <c r="AX7" s="148">
        <f>IFERROR(AW7-IF(TRUNC(ROUND($B7,0)/9,0)=2,2+IF((ROUND($B7,0)-18)*2&gt;=AV$4,1,0),IF(TRUNC(ROUND($B7,0)/9,0)=1,1+IF((ROUND($B7,0)-9)*2&gt;=AV$4,1,0),IF(TRUNC(ROUND($B7,0)/9,0)=0,IF(TRUNC(ROUND($B7,0)/9,0)=0,0+IF((ROUND($B7,0))*2&gt;=AV$4,1,0),"Not"))))-AV$3,"")</f>
        <v>0.33185840707964598</v>
      </c>
      <c r="AY7" s="145">
        <f>IFERROR(COUNTIFS(Upload_Indiv[[Side]:[Side]],"Raintree Back",Upload_Indiv[[Excl Score]:[Excl Score]],0),"")</f>
        <v>226</v>
      </c>
      <c r="AZ7" s="146">
        <f>IFERROR(AVERAGEIFS(Upload_Indiv[Score7],Upload_Indiv[[Side]:[Side]],"Raintree Back",Upload_Indiv[[Excl Score]:[Excl Score]],0),"")</f>
        <v>4</v>
      </c>
      <c r="BA7" s="146">
        <f>IFERROR(AZ7-IF(TRUNC(ROUND($B7,0)/9,0)=2,2+IF((ROUND($B7,0)-18)*2&gt;=AY$4,1,0),IF(TRUNC(ROUND($B7,0)/9,0)=1,1+IF((ROUND($B7,0)-9)*2&gt;=AY$4,1,0),IF(TRUNC(ROUND($B7,0)/9,0)=0,IF(TRUNC(ROUND($B7,0)/9,0)=0,0+IF((ROUND($B7,0))*2&gt;=AY$4,1,0),"Not"))))-AY$3,"")</f>
        <v>0</v>
      </c>
      <c r="BB7" s="147">
        <f>IFERROR(COUNTIFS(Upload_Indiv[[Side]:[Side]],"Raintree Back",Upload_Indiv[[Excl Score]:[Excl Score]],0),"")</f>
        <v>226</v>
      </c>
      <c r="BC7" s="148">
        <f>IFERROR(AVERAGEIFS(Upload_Indiv[Score8],Upload_Indiv[[Side]:[Side]],"Raintree Back",Upload_Indiv[[Excl Score]:[Excl Score]],0),"")</f>
        <v>5.610619469026549</v>
      </c>
      <c r="BD7" s="148">
        <f>IFERROR(BC7-IF(TRUNC(ROUND($B7,0)/9,0)=2,2+IF((ROUND($B7,0)-18)*2&gt;=BB$4,1,0),IF(TRUNC(ROUND($B7,0)/9,0)=1,1+IF((ROUND($B7,0)-9)*2&gt;=BB$4,1,0),IF(TRUNC(ROUND($B7,0)/9,0)=0,IF(TRUNC(ROUND($B7,0)/9,0)=0,0+IF((ROUND($B7,0))*2&gt;=BB$4,1,0),"Not"))))-BB$3,"")</f>
        <v>-0.38938053097345104</v>
      </c>
      <c r="BE7" s="145">
        <f>IFERROR(COUNTIFS(Upload_Indiv[[Side]:[Side]],"Raintree Back",Upload_Indiv[[Excl Score]:[Excl Score]],0),"")</f>
        <v>226</v>
      </c>
      <c r="BF7" s="146">
        <f>IFERROR(AVERAGEIFS(Upload_Indiv[Score9],Upload_Indiv[[Side]:[Side]],"Raintree Back",Upload_Indiv[[Excl Score]:[Excl Score]],0),"")</f>
        <v>6.8097345132743365</v>
      </c>
      <c r="BG7" s="146">
        <f>IFERROR(BF7-IF(TRUNC(ROUND($B7,0)/9,0)=2,2+IF((ROUND($B7,0)-18)*2&gt;=BE$4,1,0),IF(TRUNC(ROUND($B7,0)/9,0)=1,1+IF((ROUND($B7,0)-9)*2&gt;=BE$4,1,0),IF(TRUNC(ROUND($B7,0)/9,0)=0,IF(TRUNC(ROUND($B7,0)/9,0)=0,0+IF((ROUND($B7,0))*2&gt;=BE$4,1,0),"Not"))))-BE$3,"")</f>
        <v>0.80973451327433654</v>
      </c>
      <c r="BH7" s="159">
        <f>BE7</f>
        <v>226</v>
      </c>
      <c r="BI7" s="159">
        <f>SUMIF($AG$6:$BG$6,BI$6,$AG7:$BG7)</f>
        <v>48.93362831858407</v>
      </c>
      <c r="BJ7" s="159">
        <f>SUMIF($AG$6:$BG$6,BJ$6,$AG7:$BG7)</f>
        <v>2.9336283185840699</v>
      </c>
    </row>
    <row r="8" spans="1:62" ht="15" customHeight="1" x14ac:dyDescent="0.25">
      <c r="A8" s="120" t="s">
        <v>97</v>
      </c>
      <c r="B8" s="169"/>
      <c r="C8" s="126"/>
      <c r="D8" s="126"/>
      <c r="E8" s="125"/>
      <c r="F8" s="124"/>
      <c r="G8" s="124"/>
      <c r="H8" s="123"/>
      <c r="I8" s="126"/>
      <c r="J8" s="126"/>
      <c r="K8" s="125"/>
      <c r="L8" s="124"/>
      <c r="M8" s="124"/>
      <c r="N8" s="123"/>
      <c r="O8" s="126"/>
      <c r="P8" s="126"/>
      <c r="Q8" s="125"/>
      <c r="R8" s="124"/>
      <c r="S8" s="124"/>
      <c r="T8" s="123"/>
      <c r="U8" s="126"/>
      <c r="V8" s="126"/>
      <c r="W8" s="125"/>
      <c r="X8" s="124"/>
      <c r="Y8" s="124"/>
      <c r="Z8" s="123"/>
      <c r="AA8" s="126"/>
      <c r="AB8" s="126"/>
      <c r="AC8" s="125"/>
      <c r="AD8" s="164"/>
      <c r="AE8" s="164"/>
      <c r="AF8" s="164"/>
      <c r="AG8" s="126"/>
      <c r="AH8" s="126"/>
      <c r="AI8" s="125"/>
      <c r="AJ8" s="124"/>
      <c r="AK8" s="124"/>
      <c r="AL8" s="123"/>
      <c r="AM8" s="126"/>
      <c r="AN8" s="126"/>
      <c r="AO8" s="125"/>
      <c r="AP8" s="124"/>
      <c r="AQ8" s="124"/>
      <c r="AR8" s="123"/>
      <c r="AS8" s="126"/>
      <c r="AT8" s="126"/>
      <c r="AU8" s="125"/>
      <c r="AV8" s="124"/>
      <c r="AW8" s="124"/>
      <c r="AX8" s="123"/>
      <c r="AY8" s="126"/>
      <c r="AZ8" s="126"/>
      <c r="BA8" s="125"/>
      <c r="BB8" s="124"/>
      <c r="BC8" s="124"/>
      <c r="BD8" s="123"/>
      <c r="BE8" s="126"/>
      <c r="BF8" s="126"/>
      <c r="BG8" s="125"/>
      <c r="BH8" s="164"/>
      <c r="BI8" s="164"/>
      <c r="BJ8" s="164"/>
    </row>
    <row r="9" spans="1:62" ht="15" customHeight="1" x14ac:dyDescent="0.25">
      <c r="A9" s="4" t="s">
        <v>528</v>
      </c>
      <c r="B9" s="170">
        <f>IFERROR(AVERAGEIFS(Upload_Indiv[Hdcp],Upload_Indiv[[Player]:[Player]],$A9,Upload_Indiv[[Excl Score]:[Excl Score]],0),"")</f>
        <v>10.02</v>
      </c>
      <c r="C9" s="149">
        <f>IFERROR(COUNTIFS(Upload_Indiv[[Player]:[Player]],$A9,Upload_Indiv[[Side]:[Side]],"Raintree Front",Upload_Indiv[[Excl Score]:[Excl Score]],0),"")</f>
        <v>1</v>
      </c>
      <c r="D9" s="150">
        <f>IFERROR(AVERAGEIFS(Upload_Indiv[Score1],Upload_Indiv[[Player]:[Player]],$A9,Upload_Indiv[[Side]:[Side]],"Raintree Front",Upload_Indiv[[Excl Score]:[Excl Score]],0),"")</f>
        <v>5</v>
      </c>
      <c r="E9" s="150">
        <f>IFERROR(D9-IF(TRUNC(ROUND($B9,0)/9,0)=2,2+IF((ROUND($B9,0)-18)*2&gt;=C$4,1,0),IF(TRUNC(ROUND($B9,0)/9,0)=1,1+IF((ROUND($B9,0)-9)*2&gt;=C$4,1,0),IF(TRUNC(ROUND($B9,0)/9,0)=0,IF(TRUNC(ROUND($B9,0)/9,0)=0,0+IF((ROUND($B9,0))*2&gt;=C$4,1,0),"Not"))))-C$3,"")</f>
        <v>0</v>
      </c>
      <c r="F9" s="151">
        <f>IFERROR(COUNTIFS(Upload_Indiv[[Player]:[Player]],$A9,Upload_Indiv[[Side]:[Side]],"Raintree Front",Upload_Indiv[[Excl Score]:[Excl Score]],0),"")</f>
        <v>1</v>
      </c>
      <c r="G9" s="152">
        <f>IFERROR(AVERAGEIFS(Upload_Indiv[Score2],Upload_Indiv[[Player]:[Player]],$A9,Upload_Indiv[[Side]:[Side]],"Raintree Front",Upload_Indiv[[Excl Score]:[Excl Score]],0),"")</f>
        <v>7</v>
      </c>
      <c r="H9" s="152">
        <f>IFERROR(G9-IF(TRUNC(ROUND($B9,0)/9,0)=2,2+IF((ROUND($B9,0)-18)*2&gt;=F$4,1,0),IF(TRUNC(ROUND($B9,0)/9,0)=1,1+IF((ROUND($B9,0)-9)*2&gt;=F$4,1,0),IF(TRUNC(ROUND($B9,0)/9,0)=0,IF(TRUNC(ROUND($B9,0)/9,0)=0,0+IF((ROUND($B9,0))*2&gt;=F$4,1,0),"Not"))))-F$3,"")</f>
        <v>1</v>
      </c>
      <c r="I9" s="149">
        <f>IFERROR(COUNTIFS(Upload_Indiv[[Player]:[Player]],$A9,Upload_Indiv[[Side]:[Side]],"Raintree Front",Upload_Indiv[[Excl Score]:[Excl Score]],0),"")</f>
        <v>1</v>
      </c>
      <c r="J9" s="150">
        <f>IFERROR(AVERAGEIFS(Upload_Indiv[Score3],Upload_Indiv[[Player]:[Player]],$A9,Upload_Indiv[[Side]:[Side]],"Raintree Front",Upload_Indiv[[Excl Score]:[Excl Score]],0),"")</f>
        <v>5</v>
      </c>
      <c r="K9" s="150">
        <f>IFERROR(J9-IF(TRUNC(ROUND($B9,0)/9,0)=2,2+IF((ROUND($B9,0)-18)*2&gt;=I$4,1,0),IF(TRUNC(ROUND($B9,0)/9,0)=1,1+IF((ROUND($B9,0)-9)*2&gt;=I$4,1,0),IF(TRUNC(ROUND($B9,0)/9,0)=0,IF(TRUNC(ROUND($B9,0)/9,0)=0,0+IF((ROUND($B9,0))*2&gt;=I$4,1,0),"Not"))))-I$3,"")</f>
        <v>0</v>
      </c>
      <c r="L9" s="151">
        <f>IFERROR(COUNTIFS(Upload_Indiv[[Player]:[Player]],$A9,Upload_Indiv[[Side]:[Side]],"Raintree Front",Upload_Indiv[[Excl Score]:[Excl Score]],0),"")</f>
        <v>1</v>
      </c>
      <c r="M9" s="152">
        <f>IFERROR(AVERAGEIFS(Upload_Indiv[Score4],Upload_Indiv[[Player]:[Player]],$A9,Upload_Indiv[[Side]:[Side]],"Raintree Front",Upload_Indiv[[Excl Score]:[Excl Score]],0),"")</f>
        <v>4</v>
      </c>
      <c r="N9" s="152">
        <f>IFERROR(M9-IF(TRUNC(ROUND($B9,0)/9,0)=2,2+IF((ROUND($B9,0)-18)*2&gt;=L$4,1,0),IF(TRUNC(ROUND($B9,0)/9,0)=1,1+IF((ROUND($B9,0)-9)*2&gt;=L$4,1,0),IF(TRUNC(ROUND($B9,0)/9,0)=0,IF(TRUNC(ROUND($B9,0)/9,0)=0,0+IF((ROUND($B9,0))*2&gt;=L$4,1,0),"Not"))))-L$3,"")</f>
        <v>0</v>
      </c>
      <c r="O9" s="149">
        <f>IFERROR(COUNTIFS(Upload_Indiv[[Player]:[Player]],$A9,Upload_Indiv[[Side]:[Side]],"Raintree Front",Upload_Indiv[[Excl Score]:[Excl Score]],0),"")</f>
        <v>1</v>
      </c>
      <c r="P9" s="150">
        <f>IFERROR(AVERAGEIFS(Upload_Indiv[Score5],Upload_Indiv[[Player]:[Player]],$A9,Upload_Indiv[[Side]:[Side]],"Raintree Front",Upload_Indiv[[Excl Score]:[Excl Score]],0),"")</f>
        <v>6</v>
      </c>
      <c r="Q9" s="150">
        <f>IFERROR(P9-IF(TRUNC(ROUND($B9,0)/9,0)=2,2+IF((ROUND($B9,0)-18)*2&gt;=O$4,1,0),IF(TRUNC(ROUND($B9,0)/9,0)=1,1+IF((ROUND($B9,0)-9)*2&gt;=O$4,1,0),IF(TRUNC(ROUND($B9,0)/9,0)=0,IF(TRUNC(ROUND($B9,0)/9,0)=0,0+IF((ROUND($B9,0))*2&gt;=O$4,1,0),"Not"))))-O$3,"")</f>
        <v>1</v>
      </c>
      <c r="R9" s="151">
        <f>IFERROR(COUNTIFS(Upload_Indiv[[Player]:[Player]],$A9,Upload_Indiv[[Side]:[Side]],"Raintree Front",Upload_Indiv[[Excl Score]:[Excl Score]],0),"")</f>
        <v>1</v>
      </c>
      <c r="S9" s="152">
        <f>IFERROR(AVERAGEIFS(Upload_Indiv[Score6],Upload_Indiv[[Player]:[Player]],$A9,Upload_Indiv[[Side]:[Side]],"Raintree Front",Upload_Indiv[[Excl Score]:[Excl Score]],0),"")</f>
        <v>6</v>
      </c>
      <c r="T9" s="152">
        <f>IFERROR(S9-IF(TRUNC(ROUND($B9,0)/9,0)=2,2+IF((ROUND($B9,0)-18)*2&gt;=R$4,1,0),IF(TRUNC(ROUND($B9,0)/9,0)=1,1+IF((ROUND($B9,0)-9)*2&gt;=R$4,1,0),IF(TRUNC(ROUND($B9,0)/9,0)=0,IF(TRUNC(ROUND($B9,0)/9,0)=0,0+IF((ROUND($B9,0))*2&gt;=R$4,1,0),"Not"))))-R$3,"")</f>
        <v>0</v>
      </c>
      <c r="U9" s="149">
        <f>IFERROR(COUNTIFS(Upload_Indiv[[Player]:[Player]],$A9,Upload_Indiv[[Side]:[Side]],"Raintree Front",Upload_Indiv[[Excl Score]:[Excl Score]],0),"")</f>
        <v>1</v>
      </c>
      <c r="V9" s="150">
        <f>IFERROR(AVERAGEIFS(Upload_Indiv[Score7],Upload_Indiv[[Player]:[Player]],$A9,Upload_Indiv[[Side]:[Side]],"Raintree Front",Upload_Indiv[[Excl Score]:[Excl Score]],0),"")</f>
        <v>6</v>
      </c>
      <c r="W9" s="150">
        <f>IFERROR(V9-IF(TRUNC(ROUND($B9,0)/9,0)=2,2+IF((ROUND($B9,0)-18)*2&gt;=U$4,1,0),IF(TRUNC(ROUND($B9,0)/9,0)=1,1+IF((ROUND($B9,0)-9)*2&gt;=U$4,1,0),IF(TRUNC(ROUND($B9,0)/9,0)=0,IF(TRUNC(ROUND($B9,0)/9,0)=0,0+IF((ROUND($B9,0))*2&gt;=U$4,1,0),"Not"))))-U$3,"")</f>
        <v>0</v>
      </c>
      <c r="X9" s="151">
        <f>IFERROR(COUNTIFS(Upload_Indiv[[Player]:[Player]],$A9,Upload_Indiv[[Side]:[Side]],"Raintree Front",Upload_Indiv[[Excl Score]:[Excl Score]],0),"")</f>
        <v>1</v>
      </c>
      <c r="Y9" s="152">
        <f>IFERROR(AVERAGEIFS(Upload_Indiv[Score8],Upload_Indiv[[Player]:[Player]],$A9,Upload_Indiv[[Side]:[Side]],"Raintree Front",Upload_Indiv[[Excl Score]:[Excl Score]],0),"")</f>
        <v>3</v>
      </c>
      <c r="Z9" s="152">
        <f>IFERROR(Y9-IF(TRUNC(ROUND($B9,0)/9,0)=2,2+IF((ROUND($B9,0)-18)*2&gt;=X$4,1,0),IF(TRUNC(ROUND($B9,0)/9,0)=1,1+IF((ROUND($B9,0)-9)*2&gt;=X$4,1,0),IF(TRUNC(ROUND($B9,0)/9,0)=0,IF(TRUNC(ROUND($B9,0)/9,0)=0,0+IF((ROUND($B9,0))*2&gt;=X$4,1,0),"Not"))))-X$3,"")</f>
        <v>-1</v>
      </c>
      <c r="AA9" s="149">
        <f>IFERROR(COUNTIFS(Upload_Indiv[[Player]:[Player]],$A9,Upload_Indiv[[Side]:[Side]],"Raintree Front",Upload_Indiv[[Excl Score]:[Excl Score]],0),"")</f>
        <v>1</v>
      </c>
      <c r="AB9" s="150">
        <f>IFERROR(AVERAGEIFS(Upload_Indiv[Score9],Upload_Indiv[[Player]:[Player]],$A9,Upload_Indiv[[Side]:[Side]],"Raintree Front",Upload_Indiv[[Excl Score]:[Excl Score]],0),"")</f>
        <v>5</v>
      </c>
      <c r="AC9" s="150">
        <f>IFERROR(AB9-IF(TRUNC(ROUND($B9,0)/9,0)=2,2+IF((ROUND($B9,0)-18)*2&gt;=AA$4,1,0),IF(TRUNC(ROUND($B9,0)/9,0)=1,1+IF((ROUND($B9,0)-9)*2&gt;=AA$4,1,0),IF(TRUNC(ROUND($B9,0)/9,0)=0,IF(TRUNC(ROUND($B9,0)/9,0)=0,0+IF((ROUND($B9,0))*2&gt;=AA$4,1,0),"Not"))))-AA$3,"")</f>
        <v>0</v>
      </c>
      <c r="AD9" s="165">
        <f>AA9</f>
        <v>1</v>
      </c>
      <c r="AE9" s="165">
        <f>SUMIF($C$6:$AC$6,AE$6,$C9:$AC9)</f>
        <v>47</v>
      </c>
      <c r="AF9" s="165">
        <f>SUMIF($C$6:$AC$6,AF$6,$C9:$AC9)</f>
        <v>1</v>
      </c>
      <c r="AG9" s="149">
        <f>IFERROR(COUNTIFS(Upload_Indiv[[Player]:[Player]],$A9,Upload_Indiv[[Side]:[Side]],"Raintree Back",Upload_Indiv[[Excl Score]:[Excl Score]],0),"")</f>
        <v>1</v>
      </c>
      <c r="AH9" s="150">
        <f>IFERROR(AVERAGEIFS(Upload_Indiv[Score1],Upload_Indiv[[Player]:[Player]],$A9,Upload_Indiv[[Side]:[Side]],"Raintree Back",Upload_Indiv[[Excl Score]:[Excl Score]],0),"")</f>
        <v>5</v>
      </c>
      <c r="AI9" s="150">
        <f>IFERROR(AH9-IF(TRUNC(ROUND($B9,0)/9,0)=2,2+IF((ROUND($B9,0)-18)*2&gt;=AG$4,1,0),IF(TRUNC(ROUND($B9,0)/9,0)=1,1+IF((ROUND($B9,0)-9)*2&gt;=AG$4,1,0),IF(TRUNC(ROUND($B9,0)/9,0)=0,IF(TRUNC(ROUND($B9,0)/9,0)=0,0+IF((ROUND($B9,0))*2&gt;=AG$4,1,0),"Not"))))-AG$3,"")</f>
        <v>0</v>
      </c>
      <c r="AJ9" s="151">
        <f>IFERROR(COUNTIFS(Upload_Indiv[[Player]:[Player]],$A9,Upload_Indiv[[Side]:[Side]],"Raintree Back",Upload_Indiv[[Excl Score]:[Excl Score]],0),"")</f>
        <v>1</v>
      </c>
      <c r="AK9" s="152">
        <f>IFERROR(AVERAGEIFS(Upload_Indiv[Score2],Upload_Indiv[[Player]:[Player]],$A9,Upload_Indiv[[Side]:[Side]],"Raintree Back",Upload_Indiv[[Excl Score]:[Excl Score]],0),"")</f>
        <v>4</v>
      </c>
      <c r="AL9" s="152">
        <f>IFERROR(AK9-IF(TRUNC(ROUND($B9,0)/9,0)=2,2+IF((ROUND($B9,0)-18)*2&gt;=AJ$4,1,0),IF(TRUNC(ROUND($B9,0)/9,0)=1,1+IF((ROUND($B9,0)-9)*2&gt;=AJ$4,1,0),IF(TRUNC(ROUND($B9,0)/9,0)=0,IF(TRUNC(ROUND($B9,0)/9,0)=0,0+IF((ROUND($B9,0))*2&gt;=AJ$4,1,0),"Not"))))-AJ$3,"")</f>
        <v>0</v>
      </c>
      <c r="AM9" s="149">
        <f>IFERROR(COUNTIFS(Upload_Indiv[[Player]:[Player]],$A9,Upload_Indiv[[Side]:[Side]],"Raintree Back",Upload_Indiv[[Excl Score]:[Excl Score]],0),"")</f>
        <v>1</v>
      </c>
      <c r="AN9" s="150">
        <f>IFERROR(AVERAGEIFS(Upload_Indiv[Score3],Upload_Indiv[[Player]:[Player]],$A9,Upload_Indiv[[Side]:[Side]],"Raintree Back",Upload_Indiv[[Excl Score]:[Excl Score]],0),"")</f>
        <v>6</v>
      </c>
      <c r="AO9" s="150">
        <f>IFERROR(AN9-IF(TRUNC(ROUND($B9,0)/9,0)=2,2+IF((ROUND($B9,0)-18)*2&gt;=AM$4,1,0),IF(TRUNC(ROUND($B9,0)/9,0)=1,1+IF((ROUND($B9,0)-9)*2&gt;=AM$4,1,0),IF(TRUNC(ROUND($B9,0)/9,0)=0,IF(TRUNC(ROUND($B9,0)/9,0)=0,0+IF((ROUND($B9,0))*2&gt;=AM$4,1,0),"Not"))))-AM$3,"")</f>
        <v>1</v>
      </c>
      <c r="AP9" s="151">
        <f>IFERROR(COUNTIFS(Upload_Indiv[[Player]:[Player]],$A9,Upload_Indiv[[Side]:[Side]],"Raintree Back",Upload_Indiv[[Excl Score]:[Excl Score]],0),"")</f>
        <v>1</v>
      </c>
      <c r="AQ9" s="152">
        <f>IFERROR(AVERAGEIFS(Upload_Indiv[Score4],Upload_Indiv[[Player]:[Player]],$A9,Upload_Indiv[[Side]:[Side]],"Raintree Back",Upload_Indiv[[Excl Score]:[Excl Score]],0),"")</f>
        <v>5</v>
      </c>
      <c r="AR9" s="152">
        <f>IFERROR(AQ9-IF(TRUNC(ROUND($B9,0)/9,0)=2,2+IF((ROUND($B9,0)-18)*2&gt;=AP$4,1,0),IF(TRUNC(ROUND($B9,0)/9,0)=1,1+IF((ROUND($B9,0)-9)*2&gt;=AP$4,1,0),IF(TRUNC(ROUND($B9,0)/9,0)=0,IF(TRUNC(ROUND($B9,0)/9,0)=0,0+IF((ROUND($B9,0))*2&gt;=AP$4,1,0),"Not"))))-AP$3,"")</f>
        <v>0</v>
      </c>
      <c r="AS9" s="149">
        <f>IFERROR(COUNTIFS(Upload_Indiv[[Player]:[Player]],$A9,Upload_Indiv[[Side]:[Side]],"Raintree Back",Upload_Indiv[[Excl Score]:[Excl Score]],0),"")</f>
        <v>1</v>
      </c>
      <c r="AT9" s="150">
        <f>IFERROR(AVERAGEIFS(Upload_Indiv[Score5],Upload_Indiv[[Player]:[Player]],$A9,Upload_Indiv[[Side]:[Side]],"Raintree Back",Upload_Indiv[[Excl Score]:[Excl Score]],0),"")</f>
        <v>5</v>
      </c>
      <c r="AU9" s="150">
        <f>IFERROR(AT9-IF(TRUNC(ROUND($B9,0)/9,0)=2,2+IF((ROUND($B9,0)-18)*2&gt;=AS$4,1,0),IF(TRUNC(ROUND($B9,0)/9,0)=1,1+IF((ROUND($B9,0)-9)*2&gt;=AS$4,1,0),IF(TRUNC(ROUND($B9,0)/9,0)=0,IF(TRUNC(ROUND($B9,0)/9,0)=0,0+IF((ROUND($B9,0))*2&gt;=AS$4,1,0),"Not"))))-AS$3,"")</f>
        <v>0</v>
      </c>
      <c r="AV9" s="151">
        <f>IFERROR(COUNTIFS(Upload_Indiv[[Player]:[Player]],$A9,Upload_Indiv[[Side]:[Side]],"Raintree Back",Upload_Indiv[[Excl Score]:[Excl Score]],0),"")</f>
        <v>1</v>
      </c>
      <c r="AW9" s="152">
        <f>IFERROR(AVERAGEIFS(Upload_Indiv[Score6],Upload_Indiv[[Player]:[Player]],$A9,Upload_Indiv[[Side]:[Side]],"Raintree Back",Upload_Indiv[[Excl Score]:[Excl Score]],0),"")</f>
        <v>6</v>
      </c>
      <c r="AX9" s="152">
        <f>IFERROR(AW9-IF(TRUNC(ROUND($B9,0)/9,0)=2,2+IF((ROUND($B9,0)-18)*2&gt;=AV$4,1,0),IF(TRUNC(ROUND($B9,0)/9,0)=1,1+IF((ROUND($B9,0)-9)*2&gt;=AV$4,1,0),IF(TRUNC(ROUND($B9,0)/9,0)=0,IF(TRUNC(ROUND($B9,0)/9,0)=0,0+IF((ROUND($B9,0))*2&gt;=AV$4,1,0),"Not"))))-AV$3,"")</f>
        <v>0</v>
      </c>
      <c r="AY9" s="149">
        <f>IFERROR(COUNTIFS(Upload_Indiv[[Player]:[Player]],$A9,Upload_Indiv[[Side]:[Side]],"Raintree Back",Upload_Indiv[[Excl Score]:[Excl Score]],0),"")</f>
        <v>1</v>
      </c>
      <c r="AZ9" s="150">
        <f>IFERROR(AVERAGEIFS(Upload_Indiv[Score7],Upload_Indiv[[Player]:[Player]],$A9,Upload_Indiv[[Side]:[Side]],"Raintree Back",Upload_Indiv[[Excl Score]:[Excl Score]],0),"")</f>
        <v>4</v>
      </c>
      <c r="BA9" s="150">
        <f>IFERROR(AZ9-IF(TRUNC(ROUND($B9,0)/9,0)=2,2+IF((ROUND($B9,0)-18)*2&gt;=AY$4,1,0),IF(TRUNC(ROUND($B9,0)/9,0)=1,1+IF((ROUND($B9,0)-9)*2&gt;=AY$4,1,0),IF(TRUNC(ROUND($B9,0)/9,0)=0,IF(TRUNC(ROUND($B9,0)/9,0)=0,0+IF((ROUND($B9,0))*2&gt;=AY$4,1,0),"Not"))))-AY$3,"")</f>
        <v>0</v>
      </c>
      <c r="BB9" s="151">
        <f>IFERROR(COUNTIFS(Upload_Indiv[[Player]:[Player]],$A9,Upload_Indiv[[Side]:[Side]],"Raintree Back",Upload_Indiv[[Excl Score]:[Excl Score]],0),"")</f>
        <v>1</v>
      </c>
      <c r="BC9" s="152">
        <f>IFERROR(AVERAGEIFS(Upload_Indiv[Score8],Upload_Indiv[[Player]:[Player]],$A9,Upload_Indiv[[Side]:[Side]],"Raintree Back",Upload_Indiv[[Excl Score]:[Excl Score]],0),"")</f>
        <v>6</v>
      </c>
      <c r="BD9" s="152">
        <f>IFERROR(BC9-IF(TRUNC(ROUND($B9,0)/9,0)=2,2+IF((ROUND($B9,0)-18)*2&gt;=BB$4,1,0),IF(TRUNC(ROUND($B9,0)/9,0)=1,1+IF((ROUND($B9,0)-9)*2&gt;=BB$4,1,0),IF(TRUNC(ROUND($B9,0)/9,0)=0,IF(TRUNC(ROUND($B9,0)/9,0)=0,0+IF((ROUND($B9,0))*2&gt;=BB$4,1,0),"Not"))))-BB$3,"")</f>
        <v>0</v>
      </c>
      <c r="BE9" s="149">
        <f>IFERROR(COUNTIFS(Upload_Indiv[[Player]:[Player]],$A9,Upload_Indiv[[Side]:[Side]],"Raintree Back",Upload_Indiv[[Excl Score]:[Excl Score]],0),"")</f>
        <v>1</v>
      </c>
      <c r="BF9" s="150">
        <f>IFERROR(AVERAGEIFS(Upload_Indiv[Score9],Upload_Indiv[[Player]:[Player]],$A9,Upload_Indiv[[Side]:[Side]],"Raintree Back",Upload_Indiv[[Excl Score]:[Excl Score]],0),"")</f>
        <v>8</v>
      </c>
      <c r="BG9" s="150">
        <f>IFERROR(BF9-IF(TRUNC(ROUND($B9,0)/9,0)=2,2+IF((ROUND($B9,0)-18)*2&gt;=BE$4,1,0),IF(TRUNC(ROUND($B9,0)/9,0)=1,1+IF((ROUND($B9,0)-9)*2&gt;=BE$4,1,0),IF(TRUNC(ROUND($B9,0)/9,0)=0,IF(TRUNC(ROUND($B9,0)/9,0)=0,0+IF((ROUND($B9,0))*2&gt;=BE$4,1,0),"Not"))))-BE$3,"")</f>
        <v>2</v>
      </c>
      <c r="BH9" s="165">
        <f>BE9</f>
        <v>1</v>
      </c>
      <c r="BI9" s="165">
        <f>SUMIF($AG$6:$BG$6,BI$6,$AG9:$BG9)</f>
        <v>49</v>
      </c>
      <c r="BJ9" s="165">
        <f>SUMIF($AG$6:$BG$6,BJ$6,$AG9:$BG9)</f>
        <v>3</v>
      </c>
    </row>
    <row r="10" spans="1:62" ht="15" customHeight="1" x14ac:dyDescent="0.25">
      <c r="A10" s="4" t="s">
        <v>309</v>
      </c>
      <c r="B10" s="170">
        <f>IFERROR(AVERAGEIFS(Upload_Indiv[Hdcp],Upload_Indiv[[Player]:[Player]],$A10,Upload_Indiv[[Excl Score]:[Excl Score]],0),"")</f>
        <v>14.64642857142857</v>
      </c>
      <c r="C10" s="149">
        <f>IFERROR(COUNTIFS(Upload_Indiv[[Player]:[Player]],$A10,Upload_Indiv[[Side]:[Side]],"Raintree Front",Upload_Indiv[[Excl Score]:[Excl Score]],0),"")</f>
        <v>8</v>
      </c>
      <c r="D10" s="150">
        <f>IFERROR(AVERAGEIFS(Upload_Indiv[Score1],Upload_Indiv[[Player]:[Player]],$A10,Upload_Indiv[[Side]:[Side]],"Raintree Front",Upload_Indiv[[Excl Score]:[Excl Score]],0),"")</f>
        <v>6.125</v>
      </c>
      <c r="E10" s="150">
        <f t="shared" ref="E10:E54" si="0">IFERROR(D10-IF(TRUNC(ROUND($B10,0)/9,0)=2,2+IF((ROUND($B10,0)-18)*2&gt;=C$4,1,0),IF(TRUNC(ROUND($B10,0)/9,0)=1,1+IF((ROUND($B10,0)-9)*2&gt;=C$4,1,0),IF(TRUNC(ROUND($B10,0)/9,0)=0,IF(TRUNC(ROUND($B10,0)/9,0)=0,0+IF((ROUND($B10,0))*2&gt;=C$4,1,0),"Not"))))-C$3,"")</f>
        <v>0.125</v>
      </c>
      <c r="F10" s="151">
        <f>IFERROR(COUNTIFS(Upload_Indiv[[Player]:[Player]],$A10,Upload_Indiv[[Side]:[Side]],"Raintree Front",Upload_Indiv[[Excl Score]:[Excl Score]],0),"")</f>
        <v>8</v>
      </c>
      <c r="G10" s="152">
        <f>IFERROR(AVERAGEIFS(Upload_Indiv[Score2],Upload_Indiv[[Player]:[Player]],$A10,Upload_Indiv[[Side]:[Side]],"Raintree Front",Upload_Indiv[[Excl Score]:[Excl Score]],0),"")</f>
        <v>7.125</v>
      </c>
      <c r="H10" s="152">
        <f t="shared" ref="H10:H54" si="1">IFERROR(G10-IF(TRUNC(ROUND($B10,0)/9,0)=2,2+IF((ROUND($B10,0)-18)*2&gt;=F$4,1,0),IF(TRUNC(ROUND($B10,0)/9,0)=1,1+IF((ROUND($B10,0)-9)*2&gt;=F$4,1,0),IF(TRUNC(ROUND($B10,0)/9,0)=0,IF(TRUNC(ROUND($B10,0)/9,0)=0,0+IF((ROUND($B10,0))*2&gt;=F$4,1,0),"Not"))))-F$3,"")</f>
        <v>1.125</v>
      </c>
      <c r="I10" s="149">
        <f>IFERROR(COUNTIFS(Upload_Indiv[[Player]:[Player]],$A10,Upload_Indiv[[Side]:[Side]],"Raintree Front",Upload_Indiv[[Excl Score]:[Excl Score]],0),"")</f>
        <v>8</v>
      </c>
      <c r="J10" s="150">
        <f>IFERROR(AVERAGEIFS(Upload_Indiv[Score3],Upload_Indiv[[Player]:[Player]],$A10,Upload_Indiv[[Side]:[Side]],"Raintree Front",Upload_Indiv[[Excl Score]:[Excl Score]],0),"")</f>
        <v>5.5</v>
      </c>
      <c r="K10" s="150">
        <f t="shared" ref="K10:K54" si="2">IFERROR(J10-IF(TRUNC(ROUND($B10,0)/9,0)=2,2+IF((ROUND($B10,0)-18)*2&gt;=I$4,1,0),IF(TRUNC(ROUND($B10,0)/9,0)=1,1+IF((ROUND($B10,0)-9)*2&gt;=I$4,1,0),IF(TRUNC(ROUND($B10,0)/9,0)=0,IF(TRUNC(ROUND($B10,0)/9,0)=0,0+IF((ROUND($B10,0))*2&gt;=I$4,1,0),"Not"))))-I$3,"")</f>
        <v>-0.5</v>
      </c>
      <c r="L10" s="151">
        <f>IFERROR(COUNTIFS(Upload_Indiv[[Player]:[Player]],$A10,Upload_Indiv[[Side]:[Side]],"Raintree Front",Upload_Indiv[[Excl Score]:[Excl Score]],0),"")</f>
        <v>8</v>
      </c>
      <c r="M10" s="152">
        <f>IFERROR(AVERAGEIFS(Upload_Indiv[Score4],Upload_Indiv[[Player]:[Player]],$A10,Upload_Indiv[[Side]:[Side]],"Raintree Front",Upload_Indiv[[Excl Score]:[Excl Score]],0),"")</f>
        <v>4.75</v>
      </c>
      <c r="N10" s="152">
        <f t="shared" ref="N10:N54" si="3">IFERROR(M10-IF(TRUNC(ROUND($B10,0)/9,0)=2,2+IF((ROUND($B10,0)-18)*2&gt;=L$4,1,0),IF(TRUNC(ROUND($B10,0)/9,0)=1,1+IF((ROUND($B10,0)-9)*2&gt;=L$4,1,0),IF(TRUNC(ROUND($B10,0)/9,0)=0,IF(TRUNC(ROUND($B10,0)/9,0)=0,0+IF((ROUND($B10,0))*2&gt;=L$4,1,0),"Not"))))-L$3,"")</f>
        <v>0.75</v>
      </c>
      <c r="O10" s="149">
        <f>IFERROR(COUNTIFS(Upload_Indiv[[Player]:[Player]],$A10,Upload_Indiv[[Side]:[Side]],"Raintree Front",Upload_Indiv[[Excl Score]:[Excl Score]],0),"")</f>
        <v>8</v>
      </c>
      <c r="P10" s="150">
        <f>IFERROR(AVERAGEIFS(Upload_Indiv[Score5],Upload_Indiv[[Player]:[Player]],$A10,Upload_Indiv[[Side]:[Side]],"Raintree Front",Upload_Indiv[[Excl Score]:[Excl Score]],0),"")</f>
        <v>5.75</v>
      </c>
      <c r="Q10" s="150">
        <f t="shared" ref="Q10:Q54" si="4">IFERROR(P10-IF(TRUNC(ROUND($B10,0)/9,0)=2,2+IF((ROUND($B10,0)-18)*2&gt;=O$4,1,0),IF(TRUNC(ROUND($B10,0)/9,0)=1,1+IF((ROUND($B10,0)-9)*2&gt;=O$4,1,0),IF(TRUNC(ROUND($B10,0)/9,0)=0,IF(TRUNC(ROUND($B10,0)/9,0)=0,0+IF((ROUND($B10,0))*2&gt;=O$4,1,0),"Not"))))-O$3,"")</f>
        <v>0.75</v>
      </c>
      <c r="R10" s="151">
        <f>IFERROR(COUNTIFS(Upload_Indiv[[Player]:[Player]],$A10,Upload_Indiv[[Side]:[Side]],"Raintree Front",Upload_Indiv[[Excl Score]:[Excl Score]],0),"")</f>
        <v>8</v>
      </c>
      <c r="S10" s="152">
        <f>IFERROR(AVERAGEIFS(Upload_Indiv[Score6],Upload_Indiv[[Player]:[Player]],$A10,Upload_Indiv[[Side]:[Side]],"Raintree Front",Upload_Indiv[[Excl Score]:[Excl Score]],0),"")</f>
        <v>5.875</v>
      </c>
      <c r="T10" s="152">
        <f t="shared" ref="T10:T54" si="5">IFERROR(S10-IF(TRUNC(ROUND($B10,0)/9,0)=2,2+IF((ROUND($B10,0)-18)*2&gt;=R$4,1,0),IF(TRUNC(ROUND($B10,0)/9,0)=1,1+IF((ROUND($B10,0)-9)*2&gt;=R$4,1,0),IF(TRUNC(ROUND($B10,0)/9,0)=0,IF(TRUNC(ROUND($B10,0)/9,0)=0,0+IF((ROUND($B10,0))*2&gt;=R$4,1,0),"Not"))))-R$3,"")</f>
        <v>-0.125</v>
      </c>
      <c r="U10" s="149">
        <f>IFERROR(COUNTIFS(Upload_Indiv[[Player]:[Player]],$A10,Upload_Indiv[[Side]:[Side]],"Raintree Front",Upload_Indiv[[Excl Score]:[Excl Score]],0),"")</f>
        <v>8</v>
      </c>
      <c r="V10" s="150">
        <f>IFERROR(AVERAGEIFS(Upload_Indiv[Score7],Upload_Indiv[[Player]:[Player]],$A10,Upload_Indiv[[Side]:[Side]],"Raintree Front",Upload_Indiv[[Excl Score]:[Excl Score]],0),"")</f>
        <v>8</v>
      </c>
      <c r="W10" s="150">
        <f t="shared" ref="W10:W54" si="6">IFERROR(V10-IF(TRUNC(ROUND($B10,0)/9,0)=2,2+IF((ROUND($B10,0)-18)*2&gt;=U$4,1,0),IF(TRUNC(ROUND($B10,0)/9,0)=1,1+IF((ROUND($B10,0)-9)*2&gt;=U$4,1,0),IF(TRUNC(ROUND($B10,0)/9,0)=0,IF(TRUNC(ROUND($B10,0)/9,0)=0,0+IF((ROUND($B10,0))*2&gt;=U$4,1,0),"Not"))))-U$3,"")</f>
        <v>1</v>
      </c>
      <c r="X10" s="151">
        <f>IFERROR(COUNTIFS(Upload_Indiv[[Player]:[Player]],$A10,Upload_Indiv[[Side]:[Side]],"Raintree Front",Upload_Indiv[[Excl Score]:[Excl Score]],0),"")</f>
        <v>8</v>
      </c>
      <c r="Y10" s="152">
        <f>IFERROR(AVERAGEIFS(Upload_Indiv[Score8],Upload_Indiv[[Player]:[Player]],$A10,Upload_Indiv[[Side]:[Side]],"Raintree Front",Upload_Indiv[[Excl Score]:[Excl Score]],0),"")</f>
        <v>5.25</v>
      </c>
      <c r="Z10" s="152">
        <f t="shared" ref="Z10:Z54" si="7">IFERROR(Y10-IF(TRUNC(ROUND($B10,0)/9,0)=2,2+IF((ROUND($B10,0)-18)*2&gt;=X$4,1,0),IF(TRUNC(ROUND($B10,0)/9,0)=1,1+IF((ROUND($B10,0)-9)*2&gt;=X$4,1,0),IF(TRUNC(ROUND($B10,0)/9,0)=0,IF(TRUNC(ROUND($B10,0)/9,0)=0,0+IF((ROUND($B10,0))*2&gt;=X$4,1,0),"Not"))))-X$3,"")</f>
        <v>0.25</v>
      </c>
      <c r="AA10" s="149">
        <f>IFERROR(COUNTIFS(Upload_Indiv[[Player]:[Player]],$A10,Upload_Indiv[[Side]:[Side]],"Raintree Front",Upload_Indiv[[Excl Score]:[Excl Score]],0),"")</f>
        <v>8</v>
      </c>
      <c r="AB10" s="150">
        <f>IFERROR(AVERAGEIFS(Upload_Indiv[Score9],Upload_Indiv[[Player]:[Player]],$A10,Upload_Indiv[[Side]:[Side]],"Raintree Front",Upload_Indiv[[Excl Score]:[Excl Score]],0),"")</f>
        <v>6.125</v>
      </c>
      <c r="AC10" s="150">
        <f t="shared" ref="AC10:AC54" si="8">IFERROR(AB10-IF(TRUNC(ROUND($B10,0)/9,0)=2,2+IF((ROUND($B10,0)-18)*2&gt;=AA$4,1,0),IF(TRUNC(ROUND($B10,0)/9,0)=1,1+IF((ROUND($B10,0)-9)*2&gt;=AA$4,1,0),IF(TRUNC(ROUND($B10,0)/9,0)=0,IF(TRUNC(ROUND($B10,0)/9,0)=0,0+IF((ROUND($B10,0))*2&gt;=AA$4,1,0),"Not"))))-AA$3,"")</f>
        <v>0.125</v>
      </c>
      <c r="AD10" s="165">
        <f t="shared" ref="AD10:AD54" si="9">AA10</f>
        <v>8</v>
      </c>
      <c r="AE10" s="165">
        <f t="shared" ref="AE10:AF54" si="10">SUMIF($C$6:$AC$6,AE$6,$C10:$AC10)</f>
        <v>54.5</v>
      </c>
      <c r="AF10" s="165">
        <f t="shared" si="10"/>
        <v>3.5</v>
      </c>
      <c r="AG10" s="149">
        <f>IFERROR(COUNTIFS(Upload_Indiv[[Player]:[Player]],$A10,Upload_Indiv[[Side]:[Side]],"Raintree Back",Upload_Indiv[[Excl Score]:[Excl Score]],0),"")</f>
        <v>6</v>
      </c>
      <c r="AH10" s="150">
        <f>IFERROR(AVERAGEIFS(Upload_Indiv[Score1],Upload_Indiv[[Player]:[Player]],$A10,Upload_Indiv[[Side]:[Side]],"Raintree Back",Upload_Indiv[[Excl Score]:[Excl Score]],0),"")</f>
        <v>6.333333333333333</v>
      </c>
      <c r="AI10" s="150">
        <f t="shared" ref="AI10:AI54" si="11">IFERROR(AH10-IF(TRUNC(ROUND($B10,0)/9,0)=2,2+IF((ROUND($B10,0)-18)*2&gt;=AG$4,1,0),IF(TRUNC(ROUND($B10,0)/9,0)=1,1+IF((ROUND($B10,0)-9)*2&gt;=AG$4,1,0),IF(TRUNC(ROUND($B10,0)/9,0)=0,IF(TRUNC(ROUND($B10,0)/9,0)=0,0+IF((ROUND($B10,0))*2&gt;=AG$4,1,0),"Not"))))-AG$3,"")</f>
        <v>1.333333333333333</v>
      </c>
      <c r="AJ10" s="151">
        <f>IFERROR(COUNTIFS(Upload_Indiv[[Player]:[Player]],$A10,Upload_Indiv[[Side]:[Side]],"Raintree Back",Upload_Indiv[[Excl Score]:[Excl Score]],0),"")</f>
        <v>6</v>
      </c>
      <c r="AK10" s="152">
        <f>IFERROR(AVERAGEIFS(Upload_Indiv[Score2],Upload_Indiv[[Player]:[Player]],$A10,Upload_Indiv[[Side]:[Side]],"Raintree Back",Upload_Indiv[[Excl Score]:[Excl Score]],0),"")</f>
        <v>4.833333333333333</v>
      </c>
      <c r="AL10" s="152">
        <f t="shared" ref="AL10:AL54" si="12">IFERROR(AK10-IF(TRUNC(ROUND($B10,0)/9,0)=2,2+IF((ROUND($B10,0)-18)*2&gt;=AJ$4,1,0),IF(TRUNC(ROUND($B10,0)/9,0)=1,1+IF((ROUND($B10,0)-9)*2&gt;=AJ$4,1,0),IF(TRUNC(ROUND($B10,0)/9,0)=0,IF(TRUNC(ROUND($B10,0)/9,0)=0,0+IF((ROUND($B10,0))*2&gt;=AJ$4,1,0),"Not"))))-AJ$3,"")</f>
        <v>-0.16666666666666696</v>
      </c>
      <c r="AM10" s="149">
        <f>IFERROR(COUNTIFS(Upload_Indiv[[Player]:[Player]],$A10,Upload_Indiv[[Side]:[Side]],"Raintree Back",Upload_Indiv[[Excl Score]:[Excl Score]],0),"")</f>
        <v>6</v>
      </c>
      <c r="AN10" s="150">
        <f>IFERROR(AVERAGEIFS(Upload_Indiv[Score3],Upload_Indiv[[Player]:[Player]],$A10,Upload_Indiv[[Side]:[Side]],"Raintree Back",Upload_Indiv[[Excl Score]:[Excl Score]],0),"")</f>
        <v>6.5</v>
      </c>
      <c r="AO10" s="150">
        <f t="shared" ref="AO10:AO54" si="13">IFERROR(AN10-IF(TRUNC(ROUND($B10,0)/9,0)=2,2+IF((ROUND($B10,0)-18)*2&gt;=AM$4,1,0),IF(TRUNC(ROUND($B10,0)/9,0)=1,1+IF((ROUND($B10,0)-9)*2&gt;=AM$4,1,0),IF(TRUNC(ROUND($B10,0)/9,0)=0,IF(TRUNC(ROUND($B10,0)/9,0)=0,0+IF((ROUND($B10,0))*2&gt;=AM$4,1,0),"Not"))))-AM$3,"")</f>
        <v>1.5</v>
      </c>
      <c r="AP10" s="151">
        <f>IFERROR(COUNTIFS(Upload_Indiv[[Player]:[Player]],$A10,Upload_Indiv[[Side]:[Side]],"Raintree Back",Upload_Indiv[[Excl Score]:[Excl Score]],0),"")</f>
        <v>6</v>
      </c>
      <c r="AQ10" s="152">
        <f>IFERROR(AVERAGEIFS(Upload_Indiv[Score4],Upload_Indiv[[Player]:[Player]],$A10,Upload_Indiv[[Side]:[Side]],"Raintree Back",Upload_Indiv[[Excl Score]:[Excl Score]],0),"")</f>
        <v>6.5</v>
      </c>
      <c r="AR10" s="152">
        <f t="shared" ref="AR10:AR54" si="14">IFERROR(AQ10-IF(TRUNC(ROUND($B10,0)/9,0)=2,2+IF((ROUND($B10,0)-18)*2&gt;=AP$4,1,0),IF(TRUNC(ROUND($B10,0)/9,0)=1,1+IF((ROUND($B10,0)-9)*2&gt;=AP$4,1,0),IF(TRUNC(ROUND($B10,0)/9,0)=0,IF(TRUNC(ROUND($B10,0)/9,0)=0,0+IF((ROUND($B10,0))*2&gt;=AP$4,1,0),"Not"))))-AP$3,"")</f>
        <v>0.5</v>
      </c>
      <c r="AS10" s="149">
        <f>IFERROR(COUNTIFS(Upload_Indiv[[Player]:[Player]],$A10,Upload_Indiv[[Side]:[Side]],"Raintree Back",Upload_Indiv[[Excl Score]:[Excl Score]],0),"")</f>
        <v>6</v>
      </c>
      <c r="AT10" s="150">
        <f>IFERROR(AVERAGEIFS(Upload_Indiv[Score5],Upload_Indiv[[Player]:[Player]],$A10,Upload_Indiv[[Side]:[Side]],"Raintree Back",Upload_Indiv[[Excl Score]:[Excl Score]],0),"")</f>
        <v>5.666666666666667</v>
      </c>
      <c r="AU10" s="150">
        <f t="shared" ref="AU10:AU54" si="15">IFERROR(AT10-IF(TRUNC(ROUND($B10,0)/9,0)=2,2+IF((ROUND($B10,0)-18)*2&gt;=AS$4,1,0),IF(TRUNC(ROUND($B10,0)/9,0)=1,1+IF((ROUND($B10,0)-9)*2&gt;=AS$4,1,0),IF(TRUNC(ROUND($B10,0)/9,0)=0,IF(TRUNC(ROUND($B10,0)/9,0)=0,0+IF((ROUND($B10,0))*2&gt;=AS$4,1,0),"Not"))))-AS$3,"")</f>
        <v>-0.33333333333333304</v>
      </c>
      <c r="AV10" s="151">
        <f>IFERROR(COUNTIFS(Upload_Indiv[[Player]:[Player]],$A10,Upload_Indiv[[Side]:[Side]],"Raintree Back",Upload_Indiv[[Excl Score]:[Excl Score]],0),"")</f>
        <v>6</v>
      </c>
      <c r="AW10" s="152">
        <f>IFERROR(AVERAGEIFS(Upload_Indiv[Score6],Upload_Indiv[[Player]:[Player]],$A10,Upload_Indiv[[Side]:[Side]],"Raintree Back",Upload_Indiv[[Excl Score]:[Excl Score]],0),"")</f>
        <v>6.166666666666667</v>
      </c>
      <c r="AX10" s="152">
        <f t="shared" ref="AX10:AX54" si="16">IFERROR(AW10-IF(TRUNC(ROUND($B10,0)/9,0)=2,2+IF((ROUND($B10,0)-18)*2&gt;=AV$4,1,0),IF(TRUNC(ROUND($B10,0)/9,0)=1,1+IF((ROUND($B10,0)-9)*2&gt;=AV$4,1,0),IF(TRUNC(ROUND($B10,0)/9,0)=0,IF(TRUNC(ROUND($B10,0)/9,0)=0,0+IF((ROUND($B10,0))*2&gt;=AV$4,1,0),"Not"))))-AV$3,"")</f>
        <v>-0.83333333333333304</v>
      </c>
      <c r="AY10" s="149">
        <f>IFERROR(COUNTIFS(Upload_Indiv[[Player]:[Player]],$A10,Upload_Indiv[[Side]:[Side]],"Raintree Back",Upload_Indiv[[Excl Score]:[Excl Score]],0),"")</f>
        <v>6</v>
      </c>
      <c r="AZ10" s="150">
        <f>IFERROR(AVERAGEIFS(Upload_Indiv[Score7],Upload_Indiv[[Player]:[Player]],$A10,Upload_Indiv[[Side]:[Side]],"Raintree Back",Upload_Indiv[[Excl Score]:[Excl Score]],0),"")</f>
        <v>5.166666666666667</v>
      </c>
      <c r="BA10" s="150">
        <f t="shared" ref="BA10:BA54" si="17">IFERROR(AZ10-IF(TRUNC(ROUND($B10,0)/9,0)=2,2+IF((ROUND($B10,0)-18)*2&gt;=AY$4,1,0),IF(TRUNC(ROUND($B10,0)/9,0)=1,1+IF((ROUND($B10,0)-9)*2&gt;=AY$4,1,0),IF(TRUNC(ROUND($B10,0)/9,0)=0,IF(TRUNC(ROUND($B10,0)/9,0)=0,0+IF((ROUND($B10,0))*2&gt;=AY$4,1,0),"Not"))))-AY$3,"")</f>
        <v>1.166666666666667</v>
      </c>
      <c r="BB10" s="151">
        <f>IFERROR(COUNTIFS(Upload_Indiv[[Player]:[Player]],$A10,Upload_Indiv[[Side]:[Side]],"Raintree Back",Upload_Indiv[[Excl Score]:[Excl Score]],0),"")</f>
        <v>6</v>
      </c>
      <c r="BC10" s="152">
        <f>IFERROR(AVERAGEIFS(Upload_Indiv[Score8],Upload_Indiv[[Player]:[Player]],$A10,Upload_Indiv[[Side]:[Side]],"Raintree Back",Upload_Indiv[[Excl Score]:[Excl Score]],0),"")</f>
        <v>6.166666666666667</v>
      </c>
      <c r="BD10" s="152">
        <f t="shared" ref="BD10:BD54" si="18">IFERROR(BC10-IF(TRUNC(ROUND($B10,0)/9,0)=2,2+IF((ROUND($B10,0)-18)*2&gt;=BB$4,1,0),IF(TRUNC(ROUND($B10,0)/9,0)=1,1+IF((ROUND($B10,0)-9)*2&gt;=BB$4,1,0),IF(TRUNC(ROUND($B10,0)/9,0)=0,IF(TRUNC(ROUND($B10,0)/9,0)=0,0+IF((ROUND($B10,0))*2&gt;=BB$4,1,0),"Not"))))-BB$3,"")</f>
        <v>0.16666666666666696</v>
      </c>
      <c r="BE10" s="149">
        <f>IFERROR(COUNTIFS(Upload_Indiv[[Player]:[Player]],$A10,Upload_Indiv[[Side]:[Side]],"Raintree Back",Upload_Indiv[[Excl Score]:[Excl Score]],0),"")</f>
        <v>6</v>
      </c>
      <c r="BF10" s="150">
        <f>IFERROR(AVERAGEIFS(Upload_Indiv[Score9],Upload_Indiv[[Player]:[Player]],$A10,Upload_Indiv[[Side]:[Side]],"Raintree Back",Upload_Indiv[[Excl Score]:[Excl Score]],0),"")</f>
        <v>7</v>
      </c>
      <c r="BG10" s="150">
        <f t="shared" ref="BG10:BG54" si="19">IFERROR(BF10-IF(TRUNC(ROUND($B10,0)/9,0)=2,2+IF((ROUND($B10,0)-18)*2&gt;=BE$4,1,0),IF(TRUNC(ROUND($B10,0)/9,0)=1,1+IF((ROUND($B10,0)-9)*2&gt;=BE$4,1,0),IF(TRUNC(ROUND($B10,0)/9,0)=0,IF(TRUNC(ROUND($B10,0)/9,0)=0,0+IF((ROUND($B10,0))*2&gt;=BE$4,1,0),"Not"))))-BE$3,"")</f>
        <v>0</v>
      </c>
      <c r="BH10" s="165">
        <f t="shared" ref="BH10:BH54" si="20">BE10</f>
        <v>6</v>
      </c>
      <c r="BI10" s="165">
        <f t="shared" ref="BI10:BJ54" si="21">SUMIF($AG$6:$BG$6,BI$6,$AG10:$BG10)</f>
        <v>54.333333333333329</v>
      </c>
      <c r="BJ10" s="165">
        <f t="shared" si="21"/>
        <v>3.3333333333333339</v>
      </c>
    </row>
    <row r="11" spans="1:62" ht="15" customHeight="1" x14ac:dyDescent="0.25">
      <c r="A11" s="4" t="s">
        <v>311</v>
      </c>
      <c r="B11" s="170">
        <f>IFERROR(AVERAGEIFS(Upload_Indiv[Hdcp],Upload_Indiv[[Player]:[Player]],$A11,Upload_Indiv[[Excl Score]:[Excl Score]],0),"")</f>
        <v>4.2921428571428573</v>
      </c>
      <c r="C11" s="149">
        <f>IFERROR(COUNTIFS(Upload_Indiv[[Player]:[Player]],$A11,Upload_Indiv[[Side]:[Side]],"Raintree Front",Upload_Indiv[[Excl Score]:[Excl Score]],0),"")</f>
        <v>8</v>
      </c>
      <c r="D11" s="150">
        <f>IFERROR(AVERAGEIFS(Upload_Indiv[Score1],Upload_Indiv[[Player]:[Player]],$A11,Upload_Indiv[[Side]:[Side]],"Raintree Front",Upload_Indiv[[Excl Score]:[Excl Score]],0),"")</f>
        <v>5.125</v>
      </c>
      <c r="E11" s="150">
        <f t="shared" si="0"/>
        <v>0.125</v>
      </c>
      <c r="F11" s="151">
        <f>IFERROR(COUNTIFS(Upload_Indiv[[Player]:[Player]],$A11,Upload_Indiv[[Side]:[Side]],"Raintree Front",Upload_Indiv[[Excl Score]:[Excl Score]],0),"")</f>
        <v>8</v>
      </c>
      <c r="G11" s="152">
        <f>IFERROR(AVERAGEIFS(Upload_Indiv[Score2],Upload_Indiv[[Player]:[Player]],$A11,Upload_Indiv[[Side]:[Side]],"Raintree Front",Upload_Indiv[[Excl Score]:[Excl Score]],0),"")</f>
        <v>5.25</v>
      </c>
      <c r="H11" s="152">
        <f t="shared" si="1"/>
        <v>0.25</v>
      </c>
      <c r="I11" s="149">
        <f>IFERROR(COUNTIFS(Upload_Indiv[[Player]:[Player]],$A11,Upload_Indiv[[Side]:[Side]],"Raintree Front",Upload_Indiv[[Excl Score]:[Excl Score]],0),"")</f>
        <v>8</v>
      </c>
      <c r="J11" s="150">
        <f>IFERROR(AVERAGEIFS(Upload_Indiv[Score3],Upload_Indiv[[Player]:[Player]],$A11,Upload_Indiv[[Side]:[Side]],"Raintree Front",Upload_Indiv[[Excl Score]:[Excl Score]],0),"")</f>
        <v>5</v>
      </c>
      <c r="K11" s="150">
        <f t="shared" si="2"/>
        <v>0</v>
      </c>
      <c r="L11" s="151">
        <f>IFERROR(COUNTIFS(Upload_Indiv[[Player]:[Player]],$A11,Upload_Indiv[[Side]:[Side]],"Raintree Front",Upload_Indiv[[Excl Score]:[Excl Score]],0),"")</f>
        <v>8</v>
      </c>
      <c r="M11" s="152">
        <f>IFERROR(AVERAGEIFS(Upload_Indiv[Score4],Upload_Indiv[[Player]:[Player]],$A11,Upload_Indiv[[Side]:[Side]],"Raintree Front",Upload_Indiv[[Excl Score]:[Excl Score]],0),"")</f>
        <v>3.25</v>
      </c>
      <c r="N11" s="152">
        <f t="shared" si="3"/>
        <v>0.25</v>
      </c>
      <c r="O11" s="149">
        <f>IFERROR(COUNTIFS(Upload_Indiv[[Player]:[Player]],$A11,Upload_Indiv[[Side]:[Side]],"Raintree Front",Upload_Indiv[[Excl Score]:[Excl Score]],0),"")</f>
        <v>8</v>
      </c>
      <c r="P11" s="150">
        <f>IFERROR(AVERAGEIFS(Upload_Indiv[Score5],Upload_Indiv[[Player]:[Player]],$A11,Upload_Indiv[[Side]:[Side]],"Raintree Front",Upload_Indiv[[Excl Score]:[Excl Score]],0),"")</f>
        <v>4.75</v>
      </c>
      <c r="Q11" s="150">
        <f t="shared" si="4"/>
        <v>0.75</v>
      </c>
      <c r="R11" s="151">
        <f>IFERROR(COUNTIFS(Upload_Indiv[[Player]:[Player]],$A11,Upload_Indiv[[Side]:[Side]],"Raintree Front",Upload_Indiv[[Excl Score]:[Excl Score]],0),"")</f>
        <v>8</v>
      </c>
      <c r="S11" s="152">
        <f>IFERROR(AVERAGEIFS(Upload_Indiv[Score6],Upload_Indiv[[Player]:[Player]],$A11,Upload_Indiv[[Side]:[Side]],"Raintree Front",Upload_Indiv[[Excl Score]:[Excl Score]],0),"")</f>
        <v>4.625</v>
      </c>
      <c r="T11" s="152">
        <f t="shared" si="5"/>
        <v>-0.375</v>
      </c>
      <c r="U11" s="149">
        <f>IFERROR(COUNTIFS(Upload_Indiv[[Player]:[Player]],$A11,Upload_Indiv[[Side]:[Side]],"Raintree Front",Upload_Indiv[[Excl Score]:[Excl Score]],0),"")</f>
        <v>8</v>
      </c>
      <c r="V11" s="150">
        <f>IFERROR(AVERAGEIFS(Upload_Indiv[Score7],Upload_Indiv[[Player]:[Player]],$A11,Upload_Indiv[[Side]:[Side]],"Raintree Front",Upload_Indiv[[Excl Score]:[Excl Score]],0),"")</f>
        <v>5.625</v>
      </c>
      <c r="W11" s="150">
        <f t="shared" si="6"/>
        <v>0.625</v>
      </c>
      <c r="X11" s="151">
        <f>IFERROR(COUNTIFS(Upload_Indiv[[Player]:[Player]],$A11,Upload_Indiv[[Side]:[Side]],"Raintree Front",Upload_Indiv[[Excl Score]:[Excl Score]],0),"")</f>
        <v>8</v>
      </c>
      <c r="Y11" s="152">
        <f>IFERROR(AVERAGEIFS(Upload_Indiv[Score8],Upload_Indiv[[Player]:[Player]],$A11,Upload_Indiv[[Side]:[Side]],"Raintree Front",Upload_Indiv[[Excl Score]:[Excl Score]],0),"")</f>
        <v>3.375</v>
      </c>
      <c r="Z11" s="152">
        <f t="shared" si="7"/>
        <v>0.375</v>
      </c>
      <c r="AA11" s="149">
        <f>IFERROR(COUNTIFS(Upload_Indiv[[Player]:[Player]],$A11,Upload_Indiv[[Side]:[Side]],"Raintree Front",Upload_Indiv[[Excl Score]:[Excl Score]],0),"")</f>
        <v>8</v>
      </c>
      <c r="AB11" s="150">
        <f>IFERROR(AVERAGEIFS(Upload_Indiv[Score9],Upload_Indiv[[Player]:[Player]],$A11,Upload_Indiv[[Side]:[Side]],"Raintree Front",Upload_Indiv[[Excl Score]:[Excl Score]],0),"")</f>
        <v>4.75</v>
      </c>
      <c r="AC11" s="150">
        <f t="shared" si="8"/>
        <v>-0.25</v>
      </c>
      <c r="AD11" s="165">
        <f t="shared" si="9"/>
        <v>8</v>
      </c>
      <c r="AE11" s="165">
        <f t="shared" si="10"/>
        <v>41.75</v>
      </c>
      <c r="AF11" s="165">
        <f t="shared" si="10"/>
        <v>1.75</v>
      </c>
      <c r="AG11" s="149">
        <f>IFERROR(COUNTIFS(Upload_Indiv[[Player]:[Player]],$A11,Upload_Indiv[[Side]:[Side]],"Raintree Back",Upload_Indiv[[Excl Score]:[Excl Score]],0),"")</f>
        <v>6</v>
      </c>
      <c r="AH11" s="150">
        <f>IFERROR(AVERAGEIFS(Upload_Indiv[Score1],Upload_Indiv[[Player]:[Player]],$A11,Upload_Indiv[[Side]:[Side]],"Raintree Back",Upload_Indiv[[Excl Score]:[Excl Score]],0),"")</f>
        <v>4.333333333333333</v>
      </c>
      <c r="AI11" s="150">
        <f t="shared" si="11"/>
        <v>0.33333333333333304</v>
      </c>
      <c r="AJ11" s="151">
        <f>IFERROR(COUNTIFS(Upload_Indiv[[Player]:[Player]],$A11,Upload_Indiv[[Side]:[Side]],"Raintree Back",Upload_Indiv[[Excl Score]:[Excl Score]],0),"")</f>
        <v>6</v>
      </c>
      <c r="AK11" s="152">
        <f>IFERROR(AVERAGEIFS(Upload_Indiv[Score2],Upload_Indiv[[Player]:[Player]],$A11,Upload_Indiv[[Side]:[Side]],"Raintree Back",Upload_Indiv[[Excl Score]:[Excl Score]],0),"")</f>
        <v>3.6666666666666665</v>
      </c>
      <c r="AL11" s="152">
        <f t="shared" si="12"/>
        <v>0.66666666666666652</v>
      </c>
      <c r="AM11" s="149">
        <f>IFERROR(COUNTIFS(Upload_Indiv[[Player]:[Player]],$A11,Upload_Indiv[[Side]:[Side]],"Raintree Back",Upload_Indiv[[Excl Score]:[Excl Score]],0),"")</f>
        <v>6</v>
      </c>
      <c r="AN11" s="150">
        <f>IFERROR(AVERAGEIFS(Upload_Indiv[Score3],Upload_Indiv[[Player]:[Player]],$A11,Upload_Indiv[[Side]:[Side]],"Raintree Back",Upload_Indiv[[Excl Score]:[Excl Score]],0),"")</f>
        <v>4.833333333333333</v>
      </c>
      <c r="AO11" s="150">
        <f t="shared" si="13"/>
        <v>0.83333333333333304</v>
      </c>
      <c r="AP11" s="151">
        <f>IFERROR(COUNTIFS(Upload_Indiv[[Player]:[Player]],$A11,Upload_Indiv[[Side]:[Side]],"Raintree Back",Upload_Indiv[[Excl Score]:[Excl Score]],0),"")</f>
        <v>6</v>
      </c>
      <c r="AQ11" s="152">
        <f>IFERROR(AVERAGEIFS(Upload_Indiv[Score4],Upload_Indiv[[Player]:[Player]],$A11,Upload_Indiv[[Side]:[Side]],"Raintree Back",Upload_Indiv[[Excl Score]:[Excl Score]],0),"")</f>
        <v>4.5</v>
      </c>
      <c r="AR11" s="152">
        <f t="shared" si="14"/>
        <v>-0.5</v>
      </c>
      <c r="AS11" s="149">
        <f>IFERROR(COUNTIFS(Upload_Indiv[[Player]:[Player]],$A11,Upload_Indiv[[Side]:[Side]],"Raintree Back",Upload_Indiv[[Excl Score]:[Excl Score]],0),"")</f>
        <v>6</v>
      </c>
      <c r="AT11" s="150">
        <f>IFERROR(AVERAGEIFS(Upload_Indiv[Score5],Upload_Indiv[[Player]:[Player]],$A11,Upload_Indiv[[Side]:[Side]],"Raintree Back",Upload_Indiv[[Excl Score]:[Excl Score]],0),"")</f>
        <v>5.333333333333333</v>
      </c>
      <c r="AU11" s="150">
        <f t="shared" si="15"/>
        <v>0.33333333333333304</v>
      </c>
      <c r="AV11" s="151">
        <f>IFERROR(COUNTIFS(Upload_Indiv[[Player]:[Player]],$A11,Upload_Indiv[[Side]:[Side]],"Raintree Back",Upload_Indiv[[Excl Score]:[Excl Score]],0),"")</f>
        <v>6</v>
      </c>
      <c r="AW11" s="152">
        <f>IFERROR(AVERAGEIFS(Upload_Indiv[Score6],Upload_Indiv[[Player]:[Player]],$A11,Upload_Indiv[[Side]:[Side]],"Raintree Back",Upload_Indiv[[Excl Score]:[Excl Score]],0),"")</f>
        <v>6.666666666666667</v>
      </c>
      <c r="AX11" s="152">
        <f t="shared" si="16"/>
        <v>1.666666666666667</v>
      </c>
      <c r="AY11" s="149">
        <f>IFERROR(COUNTIFS(Upload_Indiv[[Player]:[Player]],$A11,Upload_Indiv[[Side]:[Side]],"Raintree Back",Upload_Indiv[[Excl Score]:[Excl Score]],0),"")</f>
        <v>6</v>
      </c>
      <c r="AZ11" s="150">
        <f>IFERROR(AVERAGEIFS(Upload_Indiv[Score7],Upload_Indiv[[Player]:[Player]],$A11,Upload_Indiv[[Side]:[Side]],"Raintree Back",Upload_Indiv[[Excl Score]:[Excl Score]],0),"")</f>
        <v>3.5</v>
      </c>
      <c r="BA11" s="150">
        <f t="shared" si="17"/>
        <v>0.5</v>
      </c>
      <c r="BB11" s="151">
        <f>IFERROR(COUNTIFS(Upload_Indiv[[Player]:[Player]],$A11,Upload_Indiv[[Side]:[Side]],"Raintree Back",Upload_Indiv[[Excl Score]:[Excl Score]],0),"")</f>
        <v>6</v>
      </c>
      <c r="BC11" s="152">
        <f>IFERROR(AVERAGEIFS(Upload_Indiv[Score8],Upload_Indiv[[Player]:[Player]],$A11,Upload_Indiv[[Side]:[Side]],"Raintree Back",Upload_Indiv[[Excl Score]:[Excl Score]],0),"")</f>
        <v>4.666666666666667</v>
      </c>
      <c r="BD11" s="152">
        <f t="shared" si="18"/>
        <v>-0.33333333333333304</v>
      </c>
      <c r="BE11" s="149">
        <f>IFERROR(COUNTIFS(Upload_Indiv[[Player]:[Player]],$A11,Upload_Indiv[[Side]:[Side]],"Raintree Back",Upload_Indiv[[Excl Score]:[Excl Score]],0),"")</f>
        <v>6</v>
      </c>
      <c r="BF11" s="150">
        <f>IFERROR(AVERAGEIFS(Upload_Indiv[Score9],Upload_Indiv[[Player]:[Player]],$A11,Upload_Indiv[[Side]:[Side]],"Raintree Back",Upload_Indiv[[Excl Score]:[Excl Score]],0),"")</f>
        <v>5.5</v>
      </c>
      <c r="BG11" s="150">
        <f t="shared" si="19"/>
        <v>-0.5</v>
      </c>
      <c r="BH11" s="165">
        <f t="shared" si="20"/>
        <v>6</v>
      </c>
      <c r="BI11" s="165">
        <f t="shared" si="21"/>
        <v>42.999999999999993</v>
      </c>
      <c r="BJ11" s="165">
        <f t="shared" si="21"/>
        <v>2.9999999999999996</v>
      </c>
    </row>
    <row r="12" spans="1:62" ht="15" customHeight="1" x14ac:dyDescent="0.25">
      <c r="A12" s="4" t="s">
        <v>30</v>
      </c>
      <c r="B12" s="170">
        <f>IFERROR(AVERAGEIFS(Upload_Indiv[Hdcp],Upload_Indiv[[Player]:[Player]],$A12,Upload_Indiv[[Excl Score]:[Excl Score]],0),"")</f>
        <v>0</v>
      </c>
      <c r="C12" s="149">
        <f>IFERROR(COUNTIFS(Upload_Indiv[[Player]:[Player]],$A12,Upload_Indiv[[Side]:[Side]],"Raintree Front",Upload_Indiv[[Excl Score]:[Excl Score]],0),"")</f>
        <v>0</v>
      </c>
      <c r="D12" s="150" t="str">
        <f>IFERROR(AVERAGEIFS(Upload_Indiv[Score1],Upload_Indiv[[Player]:[Player]],$A12,Upload_Indiv[[Side]:[Side]],"Raintree Front",Upload_Indiv[[Excl Score]:[Excl Score]],0),"")</f>
        <v/>
      </c>
      <c r="E12" s="150" t="str">
        <f t="shared" si="0"/>
        <v/>
      </c>
      <c r="F12" s="151">
        <f>IFERROR(COUNTIFS(Upload_Indiv[[Player]:[Player]],$A12,Upload_Indiv[[Side]:[Side]],"Raintree Front",Upload_Indiv[[Excl Score]:[Excl Score]],0),"")</f>
        <v>0</v>
      </c>
      <c r="G12" s="152" t="str">
        <f>IFERROR(AVERAGEIFS(Upload_Indiv[Score2],Upload_Indiv[[Player]:[Player]],$A12,Upload_Indiv[[Side]:[Side]],"Raintree Front",Upload_Indiv[[Excl Score]:[Excl Score]],0),"")</f>
        <v/>
      </c>
      <c r="H12" s="152" t="str">
        <f t="shared" si="1"/>
        <v/>
      </c>
      <c r="I12" s="149">
        <f>IFERROR(COUNTIFS(Upload_Indiv[[Player]:[Player]],$A12,Upload_Indiv[[Side]:[Side]],"Raintree Front",Upload_Indiv[[Excl Score]:[Excl Score]],0),"")</f>
        <v>0</v>
      </c>
      <c r="J12" s="150" t="str">
        <f>IFERROR(AVERAGEIFS(Upload_Indiv[Score3],Upload_Indiv[[Player]:[Player]],$A12,Upload_Indiv[[Side]:[Side]],"Raintree Front",Upload_Indiv[[Excl Score]:[Excl Score]],0),"")</f>
        <v/>
      </c>
      <c r="K12" s="150" t="str">
        <f t="shared" si="2"/>
        <v/>
      </c>
      <c r="L12" s="151">
        <f>IFERROR(COUNTIFS(Upload_Indiv[[Player]:[Player]],$A12,Upload_Indiv[[Side]:[Side]],"Raintree Front",Upload_Indiv[[Excl Score]:[Excl Score]],0),"")</f>
        <v>0</v>
      </c>
      <c r="M12" s="152" t="str">
        <f>IFERROR(AVERAGEIFS(Upload_Indiv[Score4],Upload_Indiv[[Player]:[Player]],$A12,Upload_Indiv[[Side]:[Side]],"Raintree Front",Upload_Indiv[[Excl Score]:[Excl Score]],0),"")</f>
        <v/>
      </c>
      <c r="N12" s="152" t="str">
        <f t="shared" si="3"/>
        <v/>
      </c>
      <c r="O12" s="149">
        <f>IFERROR(COUNTIFS(Upload_Indiv[[Player]:[Player]],$A12,Upload_Indiv[[Side]:[Side]],"Raintree Front",Upload_Indiv[[Excl Score]:[Excl Score]],0),"")</f>
        <v>0</v>
      </c>
      <c r="P12" s="150" t="str">
        <f>IFERROR(AVERAGEIFS(Upload_Indiv[Score5],Upload_Indiv[[Player]:[Player]],$A12,Upload_Indiv[[Side]:[Side]],"Raintree Front",Upload_Indiv[[Excl Score]:[Excl Score]],0),"")</f>
        <v/>
      </c>
      <c r="Q12" s="150" t="str">
        <f t="shared" si="4"/>
        <v/>
      </c>
      <c r="R12" s="151">
        <f>IFERROR(COUNTIFS(Upload_Indiv[[Player]:[Player]],$A12,Upload_Indiv[[Side]:[Side]],"Raintree Front",Upload_Indiv[[Excl Score]:[Excl Score]],0),"")</f>
        <v>0</v>
      </c>
      <c r="S12" s="152" t="str">
        <f>IFERROR(AVERAGEIFS(Upload_Indiv[Score6],Upload_Indiv[[Player]:[Player]],$A12,Upload_Indiv[[Side]:[Side]],"Raintree Front",Upload_Indiv[[Excl Score]:[Excl Score]],0),"")</f>
        <v/>
      </c>
      <c r="T12" s="152" t="str">
        <f t="shared" si="5"/>
        <v/>
      </c>
      <c r="U12" s="149">
        <f>IFERROR(COUNTIFS(Upload_Indiv[[Player]:[Player]],$A12,Upload_Indiv[[Side]:[Side]],"Raintree Front",Upload_Indiv[[Excl Score]:[Excl Score]],0),"")</f>
        <v>0</v>
      </c>
      <c r="V12" s="150" t="str">
        <f>IFERROR(AVERAGEIFS(Upload_Indiv[Score7],Upload_Indiv[[Player]:[Player]],$A12,Upload_Indiv[[Side]:[Side]],"Raintree Front",Upload_Indiv[[Excl Score]:[Excl Score]],0),"")</f>
        <v/>
      </c>
      <c r="W12" s="150" t="str">
        <f t="shared" si="6"/>
        <v/>
      </c>
      <c r="X12" s="151">
        <f>IFERROR(COUNTIFS(Upload_Indiv[[Player]:[Player]],$A12,Upload_Indiv[[Side]:[Side]],"Raintree Front",Upload_Indiv[[Excl Score]:[Excl Score]],0),"")</f>
        <v>0</v>
      </c>
      <c r="Y12" s="152" t="str">
        <f>IFERROR(AVERAGEIFS(Upload_Indiv[Score8],Upload_Indiv[[Player]:[Player]],$A12,Upload_Indiv[[Side]:[Side]],"Raintree Front",Upload_Indiv[[Excl Score]:[Excl Score]],0),"")</f>
        <v/>
      </c>
      <c r="Z12" s="152" t="str">
        <f t="shared" si="7"/>
        <v/>
      </c>
      <c r="AA12" s="149">
        <f>IFERROR(COUNTIFS(Upload_Indiv[[Player]:[Player]],$A12,Upload_Indiv[[Side]:[Side]],"Raintree Front",Upload_Indiv[[Excl Score]:[Excl Score]],0),"")</f>
        <v>0</v>
      </c>
      <c r="AB12" s="150" t="str">
        <f>IFERROR(AVERAGEIFS(Upload_Indiv[Score9],Upload_Indiv[[Player]:[Player]],$A12,Upload_Indiv[[Side]:[Side]],"Raintree Front",Upload_Indiv[[Excl Score]:[Excl Score]],0),"")</f>
        <v/>
      </c>
      <c r="AC12" s="150" t="str">
        <f t="shared" si="8"/>
        <v/>
      </c>
      <c r="AD12" s="165">
        <f t="shared" si="9"/>
        <v>0</v>
      </c>
      <c r="AE12" s="165">
        <f t="shared" si="10"/>
        <v>0</v>
      </c>
      <c r="AF12" s="165">
        <f t="shared" si="10"/>
        <v>0</v>
      </c>
      <c r="AG12" s="149">
        <f>IFERROR(COUNTIFS(Upload_Indiv[[Player]:[Player]],$A12,Upload_Indiv[[Side]:[Side]],"Raintree Back",Upload_Indiv[[Excl Score]:[Excl Score]],0),"")</f>
        <v>1</v>
      </c>
      <c r="AH12" s="150">
        <f>IFERROR(AVERAGEIFS(Upload_Indiv[Score1],Upload_Indiv[[Player]:[Player]],$A12,Upload_Indiv[[Side]:[Side]],"Raintree Back",Upload_Indiv[[Excl Score]:[Excl Score]],0),"")</f>
        <v>4</v>
      </c>
      <c r="AI12" s="150">
        <f t="shared" si="11"/>
        <v>0</v>
      </c>
      <c r="AJ12" s="151">
        <f>IFERROR(COUNTIFS(Upload_Indiv[[Player]:[Player]],$A12,Upload_Indiv[[Side]:[Side]],"Raintree Back",Upload_Indiv[[Excl Score]:[Excl Score]],0),"")</f>
        <v>1</v>
      </c>
      <c r="AK12" s="152">
        <f>IFERROR(AVERAGEIFS(Upload_Indiv[Score2],Upload_Indiv[[Player]:[Player]],$A12,Upload_Indiv[[Side]:[Side]],"Raintree Back",Upload_Indiv[[Excl Score]:[Excl Score]],0),"")</f>
        <v>3</v>
      </c>
      <c r="AL12" s="152">
        <f t="shared" si="12"/>
        <v>0</v>
      </c>
      <c r="AM12" s="149">
        <f>IFERROR(COUNTIFS(Upload_Indiv[[Player]:[Player]],$A12,Upload_Indiv[[Side]:[Side]],"Raintree Back",Upload_Indiv[[Excl Score]:[Excl Score]],0),"")</f>
        <v>1</v>
      </c>
      <c r="AN12" s="150">
        <f>IFERROR(AVERAGEIFS(Upload_Indiv[Score3],Upload_Indiv[[Player]:[Player]],$A12,Upload_Indiv[[Side]:[Side]],"Raintree Back",Upload_Indiv[[Excl Score]:[Excl Score]],0),"")</f>
        <v>4</v>
      </c>
      <c r="AO12" s="150">
        <f t="shared" si="13"/>
        <v>0</v>
      </c>
      <c r="AP12" s="151">
        <f>IFERROR(COUNTIFS(Upload_Indiv[[Player]:[Player]],$A12,Upload_Indiv[[Side]:[Side]],"Raintree Back",Upload_Indiv[[Excl Score]:[Excl Score]],0),"")</f>
        <v>1</v>
      </c>
      <c r="AQ12" s="152">
        <f>IFERROR(AVERAGEIFS(Upload_Indiv[Score4],Upload_Indiv[[Player]:[Player]],$A12,Upload_Indiv[[Side]:[Side]],"Raintree Back",Upload_Indiv[[Excl Score]:[Excl Score]],0),"")</f>
        <v>5</v>
      </c>
      <c r="AR12" s="152">
        <f t="shared" si="14"/>
        <v>1</v>
      </c>
      <c r="AS12" s="149">
        <f>IFERROR(COUNTIFS(Upload_Indiv[[Player]:[Player]],$A12,Upload_Indiv[[Side]:[Side]],"Raintree Back",Upload_Indiv[[Excl Score]:[Excl Score]],0),"")</f>
        <v>1</v>
      </c>
      <c r="AT12" s="150">
        <f>IFERROR(AVERAGEIFS(Upload_Indiv[Score5],Upload_Indiv[[Player]:[Player]],$A12,Upload_Indiv[[Side]:[Side]],"Raintree Back",Upload_Indiv[[Excl Score]:[Excl Score]],0),"")</f>
        <v>5</v>
      </c>
      <c r="AU12" s="150">
        <f t="shared" si="15"/>
        <v>1</v>
      </c>
      <c r="AV12" s="151">
        <f>IFERROR(COUNTIFS(Upload_Indiv[[Player]:[Player]],$A12,Upload_Indiv[[Side]:[Side]],"Raintree Back",Upload_Indiv[[Excl Score]:[Excl Score]],0),"")</f>
        <v>1</v>
      </c>
      <c r="AW12" s="152">
        <f>IFERROR(AVERAGEIFS(Upload_Indiv[Score6],Upload_Indiv[[Player]:[Player]],$A12,Upload_Indiv[[Side]:[Side]],"Raintree Back",Upload_Indiv[[Excl Score]:[Excl Score]],0),"")</f>
        <v>5</v>
      </c>
      <c r="AX12" s="152">
        <f t="shared" si="16"/>
        <v>0</v>
      </c>
      <c r="AY12" s="149">
        <f>IFERROR(COUNTIFS(Upload_Indiv[[Player]:[Player]],$A12,Upload_Indiv[[Side]:[Side]],"Raintree Back",Upload_Indiv[[Excl Score]:[Excl Score]],0),"")</f>
        <v>1</v>
      </c>
      <c r="AZ12" s="150">
        <f>IFERROR(AVERAGEIFS(Upload_Indiv[Score7],Upload_Indiv[[Player]:[Player]],$A12,Upload_Indiv[[Side]:[Side]],"Raintree Back",Upload_Indiv[[Excl Score]:[Excl Score]],0),"")</f>
        <v>3</v>
      </c>
      <c r="BA12" s="150">
        <f t="shared" si="17"/>
        <v>0</v>
      </c>
      <c r="BB12" s="151">
        <f>IFERROR(COUNTIFS(Upload_Indiv[[Player]:[Player]],$A12,Upload_Indiv[[Side]:[Side]],"Raintree Back",Upload_Indiv[[Excl Score]:[Excl Score]],0),"")</f>
        <v>1</v>
      </c>
      <c r="BC12" s="152">
        <f>IFERROR(AVERAGEIFS(Upload_Indiv[Score8],Upload_Indiv[[Player]:[Player]],$A12,Upload_Indiv[[Side]:[Side]],"Raintree Back",Upload_Indiv[[Excl Score]:[Excl Score]],0),"")</f>
        <v>5</v>
      </c>
      <c r="BD12" s="152">
        <f t="shared" si="18"/>
        <v>1</v>
      </c>
      <c r="BE12" s="149">
        <f>IFERROR(COUNTIFS(Upload_Indiv[[Player]:[Player]],$A12,Upload_Indiv[[Side]:[Side]],"Raintree Back",Upload_Indiv[[Excl Score]:[Excl Score]],0),"")</f>
        <v>1</v>
      </c>
      <c r="BF12" s="150">
        <f>IFERROR(AVERAGEIFS(Upload_Indiv[Score9],Upload_Indiv[[Player]:[Player]],$A12,Upload_Indiv[[Side]:[Side]],"Raintree Back",Upload_Indiv[[Excl Score]:[Excl Score]],0),"")</f>
        <v>6</v>
      </c>
      <c r="BG12" s="150">
        <f t="shared" si="19"/>
        <v>1</v>
      </c>
      <c r="BH12" s="165">
        <f t="shared" si="20"/>
        <v>1</v>
      </c>
      <c r="BI12" s="165">
        <f t="shared" si="21"/>
        <v>40</v>
      </c>
      <c r="BJ12" s="165">
        <f t="shared" si="21"/>
        <v>4</v>
      </c>
    </row>
    <row r="13" spans="1:62" ht="15" customHeight="1" x14ac:dyDescent="0.25">
      <c r="A13" s="4" t="s">
        <v>323</v>
      </c>
      <c r="B13" s="170">
        <f>IFERROR(AVERAGEIFS(Upload_Indiv[Hdcp],Upload_Indiv[[Player]:[Player]],$A13,Upload_Indiv[[Excl Score]:[Excl Score]],0),"")</f>
        <v>0</v>
      </c>
      <c r="C13" s="149">
        <f>IFERROR(COUNTIFS(Upload_Indiv[[Player]:[Player]],$A13,Upload_Indiv[[Side]:[Side]],"Raintree Front",Upload_Indiv[[Excl Score]:[Excl Score]],0),"")</f>
        <v>7</v>
      </c>
      <c r="D13" s="150">
        <f>IFERROR(AVERAGEIFS(Upload_Indiv[Score1],Upload_Indiv[[Player]:[Player]],$A13,Upload_Indiv[[Side]:[Side]],"Raintree Front",Upload_Indiv[[Excl Score]:[Excl Score]],0),"")</f>
        <v>5</v>
      </c>
      <c r="E13" s="150">
        <f t="shared" si="0"/>
        <v>1</v>
      </c>
      <c r="F13" s="151">
        <f>IFERROR(COUNTIFS(Upload_Indiv[[Player]:[Player]],$A13,Upload_Indiv[[Side]:[Side]],"Raintree Front",Upload_Indiv[[Excl Score]:[Excl Score]],0),"")</f>
        <v>7</v>
      </c>
      <c r="G13" s="152">
        <f>IFERROR(AVERAGEIFS(Upload_Indiv[Score2],Upload_Indiv[[Player]:[Player]],$A13,Upload_Indiv[[Side]:[Side]],"Raintree Front",Upload_Indiv[[Excl Score]:[Excl Score]],0),"")</f>
        <v>5</v>
      </c>
      <c r="H13" s="152">
        <f t="shared" si="1"/>
        <v>0</v>
      </c>
      <c r="I13" s="149">
        <f>IFERROR(COUNTIFS(Upload_Indiv[[Player]:[Player]],$A13,Upload_Indiv[[Side]:[Side]],"Raintree Front",Upload_Indiv[[Excl Score]:[Excl Score]],0),"")</f>
        <v>7</v>
      </c>
      <c r="J13" s="150">
        <f>IFERROR(AVERAGEIFS(Upload_Indiv[Score3],Upload_Indiv[[Player]:[Player]],$A13,Upload_Indiv[[Side]:[Side]],"Raintree Front",Upload_Indiv[[Excl Score]:[Excl Score]],0),"")</f>
        <v>4</v>
      </c>
      <c r="K13" s="150">
        <f t="shared" si="2"/>
        <v>0</v>
      </c>
      <c r="L13" s="151">
        <f>IFERROR(COUNTIFS(Upload_Indiv[[Player]:[Player]],$A13,Upload_Indiv[[Side]:[Side]],"Raintree Front",Upload_Indiv[[Excl Score]:[Excl Score]],0),"")</f>
        <v>7</v>
      </c>
      <c r="M13" s="152">
        <f>IFERROR(AVERAGEIFS(Upload_Indiv[Score4],Upload_Indiv[[Player]:[Player]],$A13,Upload_Indiv[[Side]:[Side]],"Raintree Front",Upload_Indiv[[Excl Score]:[Excl Score]],0),"")</f>
        <v>3</v>
      </c>
      <c r="N13" s="152">
        <f t="shared" si="3"/>
        <v>0</v>
      </c>
      <c r="O13" s="149">
        <f>IFERROR(COUNTIFS(Upload_Indiv[[Player]:[Player]],$A13,Upload_Indiv[[Side]:[Side]],"Raintree Front",Upload_Indiv[[Excl Score]:[Excl Score]],0),"")</f>
        <v>7</v>
      </c>
      <c r="P13" s="150">
        <f>IFERROR(AVERAGEIFS(Upload_Indiv[Score5],Upload_Indiv[[Player]:[Player]],$A13,Upload_Indiv[[Side]:[Side]],"Raintree Front",Upload_Indiv[[Excl Score]:[Excl Score]],0),"")</f>
        <v>4</v>
      </c>
      <c r="Q13" s="150">
        <f t="shared" si="4"/>
        <v>0</v>
      </c>
      <c r="R13" s="151">
        <f>IFERROR(COUNTIFS(Upload_Indiv[[Player]:[Player]],$A13,Upload_Indiv[[Side]:[Side]],"Raintree Front",Upload_Indiv[[Excl Score]:[Excl Score]],0),"")</f>
        <v>7</v>
      </c>
      <c r="S13" s="152">
        <f>IFERROR(AVERAGEIFS(Upload_Indiv[Score6],Upload_Indiv[[Player]:[Player]],$A13,Upload_Indiv[[Side]:[Side]],"Raintree Front",Upload_Indiv[[Excl Score]:[Excl Score]],0),"")</f>
        <v>5</v>
      </c>
      <c r="T13" s="152">
        <f t="shared" si="5"/>
        <v>1</v>
      </c>
      <c r="U13" s="149">
        <f>IFERROR(COUNTIFS(Upload_Indiv[[Player]:[Player]],$A13,Upload_Indiv[[Side]:[Side]],"Raintree Front",Upload_Indiv[[Excl Score]:[Excl Score]],0),"")</f>
        <v>7</v>
      </c>
      <c r="V13" s="150">
        <f>IFERROR(AVERAGEIFS(Upload_Indiv[Score7],Upload_Indiv[[Player]:[Player]],$A13,Upload_Indiv[[Side]:[Side]],"Raintree Front",Upload_Indiv[[Excl Score]:[Excl Score]],0),"")</f>
        <v>5</v>
      </c>
      <c r="W13" s="150">
        <f t="shared" si="6"/>
        <v>0</v>
      </c>
      <c r="X13" s="151">
        <f>IFERROR(COUNTIFS(Upload_Indiv[[Player]:[Player]],$A13,Upload_Indiv[[Side]:[Side]],"Raintree Front",Upload_Indiv[[Excl Score]:[Excl Score]],0),"")</f>
        <v>7</v>
      </c>
      <c r="Y13" s="152">
        <f>IFERROR(AVERAGEIFS(Upload_Indiv[Score8],Upload_Indiv[[Player]:[Player]],$A13,Upload_Indiv[[Side]:[Side]],"Raintree Front",Upload_Indiv[[Excl Score]:[Excl Score]],0),"")</f>
        <v>3</v>
      </c>
      <c r="Z13" s="152">
        <f t="shared" si="7"/>
        <v>0</v>
      </c>
      <c r="AA13" s="149">
        <f>IFERROR(COUNTIFS(Upload_Indiv[[Player]:[Player]],$A13,Upload_Indiv[[Side]:[Side]],"Raintree Front",Upload_Indiv[[Excl Score]:[Excl Score]],0),"")</f>
        <v>7</v>
      </c>
      <c r="AB13" s="150">
        <f>IFERROR(AVERAGEIFS(Upload_Indiv[Score9],Upload_Indiv[[Player]:[Player]],$A13,Upload_Indiv[[Side]:[Side]],"Raintree Front",Upload_Indiv[[Excl Score]:[Excl Score]],0),"")</f>
        <v>4</v>
      </c>
      <c r="AC13" s="150">
        <f t="shared" si="8"/>
        <v>0</v>
      </c>
      <c r="AD13" s="165">
        <f t="shared" si="9"/>
        <v>7</v>
      </c>
      <c r="AE13" s="165">
        <f t="shared" si="10"/>
        <v>38</v>
      </c>
      <c r="AF13" s="165">
        <f t="shared" si="10"/>
        <v>2</v>
      </c>
      <c r="AG13" s="149">
        <f>IFERROR(COUNTIFS(Upload_Indiv[[Player]:[Player]],$A13,Upload_Indiv[[Side]:[Side]],"Raintree Back",Upload_Indiv[[Excl Score]:[Excl Score]],0),"")</f>
        <v>7</v>
      </c>
      <c r="AH13" s="150">
        <f>IFERROR(AVERAGEIFS(Upload_Indiv[Score1],Upload_Indiv[[Player]:[Player]],$A13,Upload_Indiv[[Side]:[Side]],"Raintree Back",Upload_Indiv[[Excl Score]:[Excl Score]],0),"")</f>
        <v>4</v>
      </c>
      <c r="AI13" s="150">
        <f t="shared" si="11"/>
        <v>0</v>
      </c>
      <c r="AJ13" s="151">
        <f>IFERROR(COUNTIFS(Upload_Indiv[[Player]:[Player]],$A13,Upload_Indiv[[Side]:[Side]],"Raintree Back",Upload_Indiv[[Excl Score]:[Excl Score]],0),"")</f>
        <v>7</v>
      </c>
      <c r="AK13" s="152">
        <f>IFERROR(AVERAGEIFS(Upload_Indiv[Score2],Upload_Indiv[[Player]:[Player]],$A13,Upload_Indiv[[Side]:[Side]],"Raintree Back",Upload_Indiv[[Excl Score]:[Excl Score]],0),"")</f>
        <v>3</v>
      </c>
      <c r="AL13" s="152">
        <f t="shared" si="12"/>
        <v>0</v>
      </c>
      <c r="AM13" s="149">
        <f>IFERROR(COUNTIFS(Upload_Indiv[[Player]:[Player]],$A13,Upload_Indiv[[Side]:[Side]],"Raintree Back",Upload_Indiv[[Excl Score]:[Excl Score]],0),"")</f>
        <v>7</v>
      </c>
      <c r="AN13" s="150">
        <f>IFERROR(AVERAGEIFS(Upload_Indiv[Score3],Upload_Indiv[[Player]:[Player]],$A13,Upload_Indiv[[Side]:[Side]],"Raintree Back",Upload_Indiv[[Excl Score]:[Excl Score]],0),"")</f>
        <v>4</v>
      </c>
      <c r="AO13" s="150">
        <f t="shared" si="13"/>
        <v>0</v>
      </c>
      <c r="AP13" s="151">
        <f>IFERROR(COUNTIFS(Upload_Indiv[[Player]:[Player]],$A13,Upload_Indiv[[Side]:[Side]],"Raintree Back",Upload_Indiv[[Excl Score]:[Excl Score]],0),"")</f>
        <v>7</v>
      </c>
      <c r="AQ13" s="152">
        <f>IFERROR(AVERAGEIFS(Upload_Indiv[Score4],Upload_Indiv[[Player]:[Player]],$A13,Upload_Indiv[[Side]:[Side]],"Raintree Back",Upload_Indiv[[Excl Score]:[Excl Score]],0),"")</f>
        <v>5</v>
      </c>
      <c r="AR13" s="152">
        <f t="shared" si="14"/>
        <v>1</v>
      </c>
      <c r="AS13" s="149">
        <f>IFERROR(COUNTIFS(Upload_Indiv[[Player]:[Player]],$A13,Upload_Indiv[[Side]:[Side]],"Raintree Back",Upload_Indiv[[Excl Score]:[Excl Score]],0),"")</f>
        <v>7</v>
      </c>
      <c r="AT13" s="150">
        <f>IFERROR(AVERAGEIFS(Upload_Indiv[Score5],Upload_Indiv[[Player]:[Player]],$A13,Upload_Indiv[[Side]:[Side]],"Raintree Back",Upload_Indiv[[Excl Score]:[Excl Score]],0),"")</f>
        <v>4</v>
      </c>
      <c r="AU13" s="150">
        <f t="shared" si="15"/>
        <v>0</v>
      </c>
      <c r="AV13" s="151">
        <f>IFERROR(COUNTIFS(Upload_Indiv[[Player]:[Player]],$A13,Upload_Indiv[[Side]:[Side]],"Raintree Back",Upload_Indiv[[Excl Score]:[Excl Score]],0),"")</f>
        <v>7</v>
      </c>
      <c r="AW13" s="152">
        <f>IFERROR(AVERAGEIFS(Upload_Indiv[Score6],Upload_Indiv[[Player]:[Player]],$A13,Upload_Indiv[[Side]:[Side]],"Raintree Back",Upload_Indiv[[Excl Score]:[Excl Score]],0),"")</f>
        <v>5</v>
      </c>
      <c r="AX13" s="152">
        <f t="shared" si="16"/>
        <v>0</v>
      </c>
      <c r="AY13" s="149">
        <f>IFERROR(COUNTIFS(Upload_Indiv[[Player]:[Player]],$A13,Upload_Indiv[[Side]:[Side]],"Raintree Back",Upload_Indiv[[Excl Score]:[Excl Score]],0),"")</f>
        <v>7</v>
      </c>
      <c r="AZ13" s="150">
        <f>IFERROR(AVERAGEIFS(Upload_Indiv[Score7],Upload_Indiv[[Player]:[Player]],$A13,Upload_Indiv[[Side]:[Side]],"Raintree Back",Upload_Indiv[[Excl Score]:[Excl Score]],0),"")</f>
        <v>3</v>
      </c>
      <c r="BA13" s="150">
        <f t="shared" si="17"/>
        <v>0</v>
      </c>
      <c r="BB13" s="151">
        <f>IFERROR(COUNTIFS(Upload_Indiv[[Player]:[Player]],$A13,Upload_Indiv[[Side]:[Side]],"Raintree Back",Upload_Indiv[[Excl Score]:[Excl Score]],0),"")</f>
        <v>7</v>
      </c>
      <c r="BC13" s="152">
        <f>IFERROR(AVERAGEIFS(Upload_Indiv[Score8],Upload_Indiv[[Player]:[Player]],$A13,Upload_Indiv[[Side]:[Side]],"Raintree Back",Upload_Indiv[[Excl Score]:[Excl Score]],0),"")</f>
        <v>5</v>
      </c>
      <c r="BD13" s="152">
        <f t="shared" si="18"/>
        <v>1</v>
      </c>
      <c r="BE13" s="149">
        <f>IFERROR(COUNTIFS(Upload_Indiv[[Player]:[Player]],$A13,Upload_Indiv[[Side]:[Side]],"Raintree Back",Upload_Indiv[[Excl Score]:[Excl Score]],0),"")</f>
        <v>7</v>
      </c>
      <c r="BF13" s="150">
        <f>IFERROR(AVERAGEIFS(Upload_Indiv[Score9],Upload_Indiv[[Player]:[Player]],$A13,Upload_Indiv[[Side]:[Side]],"Raintree Back",Upload_Indiv[[Excl Score]:[Excl Score]],0),"")</f>
        <v>5</v>
      </c>
      <c r="BG13" s="150">
        <f t="shared" si="19"/>
        <v>0</v>
      </c>
      <c r="BH13" s="165">
        <f t="shared" si="20"/>
        <v>7</v>
      </c>
      <c r="BI13" s="165">
        <f t="shared" si="21"/>
        <v>38</v>
      </c>
      <c r="BJ13" s="165">
        <f t="shared" si="21"/>
        <v>2</v>
      </c>
    </row>
    <row r="14" spans="1:62" ht="15" customHeight="1" x14ac:dyDescent="0.25">
      <c r="A14" s="4" t="s">
        <v>324</v>
      </c>
      <c r="B14" s="170">
        <f>IFERROR(AVERAGEIFS(Upload_Indiv[Hdcp],Upload_Indiv[[Player]:[Player]],$A14,Upload_Indiv[[Excl Score]:[Excl Score]],0),"")</f>
        <v>0</v>
      </c>
      <c r="C14" s="149">
        <f>IFERROR(COUNTIFS(Upload_Indiv[[Player]:[Player]],$A14,Upload_Indiv[[Side]:[Side]],"Raintree Front",Upload_Indiv[[Excl Score]:[Excl Score]],0),"")</f>
        <v>7</v>
      </c>
      <c r="D14" s="150">
        <f>IFERROR(AVERAGEIFS(Upload_Indiv[Score1],Upload_Indiv[[Player]:[Player]],$A14,Upload_Indiv[[Side]:[Side]],"Raintree Front",Upload_Indiv[[Excl Score]:[Excl Score]],0),"")</f>
        <v>5</v>
      </c>
      <c r="E14" s="150">
        <f t="shared" si="0"/>
        <v>1</v>
      </c>
      <c r="F14" s="151">
        <f>IFERROR(COUNTIFS(Upload_Indiv[[Player]:[Player]],$A14,Upload_Indiv[[Side]:[Side]],"Raintree Front",Upload_Indiv[[Excl Score]:[Excl Score]],0),"")</f>
        <v>7</v>
      </c>
      <c r="G14" s="152">
        <f>IFERROR(AVERAGEIFS(Upload_Indiv[Score2],Upload_Indiv[[Player]:[Player]],$A14,Upload_Indiv[[Side]:[Side]],"Raintree Front",Upload_Indiv[[Excl Score]:[Excl Score]],0),"")</f>
        <v>5</v>
      </c>
      <c r="H14" s="152">
        <f t="shared" si="1"/>
        <v>0</v>
      </c>
      <c r="I14" s="149">
        <f>IFERROR(COUNTIFS(Upload_Indiv[[Player]:[Player]],$A14,Upload_Indiv[[Side]:[Side]],"Raintree Front",Upload_Indiv[[Excl Score]:[Excl Score]],0),"")</f>
        <v>7</v>
      </c>
      <c r="J14" s="150">
        <f>IFERROR(AVERAGEIFS(Upload_Indiv[Score3],Upload_Indiv[[Player]:[Player]],$A14,Upload_Indiv[[Side]:[Side]],"Raintree Front",Upload_Indiv[[Excl Score]:[Excl Score]],0),"")</f>
        <v>4</v>
      </c>
      <c r="K14" s="150">
        <f t="shared" si="2"/>
        <v>0</v>
      </c>
      <c r="L14" s="151">
        <f>IFERROR(COUNTIFS(Upload_Indiv[[Player]:[Player]],$A14,Upload_Indiv[[Side]:[Side]],"Raintree Front",Upload_Indiv[[Excl Score]:[Excl Score]],0),"")</f>
        <v>7</v>
      </c>
      <c r="M14" s="152">
        <f>IFERROR(AVERAGEIFS(Upload_Indiv[Score4],Upload_Indiv[[Player]:[Player]],$A14,Upload_Indiv[[Side]:[Side]],"Raintree Front",Upload_Indiv[[Excl Score]:[Excl Score]],0),"")</f>
        <v>3</v>
      </c>
      <c r="N14" s="152">
        <f t="shared" si="3"/>
        <v>0</v>
      </c>
      <c r="O14" s="149">
        <f>IFERROR(COUNTIFS(Upload_Indiv[[Player]:[Player]],$A14,Upload_Indiv[[Side]:[Side]],"Raintree Front",Upload_Indiv[[Excl Score]:[Excl Score]],0),"")</f>
        <v>7</v>
      </c>
      <c r="P14" s="150">
        <f>IFERROR(AVERAGEIFS(Upload_Indiv[Score5],Upload_Indiv[[Player]:[Player]],$A14,Upload_Indiv[[Side]:[Side]],"Raintree Front",Upload_Indiv[[Excl Score]:[Excl Score]],0),"")</f>
        <v>4</v>
      </c>
      <c r="Q14" s="150">
        <f t="shared" si="4"/>
        <v>0</v>
      </c>
      <c r="R14" s="151">
        <f>IFERROR(COUNTIFS(Upload_Indiv[[Player]:[Player]],$A14,Upload_Indiv[[Side]:[Side]],"Raintree Front",Upload_Indiv[[Excl Score]:[Excl Score]],0),"")</f>
        <v>7</v>
      </c>
      <c r="S14" s="152">
        <f>IFERROR(AVERAGEIFS(Upload_Indiv[Score6],Upload_Indiv[[Player]:[Player]],$A14,Upload_Indiv[[Side]:[Side]],"Raintree Front",Upload_Indiv[[Excl Score]:[Excl Score]],0),"")</f>
        <v>5</v>
      </c>
      <c r="T14" s="152">
        <f t="shared" si="5"/>
        <v>1</v>
      </c>
      <c r="U14" s="149">
        <f>IFERROR(COUNTIFS(Upload_Indiv[[Player]:[Player]],$A14,Upload_Indiv[[Side]:[Side]],"Raintree Front",Upload_Indiv[[Excl Score]:[Excl Score]],0),"")</f>
        <v>7</v>
      </c>
      <c r="V14" s="150">
        <f>IFERROR(AVERAGEIFS(Upload_Indiv[Score7],Upload_Indiv[[Player]:[Player]],$A14,Upload_Indiv[[Side]:[Side]],"Raintree Front",Upload_Indiv[[Excl Score]:[Excl Score]],0),"")</f>
        <v>5</v>
      </c>
      <c r="W14" s="150">
        <f t="shared" si="6"/>
        <v>0</v>
      </c>
      <c r="X14" s="151">
        <f>IFERROR(COUNTIFS(Upload_Indiv[[Player]:[Player]],$A14,Upload_Indiv[[Side]:[Side]],"Raintree Front",Upload_Indiv[[Excl Score]:[Excl Score]],0),"")</f>
        <v>7</v>
      </c>
      <c r="Y14" s="152">
        <f>IFERROR(AVERAGEIFS(Upload_Indiv[Score8],Upload_Indiv[[Player]:[Player]],$A14,Upload_Indiv[[Side]:[Side]],"Raintree Front",Upload_Indiv[[Excl Score]:[Excl Score]],0),"")</f>
        <v>3</v>
      </c>
      <c r="Z14" s="152">
        <f t="shared" si="7"/>
        <v>0</v>
      </c>
      <c r="AA14" s="149">
        <f>IFERROR(COUNTIFS(Upload_Indiv[[Player]:[Player]],$A14,Upload_Indiv[[Side]:[Side]],"Raintree Front",Upload_Indiv[[Excl Score]:[Excl Score]],0),"")</f>
        <v>7</v>
      </c>
      <c r="AB14" s="150">
        <f>IFERROR(AVERAGEIFS(Upload_Indiv[Score9],Upload_Indiv[[Player]:[Player]],$A14,Upload_Indiv[[Side]:[Side]],"Raintree Front",Upload_Indiv[[Excl Score]:[Excl Score]],0),"")</f>
        <v>4</v>
      </c>
      <c r="AC14" s="150">
        <f t="shared" si="8"/>
        <v>0</v>
      </c>
      <c r="AD14" s="165">
        <f t="shared" si="9"/>
        <v>7</v>
      </c>
      <c r="AE14" s="165">
        <f t="shared" si="10"/>
        <v>38</v>
      </c>
      <c r="AF14" s="165">
        <f t="shared" si="10"/>
        <v>2</v>
      </c>
      <c r="AG14" s="149">
        <f>IFERROR(COUNTIFS(Upload_Indiv[[Player]:[Player]],$A14,Upload_Indiv[[Side]:[Side]],"Raintree Back",Upload_Indiv[[Excl Score]:[Excl Score]],0),"")</f>
        <v>7</v>
      </c>
      <c r="AH14" s="150">
        <f>IFERROR(AVERAGEIFS(Upload_Indiv[Score1],Upload_Indiv[[Player]:[Player]],$A14,Upload_Indiv[[Side]:[Side]],"Raintree Back",Upload_Indiv[[Excl Score]:[Excl Score]],0),"")</f>
        <v>4</v>
      </c>
      <c r="AI14" s="150">
        <f t="shared" si="11"/>
        <v>0</v>
      </c>
      <c r="AJ14" s="151">
        <f>IFERROR(COUNTIFS(Upload_Indiv[[Player]:[Player]],$A14,Upload_Indiv[[Side]:[Side]],"Raintree Back",Upload_Indiv[[Excl Score]:[Excl Score]],0),"")</f>
        <v>7</v>
      </c>
      <c r="AK14" s="152">
        <f>IFERROR(AVERAGEIFS(Upload_Indiv[Score2],Upload_Indiv[[Player]:[Player]],$A14,Upload_Indiv[[Side]:[Side]],"Raintree Back",Upload_Indiv[[Excl Score]:[Excl Score]],0),"")</f>
        <v>3</v>
      </c>
      <c r="AL14" s="152">
        <f t="shared" si="12"/>
        <v>0</v>
      </c>
      <c r="AM14" s="149">
        <f>IFERROR(COUNTIFS(Upload_Indiv[[Player]:[Player]],$A14,Upload_Indiv[[Side]:[Side]],"Raintree Back",Upload_Indiv[[Excl Score]:[Excl Score]],0),"")</f>
        <v>7</v>
      </c>
      <c r="AN14" s="150">
        <f>IFERROR(AVERAGEIFS(Upload_Indiv[Score3],Upload_Indiv[[Player]:[Player]],$A14,Upload_Indiv[[Side]:[Side]],"Raintree Back",Upload_Indiv[[Excl Score]:[Excl Score]],0),"")</f>
        <v>4</v>
      </c>
      <c r="AO14" s="150">
        <f t="shared" si="13"/>
        <v>0</v>
      </c>
      <c r="AP14" s="151">
        <f>IFERROR(COUNTIFS(Upload_Indiv[[Player]:[Player]],$A14,Upload_Indiv[[Side]:[Side]],"Raintree Back",Upload_Indiv[[Excl Score]:[Excl Score]],0),"")</f>
        <v>7</v>
      </c>
      <c r="AQ14" s="152">
        <f>IFERROR(AVERAGEIFS(Upload_Indiv[Score4],Upload_Indiv[[Player]:[Player]],$A14,Upload_Indiv[[Side]:[Side]],"Raintree Back",Upload_Indiv[[Excl Score]:[Excl Score]],0),"")</f>
        <v>5</v>
      </c>
      <c r="AR14" s="152">
        <f t="shared" si="14"/>
        <v>1</v>
      </c>
      <c r="AS14" s="149">
        <f>IFERROR(COUNTIFS(Upload_Indiv[[Player]:[Player]],$A14,Upload_Indiv[[Side]:[Side]],"Raintree Back",Upload_Indiv[[Excl Score]:[Excl Score]],0),"")</f>
        <v>7</v>
      </c>
      <c r="AT14" s="150">
        <f>IFERROR(AVERAGEIFS(Upload_Indiv[Score5],Upload_Indiv[[Player]:[Player]],$A14,Upload_Indiv[[Side]:[Side]],"Raintree Back",Upload_Indiv[[Excl Score]:[Excl Score]],0),"")</f>
        <v>4</v>
      </c>
      <c r="AU14" s="150">
        <f t="shared" si="15"/>
        <v>0</v>
      </c>
      <c r="AV14" s="151">
        <f>IFERROR(COUNTIFS(Upload_Indiv[[Player]:[Player]],$A14,Upload_Indiv[[Side]:[Side]],"Raintree Back",Upload_Indiv[[Excl Score]:[Excl Score]],0),"")</f>
        <v>7</v>
      </c>
      <c r="AW14" s="152">
        <f>IFERROR(AVERAGEIFS(Upload_Indiv[Score6],Upload_Indiv[[Player]:[Player]],$A14,Upload_Indiv[[Side]:[Side]],"Raintree Back",Upload_Indiv[[Excl Score]:[Excl Score]],0),"")</f>
        <v>5</v>
      </c>
      <c r="AX14" s="152">
        <f t="shared" si="16"/>
        <v>0</v>
      </c>
      <c r="AY14" s="149">
        <f>IFERROR(COUNTIFS(Upload_Indiv[[Player]:[Player]],$A14,Upload_Indiv[[Side]:[Side]],"Raintree Back",Upload_Indiv[[Excl Score]:[Excl Score]],0),"")</f>
        <v>7</v>
      </c>
      <c r="AZ14" s="150">
        <f>IFERROR(AVERAGEIFS(Upload_Indiv[Score7],Upload_Indiv[[Player]:[Player]],$A14,Upload_Indiv[[Side]:[Side]],"Raintree Back",Upload_Indiv[[Excl Score]:[Excl Score]],0),"")</f>
        <v>3</v>
      </c>
      <c r="BA14" s="150">
        <f t="shared" si="17"/>
        <v>0</v>
      </c>
      <c r="BB14" s="151">
        <f>IFERROR(COUNTIFS(Upload_Indiv[[Player]:[Player]],$A14,Upload_Indiv[[Side]:[Side]],"Raintree Back",Upload_Indiv[[Excl Score]:[Excl Score]],0),"")</f>
        <v>7</v>
      </c>
      <c r="BC14" s="152">
        <f>IFERROR(AVERAGEIFS(Upload_Indiv[Score8],Upload_Indiv[[Player]:[Player]],$A14,Upload_Indiv[[Side]:[Side]],"Raintree Back",Upload_Indiv[[Excl Score]:[Excl Score]],0),"")</f>
        <v>5</v>
      </c>
      <c r="BD14" s="152">
        <f t="shared" si="18"/>
        <v>1</v>
      </c>
      <c r="BE14" s="149">
        <f>IFERROR(COUNTIFS(Upload_Indiv[[Player]:[Player]],$A14,Upload_Indiv[[Side]:[Side]],"Raintree Back",Upload_Indiv[[Excl Score]:[Excl Score]],0),"")</f>
        <v>7</v>
      </c>
      <c r="BF14" s="150">
        <f>IFERROR(AVERAGEIFS(Upload_Indiv[Score9],Upload_Indiv[[Player]:[Player]],$A14,Upload_Indiv[[Side]:[Side]],"Raintree Back",Upload_Indiv[[Excl Score]:[Excl Score]],0),"")</f>
        <v>5</v>
      </c>
      <c r="BG14" s="150">
        <f t="shared" si="19"/>
        <v>0</v>
      </c>
      <c r="BH14" s="165">
        <f t="shared" si="20"/>
        <v>7</v>
      </c>
      <c r="BI14" s="165">
        <f t="shared" si="21"/>
        <v>38</v>
      </c>
      <c r="BJ14" s="165">
        <f t="shared" si="21"/>
        <v>2</v>
      </c>
    </row>
    <row r="15" spans="1:62" ht="15" customHeight="1" x14ac:dyDescent="0.25">
      <c r="A15" s="4" t="s">
        <v>325</v>
      </c>
      <c r="B15" s="170">
        <f>IFERROR(AVERAGEIFS(Upload_Indiv[Hdcp],Upload_Indiv[[Player]:[Player]],$A15,Upload_Indiv[[Excl Score]:[Excl Score]],0),"")</f>
        <v>0</v>
      </c>
      <c r="C15" s="149">
        <f>IFERROR(COUNTIFS(Upload_Indiv[[Player]:[Player]],$A15,Upload_Indiv[[Side]:[Side]],"Raintree Front",Upload_Indiv[[Excl Score]:[Excl Score]],0),"")</f>
        <v>7</v>
      </c>
      <c r="D15" s="150">
        <f>IFERROR(AVERAGEIFS(Upload_Indiv[Score1],Upload_Indiv[[Player]:[Player]],$A15,Upload_Indiv[[Side]:[Side]],"Raintree Front",Upload_Indiv[[Excl Score]:[Excl Score]],0),"")</f>
        <v>5</v>
      </c>
      <c r="E15" s="150">
        <f t="shared" si="0"/>
        <v>1</v>
      </c>
      <c r="F15" s="151">
        <f>IFERROR(COUNTIFS(Upload_Indiv[[Player]:[Player]],$A15,Upload_Indiv[[Side]:[Side]],"Raintree Front",Upload_Indiv[[Excl Score]:[Excl Score]],0),"")</f>
        <v>7</v>
      </c>
      <c r="G15" s="152">
        <f>IFERROR(AVERAGEIFS(Upload_Indiv[Score2],Upload_Indiv[[Player]:[Player]],$A15,Upload_Indiv[[Side]:[Side]],"Raintree Front",Upload_Indiv[[Excl Score]:[Excl Score]],0),"")</f>
        <v>5</v>
      </c>
      <c r="H15" s="152">
        <f t="shared" si="1"/>
        <v>0</v>
      </c>
      <c r="I15" s="149">
        <f>IFERROR(COUNTIFS(Upload_Indiv[[Player]:[Player]],$A15,Upload_Indiv[[Side]:[Side]],"Raintree Front",Upload_Indiv[[Excl Score]:[Excl Score]],0),"")</f>
        <v>7</v>
      </c>
      <c r="J15" s="150">
        <f>IFERROR(AVERAGEIFS(Upload_Indiv[Score3],Upload_Indiv[[Player]:[Player]],$A15,Upload_Indiv[[Side]:[Side]],"Raintree Front",Upload_Indiv[[Excl Score]:[Excl Score]],0),"")</f>
        <v>4</v>
      </c>
      <c r="K15" s="150">
        <f t="shared" si="2"/>
        <v>0</v>
      </c>
      <c r="L15" s="151">
        <f>IFERROR(COUNTIFS(Upload_Indiv[[Player]:[Player]],$A15,Upload_Indiv[[Side]:[Side]],"Raintree Front",Upload_Indiv[[Excl Score]:[Excl Score]],0),"")</f>
        <v>7</v>
      </c>
      <c r="M15" s="152">
        <f>IFERROR(AVERAGEIFS(Upload_Indiv[Score4],Upload_Indiv[[Player]:[Player]],$A15,Upload_Indiv[[Side]:[Side]],"Raintree Front",Upload_Indiv[[Excl Score]:[Excl Score]],0),"")</f>
        <v>3</v>
      </c>
      <c r="N15" s="152">
        <f t="shared" si="3"/>
        <v>0</v>
      </c>
      <c r="O15" s="149">
        <f>IFERROR(COUNTIFS(Upload_Indiv[[Player]:[Player]],$A15,Upload_Indiv[[Side]:[Side]],"Raintree Front",Upload_Indiv[[Excl Score]:[Excl Score]],0),"")</f>
        <v>7</v>
      </c>
      <c r="P15" s="150">
        <f>IFERROR(AVERAGEIFS(Upload_Indiv[Score5],Upload_Indiv[[Player]:[Player]],$A15,Upload_Indiv[[Side]:[Side]],"Raintree Front",Upload_Indiv[[Excl Score]:[Excl Score]],0),"")</f>
        <v>4</v>
      </c>
      <c r="Q15" s="150">
        <f t="shared" si="4"/>
        <v>0</v>
      </c>
      <c r="R15" s="151">
        <f>IFERROR(COUNTIFS(Upload_Indiv[[Player]:[Player]],$A15,Upload_Indiv[[Side]:[Side]],"Raintree Front",Upload_Indiv[[Excl Score]:[Excl Score]],0),"")</f>
        <v>7</v>
      </c>
      <c r="S15" s="152">
        <f>IFERROR(AVERAGEIFS(Upload_Indiv[Score6],Upload_Indiv[[Player]:[Player]],$A15,Upload_Indiv[[Side]:[Side]],"Raintree Front",Upload_Indiv[[Excl Score]:[Excl Score]],0),"")</f>
        <v>5</v>
      </c>
      <c r="T15" s="152">
        <f t="shared" si="5"/>
        <v>1</v>
      </c>
      <c r="U15" s="149">
        <f>IFERROR(COUNTIFS(Upload_Indiv[[Player]:[Player]],$A15,Upload_Indiv[[Side]:[Side]],"Raintree Front",Upload_Indiv[[Excl Score]:[Excl Score]],0),"")</f>
        <v>7</v>
      </c>
      <c r="V15" s="150">
        <f>IFERROR(AVERAGEIFS(Upload_Indiv[Score7],Upload_Indiv[[Player]:[Player]],$A15,Upload_Indiv[[Side]:[Side]],"Raintree Front",Upload_Indiv[[Excl Score]:[Excl Score]],0),"")</f>
        <v>5</v>
      </c>
      <c r="W15" s="150">
        <f t="shared" si="6"/>
        <v>0</v>
      </c>
      <c r="X15" s="151">
        <f>IFERROR(COUNTIFS(Upload_Indiv[[Player]:[Player]],$A15,Upload_Indiv[[Side]:[Side]],"Raintree Front",Upload_Indiv[[Excl Score]:[Excl Score]],0),"")</f>
        <v>7</v>
      </c>
      <c r="Y15" s="152">
        <f>IFERROR(AVERAGEIFS(Upload_Indiv[Score8],Upload_Indiv[[Player]:[Player]],$A15,Upload_Indiv[[Side]:[Side]],"Raintree Front",Upload_Indiv[[Excl Score]:[Excl Score]],0),"")</f>
        <v>3</v>
      </c>
      <c r="Z15" s="152">
        <f t="shared" si="7"/>
        <v>0</v>
      </c>
      <c r="AA15" s="149">
        <f>IFERROR(COUNTIFS(Upload_Indiv[[Player]:[Player]],$A15,Upload_Indiv[[Side]:[Side]],"Raintree Front",Upload_Indiv[[Excl Score]:[Excl Score]],0),"")</f>
        <v>7</v>
      </c>
      <c r="AB15" s="150">
        <f>IFERROR(AVERAGEIFS(Upload_Indiv[Score9],Upload_Indiv[[Player]:[Player]],$A15,Upload_Indiv[[Side]:[Side]],"Raintree Front",Upload_Indiv[[Excl Score]:[Excl Score]],0),"")</f>
        <v>4</v>
      </c>
      <c r="AC15" s="150">
        <f t="shared" si="8"/>
        <v>0</v>
      </c>
      <c r="AD15" s="165">
        <f t="shared" si="9"/>
        <v>7</v>
      </c>
      <c r="AE15" s="165">
        <f t="shared" si="10"/>
        <v>38</v>
      </c>
      <c r="AF15" s="165">
        <f t="shared" si="10"/>
        <v>2</v>
      </c>
      <c r="AG15" s="149">
        <f>IFERROR(COUNTIFS(Upload_Indiv[[Player]:[Player]],$A15,Upload_Indiv[[Side]:[Side]],"Raintree Back",Upload_Indiv[[Excl Score]:[Excl Score]],0),"")</f>
        <v>7</v>
      </c>
      <c r="AH15" s="150">
        <f>IFERROR(AVERAGEIFS(Upload_Indiv[Score1],Upload_Indiv[[Player]:[Player]],$A15,Upload_Indiv[[Side]:[Side]],"Raintree Back",Upload_Indiv[[Excl Score]:[Excl Score]],0),"")</f>
        <v>4</v>
      </c>
      <c r="AI15" s="150">
        <f t="shared" si="11"/>
        <v>0</v>
      </c>
      <c r="AJ15" s="151">
        <f>IFERROR(COUNTIFS(Upload_Indiv[[Player]:[Player]],$A15,Upload_Indiv[[Side]:[Side]],"Raintree Back",Upload_Indiv[[Excl Score]:[Excl Score]],0),"")</f>
        <v>7</v>
      </c>
      <c r="AK15" s="152">
        <f>IFERROR(AVERAGEIFS(Upload_Indiv[Score2],Upload_Indiv[[Player]:[Player]],$A15,Upload_Indiv[[Side]:[Side]],"Raintree Back",Upload_Indiv[[Excl Score]:[Excl Score]],0),"")</f>
        <v>3</v>
      </c>
      <c r="AL15" s="152">
        <f t="shared" si="12"/>
        <v>0</v>
      </c>
      <c r="AM15" s="149">
        <f>IFERROR(COUNTIFS(Upload_Indiv[[Player]:[Player]],$A15,Upload_Indiv[[Side]:[Side]],"Raintree Back",Upload_Indiv[[Excl Score]:[Excl Score]],0),"")</f>
        <v>7</v>
      </c>
      <c r="AN15" s="150">
        <f>IFERROR(AVERAGEIFS(Upload_Indiv[Score3],Upload_Indiv[[Player]:[Player]],$A15,Upload_Indiv[[Side]:[Side]],"Raintree Back",Upload_Indiv[[Excl Score]:[Excl Score]],0),"")</f>
        <v>4</v>
      </c>
      <c r="AO15" s="150">
        <f t="shared" si="13"/>
        <v>0</v>
      </c>
      <c r="AP15" s="151">
        <f>IFERROR(COUNTIFS(Upload_Indiv[[Player]:[Player]],$A15,Upload_Indiv[[Side]:[Side]],"Raintree Back",Upload_Indiv[[Excl Score]:[Excl Score]],0),"")</f>
        <v>7</v>
      </c>
      <c r="AQ15" s="152">
        <f>IFERROR(AVERAGEIFS(Upload_Indiv[Score4],Upload_Indiv[[Player]:[Player]],$A15,Upload_Indiv[[Side]:[Side]],"Raintree Back",Upload_Indiv[[Excl Score]:[Excl Score]],0),"")</f>
        <v>5</v>
      </c>
      <c r="AR15" s="152">
        <f t="shared" si="14"/>
        <v>1</v>
      </c>
      <c r="AS15" s="149">
        <f>IFERROR(COUNTIFS(Upload_Indiv[[Player]:[Player]],$A15,Upload_Indiv[[Side]:[Side]],"Raintree Back",Upload_Indiv[[Excl Score]:[Excl Score]],0),"")</f>
        <v>7</v>
      </c>
      <c r="AT15" s="150">
        <f>IFERROR(AVERAGEIFS(Upload_Indiv[Score5],Upload_Indiv[[Player]:[Player]],$A15,Upload_Indiv[[Side]:[Side]],"Raintree Back",Upload_Indiv[[Excl Score]:[Excl Score]],0),"")</f>
        <v>4</v>
      </c>
      <c r="AU15" s="150">
        <f t="shared" si="15"/>
        <v>0</v>
      </c>
      <c r="AV15" s="151">
        <f>IFERROR(COUNTIFS(Upload_Indiv[[Player]:[Player]],$A15,Upload_Indiv[[Side]:[Side]],"Raintree Back",Upload_Indiv[[Excl Score]:[Excl Score]],0),"")</f>
        <v>7</v>
      </c>
      <c r="AW15" s="152">
        <f>IFERROR(AVERAGEIFS(Upload_Indiv[Score6],Upload_Indiv[[Player]:[Player]],$A15,Upload_Indiv[[Side]:[Side]],"Raintree Back",Upload_Indiv[[Excl Score]:[Excl Score]],0),"")</f>
        <v>5</v>
      </c>
      <c r="AX15" s="152">
        <f t="shared" si="16"/>
        <v>0</v>
      </c>
      <c r="AY15" s="149">
        <f>IFERROR(COUNTIFS(Upload_Indiv[[Player]:[Player]],$A15,Upload_Indiv[[Side]:[Side]],"Raintree Back",Upload_Indiv[[Excl Score]:[Excl Score]],0),"")</f>
        <v>7</v>
      </c>
      <c r="AZ15" s="150">
        <f>IFERROR(AVERAGEIFS(Upload_Indiv[Score7],Upload_Indiv[[Player]:[Player]],$A15,Upload_Indiv[[Side]:[Side]],"Raintree Back",Upload_Indiv[[Excl Score]:[Excl Score]],0),"")</f>
        <v>3</v>
      </c>
      <c r="BA15" s="150">
        <f t="shared" si="17"/>
        <v>0</v>
      </c>
      <c r="BB15" s="151">
        <f>IFERROR(COUNTIFS(Upload_Indiv[[Player]:[Player]],$A15,Upload_Indiv[[Side]:[Side]],"Raintree Back",Upload_Indiv[[Excl Score]:[Excl Score]],0),"")</f>
        <v>7</v>
      </c>
      <c r="BC15" s="152">
        <f>IFERROR(AVERAGEIFS(Upload_Indiv[Score8],Upload_Indiv[[Player]:[Player]],$A15,Upload_Indiv[[Side]:[Side]],"Raintree Back",Upload_Indiv[[Excl Score]:[Excl Score]],0),"")</f>
        <v>5</v>
      </c>
      <c r="BD15" s="152">
        <f t="shared" si="18"/>
        <v>1</v>
      </c>
      <c r="BE15" s="149">
        <f>IFERROR(COUNTIFS(Upload_Indiv[[Player]:[Player]],$A15,Upload_Indiv[[Side]:[Side]],"Raintree Back",Upload_Indiv[[Excl Score]:[Excl Score]],0),"")</f>
        <v>7</v>
      </c>
      <c r="BF15" s="150">
        <f>IFERROR(AVERAGEIFS(Upload_Indiv[Score9],Upload_Indiv[[Player]:[Player]],$A15,Upload_Indiv[[Side]:[Side]],"Raintree Back",Upload_Indiv[[Excl Score]:[Excl Score]],0),"")</f>
        <v>5</v>
      </c>
      <c r="BG15" s="150">
        <f t="shared" si="19"/>
        <v>0</v>
      </c>
      <c r="BH15" s="165">
        <f t="shared" si="20"/>
        <v>7</v>
      </c>
      <c r="BI15" s="165">
        <f t="shared" si="21"/>
        <v>38</v>
      </c>
      <c r="BJ15" s="165">
        <f t="shared" si="21"/>
        <v>2</v>
      </c>
    </row>
    <row r="16" spans="1:62" ht="15" customHeight="1" x14ac:dyDescent="0.25">
      <c r="A16" s="4" t="s">
        <v>326</v>
      </c>
      <c r="B16" s="170">
        <f>IFERROR(AVERAGEIFS(Upload_Indiv[Hdcp],Upload_Indiv[[Player]:[Player]],$A16,Upload_Indiv[[Excl Score]:[Excl Score]],0),"")</f>
        <v>0</v>
      </c>
      <c r="C16" s="149">
        <f>IFERROR(COUNTIFS(Upload_Indiv[[Player]:[Player]],$A16,Upload_Indiv[[Side]:[Side]],"Raintree Front",Upload_Indiv[[Excl Score]:[Excl Score]],0),"")</f>
        <v>7</v>
      </c>
      <c r="D16" s="150">
        <f>IFERROR(AVERAGEIFS(Upload_Indiv[Score1],Upload_Indiv[[Player]:[Player]],$A16,Upload_Indiv[[Side]:[Side]],"Raintree Front",Upload_Indiv[[Excl Score]:[Excl Score]],0),"")</f>
        <v>5</v>
      </c>
      <c r="E16" s="150">
        <f t="shared" si="0"/>
        <v>1</v>
      </c>
      <c r="F16" s="151">
        <f>IFERROR(COUNTIFS(Upload_Indiv[[Player]:[Player]],$A16,Upload_Indiv[[Side]:[Side]],"Raintree Front",Upload_Indiv[[Excl Score]:[Excl Score]],0),"")</f>
        <v>7</v>
      </c>
      <c r="G16" s="152">
        <f>IFERROR(AVERAGEIFS(Upload_Indiv[Score2],Upload_Indiv[[Player]:[Player]],$A16,Upload_Indiv[[Side]:[Side]],"Raintree Front",Upload_Indiv[[Excl Score]:[Excl Score]],0),"")</f>
        <v>5</v>
      </c>
      <c r="H16" s="152">
        <f t="shared" si="1"/>
        <v>0</v>
      </c>
      <c r="I16" s="149">
        <f>IFERROR(COUNTIFS(Upload_Indiv[[Player]:[Player]],$A16,Upload_Indiv[[Side]:[Side]],"Raintree Front",Upload_Indiv[[Excl Score]:[Excl Score]],0),"")</f>
        <v>7</v>
      </c>
      <c r="J16" s="150">
        <f>IFERROR(AVERAGEIFS(Upload_Indiv[Score3],Upload_Indiv[[Player]:[Player]],$A16,Upload_Indiv[[Side]:[Side]],"Raintree Front",Upload_Indiv[[Excl Score]:[Excl Score]],0),"")</f>
        <v>4</v>
      </c>
      <c r="K16" s="150">
        <f t="shared" si="2"/>
        <v>0</v>
      </c>
      <c r="L16" s="151">
        <f>IFERROR(COUNTIFS(Upload_Indiv[[Player]:[Player]],$A16,Upload_Indiv[[Side]:[Side]],"Raintree Front",Upload_Indiv[[Excl Score]:[Excl Score]],0),"")</f>
        <v>7</v>
      </c>
      <c r="M16" s="152">
        <f>IFERROR(AVERAGEIFS(Upload_Indiv[Score4],Upload_Indiv[[Player]:[Player]],$A16,Upload_Indiv[[Side]:[Side]],"Raintree Front",Upload_Indiv[[Excl Score]:[Excl Score]],0),"")</f>
        <v>3</v>
      </c>
      <c r="N16" s="152">
        <f t="shared" si="3"/>
        <v>0</v>
      </c>
      <c r="O16" s="149">
        <f>IFERROR(COUNTIFS(Upload_Indiv[[Player]:[Player]],$A16,Upload_Indiv[[Side]:[Side]],"Raintree Front",Upload_Indiv[[Excl Score]:[Excl Score]],0),"")</f>
        <v>7</v>
      </c>
      <c r="P16" s="150">
        <f>IFERROR(AVERAGEIFS(Upload_Indiv[Score5],Upload_Indiv[[Player]:[Player]],$A16,Upload_Indiv[[Side]:[Side]],"Raintree Front",Upload_Indiv[[Excl Score]:[Excl Score]],0),"")</f>
        <v>4</v>
      </c>
      <c r="Q16" s="150">
        <f t="shared" si="4"/>
        <v>0</v>
      </c>
      <c r="R16" s="151">
        <f>IFERROR(COUNTIFS(Upload_Indiv[[Player]:[Player]],$A16,Upload_Indiv[[Side]:[Side]],"Raintree Front",Upload_Indiv[[Excl Score]:[Excl Score]],0),"")</f>
        <v>7</v>
      </c>
      <c r="S16" s="152">
        <f>IFERROR(AVERAGEIFS(Upload_Indiv[Score6],Upload_Indiv[[Player]:[Player]],$A16,Upload_Indiv[[Side]:[Side]],"Raintree Front",Upload_Indiv[[Excl Score]:[Excl Score]],0),"")</f>
        <v>5</v>
      </c>
      <c r="T16" s="152">
        <f t="shared" si="5"/>
        <v>1</v>
      </c>
      <c r="U16" s="149">
        <f>IFERROR(COUNTIFS(Upload_Indiv[[Player]:[Player]],$A16,Upload_Indiv[[Side]:[Side]],"Raintree Front",Upload_Indiv[[Excl Score]:[Excl Score]],0),"")</f>
        <v>7</v>
      </c>
      <c r="V16" s="150">
        <f>IFERROR(AVERAGEIFS(Upload_Indiv[Score7],Upload_Indiv[[Player]:[Player]],$A16,Upload_Indiv[[Side]:[Side]],"Raintree Front",Upload_Indiv[[Excl Score]:[Excl Score]],0),"")</f>
        <v>5</v>
      </c>
      <c r="W16" s="150">
        <f t="shared" si="6"/>
        <v>0</v>
      </c>
      <c r="X16" s="151">
        <f>IFERROR(COUNTIFS(Upload_Indiv[[Player]:[Player]],$A16,Upload_Indiv[[Side]:[Side]],"Raintree Front",Upload_Indiv[[Excl Score]:[Excl Score]],0),"")</f>
        <v>7</v>
      </c>
      <c r="Y16" s="152">
        <f>IFERROR(AVERAGEIFS(Upload_Indiv[Score8],Upload_Indiv[[Player]:[Player]],$A16,Upload_Indiv[[Side]:[Side]],"Raintree Front",Upload_Indiv[[Excl Score]:[Excl Score]],0),"")</f>
        <v>3</v>
      </c>
      <c r="Z16" s="152">
        <f t="shared" si="7"/>
        <v>0</v>
      </c>
      <c r="AA16" s="149">
        <f>IFERROR(COUNTIFS(Upload_Indiv[[Player]:[Player]],$A16,Upload_Indiv[[Side]:[Side]],"Raintree Front",Upload_Indiv[[Excl Score]:[Excl Score]],0),"")</f>
        <v>7</v>
      </c>
      <c r="AB16" s="150">
        <f>IFERROR(AVERAGEIFS(Upload_Indiv[Score9],Upload_Indiv[[Player]:[Player]],$A16,Upload_Indiv[[Side]:[Side]],"Raintree Front",Upload_Indiv[[Excl Score]:[Excl Score]],0),"")</f>
        <v>4</v>
      </c>
      <c r="AC16" s="150">
        <f t="shared" si="8"/>
        <v>0</v>
      </c>
      <c r="AD16" s="165">
        <f t="shared" si="9"/>
        <v>7</v>
      </c>
      <c r="AE16" s="165">
        <f t="shared" si="10"/>
        <v>38</v>
      </c>
      <c r="AF16" s="165">
        <f t="shared" si="10"/>
        <v>2</v>
      </c>
      <c r="AG16" s="149">
        <f>IFERROR(COUNTIFS(Upload_Indiv[[Player]:[Player]],$A16,Upload_Indiv[[Side]:[Side]],"Raintree Back",Upload_Indiv[[Excl Score]:[Excl Score]],0),"")</f>
        <v>7</v>
      </c>
      <c r="AH16" s="150">
        <f>IFERROR(AVERAGEIFS(Upload_Indiv[Score1],Upload_Indiv[[Player]:[Player]],$A16,Upload_Indiv[[Side]:[Side]],"Raintree Back",Upload_Indiv[[Excl Score]:[Excl Score]],0),"")</f>
        <v>4</v>
      </c>
      <c r="AI16" s="150">
        <f t="shared" si="11"/>
        <v>0</v>
      </c>
      <c r="AJ16" s="151">
        <f>IFERROR(COUNTIFS(Upload_Indiv[[Player]:[Player]],$A16,Upload_Indiv[[Side]:[Side]],"Raintree Back",Upload_Indiv[[Excl Score]:[Excl Score]],0),"")</f>
        <v>7</v>
      </c>
      <c r="AK16" s="152">
        <f>IFERROR(AVERAGEIFS(Upload_Indiv[Score2],Upload_Indiv[[Player]:[Player]],$A16,Upload_Indiv[[Side]:[Side]],"Raintree Back",Upload_Indiv[[Excl Score]:[Excl Score]],0),"")</f>
        <v>3</v>
      </c>
      <c r="AL16" s="152">
        <f t="shared" si="12"/>
        <v>0</v>
      </c>
      <c r="AM16" s="149">
        <f>IFERROR(COUNTIFS(Upload_Indiv[[Player]:[Player]],$A16,Upload_Indiv[[Side]:[Side]],"Raintree Back",Upload_Indiv[[Excl Score]:[Excl Score]],0),"")</f>
        <v>7</v>
      </c>
      <c r="AN16" s="150">
        <f>IFERROR(AVERAGEIFS(Upload_Indiv[Score3],Upload_Indiv[[Player]:[Player]],$A16,Upload_Indiv[[Side]:[Side]],"Raintree Back",Upload_Indiv[[Excl Score]:[Excl Score]],0),"")</f>
        <v>4</v>
      </c>
      <c r="AO16" s="150">
        <f t="shared" si="13"/>
        <v>0</v>
      </c>
      <c r="AP16" s="151">
        <f>IFERROR(COUNTIFS(Upload_Indiv[[Player]:[Player]],$A16,Upload_Indiv[[Side]:[Side]],"Raintree Back",Upload_Indiv[[Excl Score]:[Excl Score]],0),"")</f>
        <v>7</v>
      </c>
      <c r="AQ16" s="152">
        <f>IFERROR(AVERAGEIFS(Upload_Indiv[Score4],Upload_Indiv[[Player]:[Player]],$A16,Upload_Indiv[[Side]:[Side]],"Raintree Back",Upload_Indiv[[Excl Score]:[Excl Score]],0),"")</f>
        <v>5</v>
      </c>
      <c r="AR16" s="152">
        <f t="shared" si="14"/>
        <v>1</v>
      </c>
      <c r="AS16" s="149">
        <f>IFERROR(COUNTIFS(Upload_Indiv[[Player]:[Player]],$A16,Upload_Indiv[[Side]:[Side]],"Raintree Back",Upload_Indiv[[Excl Score]:[Excl Score]],0),"")</f>
        <v>7</v>
      </c>
      <c r="AT16" s="150">
        <f>IFERROR(AVERAGEIFS(Upload_Indiv[Score5],Upload_Indiv[[Player]:[Player]],$A16,Upload_Indiv[[Side]:[Side]],"Raintree Back",Upload_Indiv[[Excl Score]:[Excl Score]],0),"")</f>
        <v>4</v>
      </c>
      <c r="AU16" s="150">
        <f t="shared" si="15"/>
        <v>0</v>
      </c>
      <c r="AV16" s="151">
        <f>IFERROR(COUNTIFS(Upload_Indiv[[Player]:[Player]],$A16,Upload_Indiv[[Side]:[Side]],"Raintree Back",Upload_Indiv[[Excl Score]:[Excl Score]],0),"")</f>
        <v>7</v>
      </c>
      <c r="AW16" s="152">
        <f>IFERROR(AVERAGEIFS(Upload_Indiv[Score6],Upload_Indiv[[Player]:[Player]],$A16,Upload_Indiv[[Side]:[Side]],"Raintree Back",Upload_Indiv[[Excl Score]:[Excl Score]],0),"")</f>
        <v>5</v>
      </c>
      <c r="AX16" s="152">
        <f t="shared" si="16"/>
        <v>0</v>
      </c>
      <c r="AY16" s="149">
        <f>IFERROR(COUNTIFS(Upload_Indiv[[Player]:[Player]],$A16,Upload_Indiv[[Side]:[Side]],"Raintree Back",Upload_Indiv[[Excl Score]:[Excl Score]],0),"")</f>
        <v>7</v>
      </c>
      <c r="AZ16" s="150">
        <f>IFERROR(AVERAGEIFS(Upload_Indiv[Score7],Upload_Indiv[[Player]:[Player]],$A16,Upload_Indiv[[Side]:[Side]],"Raintree Back",Upload_Indiv[[Excl Score]:[Excl Score]],0),"")</f>
        <v>3</v>
      </c>
      <c r="BA16" s="150">
        <f t="shared" si="17"/>
        <v>0</v>
      </c>
      <c r="BB16" s="151">
        <f>IFERROR(COUNTIFS(Upload_Indiv[[Player]:[Player]],$A16,Upload_Indiv[[Side]:[Side]],"Raintree Back",Upload_Indiv[[Excl Score]:[Excl Score]],0),"")</f>
        <v>7</v>
      </c>
      <c r="BC16" s="152">
        <f>IFERROR(AVERAGEIFS(Upload_Indiv[Score8],Upload_Indiv[[Player]:[Player]],$A16,Upload_Indiv[[Side]:[Side]],"Raintree Back",Upload_Indiv[[Excl Score]:[Excl Score]],0),"")</f>
        <v>5</v>
      </c>
      <c r="BD16" s="152">
        <f t="shared" si="18"/>
        <v>1</v>
      </c>
      <c r="BE16" s="149">
        <f>IFERROR(COUNTIFS(Upload_Indiv[[Player]:[Player]],$A16,Upload_Indiv[[Side]:[Side]],"Raintree Back",Upload_Indiv[[Excl Score]:[Excl Score]],0),"")</f>
        <v>7</v>
      </c>
      <c r="BF16" s="150">
        <f>IFERROR(AVERAGEIFS(Upload_Indiv[Score9],Upload_Indiv[[Player]:[Player]],$A16,Upload_Indiv[[Side]:[Side]],"Raintree Back",Upload_Indiv[[Excl Score]:[Excl Score]],0),"")</f>
        <v>5</v>
      </c>
      <c r="BG16" s="150">
        <f t="shared" si="19"/>
        <v>0</v>
      </c>
      <c r="BH16" s="165">
        <f t="shared" si="20"/>
        <v>7</v>
      </c>
      <c r="BI16" s="165">
        <f t="shared" si="21"/>
        <v>38</v>
      </c>
      <c r="BJ16" s="165">
        <f t="shared" si="21"/>
        <v>2</v>
      </c>
    </row>
    <row r="17" spans="1:62" ht="15" customHeight="1" x14ac:dyDescent="0.25">
      <c r="A17" s="4" t="s">
        <v>322</v>
      </c>
      <c r="B17" s="170">
        <f>IFERROR(AVERAGEIFS(Upload_Indiv[Hdcp],Upload_Indiv[[Player]:[Player]],$A17,Upload_Indiv[[Excl Score]:[Excl Score]],0),"")</f>
        <v>0</v>
      </c>
      <c r="C17" s="149">
        <f>IFERROR(COUNTIFS(Upload_Indiv[[Player]:[Player]],$A17,Upload_Indiv[[Side]:[Side]],"Raintree Front",Upload_Indiv[[Excl Score]:[Excl Score]],0),"")</f>
        <v>0</v>
      </c>
      <c r="D17" s="150" t="str">
        <f>IFERROR(AVERAGEIFS(Upload_Indiv[Score1],Upload_Indiv[[Player]:[Player]],$A17,Upload_Indiv[[Side]:[Side]],"Raintree Front",Upload_Indiv[[Excl Score]:[Excl Score]],0),"")</f>
        <v/>
      </c>
      <c r="E17" s="150" t="str">
        <f t="shared" si="0"/>
        <v/>
      </c>
      <c r="F17" s="151">
        <f>IFERROR(COUNTIFS(Upload_Indiv[[Player]:[Player]],$A17,Upload_Indiv[[Side]:[Side]],"Raintree Front",Upload_Indiv[[Excl Score]:[Excl Score]],0),"")</f>
        <v>0</v>
      </c>
      <c r="G17" s="152" t="str">
        <f>IFERROR(AVERAGEIFS(Upload_Indiv[Score2],Upload_Indiv[[Player]:[Player]],$A17,Upload_Indiv[[Side]:[Side]],"Raintree Front",Upload_Indiv[[Excl Score]:[Excl Score]],0),"")</f>
        <v/>
      </c>
      <c r="H17" s="152" t="str">
        <f t="shared" si="1"/>
        <v/>
      </c>
      <c r="I17" s="149">
        <f>IFERROR(COUNTIFS(Upload_Indiv[[Player]:[Player]],$A17,Upload_Indiv[[Side]:[Side]],"Raintree Front",Upload_Indiv[[Excl Score]:[Excl Score]],0),"")</f>
        <v>0</v>
      </c>
      <c r="J17" s="150" t="str">
        <f>IFERROR(AVERAGEIFS(Upload_Indiv[Score3],Upload_Indiv[[Player]:[Player]],$A17,Upload_Indiv[[Side]:[Side]],"Raintree Front",Upload_Indiv[[Excl Score]:[Excl Score]],0),"")</f>
        <v/>
      </c>
      <c r="K17" s="150" t="str">
        <f t="shared" si="2"/>
        <v/>
      </c>
      <c r="L17" s="151">
        <f>IFERROR(COUNTIFS(Upload_Indiv[[Player]:[Player]],$A17,Upload_Indiv[[Side]:[Side]],"Raintree Front",Upload_Indiv[[Excl Score]:[Excl Score]],0),"")</f>
        <v>0</v>
      </c>
      <c r="M17" s="152" t="str">
        <f>IFERROR(AVERAGEIFS(Upload_Indiv[Score4],Upload_Indiv[[Player]:[Player]],$A17,Upload_Indiv[[Side]:[Side]],"Raintree Front",Upload_Indiv[[Excl Score]:[Excl Score]],0),"")</f>
        <v/>
      </c>
      <c r="N17" s="152" t="str">
        <f t="shared" si="3"/>
        <v/>
      </c>
      <c r="O17" s="149">
        <f>IFERROR(COUNTIFS(Upload_Indiv[[Player]:[Player]],$A17,Upload_Indiv[[Side]:[Side]],"Raintree Front",Upload_Indiv[[Excl Score]:[Excl Score]],0),"")</f>
        <v>0</v>
      </c>
      <c r="P17" s="150" t="str">
        <f>IFERROR(AVERAGEIFS(Upload_Indiv[Score5],Upload_Indiv[[Player]:[Player]],$A17,Upload_Indiv[[Side]:[Side]],"Raintree Front",Upload_Indiv[[Excl Score]:[Excl Score]],0),"")</f>
        <v/>
      </c>
      <c r="Q17" s="150" t="str">
        <f t="shared" si="4"/>
        <v/>
      </c>
      <c r="R17" s="151">
        <f>IFERROR(COUNTIFS(Upload_Indiv[[Player]:[Player]],$A17,Upload_Indiv[[Side]:[Side]],"Raintree Front",Upload_Indiv[[Excl Score]:[Excl Score]],0),"")</f>
        <v>0</v>
      </c>
      <c r="S17" s="152" t="str">
        <f>IFERROR(AVERAGEIFS(Upload_Indiv[Score6],Upload_Indiv[[Player]:[Player]],$A17,Upload_Indiv[[Side]:[Side]],"Raintree Front",Upload_Indiv[[Excl Score]:[Excl Score]],0),"")</f>
        <v/>
      </c>
      <c r="T17" s="152" t="str">
        <f t="shared" si="5"/>
        <v/>
      </c>
      <c r="U17" s="149">
        <f>IFERROR(COUNTIFS(Upload_Indiv[[Player]:[Player]],$A17,Upload_Indiv[[Side]:[Side]],"Raintree Front",Upload_Indiv[[Excl Score]:[Excl Score]],0),"")</f>
        <v>0</v>
      </c>
      <c r="V17" s="150" t="str">
        <f>IFERROR(AVERAGEIFS(Upload_Indiv[Score7],Upload_Indiv[[Player]:[Player]],$A17,Upload_Indiv[[Side]:[Side]],"Raintree Front",Upload_Indiv[[Excl Score]:[Excl Score]],0),"")</f>
        <v/>
      </c>
      <c r="W17" s="150" t="str">
        <f t="shared" si="6"/>
        <v/>
      </c>
      <c r="X17" s="151">
        <f>IFERROR(COUNTIFS(Upload_Indiv[[Player]:[Player]],$A17,Upload_Indiv[[Side]:[Side]],"Raintree Front",Upload_Indiv[[Excl Score]:[Excl Score]],0),"")</f>
        <v>0</v>
      </c>
      <c r="Y17" s="152" t="str">
        <f>IFERROR(AVERAGEIFS(Upload_Indiv[Score8],Upload_Indiv[[Player]:[Player]],$A17,Upload_Indiv[[Side]:[Side]],"Raintree Front",Upload_Indiv[[Excl Score]:[Excl Score]],0),"")</f>
        <v/>
      </c>
      <c r="Z17" s="152" t="str">
        <f t="shared" si="7"/>
        <v/>
      </c>
      <c r="AA17" s="149">
        <f>IFERROR(COUNTIFS(Upload_Indiv[[Player]:[Player]],$A17,Upload_Indiv[[Side]:[Side]],"Raintree Front",Upload_Indiv[[Excl Score]:[Excl Score]],0),"")</f>
        <v>0</v>
      </c>
      <c r="AB17" s="150" t="str">
        <f>IFERROR(AVERAGEIFS(Upload_Indiv[Score9],Upload_Indiv[[Player]:[Player]],$A17,Upload_Indiv[[Side]:[Side]],"Raintree Front",Upload_Indiv[[Excl Score]:[Excl Score]],0),"")</f>
        <v/>
      </c>
      <c r="AC17" s="150" t="str">
        <f t="shared" si="8"/>
        <v/>
      </c>
      <c r="AD17" s="165">
        <f t="shared" si="9"/>
        <v>0</v>
      </c>
      <c r="AE17" s="165">
        <f t="shared" si="10"/>
        <v>0</v>
      </c>
      <c r="AF17" s="165">
        <f t="shared" si="10"/>
        <v>0</v>
      </c>
      <c r="AG17" s="149">
        <f>IFERROR(COUNTIFS(Upload_Indiv[[Player]:[Player]],$A17,Upload_Indiv[[Side]:[Side]],"Raintree Back",Upload_Indiv[[Excl Score]:[Excl Score]],0),"")</f>
        <v>3</v>
      </c>
      <c r="AH17" s="150">
        <f>IFERROR(AVERAGEIFS(Upload_Indiv[Score1],Upload_Indiv[[Player]:[Player]],$A17,Upload_Indiv[[Side]:[Side]],"Raintree Back",Upload_Indiv[[Excl Score]:[Excl Score]],0),"")</f>
        <v>4</v>
      </c>
      <c r="AI17" s="150">
        <f t="shared" si="11"/>
        <v>0</v>
      </c>
      <c r="AJ17" s="151">
        <f>IFERROR(COUNTIFS(Upload_Indiv[[Player]:[Player]],$A17,Upload_Indiv[[Side]:[Side]],"Raintree Back",Upload_Indiv[[Excl Score]:[Excl Score]],0),"")</f>
        <v>3</v>
      </c>
      <c r="AK17" s="152">
        <f>IFERROR(AVERAGEIFS(Upload_Indiv[Score2],Upload_Indiv[[Player]:[Player]],$A17,Upload_Indiv[[Side]:[Side]],"Raintree Back",Upload_Indiv[[Excl Score]:[Excl Score]],0),"")</f>
        <v>3</v>
      </c>
      <c r="AL17" s="152">
        <f t="shared" si="12"/>
        <v>0</v>
      </c>
      <c r="AM17" s="149">
        <f>IFERROR(COUNTIFS(Upload_Indiv[[Player]:[Player]],$A17,Upload_Indiv[[Side]:[Side]],"Raintree Back",Upload_Indiv[[Excl Score]:[Excl Score]],0),"")</f>
        <v>3</v>
      </c>
      <c r="AN17" s="150">
        <f>IFERROR(AVERAGEIFS(Upload_Indiv[Score3],Upload_Indiv[[Player]:[Player]],$A17,Upload_Indiv[[Side]:[Side]],"Raintree Back",Upload_Indiv[[Excl Score]:[Excl Score]],0),"")</f>
        <v>4</v>
      </c>
      <c r="AO17" s="150">
        <f t="shared" si="13"/>
        <v>0</v>
      </c>
      <c r="AP17" s="151">
        <f>IFERROR(COUNTIFS(Upload_Indiv[[Player]:[Player]],$A17,Upload_Indiv[[Side]:[Side]],"Raintree Back",Upload_Indiv[[Excl Score]:[Excl Score]],0),"")</f>
        <v>3</v>
      </c>
      <c r="AQ17" s="152">
        <f>IFERROR(AVERAGEIFS(Upload_Indiv[Score4],Upload_Indiv[[Player]:[Player]],$A17,Upload_Indiv[[Side]:[Side]],"Raintree Back",Upload_Indiv[[Excl Score]:[Excl Score]],0),"")</f>
        <v>5</v>
      </c>
      <c r="AR17" s="152">
        <f t="shared" si="14"/>
        <v>1</v>
      </c>
      <c r="AS17" s="149">
        <f>IFERROR(COUNTIFS(Upload_Indiv[[Player]:[Player]],$A17,Upload_Indiv[[Side]:[Side]],"Raintree Back",Upload_Indiv[[Excl Score]:[Excl Score]],0),"")</f>
        <v>3</v>
      </c>
      <c r="AT17" s="150">
        <f>IFERROR(AVERAGEIFS(Upload_Indiv[Score5],Upload_Indiv[[Player]:[Player]],$A17,Upload_Indiv[[Side]:[Side]],"Raintree Back",Upload_Indiv[[Excl Score]:[Excl Score]],0),"")</f>
        <v>5</v>
      </c>
      <c r="AU17" s="150">
        <f t="shared" si="15"/>
        <v>1</v>
      </c>
      <c r="AV17" s="151">
        <f>IFERROR(COUNTIFS(Upload_Indiv[[Player]:[Player]],$A17,Upload_Indiv[[Side]:[Side]],"Raintree Back",Upload_Indiv[[Excl Score]:[Excl Score]],0),"")</f>
        <v>3</v>
      </c>
      <c r="AW17" s="152">
        <f>IFERROR(AVERAGEIFS(Upload_Indiv[Score6],Upload_Indiv[[Player]:[Player]],$A17,Upload_Indiv[[Side]:[Side]],"Raintree Back",Upload_Indiv[[Excl Score]:[Excl Score]],0),"")</f>
        <v>5</v>
      </c>
      <c r="AX17" s="152">
        <f t="shared" si="16"/>
        <v>0</v>
      </c>
      <c r="AY17" s="149">
        <f>IFERROR(COUNTIFS(Upload_Indiv[[Player]:[Player]],$A17,Upload_Indiv[[Side]:[Side]],"Raintree Back",Upload_Indiv[[Excl Score]:[Excl Score]],0),"")</f>
        <v>3</v>
      </c>
      <c r="AZ17" s="150">
        <f>IFERROR(AVERAGEIFS(Upload_Indiv[Score7],Upload_Indiv[[Player]:[Player]],$A17,Upload_Indiv[[Side]:[Side]],"Raintree Back",Upload_Indiv[[Excl Score]:[Excl Score]],0),"")</f>
        <v>3</v>
      </c>
      <c r="BA17" s="150">
        <f t="shared" si="17"/>
        <v>0</v>
      </c>
      <c r="BB17" s="151">
        <f>IFERROR(COUNTIFS(Upload_Indiv[[Player]:[Player]],$A17,Upload_Indiv[[Side]:[Side]],"Raintree Back",Upload_Indiv[[Excl Score]:[Excl Score]],0),"")</f>
        <v>3</v>
      </c>
      <c r="BC17" s="152">
        <f>IFERROR(AVERAGEIFS(Upload_Indiv[Score8],Upload_Indiv[[Player]:[Player]],$A17,Upload_Indiv[[Side]:[Side]],"Raintree Back",Upload_Indiv[[Excl Score]:[Excl Score]],0),"")</f>
        <v>5</v>
      </c>
      <c r="BD17" s="152">
        <f t="shared" si="18"/>
        <v>1</v>
      </c>
      <c r="BE17" s="149">
        <f>IFERROR(COUNTIFS(Upload_Indiv[[Player]:[Player]],$A17,Upload_Indiv[[Side]:[Side]],"Raintree Back",Upload_Indiv[[Excl Score]:[Excl Score]],0),"")</f>
        <v>3</v>
      </c>
      <c r="BF17" s="150">
        <f>IFERROR(AVERAGEIFS(Upload_Indiv[Score9],Upload_Indiv[[Player]:[Player]],$A17,Upload_Indiv[[Side]:[Side]],"Raintree Back",Upload_Indiv[[Excl Score]:[Excl Score]],0),"")</f>
        <v>6</v>
      </c>
      <c r="BG17" s="150">
        <f t="shared" si="19"/>
        <v>1</v>
      </c>
      <c r="BH17" s="165">
        <f t="shared" si="20"/>
        <v>3</v>
      </c>
      <c r="BI17" s="165">
        <f t="shared" si="21"/>
        <v>40</v>
      </c>
      <c r="BJ17" s="165">
        <f t="shared" si="21"/>
        <v>4</v>
      </c>
    </row>
    <row r="18" spans="1:62" ht="15" customHeight="1" x14ac:dyDescent="0.25">
      <c r="A18" s="4" t="s">
        <v>271</v>
      </c>
      <c r="B18" s="170">
        <f>IFERROR(AVERAGEIFS(Upload_Indiv[Hdcp],Upload_Indiv[[Player]:[Player]],$A18,Upload_Indiv[[Excl Score]:[Excl Score]],0),"")</f>
        <v>0</v>
      </c>
      <c r="C18" s="149">
        <f>IFERROR(COUNTIFS(Upload_Indiv[[Player]:[Player]],$A18,Upload_Indiv[[Side]:[Side]],"Raintree Front",Upload_Indiv[[Excl Score]:[Excl Score]],0),"")</f>
        <v>0</v>
      </c>
      <c r="D18" s="150" t="str">
        <f>IFERROR(AVERAGEIFS(Upload_Indiv[Score1],Upload_Indiv[[Player]:[Player]],$A18,Upload_Indiv[[Side]:[Side]],"Raintree Front",Upload_Indiv[[Excl Score]:[Excl Score]],0),"")</f>
        <v/>
      </c>
      <c r="E18" s="150" t="str">
        <f t="shared" si="0"/>
        <v/>
      </c>
      <c r="F18" s="151">
        <f>IFERROR(COUNTIFS(Upload_Indiv[[Player]:[Player]],$A18,Upload_Indiv[[Side]:[Side]],"Raintree Front",Upload_Indiv[[Excl Score]:[Excl Score]],0),"")</f>
        <v>0</v>
      </c>
      <c r="G18" s="152" t="str">
        <f>IFERROR(AVERAGEIFS(Upload_Indiv[Score2],Upload_Indiv[[Player]:[Player]],$A18,Upload_Indiv[[Side]:[Side]],"Raintree Front",Upload_Indiv[[Excl Score]:[Excl Score]],0),"")</f>
        <v/>
      </c>
      <c r="H18" s="152" t="str">
        <f t="shared" si="1"/>
        <v/>
      </c>
      <c r="I18" s="149">
        <f>IFERROR(COUNTIFS(Upload_Indiv[[Player]:[Player]],$A18,Upload_Indiv[[Side]:[Side]],"Raintree Front",Upload_Indiv[[Excl Score]:[Excl Score]],0),"")</f>
        <v>0</v>
      </c>
      <c r="J18" s="150" t="str">
        <f>IFERROR(AVERAGEIFS(Upload_Indiv[Score3],Upload_Indiv[[Player]:[Player]],$A18,Upload_Indiv[[Side]:[Side]],"Raintree Front",Upload_Indiv[[Excl Score]:[Excl Score]],0),"")</f>
        <v/>
      </c>
      <c r="K18" s="150" t="str">
        <f t="shared" si="2"/>
        <v/>
      </c>
      <c r="L18" s="151">
        <f>IFERROR(COUNTIFS(Upload_Indiv[[Player]:[Player]],$A18,Upload_Indiv[[Side]:[Side]],"Raintree Front",Upload_Indiv[[Excl Score]:[Excl Score]],0),"")</f>
        <v>0</v>
      </c>
      <c r="M18" s="152" t="str">
        <f>IFERROR(AVERAGEIFS(Upload_Indiv[Score4],Upload_Indiv[[Player]:[Player]],$A18,Upload_Indiv[[Side]:[Side]],"Raintree Front",Upload_Indiv[[Excl Score]:[Excl Score]],0),"")</f>
        <v/>
      </c>
      <c r="N18" s="152" t="str">
        <f t="shared" si="3"/>
        <v/>
      </c>
      <c r="O18" s="149">
        <f>IFERROR(COUNTIFS(Upload_Indiv[[Player]:[Player]],$A18,Upload_Indiv[[Side]:[Side]],"Raintree Front",Upload_Indiv[[Excl Score]:[Excl Score]],0),"")</f>
        <v>0</v>
      </c>
      <c r="P18" s="150" t="str">
        <f>IFERROR(AVERAGEIFS(Upload_Indiv[Score5],Upload_Indiv[[Player]:[Player]],$A18,Upload_Indiv[[Side]:[Side]],"Raintree Front",Upload_Indiv[[Excl Score]:[Excl Score]],0),"")</f>
        <v/>
      </c>
      <c r="Q18" s="150" t="str">
        <f t="shared" si="4"/>
        <v/>
      </c>
      <c r="R18" s="151">
        <f>IFERROR(COUNTIFS(Upload_Indiv[[Player]:[Player]],$A18,Upload_Indiv[[Side]:[Side]],"Raintree Front",Upload_Indiv[[Excl Score]:[Excl Score]],0),"")</f>
        <v>0</v>
      </c>
      <c r="S18" s="152" t="str">
        <f>IFERROR(AVERAGEIFS(Upload_Indiv[Score6],Upload_Indiv[[Player]:[Player]],$A18,Upload_Indiv[[Side]:[Side]],"Raintree Front",Upload_Indiv[[Excl Score]:[Excl Score]],0),"")</f>
        <v/>
      </c>
      <c r="T18" s="152" t="str">
        <f t="shared" si="5"/>
        <v/>
      </c>
      <c r="U18" s="149">
        <f>IFERROR(COUNTIFS(Upload_Indiv[[Player]:[Player]],$A18,Upload_Indiv[[Side]:[Side]],"Raintree Front",Upload_Indiv[[Excl Score]:[Excl Score]],0),"")</f>
        <v>0</v>
      </c>
      <c r="V18" s="150" t="str">
        <f>IFERROR(AVERAGEIFS(Upload_Indiv[Score7],Upload_Indiv[[Player]:[Player]],$A18,Upload_Indiv[[Side]:[Side]],"Raintree Front",Upload_Indiv[[Excl Score]:[Excl Score]],0),"")</f>
        <v/>
      </c>
      <c r="W18" s="150" t="str">
        <f t="shared" si="6"/>
        <v/>
      </c>
      <c r="X18" s="151">
        <f>IFERROR(COUNTIFS(Upload_Indiv[[Player]:[Player]],$A18,Upload_Indiv[[Side]:[Side]],"Raintree Front",Upload_Indiv[[Excl Score]:[Excl Score]],0),"")</f>
        <v>0</v>
      </c>
      <c r="Y18" s="152" t="str">
        <f>IFERROR(AVERAGEIFS(Upload_Indiv[Score8],Upload_Indiv[[Player]:[Player]],$A18,Upload_Indiv[[Side]:[Side]],"Raintree Front",Upload_Indiv[[Excl Score]:[Excl Score]],0),"")</f>
        <v/>
      </c>
      <c r="Z18" s="152" t="str">
        <f t="shared" si="7"/>
        <v/>
      </c>
      <c r="AA18" s="149">
        <f>IFERROR(COUNTIFS(Upload_Indiv[[Player]:[Player]],$A18,Upload_Indiv[[Side]:[Side]],"Raintree Front",Upload_Indiv[[Excl Score]:[Excl Score]],0),"")</f>
        <v>0</v>
      </c>
      <c r="AB18" s="150" t="str">
        <f>IFERROR(AVERAGEIFS(Upload_Indiv[Score9],Upload_Indiv[[Player]:[Player]],$A18,Upload_Indiv[[Side]:[Side]],"Raintree Front",Upload_Indiv[[Excl Score]:[Excl Score]],0),"")</f>
        <v/>
      </c>
      <c r="AC18" s="150" t="str">
        <f t="shared" si="8"/>
        <v/>
      </c>
      <c r="AD18" s="165">
        <f t="shared" si="9"/>
        <v>0</v>
      </c>
      <c r="AE18" s="165">
        <f t="shared" si="10"/>
        <v>0</v>
      </c>
      <c r="AF18" s="165">
        <f t="shared" si="10"/>
        <v>0</v>
      </c>
      <c r="AG18" s="149">
        <f>IFERROR(COUNTIFS(Upload_Indiv[[Player]:[Player]],$A18,Upload_Indiv[[Side]:[Side]],"Raintree Back",Upload_Indiv[[Excl Score]:[Excl Score]],0),"")</f>
        <v>1</v>
      </c>
      <c r="AH18" s="150">
        <f>IFERROR(AVERAGEIFS(Upload_Indiv[Score1],Upload_Indiv[[Player]:[Player]],$A18,Upload_Indiv[[Side]:[Side]],"Raintree Back",Upload_Indiv[[Excl Score]:[Excl Score]],0),"")</f>
        <v>4</v>
      </c>
      <c r="AI18" s="150">
        <f t="shared" si="11"/>
        <v>0</v>
      </c>
      <c r="AJ18" s="151">
        <f>IFERROR(COUNTIFS(Upload_Indiv[[Player]:[Player]],$A18,Upload_Indiv[[Side]:[Side]],"Raintree Back",Upload_Indiv[[Excl Score]:[Excl Score]],0),"")</f>
        <v>1</v>
      </c>
      <c r="AK18" s="152">
        <f>IFERROR(AVERAGEIFS(Upload_Indiv[Score2],Upload_Indiv[[Player]:[Player]],$A18,Upload_Indiv[[Side]:[Side]],"Raintree Back",Upload_Indiv[[Excl Score]:[Excl Score]],0),"")</f>
        <v>3</v>
      </c>
      <c r="AL18" s="152">
        <f t="shared" si="12"/>
        <v>0</v>
      </c>
      <c r="AM18" s="149">
        <f>IFERROR(COUNTIFS(Upload_Indiv[[Player]:[Player]],$A18,Upload_Indiv[[Side]:[Side]],"Raintree Back",Upload_Indiv[[Excl Score]:[Excl Score]],0),"")</f>
        <v>1</v>
      </c>
      <c r="AN18" s="150">
        <f>IFERROR(AVERAGEIFS(Upload_Indiv[Score3],Upload_Indiv[[Player]:[Player]],$A18,Upload_Indiv[[Side]:[Side]],"Raintree Back",Upload_Indiv[[Excl Score]:[Excl Score]],0),"")</f>
        <v>4</v>
      </c>
      <c r="AO18" s="150">
        <f t="shared" si="13"/>
        <v>0</v>
      </c>
      <c r="AP18" s="151">
        <f>IFERROR(COUNTIFS(Upload_Indiv[[Player]:[Player]],$A18,Upload_Indiv[[Side]:[Side]],"Raintree Back",Upload_Indiv[[Excl Score]:[Excl Score]],0),"")</f>
        <v>1</v>
      </c>
      <c r="AQ18" s="152">
        <f>IFERROR(AVERAGEIFS(Upload_Indiv[Score4],Upload_Indiv[[Player]:[Player]],$A18,Upload_Indiv[[Side]:[Side]],"Raintree Back",Upload_Indiv[[Excl Score]:[Excl Score]],0),"")</f>
        <v>5</v>
      </c>
      <c r="AR18" s="152">
        <f t="shared" si="14"/>
        <v>1</v>
      </c>
      <c r="AS18" s="149">
        <f>IFERROR(COUNTIFS(Upload_Indiv[[Player]:[Player]],$A18,Upload_Indiv[[Side]:[Side]],"Raintree Back",Upload_Indiv[[Excl Score]:[Excl Score]],0),"")</f>
        <v>1</v>
      </c>
      <c r="AT18" s="150">
        <f>IFERROR(AVERAGEIFS(Upload_Indiv[Score5],Upload_Indiv[[Player]:[Player]],$A18,Upload_Indiv[[Side]:[Side]],"Raintree Back",Upload_Indiv[[Excl Score]:[Excl Score]],0),"")</f>
        <v>5</v>
      </c>
      <c r="AU18" s="150">
        <f t="shared" si="15"/>
        <v>1</v>
      </c>
      <c r="AV18" s="151">
        <f>IFERROR(COUNTIFS(Upload_Indiv[[Player]:[Player]],$A18,Upload_Indiv[[Side]:[Side]],"Raintree Back",Upload_Indiv[[Excl Score]:[Excl Score]],0),"")</f>
        <v>1</v>
      </c>
      <c r="AW18" s="152">
        <f>IFERROR(AVERAGEIFS(Upload_Indiv[Score6],Upload_Indiv[[Player]:[Player]],$A18,Upload_Indiv[[Side]:[Side]],"Raintree Back",Upload_Indiv[[Excl Score]:[Excl Score]],0),"")</f>
        <v>5</v>
      </c>
      <c r="AX18" s="152">
        <f t="shared" si="16"/>
        <v>0</v>
      </c>
      <c r="AY18" s="149">
        <f>IFERROR(COUNTIFS(Upload_Indiv[[Player]:[Player]],$A18,Upload_Indiv[[Side]:[Side]],"Raintree Back",Upload_Indiv[[Excl Score]:[Excl Score]],0),"")</f>
        <v>1</v>
      </c>
      <c r="AZ18" s="150">
        <f>IFERROR(AVERAGEIFS(Upload_Indiv[Score7],Upload_Indiv[[Player]:[Player]],$A18,Upload_Indiv[[Side]:[Side]],"Raintree Back",Upload_Indiv[[Excl Score]:[Excl Score]],0),"")</f>
        <v>3</v>
      </c>
      <c r="BA18" s="150">
        <f t="shared" si="17"/>
        <v>0</v>
      </c>
      <c r="BB18" s="151">
        <f>IFERROR(COUNTIFS(Upload_Indiv[[Player]:[Player]],$A18,Upload_Indiv[[Side]:[Side]],"Raintree Back",Upload_Indiv[[Excl Score]:[Excl Score]],0),"")</f>
        <v>1</v>
      </c>
      <c r="BC18" s="152">
        <f>IFERROR(AVERAGEIFS(Upload_Indiv[Score8],Upload_Indiv[[Player]:[Player]],$A18,Upload_Indiv[[Side]:[Side]],"Raintree Back",Upload_Indiv[[Excl Score]:[Excl Score]],0),"")</f>
        <v>5</v>
      </c>
      <c r="BD18" s="152">
        <f t="shared" si="18"/>
        <v>1</v>
      </c>
      <c r="BE18" s="149">
        <f>IFERROR(COUNTIFS(Upload_Indiv[[Player]:[Player]],$A18,Upload_Indiv[[Side]:[Side]],"Raintree Back",Upload_Indiv[[Excl Score]:[Excl Score]],0),"")</f>
        <v>1</v>
      </c>
      <c r="BF18" s="150">
        <f>IFERROR(AVERAGEIFS(Upload_Indiv[Score9],Upload_Indiv[[Player]:[Player]],$A18,Upload_Indiv[[Side]:[Side]],"Raintree Back",Upload_Indiv[[Excl Score]:[Excl Score]],0),"")</f>
        <v>6</v>
      </c>
      <c r="BG18" s="150">
        <f t="shared" si="19"/>
        <v>1</v>
      </c>
      <c r="BH18" s="165">
        <f t="shared" si="20"/>
        <v>1</v>
      </c>
      <c r="BI18" s="165">
        <f t="shared" si="21"/>
        <v>40</v>
      </c>
      <c r="BJ18" s="165">
        <f t="shared" si="21"/>
        <v>4</v>
      </c>
    </row>
    <row r="19" spans="1:62" ht="15" customHeight="1" x14ac:dyDescent="0.25">
      <c r="A19" s="4" t="s">
        <v>281</v>
      </c>
      <c r="B19" s="170">
        <f>IFERROR(AVERAGEIFS(Upload_Indiv[Hdcp],Upload_Indiv[[Player]:[Player]],$A19,Upload_Indiv[[Excl Score]:[Excl Score]],0),"")</f>
        <v>0</v>
      </c>
      <c r="C19" s="149">
        <f>IFERROR(COUNTIFS(Upload_Indiv[[Player]:[Player]],$A19,Upload_Indiv[[Side]:[Side]],"Raintree Front",Upload_Indiv[[Excl Score]:[Excl Score]],0),"")</f>
        <v>1</v>
      </c>
      <c r="D19" s="150">
        <f>IFERROR(AVERAGEIFS(Upload_Indiv[Score1],Upload_Indiv[[Player]:[Player]],$A19,Upload_Indiv[[Side]:[Side]],"Raintree Front",Upload_Indiv[[Excl Score]:[Excl Score]],0),"")</f>
        <v>5</v>
      </c>
      <c r="E19" s="150">
        <f t="shared" si="0"/>
        <v>1</v>
      </c>
      <c r="F19" s="151">
        <f>IFERROR(COUNTIFS(Upload_Indiv[[Player]:[Player]],$A19,Upload_Indiv[[Side]:[Side]],"Raintree Front",Upload_Indiv[[Excl Score]:[Excl Score]],0),"")</f>
        <v>1</v>
      </c>
      <c r="G19" s="152">
        <f>IFERROR(AVERAGEIFS(Upload_Indiv[Score2],Upload_Indiv[[Player]:[Player]],$A19,Upload_Indiv[[Side]:[Side]],"Raintree Front",Upload_Indiv[[Excl Score]:[Excl Score]],0),"")</f>
        <v>5</v>
      </c>
      <c r="H19" s="152">
        <f t="shared" si="1"/>
        <v>0</v>
      </c>
      <c r="I19" s="149">
        <f>IFERROR(COUNTIFS(Upload_Indiv[[Player]:[Player]],$A19,Upload_Indiv[[Side]:[Side]],"Raintree Front",Upload_Indiv[[Excl Score]:[Excl Score]],0),"")</f>
        <v>1</v>
      </c>
      <c r="J19" s="150">
        <f>IFERROR(AVERAGEIFS(Upload_Indiv[Score3],Upload_Indiv[[Player]:[Player]],$A19,Upload_Indiv[[Side]:[Side]],"Raintree Front",Upload_Indiv[[Excl Score]:[Excl Score]],0),"")</f>
        <v>5</v>
      </c>
      <c r="K19" s="150">
        <f t="shared" si="2"/>
        <v>1</v>
      </c>
      <c r="L19" s="151">
        <f>IFERROR(COUNTIFS(Upload_Indiv[[Player]:[Player]],$A19,Upload_Indiv[[Side]:[Side]],"Raintree Front",Upload_Indiv[[Excl Score]:[Excl Score]],0),"")</f>
        <v>1</v>
      </c>
      <c r="M19" s="152">
        <f>IFERROR(AVERAGEIFS(Upload_Indiv[Score4],Upload_Indiv[[Player]:[Player]],$A19,Upload_Indiv[[Side]:[Side]],"Raintree Front",Upload_Indiv[[Excl Score]:[Excl Score]],0),"")</f>
        <v>3</v>
      </c>
      <c r="N19" s="152">
        <f t="shared" si="3"/>
        <v>0</v>
      </c>
      <c r="O19" s="149">
        <f>IFERROR(COUNTIFS(Upload_Indiv[[Player]:[Player]],$A19,Upload_Indiv[[Side]:[Side]],"Raintree Front",Upload_Indiv[[Excl Score]:[Excl Score]],0),"")</f>
        <v>1</v>
      </c>
      <c r="P19" s="150">
        <f>IFERROR(AVERAGEIFS(Upload_Indiv[Score5],Upload_Indiv[[Player]:[Player]],$A19,Upload_Indiv[[Side]:[Side]],"Raintree Front",Upload_Indiv[[Excl Score]:[Excl Score]],0),"")</f>
        <v>4</v>
      </c>
      <c r="Q19" s="150">
        <f t="shared" si="4"/>
        <v>0</v>
      </c>
      <c r="R19" s="151">
        <f>IFERROR(COUNTIFS(Upload_Indiv[[Player]:[Player]],$A19,Upload_Indiv[[Side]:[Side]],"Raintree Front",Upload_Indiv[[Excl Score]:[Excl Score]],0),"")</f>
        <v>1</v>
      </c>
      <c r="S19" s="152">
        <f>IFERROR(AVERAGEIFS(Upload_Indiv[Score6],Upload_Indiv[[Player]:[Player]],$A19,Upload_Indiv[[Side]:[Side]],"Raintree Front",Upload_Indiv[[Excl Score]:[Excl Score]],0),"")</f>
        <v>5</v>
      </c>
      <c r="T19" s="152">
        <f t="shared" si="5"/>
        <v>1</v>
      </c>
      <c r="U19" s="149">
        <f>IFERROR(COUNTIFS(Upload_Indiv[[Player]:[Player]],$A19,Upload_Indiv[[Side]:[Side]],"Raintree Front",Upload_Indiv[[Excl Score]:[Excl Score]],0),"")</f>
        <v>1</v>
      </c>
      <c r="V19" s="150">
        <f>IFERROR(AVERAGEIFS(Upload_Indiv[Score7],Upload_Indiv[[Player]:[Player]],$A19,Upload_Indiv[[Side]:[Side]],"Raintree Front",Upload_Indiv[[Excl Score]:[Excl Score]],0),"")</f>
        <v>5</v>
      </c>
      <c r="W19" s="150">
        <f t="shared" si="6"/>
        <v>0</v>
      </c>
      <c r="X19" s="151">
        <f>IFERROR(COUNTIFS(Upload_Indiv[[Player]:[Player]],$A19,Upload_Indiv[[Side]:[Side]],"Raintree Front",Upload_Indiv[[Excl Score]:[Excl Score]],0),"")</f>
        <v>1</v>
      </c>
      <c r="Y19" s="152">
        <f>IFERROR(AVERAGEIFS(Upload_Indiv[Score8],Upload_Indiv[[Player]:[Player]],$A19,Upload_Indiv[[Side]:[Side]],"Raintree Front",Upload_Indiv[[Excl Score]:[Excl Score]],0),"")</f>
        <v>3</v>
      </c>
      <c r="Z19" s="152">
        <f t="shared" si="7"/>
        <v>0</v>
      </c>
      <c r="AA19" s="149">
        <f>IFERROR(COUNTIFS(Upload_Indiv[[Player]:[Player]],$A19,Upload_Indiv[[Side]:[Side]],"Raintree Front",Upload_Indiv[[Excl Score]:[Excl Score]],0),"")</f>
        <v>1</v>
      </c>
      <c r="AB19" s="150">
        <f>IFERROR(AVERAGEIFS(Upload_Indiv[Score9],Upload_Indiv[[Player]:[Player]],$A19,Upload_Indiv[[Side]:[Side]],"Raintree Front",Upload_Indiv[[Excl Score]:[Excl Score]],0),"")</f>
        <v>5</v>
      </c>
      <c r="AC19" s="150">
        <f t="shared" si="8"/>
        <v>1</v>
      </c>
      <c r="AD19" s="165">
        <f t="shared" si="9"/>
        <v>1</v>
      </c>
      <c r="AE19" s="165">
        <f t="shared" si="10"/>
        <v>40</v>
      </c>
      <c r="AF19" s="165">
        <f t="shared" si="10"/>
        <v>4</v>
      </c>
      <c r="AG19" s="149">
        <f>IFERROR(COUNTIFS(Upload_Indiv[[Player]:[Player]],$A19,Upload_Indiv[[Side]:[Side]],"Raintree Back",Upload_Indiv[[Excl Score]:[Excl Score]],0),"")</f>
        <v>0</v>
      </c>
      <c r="AH19" s="150" t="str">
        <f>IFERROR(AVERAGEIFS(Upload_Indiv[Score1],Upload_Indiv[[Player]:[Player]],$A19,Upload_Indiv[[Side]:[Side]],"Raintree Back",Upload_Indiv[[Excl Score]:[Excl Score]],0),"")</f>
        <v/>
      </c>
      <c r="AI19" s="150" t="str">
        <f t="shared" si="11"/>
        <v/>
      </c>
      <c r="AJ19" s="151">
        <f>IFERROR(COUNTIFS(Upload_Indiv[[Player]:[Player]],$A19,Upload_Indiv[[Side]:[Side]],"Raintree Back",Upload_Indiv[[Excl Score]:[Excl Score]],0),"")</f>
        <v>0</v>
      </c>
      <c r="AK19" s="152" t="str">
        <f>IFERROR(AVERAGEIFS(Upload_Indiv[Score2],Upload_Indiv[[Player]:[Player]],$A19,Upload_Indiv[[Side]:[Side]],"Raintree Back",Upload_Indiv[[Excl Score]:[Excl Score]],0),"")</f>
        <v/>
      </c>
      <c r="AL19" s="152" t="str">
        <f t="shared" si="12"/>
        <v/>
      </c>
      <c r="AM19" s="149">
        <f>IFERROR(COUNTIFS(Upload_Indiv[[Player]:[Player]],$A19,Upload_Indiv[[Side]:[Side]],"Raintree Back",Upload_Indiv[[Excl Score]:[Excl Score]],0),"")</f>
        <v>0</v>
      </c>
      <c r="AN19" s="150" t="str">
        <f>IFERROR(AVERAGEIFS(Upload_Indiv[Score3],Upload_Indiv[[Player]:[Player]],$A19,Upload_Indiv[[Side]:[Side]],"Raintree Back",Upload_Indiv[[Excl Score]:[Excl Score]],0),"")</f>
        <v/>
      </c>
      <c r="AO19" s="150" t="str">
        <f t="shared" si="13"/>
        <v/>
      </c>
      <c r="AP19" s="151">
        <f>IFERROR(COUNTIFS(Upload_Indiv[[Player]:[Player]],$A19,Upload_Indiv[[Side]:[Side]],"Raintree Back",Upload_Indiv[[Excl Score]:[Excl Score]],0),"")</f>
        <v>0</v>
      </c>
      <c r="AQ19" s="152" t="str">
        <f>IFERROR(AVERAGEIFS(Upload_Indiv[Score4],Upload_Indiv[[Player]:[Player]],$A19,Upload_Indiv[[Side]:[Side]],"Raintree Back",Upload_Indiv[[Excl Score]:[Excl Score]],0),"")</f>
        <v/>
      </c>
      <c r="AR19" s="152" t="str">
        <f t="shared" si="14"/>
        <v/>
      </c>
      <c r="AS19" s="149">
        <f>IFERROR(COUNTIFS(Upload_Indiv[[Player]:[Player]],$A19,Upload_Indiv[[Side]:[Side]],"Raintree Back",Upload_Indiv[[Excl Score]:[Excl Score]],0),"")</f>
        <v>0</v>
      </c>
      <c r="AT19" s="150" t="str">
        <f>IFERROR(AVERAGEIFS(Upload_Indiv[Score5],Upload_Indiv[[Player]:[Player]],$A19,Upload_Indiv[[Side]:[Side]],"Raintree Back",Upload_Indiv[[Excl Score]:[Excl Score]],0),"")</f>
        <v/>
      </c>
      <c r="AU19" s="150" t="str">
        <f t="shared" si="15"/>
        <v/>
      </c>
      <c r="AV19" s="151">
        <f>IFERROR(COUNTIFS(Upload_Indiv[[Player]:[Player]],$A19,Upload_Indiv[[Side]:[Side]],"Raintree Back",Upload_Indiv[[Excl Score]:[Excl Score]],0),"")</f>
        <v>0</v>
      </c>
      <c r="AW19" s="152" t="str">
        <f>IFERROR(AVERAGEIFS(Upload_Indiv[Score6],Upload_Indiv[[Player]:[Player]],$A19,Upload_Indiv[[Side]:[Side]],"Raintree Back",Upload_Indiv[[Excl Score]:[Excl Score]],0),"")</f>
        <v/>
      </c>
      <c r="AX19" s="152" t="str">
        <f t="shared" si="16"/>
        <v/>
      </c>
      <c r="AY19" s="149">
        <f>IFERROR(COUNTIFS(Upload_Indiv[[Player]:[Player]],$A19,Upload_Indiv[[Side]:[Side]],"Raintree Back",Upload_Indiv[[Excl Score]:[Excl Score]],0),"")</f>
        <v>0</v>
      </c>
      <c r="AZ19" s="150" t="str">
        <f>IFERROR(AVERAGEIFS(Upload_Indiv[Score7],Upload_Indiv[[Player]:[Player]],$A19,Upload_Indiv[[Side]:[Side]],"Raintree Back",Upload_Indiv[[Excl Score]:[Excl Score]],0),"")</f>
        <v/>
      </c>
      <c r="BA19" s="150" t="str">
        <f t="shared" si="17"/>
        <v/>
      </c>
      <c r="BB19" s="151">
        <f>IFERROR(COUNTIFS(Upload_Indiv[[Player]:[Player]],$A19,Upload_Indiv[[Side]:[Side]],"Raintree Back",Upload_Indiv[[Excl Score]:[Excl Score]],0),"")</f>
        <v>0</v>
      </c>
      <c r="BC19" s="152" t="str">
        <f>IFERROR(AVERAGEIFS(Upload_Indiv[Score8],Upload_Indiv[[Player]:[Player]],$A19,Upload_Indiv[[Side]:[Side]],"Raintree Back",Upload_Indiv[[Excl Score]:[Excl Score]],0),"")</f>
        <v/>
      </c>
      <c r="BD19" s="152" t="str">
        <f t="shared" si="18"/>
        <v/>
      </c>
      <c r="BE19" s="149">
        <f>IFERROR(COUNTIFS(Upload_Indiv[[Player]:[Player]],$A19,Upload_Indiv[[Side]:[Side]],"Raintree Back",Upload_Indiv[[Excl Score]:[Excl Score]],0),"")</f>
        <v>0</v>
      </c>
      <c r="BF19" s="150" t="str">
        <f>IFERROR(AVERAGEIFS(Upload_Indiv[Score9],Upload_Indiv[[Player]:[Player]],$A19,Upload_Indiv[[Side]:[Side]],"Raintree Back",Upload_Indiv[[Excl Score]:[Excl Score]],0),"")</f>
        <v/>
      </c>
      <c r="BG19" s="150" t="str">
        <f t="shared" si="19"/>
        <v/>
      </c>
      <c r="BH19" s="165">
        <f t="shared" si="20"/>
        <v>0</v>
      </c>
      <c r="BI19" s="165">
        <f t="shared" si="21"/>
        <v>0</v>
      </c>
      <c r="BJ19" s="165">
        <f t="shared" si="21"/>
        <v>0</v>
      </c>
    </row>
    <row r="20" spans="1:62" ht="15" customHeight="1" x14ac:dyDescent="0.25">
      <c r="A20" s="4" t="s">
        <v>296</v>
      </c>
      <c r="B20" s="170">
        <f>IFERROR(AVERAGEIFS(Upload_Indiv[Hdcp],Upload_Indiv[[Player]:[Player]],$A20,Upload_Indiv[[Excl Score]:[Excl Score]],0),"")</f>
        <v>0</v>
      </c>
      <c r="C20" s="149">
        <f>IFERROR(COUNTIFS(Upload_Indiv[[Player]:[Player]],$A20,Upload_Indiv[[Side]:[Side]],"Raintree Front",Upload_Indiv[[Excl Score]:[Excl Score]],0),"")</f>
        <v>0</v>
      </c>
      <c r="D20" s="150" t="str">
        <f>IFERROR(AVERAGEIFS(Upload_Indiv[Score1],Upload_Indiv[[Player]:[Player]],$A20,Upload_Indiv[[Side]:[Side]],"Raintree Front",Upload_Indiv[[Excl Score]:[Excl Score]],0),"")</f>
        <v/>
      </c>
      <c r="E20" s="150" t="str">
        <f t="shared" si="0"/>
        <v/>
      </c>
      <c r="F20" s="151">
        <f>IFERROR(COUNTIFS(Upload_Indiv[[Player]:[Player]],$A20,Upload_Indiv[[Side]:[Side]],"Raintree Front",Upload_Indiv[[Excl Score]:[Excl Score]],0),"")</f>
        <v>0</v>
      </c>
      <c r="G20" s="152" t="str">
        <f>IFERROR(AVERAGEIFS(Upload_Indiv[Score2],Upload_Indiv[[Player]:[Player]],$A20,Upload_Indiv[[Side]:[Side]],"Raintree Front",Upload_Indiv[[Excl Score]:[Excl Score]],0),"")</f>
        <v/>
      </c>
      <c r="H20" s="152" t="str">
        <f t="shared" si="1"/>
        <v/>
      </c>
      <c r="I20" s="149">
        <f>IFERROR(COUNTIFS(Upload_Indiv[[Player]:[Player]],$A20,Upload_Indiv[[Side]:[Side]],"Raintree Front",Upload_Indiv[[Excl Score]:[Excl Score]],0),"")</f>
        <v>0</v>
      </c>
      <c r="J20" s="150" t="str">
        <f>IFERROR(AVERAGEIFS(Upload_Indiv[Score3],Upload_Indiv[[Player]:[Player]],$A20,Upload_Indiv[[Side]:[Side]],"Raintree Front",Upload_Indiv[[Excl Score]:[Excl Score]],0),"")</f>
        <v/>
      </c>
      <c r="K20" s="150" t="str">
        <f t="shared" si="2"/>
        <v/>
      </c>
      <c r="L20" s="151">
        <f>IFERROR(COUNTIFS(Upload_Indiv[[Player]:[Player]],$A20,Upload_Indiv[[Side]:[Side]],"Raintree Front",Upload_Indiv[[Excl Score]:[Excl Score]],0),"")</f>
        <v>0</v>
      </c>
      <c r="M20" s="152" t="str">
        <f>IFERROR(AVERAGEIFS(Upload_Indiv[Score4],Upload_Indiv[[Player]:[Player]],$A20,Upload_Indiv[[Side]:[Side]],"Raintree Front",Upload_Indiv[[Excl Score]:[Excl Score]],0),"")</f>
        <v/>
      </c>
      <c r="N20" s="152" t="str">
        <f t="shared" si="3"/>
        <v/>
      </c>
      <c r="O20" s="149">
        <f>IFERROR(COUNTIFS(Upload_Indiv[[Player]:[Player]],$A20,Upload_Indiv[[Side]:[Side]],"Raintree Front",Upload_Indiv[[Excl Score]:[Excl Score]],0),"")</f>
        <v>0</v>
      </c>
      <c r="P20" s="150" t="str">
        <f>IFERROR(AVERAGEIFS(Upload_Indiv[Score5],Upload_Indiv[[Player]:[Player]],$A20,Upload_Indiv[[Side]:[Side]],"Raintree Front",Upload_Indiv[[Excl Score]:[Excl Score]],0),"")</f>
        <v/>
      </c>
      <c r="Q20" s="150" t="str">
        <f t="shared" si="4"/>
        <v/>
      </c>
      <c r="R20" s="151">
        <f>IFERROR(COUNTIFS(Upload_Indiv[[Player]:[Player]],$A20,Upload_Indiv[[Side]:[Side]],"Raintree Front",Upload_Indiv[[Excl Score]:[Excl Score]],0),"")</f>
        <v>0</v>
      </c>
      <c r="S20" s="152" t="str">
        <f>IFERROR(AVERAGEIFS(Upload_Indiv[Score6],Upload_Indiv[[Player]:[Player]],$A20,Upload_Indiv[[Side]:[Side]],"Raintree Front",Upload_Indiv[[Excl Score]:[Excl Score]],0),"")</f>
        <v/>
      </c>
      <c r="T20" s="152" t="str">
        <f t="shared" si="5"/>
        <v/>
      </c>
      <c r="U20" s="149">
        <f>IFERROR(COUNTIFS(Upload_Indiv[[Player]:[Player]],$A20,Upload_Indiv[[Side]:[Side]],"Raintree Front",Upload_Indiv[[Excl Score]:[Excl Score]],0),"")</f>
        <v>0</v>
      </c>
      <c r="V20" s="150" t="str">
        <f>IFERROR(AVERAGEIFS(Upload_Indiv[Score7],Upload_Indiv[[Player]:[Player]],$A20,Upload_Indiv[[Side]:[Side]],"Raintree Front",Upload_Indiv[[Excl Score]:[Excl Score]],0),"")</f>
        <v/>
      </c>
      <c r="W20" s="150" t="str">
        <f t="shared" si="6"/>
        <v/>
      </c>
      <c r="X20" s="151">
        <f>IFERROR(COUNTIFS(Upload_Indiv[[Player]:[Player]],$A20,Upload_Indiv[[Side]:[Side]],"Raintree Front",Upload_Indiv[[Excl Score]:[Excl Score]],0),"")</f>
        <v>0</v>
      </c>
      <c r="Y20" s="152" t="str">
        <f>IFERROR(AVERAGEIFS(Upload_Indiv[Score8],Upload_Indiv[[Player]:[Player]],$A20,Upload_Indiv[[Side]:[Side]],"Raintree Front",Upload_Indiv[[Excl Score]:[Excl Score]],0),"")</f>
        <v/>
      </c>
      <c r="Z20" s="152" t="str">
        <f t="shared" si="7"/>
        <v/>
      </c>
      <c r="AA20" s="149">
        <f>IFERROR(COUNTIFS(Upload_Indiv[[Player]:[Player]],$A20,Upload_Indiv[[Side]:[Side]],"Raintree Front",Upload_Indiv[[Excl Score]:[Excl Score]],0),"")</f>
        <v>0</v>
      </c>
      <c r="AB20" s="150" t="str">
        <f>IFERROR(AVERAGEIFS(Upload_Indiv[Score9],Upload_Indiv[[Player]:[Player]],$A20,Upload_Indiv[[Side]:[Side]],"Raintree Front",Upload_Indiv[[Excl Score]:[Excl Score]],0),"")</f>
        <v/>
      </c>
      <c r="AC20" s="150" t="str">
        <f t="shared" si="8"/>
        <v/>
      </c>
      <c r="AD20" s="165">
        <f t="shared" si="9"/>
        <v>0</v>
      </c>
      <c r="AE20" s="165">
        <f t="shared" si="10"/>
        <v>0</v>
      </c>
      <c r="AF20" s="165">
        <f t="shared" si="10"/>
        <v>0</v>
      </c>
      <c r="AG20" s="149">
        <f>IFERROR(COUNTIFS(Upload_Indiv[[Player]:[Player]],$A20,Upload_Indiv[[Side]:[Side]],"Raintree Back",Upload_Indiv[[Excl Score]:[Excl Score]],0),"")</f>
        <v>1</v>
      </c>
      <c r="AH20" s="150">
        <f>IFERROR(AVERAGEIFS(Upload_Indiv[Score1],Upload_Indiv[[Player]:[Player]],$A20,Upload_Indiv[[Side]:[Side]],"Raintree Back",Upload_Indiv[[Excl Score]:[Excl Score]],0),"")</f>
        <v>4</v>
      </c>
      <c r="AI20" s="150">
        <f t="shared" si="11"/>
        <v>0</v>
      </c>
      <c r="AJ20" s="151">
        <f>IFERROR(COUNTIFS(Upload_Indiv[[Player]:[Player]],$A20,Upload_Indiv[[Side]:[Side]],"Raintree Back",Upload_Indiv[[Excl Score]:[Excl Score]],0),"")</f>
        <v>1</v>
      </c>
      <c r="AK20" s="152">
        <f>IFERROR(AVERAGEIFS(Upload_Indiv[Score2],Upload_Indiv[[Player]:[Player]],$A20,Upload_Indiv[[Side]:[Side]],"Raintree Back",Upload_Indiv[[Excl Score]:[Excl Score]],0),"")</f>
        <v>3</v>
      </c>
      <c r="AL20" s="152">
        <f t="shared" si="12"/>
        <v>0</v>
      </c>
      <c r="AM20" s="149">
        <f>IFERROR(COUNTIFS(Upload_Indiv[[Player]:[Player]],$A20,Upload_Indiv[[Side]:[Side]],"Raintree Back",Upload_Indiv[[Excl Score]:[Excl Score]],0),"")</f>
        <v>1</v>
      </c>
      <c r="AN20" s="150">
        <f>IFERROR(AVERAGEIFS(Upload_Indiv[Score3],Upload_Indiv[[Player]:[Player]],$A20,Upload_Indiv[[Side]:[Side]],"Raintree Back",Upload_Indiv[[Excl Score]:[Excl Score]],0),"")</f>
        <v>4</v>
      </c>
      <c r="AO20" s="150">
        <f t="shared" si="13"/>
        <v>0</v>
      </c>
      <c r="AP20" s="151">
        <f>IFERROR(COUNTIFS(Upload_Indiv[[Player]:[Player]],$A20,Upload_Indiv[[Side]:[Side]],"Raintree Back",Upload_Indiv[[Excl Score]:[Excl Score]],0),"")</f>
        <v>1</v>
      </c>
      <c r="AQ20" s="152">
        <f>IFERROR(AVERAGEIFS(Upload_Indiv[Score4],Upload_Indiv[[Player]:[Player]],$A20,Upload_Indiv[[Side]:[Side]],"Raintree Back",Upload_Indiv[[Excl Score]:[Excl Score]],0),"")</f>
        <v>5</v>
      </c>
      <c r="AR20" s="152">
        <f t="shared" si="14"/>
        <v>1</v>
      </c>
      <c r="AS20" s="149">
        <f>IFERROR(COUNTIFS(Upload_Indiv[[Player]:[Player]],$A20,Upload_Indiv[[Side]:[Side]],"Raintree Back",Upload_Indiv[[Excl Score]:[Excl Score]],0),"")</f>
        <v>1</v>
      </c>
      <c r="AT20" s="150">
        <f>IFERROR(AVERAGEIFS(Upload_Indiv[Score5],Upload_Indiv[[Player]:[Player]],$A20,Upload_Indiv[[Side]:[Side]],"Raintree Back",Upload_Indiv[[Excl Score]:[Excl Score]],0),"")</f>
        <v>5</v>
      </c>
      <c r="AU20" s="150">
        <f t="shared" si="15"/>
        <v>1</v>
      </c>
      <c r="AV20" s="151">
        <f>IFERROR(COUNTIFS(Upload_Indiv[[Player]:[Player]],$A20,Upload_Indiv[[Side]:[Side]],"Raintree Back",Upload_Indiv[[Excl Score]:[Excl Score]],0),"")</f>
        <v>1</v>
      </c>
      <c r="AW20" s="152">
        <f>IFERROR(AVERAGEIFS(Upload_Indiv[Score6],Upload_Indiv[[Player]:[Player]],$A20,Upload_Indiv[[Side]:[Side]],"Raintree Back",Upload_Indiv[[Excl Score]:[Excl Score]],0),"")</f>
        <v>5</v>
      </c>
      <c r="AX20" s="152">
        <f t="shared" si="16"/>
        <v>0</v>
      </c>
      <c r="AY20" s="149">
        <f>IFERROR(COUNTIFS(Upload_Indiv[[Player]:[Player]],$A20,Upload_Indiv[[Side]:[Side]],"Raintree Back",Upload_Indiv[[Excl Score]:[Excl Score]],0),"")</f>
        <v>1</v>
      </c>
      <c r="AZ20" s="150">
        <f>IFERROR(AVERAGEIFS(Upload_Indiv[Score7],Upload_Indiv[[Player]:[Player]],$A20,Upload_Indiv[[Side]:[Side]],"Raintree Back",Upload_Indiv[[Excl Score]:[Excl Score]],0),"")</f>
        <v>3</v>
      </c>
      <c r="BA20" s="150">
        <f t="shared" si="17"/>
        <v>0</v>
      </c>
      <c r="BB20" s="151">
        <f>IFERROR(COUNTIFS(Upload_Indiv[[Player]:[Player]],$A20,Upload_Indiv[[Side]:[Side]],"Raintree Back",Upload_Indiv[[Excl Score]:[Excl Score]],0),"")</f>
        <v>1</v>
      </c>
      <c r="BC20" s="152">
        <f>IFERROR(AVERAGEIFS(Upload_Indiv[Score8],Upload_Indiv[[Player]:[Player]],$A20,Upload_Indiv[[Side]:[Side]],"Raintree Back",Upload_Indiv[[Excl Score]:[Excl Score]],0),"")</f>
        <v>5</v>
      </c>
      <c r="BD20" s="152">
        <f t="shared" si="18"/>
        <v>1</v>
      </c>
      <c r="BE20" s="149">
        <f>IFERROR(COUNTIFS(Upload_Indiv[[Player]:[Player]],$A20,Upload_Indiv[[Side]:[Side]],"Raintree Back",Upload_Indiv[[Excl Score]:[Excl Score]],0),"")</f>
        <v>1</v>
      </c>
      <c r="BF20" s="150">
        <f>IFERROR(AVERAGEIFS(Upload_Indiv[Score9],Upload_Indiv[[Player]:[Player]],$A20,Upload_Indiv[[Side]:[Side]],"Raintree Back",Upload_Indiv[[Excl Score]:[Excl Score]],0),"")</f>
        <v>6</v>
      </c>
      <c r="BG20" s="150">
        <f t="shared" si="19"/>
        <v>1</v>
      </c>
      <c r="BH20" s="165">
        <f t="shared" si="20"/>
        <v>1</v>
      </c>
      <c r="BI20" s="165">
        <f t="shared" si="21"/>
        <v>40</v>
      </c>
      <c r="BJ20" s="165">
        <f t="shared" si="21"/>
        <v>4</v>
      </c>
    </row>
    <row r="21" spans="1:62" ht="15" customHeight="1" x14ac:dyDescent="0.25">
      <c r="A21" s="4" t="s">
        <v>306</v>
      </c>
      <c r="B21" s="170">
        <f>IFERROR(AVERAGEIFS(Upload_Indiv[Hdcp],Upload_Indiv[[Player]:[Player]],$A21,Upload_Indiv[[Excl Score]:[Excl Score]],0),"")</f>
        <v>0</v>
      </c>
      <c r="C21" s="149">
        <f>IFERROR(COUNTIFS(Upload_Indiv[[Player]:[Player]],$A21,Upload_Indiv[[Side]:[Side]],"Raintree Front",Upload_Indiv[[Excl Score]:[Excl Score]],0),"")</f>
        <v>0</v>
      </c>
      <c r="D21" s="150" t="str">
        <f>IFERROR(AVERAGEIFS(Upload_Indiv[Score1],Upload_Indiv[[Player]:[Player]],$A21,Upload_Indiv[[Side]:[Side]],"Raintree Front",Upload_Indiv[[Excl Score]:[Excl Score]],0),"")</f>
        <v/>
      </c>
      <c r="E21" s="150" t="str">
        <f t="shared" si="0"/>
        <v/>
      </c>
      <c r="F21" s="151">
        <f>IFERROR(COUNTIFS(Upload_Indiv[[Player]:[Player]],$A21,Upload_Indiv[[Side]:[Side]],"Raintree Front",Upload_Indiv[[Excl Score]:[Excl Score]],0),"")</f>
        <v>0</v>
      </c>
      <c r="G21" s="152" t="str">
        <f>IFERROR(AVERAGEIFS(Upload_Indiv[Score2],Upload_Indiv[[Player]:[Player]],$A21,Upload_Indiv[[Side]:[Side]],"Raintree Front",Upload_Indiv[[Excl Score]:[Excl Score]],0),"")</f>
        <v/>
      </c>
      <c r="H21" s="152" t="str">
        <f t="shared" si="1"/>
        <v/>
      </c>
      <c r="I21" s="149">
        <f>IFERROR(COUNTIFS(Upload_Indiv[[Player]:[Player]],$A21,Upload_Indiv[[Side]:[Side]],"Raintree Front",Upload_Indiv[[Excl Score]:[Excl Score]],0),"")</f>
        <v>0</v>
      </c>
      <c r="J21" s="150" t="str">
        <f>IFERROR(AVERAGEIFS(Upload_Indiv[Score3],Upload_Indiv[[Player]:[Player]],$A21,Upload_Indiv[[Side]:[Side]],"Raintree Front",Upload_Indiv[[Excl Score]:[Excl Score]],0),"")</f>
        <v/>
      </c>
      <c r="K21" s="150" t="str">
        <f t="shared" si="2"/>
        <v/>
      </c>
      <c r="L21" s="151">
        <f>IFERROR(COUNTIFS(Upload_Indiv[[Player]:[Player]],$A21,Upload_Indiv[[Side]:[Side]],"Raintree Front",Upload_Indiv[[Excl Score]:[Excl Score]],0),"")</f>
        <v>0</v>
      </c>
      <c r="M21" s="152" t="str">
        <f>IFERROR(AVERAGEIFS(Upload_Indiv[Score4],Upload_Indiv[[Player]:[Player]],$A21,Upload_Indiv[[Side]:[Side]],"Raintree Front",Upload_Indiv[[Excl Score]:[Excl Score]],0),"")</f>
        <v/>
      </c>
      <c r="N21" s="152" t="str">
        <f t="shared" si="3"/>
        <v/>
      </c>
      <c r="O21" s="149">
        <f>IFERROR(COUNTIFS(Upload_Indiv[[Player]:[Player]],$A21,Upload_Indiv[[Side]:[Side]],"Raintree Front",Upload_Indiv[[Excl Score]:[Excl Score]],0),"")</f>
        <v>0</v>
      </c>
      <c r="P21" s="150" t="str">
        <f>IFERROR(AVERAGEIFS(Upload_Indiv[Score5],Upload_Indiv[[Player]:[Player]],$A21,Upload_Indiv[[Side]:[Side]],"Raintree Front",Upload_Indiv[[Excl Score]:[Excl Score]],0),"")</f>
        <v/>
      </c>
      <c r="Q21" s="150" t="str">
        <f t="shared" si="4"/>
        <v/>
      </c>
      <c r="R21" s="151">
        <f>IFERROR(COUNTIFS(Upload_Indiv[[Player]:[Player]],$A21,Upload_Indiv[[Side]:[Side]],"Raintree Front",Upload_Indiv[[Excl Score]:[Excl Score]],0),"")</f>
        <v>0</v>
      </c>
      <c r="S21" s="152" t="str">
        <f>IFERROR(AVERAGEIFS(Upload_Indiv[Score6],Upload_Indiv[[Player]:[Player]],$A21,Upload_Indiv[[Side]:[Side]],"Raintree Front",Upload_Indiv[[Excl Score]:[Excl Score]],0),"")</f>
        <v/>
      </c>
      <c r="T21" s="152" t="str">
        <f t="shared" si="5"/>
        <v/>
      </c>
      <c r="U21" s="149">
        <f>IFERROR(COUNTIFS(Upload_Indiv[[Player]:[Player]],$A21,Upload_Indiv[[Side]:[Side]],"Raintree Front",Upload_Indiv[[Excl Score]:[Excl Score]],0),"")</f>
        <v>0</v>
      </c>
      <c r="V21" s="150" t="str">
        <f>IFERROR(AVERAGEIFS(Upload_Indiv[Score7],Upload_Indiv[[Player]:[Player]],$A21,Upload_Indiv[[Side]:[Side]],"Raintree Front",Upload_Indiv[[Excl Score]:[Excl Score]],0),"")</f>
        <v/>
      </c>
      <c r="W21" s="150" t="str">
        <f t="shared" si="6"/>
        <v/>
      </c>
      <c r="X21" s="151">
        <f>IFERROR(COUNTIFS(Upload_Indiv[[Player]:[Player]],$A21,Upload_Indiv[[Side]:[Side]],"Raintree Front",Upload_Indiv[[Excl Score]:[Excl Score]],0),"")</f>
        <v>0</v>
      </c>
      <c r="Y21" s="152" t="str">
        <f>IFERROR(AVERAGEIFS(Upload_Indiv[Score8],Upload_Indiv[[Player]:[Player]],$A21,Upload_Indiv[[Side]:[Side]],"Raintree Front",Upload_Indiv[[Excl Score]:[Excl Score]],0),"")</f>
        <v/>
      </c>
      <c r="Z21" s="152" t="str">
        <f t="shared" si="7"/>
        <v/>
      </c>
      <c r="AA21" s="149">
        <f>IFERROR(COUNTIFS(Upload_Indiv[[Player]:[Player]],$A21,Upload_Indiv[[Side]:[Side]],"Raintree Front",Upload_Indiv[[Excl Score]:[Excl Score]],0),"")</f>
        <v>0</v>
      </c>
      <c r="AB21" s="150" t="str">
        <f>IFERROR(AVERAGEIFS(Upload_Indiv[Score9],Upload_Indiv[[Player]:[Player]],$A21,Upload_Indiv[[Side]:[Side]],"Raintree Front",Upload_Indiv[[Excl Score]:[Excl Score]],0),"")</f>
        <v/>
      </c>
      <c r="AC21" s="150" t="str">
        <f t="shared" si="8"/>
        <v/>
      </c>
      <c r="AD21" s="165">
        <f t="shared" si="9"/>
        <v>0</v>
      </c>
      <c r="AE21" s="165">
        <f t="shared" si="10"/>
        <v>0</v>
      </c>
      <c r="AF21" s="165">
        <f t="shared" si="10"/>
        <v>0</v>
      </c>
      <c r="AG21" s="149">
        <f>IFERROR(COUNTIFS(Upload_Indiv[[Player]:[Player]],$A21,Upload_Indiv[[Side]:[Side]],"Raintree Back",Upload_Indiv[[Excl Score]:[Excl Score]],0),"")</f>
        <v>1</v>
      </c>
      <c r="AH21" s="150">
        <f>IFERROR(AVERAGEIFS(Upload_Indiv[Score1],Upload_Indiv[[Player]:[Player]],$A21,Upload_Indiv[[Side]:[Side]],"Raintree Back",Upload_Indiv[[Excl Score]:[Excl Score]],0),"")</f>
        <v>4</v>
      </c>
      <c r="AI21" s="150">
        <f t="shared" si="11"/>
        <v>0</v>
      </c>
      <c r="AJ21" s="151">
        <f>IFERROR(COUNTIFS(Upload_Indiv[[Player]:[Player]],$A21,Upload_Indiv[[Side]:[Side]],"Raintree Back",Upload_Indiv[[Excl Score]:[Excl Score]],0),"")</f>
        <v>1</v>
      </c>
      <c r="AK21" s="152">
        <f>IFERROR(AVERAGEIFS(Upload_Indiv[Score2],Upload_Indiv[[Player]:[Player]],$A21,Upload_Indiv[[Side]:[Side]],"Raintree Back",Upload_Indiv[[Excl Score]:[Excl Score]],0),"")</f>
        <v>3</v>
      </c>
      <c r="AL21" s="152">
        <f t="shared" si="12"/>
        <v>0</v>
      </c>
      <c r="AM21" s="149">
        <f>IFERROR(COUNTIFS(Upload_Indiv[[Player]:[Player]],$A21,Upload_Indiv[[Side]:[Side]],"Raintree Back",Upload_Indiv[[Excl Score]:[Excl Score]],0),"")</f>
        <v>1</v>
      </c>
      <c r="AN21" s="150">
        <f>IFERROR(AVERAGEIFS(Upload_Indiv[Score3],Upload_Indiv[[Player]:[Player]],$A21,Upload_Indiv[[Side]:[Side]],"Raintree Back",Upload_Indiv[[Excl Score]:[Excl Score]],0),"")</f>
        <v>4</v>
      </c>
      <c r="AO21" s="150">
        <f t="shared" si="13"/>
        <v>0</v>
      </c>
      <c r="AP21" s="151">
        <f>IFERROR(COUNTIFS(Upload_Indiv[[Player]:[Player]],$A21,Upload_Indiv[[Side]:[Side]],"Raintree Back",Upload_Indiv[[Excl Score]:[Excl Score]],0),"")</f>
        <v>1</v>
      </c>
      <c r="AQ21" s="152">
        <f>IFERROR(AVERAGEIFS(Upload_Indiv[Score4],Upload_Indiv[[Player]:[Player]],$A21,Upload_Indiv[[Side]:[Side]],"Raintree Back",Upload_Indiv[[Excl Score]:[Excl Score]],0),"")</f>
        <v>5</v>
      </c>
      <c r="AR21" s="152">
        <f t="shared" si="14"/>
        <v>1</v>
      </c>
      <c r="AS21" s="149">
        <f>IFERROR(COUNTIFS(Upload_Indiv[[Player]:[Player]],$A21,Upload_Indiv[[Side]:[Side]],"Raintree Back",Upload_Indiv[[Excl Score]:[Excl Score]],0),"")</f>
        <v>1</v>
      </c>
      <c r="AT21" s="150">
        <f>IFERROR(AVERAGEIFS(Upload_Indiv[Score5],Upload_Indiv[[Player]:[Player]],$A21,Upload_Indiv[[Side]:[Side]],"Raintree Back",Upload_Indiv[[Excl Score]:[Excl Score]],0),"")</f>
        <v>5</v>
      </c>
      <c r="AU21" s="150">
        <f t="shared" si="15"/>
        <v>1</v>
      </c>
      <c r="AV21" s="151">
        <f>IFERROR(COUNTIFS(Upload_Indiv[[Player]:[Player]],$A21,Upload_Indiv[[Side]:[Side]],"Raintree Back",Upload_Indiv[[Excl Score]:[Excl Score]],0),"")</f>
        <v>1</v>
      </c>
      <c r="AW21" s="152">
        <f>IFERROR(AVERAGEIFS(Upload_Indiv[Score6],Upload_Indiv[[Player]:[Player]],$A21,Upload_Indiv[[Side]:[Side]],"Raintree Back",Upload_Indiv[[Excl Score]:[Excl Score]],0),"")</f>
        <v>5</v>
      </c>
      <c r="AX21" s="152">
        <f t="shared" si="16"/>
        <v>0</v>
      </c>
      <c r="AY21" s="149">
        <f>IFERROR(COUNTIFS(Upload_Indiv[[Player]:[Player]],$A21,Upload_Indiv[[Side]:[Side]],"Raintree Back",Upload_Indiv[[Excl Score]:[Excl Score]],0),"")</f>
        <v>1</v>
      </c>
      <c r="AZ21" s="150">
        <f>IFERROR(AVERAGEIFS(Upload_Indiv[Score7],Upload_Indiv[[Player]:[Player]],$A21,Upload_Indiv[[Side]:[Side]],"Raintree Back",Upload_Indiv[[Excl Score]:[Excl Score]],0),"")</f>
        <v>3</v>
      </c>
      <c r="BA21" s="150">
        <f t="shared" si="17"/>
        <v>0</v>
      </c>
      <c r="BB21" s="151">
        <f>IFERROR(COUNTIFS(Upload_Indiv[[Player]:[Player]],$A21,Upload_Indiv[[Side]:[Side]],"Raintree Back",Upload_Indiv[[Excl Score]:[Excl Score]],0),"")</f>
        <v>1</v>
      </c>
      <c r="BC21" s="152">
        <f>IFERROR(AVERAGEIFS(Upload_Indiv[Score8],Upload_Indiv[[Player]:[Player]],$A21,Upload_Indiv[[Side]:[Side]],"Raintree Back",Upload_Indiv[[Excl Score]:[Excl Score]],0),"")</f>
        <v>5</v>
      </c>
      <c r="BD21" s="152">
        <f t="shared" si="18"/>
        <v>1</v>
      </c>
      <c r="BE21" s="149">
        <f>IFERROR(COUNTIFS(Upload_Indiv[[Player]:[Player]],$A21,Upload_Indiv[[Side]:[Side]],"Raintree Back",Upload_Indiv[[Excl Score]:[Excl Score]],0),"")</f>
        <v>1</v>
      </c>
      <c r="BF21" s="150">
        <f>IFERROR(AVERAGEIFS(Upload_Indiv[Score9],Upload_Indiv[[Player]:[Player]],$A21,Upload_Indiv[[Side]:[Side]],"Raintree Back",Upload_Indiv[[Excl Score]:[Excl Score]],0),"")</f>
        <v>6</v>
      </c>
      <c r="BG21" s="150">
        <f t="shared" si="19"/>
        <v>1</v>
      </c>
      <c r="BH21" s="165">
        <f t="shared" si="20"/>
        <v>1</v>
      </c>
      <c r="BI21" s="165">
        <f t="shared" si="21"/>
        <v>40</v>
      </c>
      <c r="BJ21" s="165">
        <f t="shared" si="21"/>
        <v>4</v>
      </c>
    </row>
    <row r="22" spans="1:62" ht="15" customHeight="1" x14ac:dyDescent="0.25">
      <c r="A22" s="4" t="s">
        <v>298</v>
      </c>
      <c r="B22" s="170">
        <f>IFERROR(AVERAGEIFS(Upload_Indiv[Hdcp],Upload_Indiv[[Player]:[Player]],$A22,Upload_Indiv[[Excl Score]:[Excl Score]],0),"")</f>
        <v>7.94</v>
      </c>
      <c r="C22" s="149">
        <f>IFERROR(COUNTIFS(Upload_Indiv[[Player]:[Player]],$A22,Upload_Indiv[[Side]:[Side]],"Raintree Front",Upload_Indiv[[Excl Score]:[Excl Score]],0),"")</f>
        <v>5</v>
      </c>
      <c r="D22" s="150">
        <f>IFERROR(AVERAGEIFS(Upload_Indiv[Score1],Upload_Indiv[[Player]:[Player]],$A22,Upload_Indiv[[Side]:[Side]],"Raintree Front",Upload_Indiv[[Excl Score]:[Excl Score]],0),"")</f>
        <v>5.8</v>
      </c>
      <c r="E22" s="150">
        <f t="shared" si="0"/>
        <v>0.79999999999999982</v>
      </c>
      <c r="F22" s="151">
        <f>IFERROR(COUNTIFS(Upload_Indiv[[Player]:[Player]],$A22,Upload_Indiv[[Side]:[Side]],"Raintree Front",Upload_Indiv[[Excl Score]:[Excl Score]],0),"")</f>
        <v>5</v>
      </c>
      <c r="G22" s="152">
        <f>IFERROR(AVERAGEIFS(Upload_Indiv[Score2],Upload_Indiv[[Player]:[Player]],$A22,Upload_Indiv[[Side]:[Side]],"Raintree Front",Upload_Indiv[[Excl Score]:[Excl Score]],0),"")</f>
        <v>6.6</v>
      </c>
      <c r="H22" s="152">
        <f t="shared" si="1"/>
        <v>0.59999999999999964</v>
      </c>
      <c r="I22" s="149">
        <f>IFERROR(COUNTIFS(Upload_Indiv[[Player]:[Player]],$A22,Upload_Indiv[[Side]:[Side]],"Raintree Front",Upload_Indiv[[Excl Score]:[Excl Score]],0),"")</f>
        <v>5</v>
      </c>
      <c r="J22" s="150">
        <f>IFERROR(AVERAGEIFS(Upload_Indiv[Score3],Upload_Indiv[[Player]:[Player]],$A22,Upload_Indiv[[Side]:[Side]],"Raintree Front",Upload_Indiv[[Excl Score]:[Excl Score]],0),"")</f>
        <v>5.4</v>
      </c>
      <c r="K22" s="150">
        <f t="shared" si="2"/>
        <v>0.40000000000000036</v>
      </c>
      <c r="L22" s="151">
        <f>IFERROR(COUNTIFS(Upload_Indiv[[Player]:[Player]],$A22,Upload_Indiv[[Side]:[Side]],"Raintree Front",Upload_Indiv[[Excl Score]:[Excl Score]],0),"")</f>
        <v>5</v>
      </c>
      <c r="M22" s="152">
        <f>IFERROR(AVERAGEIFS(Upload_Indiv[Score4],Upload_Indiv[[Player]:[Player]],$A22,Upload_Indiv[[Side]:[Side]],"Raintree Front",Upload_Indiv[[Excl Score]:[Excl Score]],0),"")</f>
        <v>3.8</v>
      </c>
      <c r="N22" s="152">
        <f t="shared" si="3"/>
        <v>-0.20000000000000018</v>
      </c>
      <c r="O22" s="149">
        <f>IFERROR(COUNTIFS(Upload_Indiv[[Player]:[Player]],$A22,Upload_Indiv[[Side]:[Side]],"Raintree Front",Upload_Indiv[[Excl Score]:[Excl Score]],0),"")</f>
        <v>5</v>
      </c>
      <c r="P22" s="150">
        <f>IFERROR(AVERAGEIFS(Upload_Indiv[Score5],Upload_Indiv[[Player]:[Player]],$A22,Upload_Indiv[[Side]:[Side]],"Raintree Front",Upload_Indiv[[Excl Score]:[Excl Score]],0),"")</f>
        <v>5.6</v>
      </c>
      <c r="Q22" s="150">
        <f t="shared" si="4"/>
        <v>1.5999999999999996</v>
      </c>
      <c r="R22" s="151">
        <f>IFERROR(COUNTIFS(Upload_Indiv[[Player]:[Player]],$A22,Upload_Indiv[[Side]:[Side]],"Raintree Front",Upload_Indiv[[Excl Score]:[Excl Score]],0),"")</f>
        <v>5</v>
      </c>
      <c r="S22" s="152">
        <f>IFERROR(AVERAGEIFS(Upload_Indiv[Score6],Upload_Indiv[[Player]:[Player]],$A22,Upload_Indiv[[Side]:[Side]],"Raintree Front",Upload_Indiv[[Excl Score]:[Excl Score]],0),"")</f>
        <v>5.2</v>
      </c>
      <c r="T22" s="152">
        <f t="shared" si="5"/>
        <v>0.20000000000000018</v>
      </c>
      <c r="U22" s="149">
        <f>IFERROR(COUNTIFS(Upload_Indiv[[Player]:[Player]],$A22,Upload_Indiv[[Side]:[Side]],"Raintree Front",Upload_Indiv[[Excl Score]:[Excl Score]],0),"")</f>
        <v>5</v>
      </c>
      <c r="V22" s="150">
        <f>IFERROR(AVERAGEIFS(Upload_Indiv[Score7],Upload_Indiv[[Player]:[Player]],$A22,Upload_Indiv[[Side]:[Side]],"Raintree Front",Upload_Indiv[[Excl Score]:[Excl Score]],0),"")</f>
        <v>7.8</v>
      </c>
      <c r="W22" s="150">
        <f t="shared" si="6"/>
        <v>1.7999999999999998</v>
      </c>
      <c r="X22" s="151">
        <f>IFERROR(COUNTIFS(Upload_Indiv[[Player]:[Player]],$A22,Upload_Indiv[[Side]:[Side]],"Raintree Front",Upload_Indiv[[Excl Score]:[Excl Score]],0),"")</f>
        <v>5</v>
      </c>
      <c r="Y22" s="152">
        <f>IFERROR(AVERAGEIFS(Upload_Indiv[Score8],Upload_Indiv[[Player]:[Player]],$A22,Upload_Indiv[[Side]:[Side]],"Raintree Front",Upload_Indiv[[Excl Score]:[Excl Score]],0),"")</f>
        <v>4.8</v>
      </c>
      <c r="Z22" s="152">
        <f t="shared" si="7"/>
        <v>0.79999999999999982</v>
      </c>
      <c r="AA22" s="149">
        <f>IFERROR(COUNTIFS(Upload_Indiv[[Player]:[Player]],$A22,Upload_Indiv[[Side]:[Side]],"Raintree Front",Upload_Indiv[[Excl Score]:[Excl Score]],0),"")</f>
        <v>5</v>
      </c>
      <c r="AB22" s="150">
        <f>IFERROR(AVERAGEIFS(Upload_Indiv[Score9],Upload_Indiv[[Player]:[Player]],$A22,Upload_Indiv[[Side]:[Side]],"Raintree Front",Upload_Indiv[[Excl Score]:[Excl Score]],0),"")</f>
        <v>6.2</v>
      </c>
      <c r="AC22" s="150">
        <f t="shared" si="8"/>
        <v>1.2000000000000002</v>
      </c>
      <c r="AD22" s="165">
        <f t="shared" si="9"/>
        <v>5</v>
      </c>
      <c r="AE22" s="165">
        <f t="shared" si="10"/>
        <v>51.199999999999996</v>
      </c>
      <c r="AF22" s="165">
        <f t="shared" si="10"/>
        <v>7.1999999999999993</v>
      </c>
      <c r="AG22" s="149">
        <f>IFERROR(COUNTIFS(Upload_Indiv[[Player]:[Player]],$A22,Upload_Indiv[[Side]:[Side]],"Raintree Back",Upload_Indiv[[Excl Score]:[Excl Score]],0),"")</f>
        <v>6</v>
      </c>
      <c r="AH22" s="150">
        <f>IFERROR(AVERAGEIFS(Upload_Indiv[Score1],Upload_Indiv[[Player]:[Player]],$A22,Upload_Indiv[[Side]:[Side]],"Raintree Back",Upload_Indiv[[Excl Score]:[Excl Score]],0),"")</f>
        <v>4.666666666666667</v>
      </c>
      <c r="AI22" s="150">
        <f t="shared" si="11"/>
        <v>-0.33333333333333304</v>
      </c>
      <c r="AJ22" s="151">
        <f>IFERROR(COUNTIFS(Upload_Indiv[[Player]:[Player]],$A22,Upload_Indiv[[Side]:[Side]],"Raintree Back",Upload_Indiv[[Excl Score]:[Excl Score]],0),"")</f>
        <v>6</v>
      </c>
      <c r="AK22" s="152">
        <f>IFERROR(AVERAGEIFS(Upload_Indiv[Score2],Upload_Indiv[[Player]:[Player]],$A22,Upload_Indiv[[Side]:[Side]],"Raintree Back",Upload_Indiv[[Excl Score]:[Excl Score]],0),"")</f>
        <v>4.5</v>
      </c>
      <c r="AL22" s="152">
        <f t="shared" si="12"/>
        <v>0.5</v>
      </c>
      <c r="AM22" s="149">
        <f>IFERROR(COUNTIFS(Upload_Indiv[[Player]:[Player]],$A22,Upload_Indiv[[Side]:[Side]],"Raintree Back",Upload_Indiv[[Excl Score]:[Excl Score]],0),"")</f>
        <v>6</v>
      </c>
      <c r="AN22" s="150">
        <f>IFERROR(AVERAGEIFS(Upload_Indiv[Score3],Upload_Indiv[[Player]:[Player]],$A22,Upload_Indiv[[Side]:[Side]],"Raintree Back",Upload_Indiv[[Excl Score]:[Excl Score]],0),"")</f>
        <v>5.333333333333333</v>
      </c>
      <c r="AO22" s="150">
        <f t="shared" si="13"/>
        <v>0.33333333333333304</v>
      </c>
      <c r="AP22" s="151">
        <f>IFERROR(COUNTIFS(Upload_Indiv[[Player]:[Player]],$A22,Upload_Indiv[[Side]:[Side]],"Raintree Back",Upload_Indiv[[Excl Score]:[Excl Score]],0),"")</f>
        <v>6</v>
      </c>
      <c r="AQ22" s="152">
        <f>IFERROR(AVERAGEIFS(Upload_Indiv[Score4],Upload_Indiv[[Player]:[Player]],$A22,Upload_Indiv[[Side]:[Side]],"Raintree Back",Upload_Indiv[[Excl Score]:[Excl Score]],0),"")</f>
        <v>5.666666666666667</v>
      </c>
      <c r="AR22" s="152">
        <f t="shared" si="14"/>
        <v>0.66666666666666696</v>
      </c>
      <c r="AS22" s="149">
        <f>IFERROR(COUNTIFS(Upload_Indiv[[Player]:[Player]],$A22,Upload_Indiv[[Side]:[Side]],"Raintree Back",Upload_Indiv[[Excl Score]:[Excl Score]],0),"")</f>
        <v>6</v>
      </c>
      <c r="AT22" s="150">
        <f>IFERROR(AVERAGEIFS(Upload_Indiv[Score5],Upload_Indiv[[Player]:[Player]],$A22,Upload_Indiv[[Side]:[Side]],"Raintree Back",Upload_Indiv[[Excl Score]:[Excl Score]],0),"")</f>
        <v>5.166666666666667</v>
      </c>
      <c r="AU22" s="150">
        <f t="shared" si="15"/>
        <v>0.16666666666666696</v>
      </c>
      <c r="AV22" s="151">
        <f>IFERROR(COUNTIFS(Upload_Indiv[[Player]:[Player]],$A22,Upload_Indiv[[Side]:[Side]],"Raintree Back",Upload_Indiv[[Excl Score]:[Excl Score]],0),"")</f>
        <v>6</v>
      </c>
      <c r="AW22" s="152">
        <f>IFERROR(AVERAGEIFS(Upload_Indiv[Score6],Upload_Indiv[[Player]:[Player]],$A22,Upload_Indiv[[Side]:[Side]],"Raintree Back",Upload_Indiv[[Excl Score]:[Excl Score]],0),"")</f>
        <v>6.333333333333333</v>
      </c>
      <c r="AX22" s="152">
        <f t="shared" si="16"/>
        <v>0.33333333333333304</v>
      </c>
      <c r="AY22" s="149">
        <f>IFERROR(COUNTIFS(Upload_Indiv[[Player]:[Player]],$A22,Upload_Indiv[[Side]:[Side]],"Raintree Back",Upload_Indiv[[Excl Score]:[Excl Score]],0),"")</f>
        <v>6</v>
      </c>
      <c r="AZ22" s="150">
        <f>IFERROR(AVERAGEIFS(Upload_Indiv[Score7],Upload_Indiv[[Player]:[Player]],$A22,Upload_Indiv[[Side]:[Side]],"Raintree Back",Upload_Indiv[[Excl Score]:[Excl Score]],0),"")</f>
        <v>3.5</v>
      </c>
      <c r="BA22" s="150">
        <f t="shared" si="17"/>
        <v>0.5</v>
      </c>
      <c r="BB22" s="151">
        <f>IFERROR(COUNTIFS(Upload_Indiv[[Player]:[Player]],$A22,Upload_Indiv[[Side]:[Side]],"Raintree Back",Upload_Indiv[[Excl Score]:[Excl Score]],0),"")</f>
        <v>6</v>
      </c>
      <c r="BC22" s="152">
        <f>IFERROR(AVERAGEIFS(Upload_Indiv[Score8],Upload_Indiv[[Player]:[Player]],$A22,Upload_Indiv[[Side]:[Side]],"Raintree Back",Upload_Indiv[[Excl Score]:[Excl Score]],0),"")</f>
        <v>5.166666666666667</v>
      </c>
      <c r="BD22" s="152">
        <f t="shared" si="18"/>
        <v>0.16666666666666696</v>
      </c>
      <c r="BE22" s="149">
        <f>IFERROR(COUNTIFS(Upload_Indiv[[Player]:[Player]],$A22,Upload_Indiv[[Side]:[Side]],"Raintree Back",Upload_Indiv[[Excl Score]:[Excl Score]],0),"")</f>
        <v>6</v>
      </c>
      <c r="BF22" s="150">
        <f>IFERROR(AVERAGEIFS(Upload_Indiv[Score9],Upload_Indiv[[Player]:[Player]],$A22,Upload_Indiv[[Side]:[Side]],"Raintree Back",Upload_Indiv[[Excl Score]:[Excl Score]],0),"")</f>
        <v>7</v>
      </c>
      <c r="BG22" s="150">
        <f t="shared" si="19"/>
        <v>1</v>
      </c>
      <c r="BH22" s="165">
        <f t="shared" si="20"/>
        <v>6</v>
      </c>
      <c r="BI22" s="165">
        <f t="shared" si="21"/>
        <v>47.333333333333336</v>
      </c>
      <c r="BJ22" s="165">
        <f t="shared" si="21"/>
        <v>3.3333333333333339</v>
      </c>
    </row>
    <row r="23" spans="1:62" ht="15" customHeight="1" x14ac:dyDescent="0.25">
      <c r="A23" s="4" t="s">
        <v>163</v>
      </c>
      <c r="B23" s="170">
        <f>IFERROR(AVERAGEIFS(Upload_Indiv[Hdcp],Upload_Indiv[[Player]:[Player]],$A23,Upload_Indiv[[Excl Score]:[Excl Score]],0),"")</f>
        <v>8.6891666666666687</v>
      </c>
      <c r="C23" s="149">
        <f>IFERROR(COUNTIFS(Upload_Indiv[[Player]:[Player]],$A23,Upload_Indiv[[Side]:[Side]],"Raintree Front",Upload_Indiv[[Excl Score]:[Excl Score]],0),"")</f>
        <v>6</v>
      </c>
      <c r="D23" s="150">
        <f>IFERROR(AVERAGEIFS(Upload_Indiv[Score1],Upload_Indiv[[Player]:[Player]],$A23,Upload_Indiv[[Side]:[Side]],"Raintree Front",Upload_Indiv[[Excl Score]:[Excl Score]],0),"")</f>
        <v>5.166666666666667</v>
      </c>
      <c r="E23" s="150">
        <f t="shared" si="0"/>
        <v>0.16666666666666696</v>
      </c>
      <c r="F23" s="151">
        <f>IFERROR(COUNTIFS(Upload_Indiv[[Player]:[Player]],$A23,Upload_Indiv[[Side]:[Side]],"Raintree Front",Upload_Indiv[[Excl Score]:[Excl Score]],0),"")</f>
        <v>6</v>
      </c>
      <c r="G23" s="152">
        <f>IFERROR(AVERAGEIFS(Upload_Indiv[Score2],Upload_Indiv[[Player]:[Player]],$A23,Upload_Indiv[[Side]:[Side]],"Raintree Front",Upload_Indiv[[Excl Score]:[Excl Score]],0),"")</f>
        <v>6.166666666666667</v>
      </c>
      <c r="H23" s="152">
        <f t="shared" si="1"/>
        <v>0.16666666666666696</v>
      </c>
      <c r="I23" s="149">
        <f>IFERROR(COUNTIFS(Upload_Indiv[[Player]:[Player]],$A23,Upload_Indiv[[Side]:[Side]],"Raintree Front",Upload_Indiv[[Excl Score]:[Excl Score]],0),"")</f>
        <v>6</v>
      </c>
      <c r="J23" s="150">
        <f>IFERROR(AVERAGEIFS(Upload_Indiv[Score3],Upload_Indiv[[Player]:[Player]],$A23,Upload_Indiv[[Side]:[Side]],"Raintree Front",Upload_Indiv[[Excl Score]:[Excl Score]],0),"")</f>
        <v>5.666666666666667</v>
      </c>
      <c r="K23" s="150">
        <f t="shared" si="2"/>
        <v>0.66666666666666696</v>
      </c>
      <c r="L23" s="151">
        <f>IFERROR(COUNTIFS(Upload_Indiv[[Player]:[Player]],$A23,Upload_Indiv[[Side]:[Side]],"Raintree Front",Upload_Indiv[[Excl Score]:[Excl Score]],0),"")</f>
        <v>6</v>
      </c>
      <c r="M23" s="152">
        <f>IFERROR(AVERAGEIFS(Upload_Indiv[Score4],Upload_Indiv[[Player]:[Player]],$A23,Upload_Indiv[[Side]:[Side]],"Raintree Front",Upload_Indiv[[Excl Score]:[Excl Score]],0),"")</f>
        <v>3.8333333333333335</v>
      </c>
      <c r="N23" s="152">
        <f t="shared" si="3"/>
        <v>-0.16666666666666652</v>
      </c>
      <c r="O23" s="149">
        <f>IFERROR(COUNTIFS(Upload_Indiv[[Player]:[Player]],$A23,Upload_Indiv[[Side]:[Side]],"Raintree Front",Upload_Indiv[[Excl Score]:[Excl Score]],0),"")</f>
        <v>6</v>
      </c>
      <c r="P23" s="150">
        <f>IFERROR(AVERAGEIFS(Upload_Indiv[Score5],Upload_Indiv[[Player]:[Player]],$A23,Upload_Indiv[[Side]:[Side]],"Raintree Front",Upload_Indiv[[Excl Score]:[Excl Score]],0),"")</f>
        <v>4.833333333333333</v>
      </c>
      <c r="Q23" s="150">
        <f t="shared" si="4"/>
        <v>-0.16666666666666696</v>
      </c>
      <c r="R23" s="151">
        <f>IFERROR(COUNTIFS(Upload_Indiv[[Player]:[Player]],$A23,Upload_Indiv[[Side]:[Side]],"Raintree Front",Upload_Indiv[[Excl Score]:[Excl Score]],0),"")</f>
        <v>6</v>
      </c>
      <c r="S23" s="152">
        <f>IFERROR(AVERAGEIFS(Upload_Indiv[Score6],Upload_Indiv[[Player]:[Player]],$A23,Upload_Indiv[[Side]:[Side]],"Raintree Front",Upload_Indiv[[Excl Score]:[Excl Score]],0),"")</f>
        <v>5.333333333333333</v>
      </c>
      <c r="T23" s="152">
        <f t="shared" si="5"/>
        <v>0.33333333333333304</v>
      </c>
      <c r="U23" s="149">
        <f>IFERROR(COUNTIFS(Upload_Indiv[[Player]:[Player]],$A23,Upload_Indiv[[Side]:[Side]],"Raintree Front",Upload_Indiv[[Excl Score]:[Excl Score]],0),"")</f>
        <v>6</v>
      </c>
      <c r="V23" s="150">
        <f>IFERROR(AVERAGEIFS(Upload_Indiv[Score7],Upload_Indiv[[Player]:[Player]],$A23,Upload_Indiv[[Side]:[Side]],"Raintree Front",Upload_Indiv[[Excl Score]:[Excl Score]],0),"")</f>
        <v>5.833333333333333</v>
      </c>
      <c r="W23" s="150">
        <f t="shared" si="6"/>
        <v>-0.16666666666666696</v>
      </c>
      <c r="X23" s="151">
        <f>IFERROR(COUNTIFS(Upload_Indiv[[Player]:[Player]],$A23,Upload_Indiv[[Side]:[Side]],"Raintree Front",Upload_Indiv[[Excl Score]:[Excl Score]],0),"")</f>
        <v>6</v>
      </c>
      <c r="Y23" s="152">
        <f>IFERROR(AVERAGEIFS(Upload_Indiv[Score8],Upload_Indiv[[Player]:[Player]],$A23,Upload_Indiv[[Side]:[Side]],"Raintree Front",Upload_Indiv[[Excl Score]:[Excl Score]],0),"")</f>
        <v>4.166666666666667</v>
      </c>
      <c r="Z23" s="152">
        <f t="shared" si="7"/>
        <v>0.16666666666666696</v>
      </c>
      <c r="AA23" s="149">
        <f>IFERROR(COUNTIFS(Upload_Indiv[[Player]:[Player]],$A23,Upload_Indiv[[Side]:[Side]],"Raintree Front",Upload_Indiv[[Excl Score]:[Excl Score]],0),"")</f>
        <v>6</v>
      </c>
      <c r="AB23" s="150">
        <f>IFERROR(AVERAGEIFS(Upload_Indiv[Score9],Upload_Indiv[[Player]:[Player]],$A23,Upload_Indiv[[Side]:[Side]],"Raintree Front",Upload_Indiv[[Excl Score]:[Excl Score]],0),"")</f>
        <v>5.166666666666667</v>
      </c>
      <c r="AC23" s="150">
        <f t="shared" si="8"/>
        <v>0.16666666666666696</v>
      </c>
      <c r="AD23" s="165">
        <f t="shared" si="9"/>
        <v>6</v>
      </c>
      <c r="AE23" s="165">
        <f t="shared" si="10"/>
        <v>46.166666666666657</v>
      </c>
      <c r="AF23" s="165">
        <f t="shared" si="10"/>
        <v>1.1666666666666674</v>
      </c>
      <c r="AG23" s="149">
        <f>IFERROR(COUNTIFS(Upload_Indiv[[Player]:[Player]],$A23,Upload_Indiv[[Side]:[Side]],"Raintree Back",Upload_Indiv[[Excl Score]:[Excl Score]],0),"")</f>
        <v>6</v>
      </c>
      <c r="AH23" s="150">
        <f>IFERROR(AVERAGEIFS(Upload_Indiv[Score1],Upload_Indiv[[Player]:[Player]],$A23,Upload_Indiv[[Side]:[Side]],"Raintree Back",Upload_Indiv[[Excl Score]:[Excl Score]],0),"")</f>
        <v>4.5</v>
      </c>
      <c r="AI23" s="150">
        <f t="shared" si="11"/>
        <v>-0.5</v>
      </c>
      <c r="AJ23" s="151">
        <f>IFERROR(COUNTIFS(Upload_Indiv[[Player]:[Player]],$A23,Upload_Indiv[[Side]:[Side]],"Raintree Back",Upload_Indiv[[Excl Score]:[Excl Score]],0),"")</f>
        <v>6</v>
      </c>
      <c r="AK23" s="152">
        <f>IFERROR(AVERAGEIFS(Upload_Indiv[Score2],Upload_Indiv[[Player]:[Player]],$A23,Upload_Indiv[[Side]:[Side]],"Raintree Back",Upload_Indiv[[Excl Score]:[Excl Score]],0),"")</f>
        <v>3.8333333333333335</v>
      </c>
      <c r="AL23" s="152">
        <f t="shared" si="12"/>
        <v>-0.16666666666666652</v>
      </c>
      <c r="AM23" s="149">
        <f>IFERROR(COUNTIFS(Upload_Indiv[[Player]:[Player]],$A23,Upload_Indiv[[Side]:[Side]],"Raintree Back",Upload_Indiv[[Excl Score]:[Excl Score]],0),"")</f>
        <v>6</v>
      </c>
      <c r="AN23" s="150">
        <f>IFERROR(AVERAGEIFS(Upload_Indiv[Score3],Upload_Indiv[[Player]:[Player]],$A23,Upload_Indiv[[Side]:[Side]],"Raintree Back",Upload_Indiv[[Excl Score]:[Excl Score]],0),"")</f>
        <v>5.166666666666667</v>
      </c>
      <c r="AO23" s="150">
        <f t="shared" si="13"/>
        <v>0.16666666666666696</v>
      </c>
      <c r="AP23" s="151">
        <f>IFERROR(COUNTIFS(Upload_Indiv[[Player]:[Player]],$A23,Upload_Indiv[[Side]:[Side]],"Raintree Back",Upload_Indiv[[Excl Score]:[Excl Score]],0),"")</f>
        <v>6</v>
      </c>
      <c r="AQ23" s="152">
        <f>IFERROR(AVERAGEIFS(Upload_Indiv[Score4],Upload_Indiv[[Player]:[Player]],$A23,Upload_Indiv[[Side]:[Side]],"Raintree Back",Upload_Indiv[[Excl Score]:[Excl Score]],0),"")</f>
        <v>5</v>
      </c>
      <c r="AR23" s="152">
        <f t="shared" si="14"/>
        <v>0</v>
      </c>
      <c r="AS23" s="149">
        <f>IFERROR(COUNTIFS(Upload_Indiv[[Player]:[Player]],$A23,Upload_Indiv[[Side]:[Side]],"Raintree Back",Upload_Indiv[[Excl Score]:[Excl Score]],0),"")</f>
        <v>6</v>
      </c>
      <c r="AT23" s="150">
        <f>IFERROR(AVERAGEIFS(Upload_Indiv[Score5],Upload_Indiv[[Player]:[Player]],$A23,Upload_Indiv[[Side]:[Side]],"Raintree Back",Upload_Indiv[[Excl Score]:[Excl Score]],0),"")</f>
        <v>5.666666666666667</v>
      </c>
      <c r="AU23" s="150">
        <f t="shared" si="15"/>
        <v>0.66666666666666696</v>
      </c>
      <c r="AV23" s="151">
        <f>IFERROR(COUNTIFS(Upload_Indiv[[Player]:[Player]],$A23,Upload_Indiv[[Side]:[Side]],"Raintree Back",Upload_Indiv[[Excl Score]:[Excl Score]],0),"")</f>
        <v>6</v>
      </c>
      <c r="AW23" s="152">
        <f>IFERROR(AVERAGEIFS(Upload_Indiv[Score6],Upload_Indiv[[Player]:[Player]],$A23,Upload_Indiv[[Side]:[Side]],"Raintree Back",Upload_Indiv[[Excl Score]:[Excl Score]],0),"")</f>
        <v>5.666666666666667</v>
      </c>
      <c r="AX23" s="152">
        <f t="shared" si="16"/>
        <v>-0.33333333333333304</v>
      </c>
      <c r="AY23" s="149">
        <f>IFERROR(COUNTIFS(Upload_Indiv[[Player]:[Player]],$A23,Upload_Indiv[[Side]:[Side]],"Raintree Back",Upload_Indiv[[Excl Score]:[Excl Score]],0),"")</f>
        <v>6</v>
      </c>
      <c r="AZ23" s="150">
        <f>IFERROR(AVERAGEIFS(Upload_Indiv[Score7],Upload_Indiv[[Player]:[Player]],$A23,Upload_Indiv[[Side]:[Side]],"Raintree Back",Upload_Indiv[[Excl Score]:[Excl Score]],0),"")</f>
        <v>4</v>
      </c>
      <c r="BA23" s="150">
        <f t="shared" si="17"/>
        <v>0</v>
      </c>
      <c r="BB23" s="151">
        <f>IFERROR(COUNTIFS(Upload_Indiv[[Player]:[Player]],$A23,Upload_Indiv[[Side]:[Side]],"Raintree Back",Upload_Indiv[[Excl Score]:[Excl Score]],0),"")</f>
        <v>6</v>
      </c>
      <c r="BC23" s="152">
        <f>IFERROR(AVERAGEIFS(Upload_Indiv[Score8],Upload_Indiv[[Player]:[Player]],$A23,Upload_Indiv[[Side]:[Side]],"Raintree Back",Upload_Indiv[[Excl Score]:[Excl Score]],0),"")</f>
        <v>4.833333333333333</v>
      </c>
      <c r="BD23" s="152">
        <f t="shared" si="18"/>
        <v>-0.16666666666666696</v>
      </c>
      <c r="BE23" s="149">
        <f>IFERROR(COUNTIFS(Upload_Indiv[[Player]:[Player]],$A23,Upload_Indiv[[Side]:[Side]],"Raintree Back",Upload_Indiv[[Excl Score]:[Excl Score]],0),"")</f>
        <v>6</v>
      </c>
      <c r="BF23" s="150">
        <f>IFERROR(AVERAGEIFS(Upload_Indiv[Score9],Upload_Indiv[[Player]:[Player]],$A23,Upload_Indiv[[Side]:[Side]],"Raintree Back",Upload_Indiv[[Excl Score]:[Excl Score]],0),"")</f>
        <v>7</v>
      </c>
      <c r="BG23" s="150">
        <f t="shared" si="19"/>
        <v>1</v>
      </c>
      <c r="BH23" s="165">
        <f t="shared" si="20"/>
        <v>6</v>
      </c>
      <c r="BI23" s="165">
        <f t="shared" si="21"/>
        <v>45.666666666666671</v>
      </c>
      <c r="BJ23" s="165">
        <f t="shared" si="21"/>
        <v>0.66666666666666741</v>
      </c>
    </row>
    <row r="24" spans="1:62" ht="15" customHeight="1" x14ac:dyDescent="0.25">
      <c r="A24" s="4" t="s">
        <v>320</v>
      </c>
      <c r="B24" s="170">
        <f>IFERROR(AVERAGEIFS(Upload_Indiv[Hdcp],Upload_Indiv[[Player]:[Player]],$A24,Upload_Indiv[[Excl Score]:[Excl Score]],0),"")</f>
        <v>15.013333333333328</v>
      </c>
      <c r="C24" s="149">
        <f>IFERROR(COUNTIFS(Upload_Indiv[[Player]:[Player]],$A24,Upload_Indiv[[Side]:[Side]],"Raintree Front",Upload_Indiv[[Excl Score]:[Excl Score]],0),"")</f>
        <v>8</v>
      </c>
      <c r="D24" s="150">
        <f>IFERROR(AVERAGEIFS(Upload_Indiv[Score1],Upload_Indiv[[Player]:[Player]],$A24,Upload_Indiv[[Side]:[Side]],"Raintree Front",Upload_Indiv[[Excl Score]:[Excl Score]],0),"")</f>
        <v>5.5</v>
      </c>
      <c r="E24" s="150">
        <f t="shared" si="0"/>
        <v>-0.5</v>
      </c>
      <c r="F24" s="151">
        <f>IFERROR(COUNTIFS(Upload_Indiv[[Player]:[Player]],$A24,Upload_Indiv[[Side]:[Side]],"Raintree Front",Upload_Indiv[[Excl Score]:[Excl Score]],0),"")</f>
        <v>8</v>
      </c>
      <c r="G24" s="152">
        <f>IFERROR(AVERAGEIFS(Upload_Indiv[Score2],Upload_Indiv[[Player]:[Player]],$A24,Upload_Indiv[[Side]:[Side]],"Raintree Front",Upload_Indiv[[Excl Score]:[Excl Score]],0),"")</f>
        <v>7.25</v>
      </c>
      <c r="H24" s="152">
        <f t="shared" si="1"/>
        <v>1.25</v>
      </c>
      <c r="I24" s="149">
        <f>IFERROR(COUNTIFS(Upload_Indiv[[Player]:[Player]],$A24,Upload_Indiv[[Side]:[Side]],"Raintree Front",Upload_Indiv[[Excl Score]:[Excl Score]],0),"")</f>
        <v>8</v>
      </c>
      <c r="J24" s="150">
        <f>IFERROR(AVERAGEIFS(Upload_Indiv[Score3],Upload_Indiv[[Player]:[Player]],$A24,Upload_Indiv[[Side]:[Side]],"Raintree Front",Upload_Indiv[[Excl Score]:[Excl Score]],0),"")</f>
        <v>6</v>
      </c>
      <c r="K24" s="150">
        <f t="shared" si="2"/>
        <v>0</v>
      </c>
      <c r="L24" s="151">
        <f>IFERROR(COUNTIFS(Upload_Indiv[[Player]:[Player]],$A24,Upload_Indiv[[Side]:[Side]],"Raintree Front",Upload_Indiv[[Excl Score]:[Excl Score]],0),"")</f>
        <v>8</v>
      </c>
      <c r="M24" s="152">
        <f>IFERROR(AVERAGEIFS(Upload_Indiv[Score4],Upload_Indiv[[Player]:[Player]],$A24,Upload_Indiv[[Side]:[Side]],"Raintree Front",Upload_Indiv[[Excl Score]:[Excl Score]],0),"")</f>
        <v>4.875</v>
      </c>
      <c r="N24" s="152">
        <f t="shared" si="3"/>
        <v>0.875</v>
      </c>
      <c r="O24" s="149">
        <f>IFERROR(COUNTIFS(Upload_Indiv[[Player]:[Player]],$A24,Upload_Indiv[[Side]:[Side]],"Raintree Front",Upload_Indiv[[Excl Score]:[Excl Score]],0),"")</f>
        <v>8</v>
      </c>
      <c r="P24" s="150">
        <f>IFERROR(AVERAGEIFS(Upload_Indiv[Score5],Upload_Indiv[[Player]:[Player]],$A24,Upload_Indiv[[Side]:[Side]],"Raintree Front",Upload_Indiv[[Excl Score]:[Excl Score]],0),"")</f>
        <v>5.875</v>
      </c>
      <c r="Q24" s="150">
        <f t="shared" si="4"/>
        <v>0.875</v>
      </c>
      <c r="R24" s="151">
        <f>IFERROR(COUNTIFS(Upload_Indiv[[Player]:[Player]],$A24,Upload_Indiv[[Side]:[Side]],"Raintree Front",Upload_Indiv[[Excl Score]:[Excl Score]],0),"")</f>
        <v>8</v>
      </c>
      <c r="S24" s="152">
        <f>IFERROR(AVERAGEIFS(Upload_Indiv[Score6],Upload_Indiv[[Player]:[Player]],$A24,Upload_Indiv[[Side]:[Side]],"Raintree Front",Upload_Indiv[[Excl Score]:[Excl Score]],0),"")</f>
        <v>7</v>
      </c>
      <c r="T24" s="152">
        <f t="shared" si="5"/>
        <v>1</v>
      </c>
      <c r="U24" s="149">
        <f>IFERROR(COUNTIFS(Upload_Indiv[[Player]:[Player]],$A24,Upload_Indiv[[Side]:[Side]],"Raintree Front",Upload_Indiv[[Excl Score]:[Excl Score]],0),"")</f>
        <v>8</v>
      </c>
      <c r="V24" s="150">
        <f>IFERROR(AVERAGEIFS(Upload_Indiv[Score7],Upload_Indiv[[Player]:[Player]],$A24,Upload_Indiv[[Side]:[Side]],"Raintree Front",Upload_Indiv[[Excl Score]:[Excl Score]],0),"")</f>
        <v>8</v>
      </c>
      <c r="W24" s="150">
        <f t="shared" si="6"/>
        <v>1</v>
      </c>
      <c r="X24" s="151">
        <f>IFERROR(COUNTIFS(Upload_Indiv[[Player]:[Player]],$A24,Upload_Indiv[[Side]:[Side]],"Raintree Front",Upload_Indiv[[Excl Score]:[Excl Score]],0),"")</f>
        <v>8</v>
      </c>
      <c r="Y24" s="152">
        <f>IFERROR(AVERAGEIFS(Upload_Indiv[Score8],Upload_Indiv[[Player]:[Player]],$A24,Upload_Indiv[[Side]:[Side]],"Raintree Front",Upload_Indiv[[Excl Score]:[Excl Score]],0),"")</f>
        <v>5.25</v>
      </c>
      <c r="Z24" s="152">
        <f t="shared" si="7"/>
        <v>0.25</v>
      </c>
      <c r="AA24" s="149">
        <f>IFERROR(COUNTIFS(Upload_Indiv[[Player]:[Player]],$A24,Upload_Indiv[[Side]:[Side]],"Raintree Front",Upload_Indiv[[Excl Score]:[Excl Score]],0),"")</f>
        <v>8</v>
      </c>
      <c r="AB24" s="150">
        <f>IFERROR(AVERAGEIFS(Upload_Indiv[Score9],Upload_Indiv[[Player]:[Player]],$A24,Upload_Indiv[[Side]:[Side]],"Raintree Front",Upload_Indiv[[Excl Score]:[Excl Score]],0),"")</f>
        <v>6.25</v>
      </c>
      <c r="AC24" s="150">
        <f t="shared" si="8"/>
        <v>0.25</v>
      </c>
      <c r="AD24" s="165">
        <f t="shared" si="9"/>
        <v>8</v>
      </c>
      <c r="AE24" s="165">
        <f t="shared" si="10"/>
        <v>56</v>
      </c>
      <c r="AF24" s="165">
        <f t="shared" si="10"/>
        <v>5</v>
      </c>
      <c r="AG24" s="149">
        <f>IFERROR(COUNTIFS(Upload_Indiv[[Player]:[Player]],$A24,Upload_Indiv[[Side]:[Side]],"Raintree Back",Upload_Indiv[[Excl Score]:[Excl Score]],0),"")</f>
        <v>7</v>
      </c>
      <c r="AH24" s="150">
        <f>IFERROR(AVERAGEIFS(Upload_Indiv[Score1],Upload_Indiv[[Player]:[Player]],$A24,Upload_Indiv[[Side]:[Side]],"Raintree Back",Upload_Indiv[[Excl Score]:[Excl Score]],0),"")</f>
        <v>6.2857142857142856</v>
      </c>
      <c r="AI24" s="150">
        <f t="shared" si="11"/>
        <v>1.2857142857142856</v>
      </c>
      <c r="AJ24" s="151">
        <f>IFERROR(COUNTIFS(Upload_Indiv[[Player]:[Player]],$A24,Upload_Indiv[[Side]:[Side]],"Raintree Back",Upload_Indiv[[Excl Score]:[Excl Score]],0),"")</f>
        <v>7</v>
      </c>
      <c r="AK24" s="152">
        <f>IFERROR(AVERAGEIFS(Upload_Indiv[Score2],Upload_Indiv[[Player]:[Player]],$A24,Upload_Indiv[[Side]:[Side]],"Raintree Back",Upload_Indiv[[Excl Score]:[Excl Score]],0),"")</f>
        <v>4.7142857142857144</v>
      </c>
      <c r="AL24" s="152">
        <f t="shared" si="12"/>
        <v>-0.28571428571428559</v>
      </c>
      <c r="AM24" s="149">
        <f>IFERROR(COUNTIFS(Upload_Indiv[[Player]:[Player]],$A24,Upload_Indiv[[Side]:[Side]],"Raintree Back",Upload_Indiv[[Excl Score]:[Excl Score]],0),"")</f>
        <v>7</v>
      </c>
      <c r="AN24" s="150">
        <f>IFERROR(AVERAGEIFS(Upload_Indiv[Score3],Upload_Indiv[[Player]:[Player]],$A24,Upload_Indiv[[Side]:[Side]],"Raintree Back",Upload_Indiv[[Excl Score]:[Excl Score]],0),"")</f>
        <v>6.1428571428571432</v>
      </c>
      <c r="AO24" s="150">
        <f t="shared" si="13"/>
        <v>1.1428571428571432</v>
      </c>
      <c r="AP24" s="151">
        <f>IFERROR(COUNTIFS(Upload_Indiv[[Player]:[Player]],$A24,Upload_Indiv[[Side]:[Side]],"Raintree Back",Upload_Indiv[[Excl Score]:[Excl Score]],0),"")</f>
        <v>7</v>
      </c>
      <c r="AQ24" s="152">
        <f>IFERROR(AVERAGEIFS(Upload_Indiv[Score4],Upload_Indiv[[Player]:[Player]],$A24,Upload_Indiv[[Side]:[Side]],"Raintree Back",Upload_Indiv[[Excl Score]:[Excl Score]],0),"")</f>
        <v>6.4285714285714288</v>
      </c>
      <c r="AR24" s="152">
        <f t="shared" si="14"/>
        <v>0.42857142857142883</v>
      </c>
      <c r="AS24" s="149">
        <f>IFERROR(COUNTIFS(Upload_Indiv[[Player]:[Player]],$A24,Upload_Indiv[[Side]:[Side]],"Raintree Back",Upload_Indiv[[Excl Score]:[Excl Score]],0),"")</f>
        <v>7</v>
      </c>
      <c r="AT24" s="150">
        <f>IFERROR(AVERAGEIFS(Upload_Indiv[Score5],Upload_Indiv[[Player]:[Player]],$A24,Upload_Indiv[[Side]:[Side]],"Raintree Back",Upload_Indiv[[Excl Score]:[Excl Score]],0),"")</f>
        <v>6</v>
      </c>
      <c r="AU24" s="150">
        <f t="shared" si="15"/>
        <v>0</v>
      </c>
      <c r="AV24" s="151">
        <f>IFERROR(COUNTIFS(Upload_Indiv[[Player]:[Player]],$A24,Upload_Indiv[[Side]:[Side]],"Raintree Back",Upload_Indiv[[Excl Score]:[Excl Score]],0),"")</f>
        <v>7</v>
      </c>
      <c r="AW24" s="152">
        <f>IFERROR(AVERAGEIFS(Upload_Indiv[Score6],Upload_Indiv[[Player]:[Player]],$A24,Upload_Indiv[[Side]:[Side]],"Raintree Back",Upload_Indiv[[Excl Score]:[Excl Score]],0),"")</f>
        <v>7.5714285714285712</v>
      </c>
      <c r="AX24" s="152">
        <f t="shared" si="16"/>
        <v>0.57142857142857117</v>
      </c>
      <c r="AY24" s="149">
        <f>IFERROR(COUNTIFS(Upload_Indiv[[Player]:[Player]],$A24,Upload_Indiv[[Side]:[Side]],"Raintree Back",Upload_Indiv[[Excl Score]:[Excl Score]],0),"")</f>
        <v>7</v>
      </c>
      <c r="AZ24" s="150">
        <f>IFERROR(AVERAGEIFS(Upload_Indiv[Score7],Upload_Indiv[[Player]:[Player]],$A24,Upload_Indiv[[Side]:[Side]],"Raintree Back",Upload_Indiv[[Excl Score]:[Excl Score]],0),"")</f>
        <v>4.5714285714285712</v>
      </c>
      <c r="BA24" s="150">
        <f t="shared" si="17"/>
        <v>0.57142857142857117</v>
      </c>
      <c r="BB24" s="151">
        <f>IFERROR(COUNTIFS(Upload_Indiv[[Player]:[Player]],$A24,Upload_Indiv[[Side]:[Side]],"Raintree Back",Upload_Indiv[[Excl Score]:[Excl Score]],0),"")</f>
        <v>7</v>
      </c>
      <c r="BC24" s="152">
        <f>IFERROR(AVERAGEIFS(Upload_Indiv[Score8],Upload_Indiv[[Player]:[Player]],$A24,Upload_Indiv[[Side]:[Side]],"Raintree Back",Upload_Indiv[[Excl Score]:[Excl Score]],0),"")</f>
        <v>6.5714285714285712</v>
      </c>
      <c r="BD24" s="152">
        <f t="shared" si="18"/>
        <v>0.57142857142857117</v>
      </c>
      <c r="BE24" s="149">
        <f>IFERROR(COUNTIFS(Upload_Indiv[[Player]:[Player]],$A24,Upload_Indiv[[Side]:[Side]],"Raintree Back",Upload_Indiv[[Excl Score]:[Excl Score]],0),"")</f>
        <v>7</v>
      </c>
      <c r="BF24" s="150">
        <f>IFERROR(AVERAGEIFS(Upload_Indiv[Score9],Upload_Indiv[[Player]:[Player]],$A24,Upload_Indiv[[Side]:[Side]],"Raintree Back",Upload_Indiv[[Excl Score]:[Excl Score]],0),"")</f>
        <v>8.1428571428571423</v>
      </c>
      <c r="BG24" s="150">
        <f t="shared" si="19"/>
        <v>1.1428571428571423</v>
      </c>
      <c r="BH24" s="165">
        <f t="shared" si="20"/>
        <v>7</v>
      </c>
      <c r="BI24" s="165">
        <f t="shared" si="21"/>
        <v>56.428571428571416</v>
      </c>
      <c r="BJ24" s="165">
        <f t="shared" si="21"/>
        <v>5.4285714285714279</v>
      </c>
    </row>
    <row r="25" spans="1:62" ht="15" customHeight="1" x14ac:dyDescent="0.25">
      <c r="A25" s="4" t="s">
        <v>485</v>
      </c>
      <c r="B25" s="170">
        <f>IFERROR(AVERAGEIFS(Upload_Indiv[Hdcp],Upload_Indiv[[Player]:[Player]],$A25,Upload_Indiv[[Excl Score]:[Excl Score]],0),"")</f>
        <v>11.293333333333335</v>
      </c>
      <c r="C25" s="149">
        <f>IFERROR(COUNTIFS(Upload_Indiv[[Player]:[Player]],$A25,Upload_Indiv[[Side]:[Side]],"Raintree Front",Upload_Indiv[[Excl Score]:[Excl Score]],0),"")</f>
        <v>5</v>
      </c>
      <c r="D25" s="150">
        <f>IFERROR(AVERAGEIFS(Upload_Indiv[Score1],Upload_Indiv[[Player]:[Player]],$A25,Upload_Indiv[[Side]:[Side]],"Raintree Front",Upload_Indiv[[Excl Score]:[Excl Score]],0),"")</f>
        <v>5.4</v>
      </c>
      <c r="E25" s="150">
        <f t="shared" si="0"/>
        <v>-0.59999999999999964</v>
      </c>
      <c r="F25" s="151">
        <f>IFERROR(COUNTIFS(Upload_Indiv[[Player]:[Player]],$A25,Upload_Indiv[[Side]:[Side]],"Raintree Front",Upload_Indiv[[Excl Score]:[Excl Score]],0),"")</f>
        <v>5</v>
      </c>
      <c r="G25" s="152">
        <f>IFERROR(AVERAGEIFS(Upload_Indiv[Score2],Upload_Indiv[[Player]:[Player]],$A25,Upload_Indiv[[Side]:[Side]],"Raintree Front",Upload_Indiv[[Excl Score]:[Excl Score]],0),"")</f>
        <v>6.8</v>
      </c>
      <c r="H25" s="152">
        <f t="shared" si="1"/>
        <v>0.79999999999999982</v>
      </c>
      <c r="I25" s="149">
        <f>IFERROR(COUNTIFS(Upload_Indiv[[Player]:[Player]],$A25,Upload_Indiv[[Side]:[Side]],"Raintree Front",Upload_Indiv[[Excl Score]:[Excl Score]],0),"")</f>
        <v>5</v>
      </c>
      <c r="J25" s="150">
        <f>IFERROR(AVERAGEIFS(Upload_Indiv[Score3],Upload_Indiv[[Player]:[Player]],$A25,Upload_Indiv[[Side]:[Side]],"Raintree Front",Upload_Indiv[[Excl Score]:[Excl Score]],0),"")</f>
        <v>4.5999999999999996</v>
      </c>
      <c r="K25" s="150">
        <f t="shared" si="2"/>
        <v>-0.40000000000000036</v>
      </c>
      <c r="L25" s="151">
        <f>IFERROR(COUNTIFS(Upload_Indiv[[Player]:[Player]],$A25,Upload_Indiv[[Side]:[Side]],"Raintree Front",Upload_Indiv[[Excl Score]:[Excl Score]],0),"")</f>
        <v>5</v>
      </c>
      <c r="M25" s="152">
        <f>IFERROR(AVERAGEIFS(Upload_Indiv[Score4],Upload_Indiv[[Player]:[Player]],$A25,Upload_Indiv[[Side]:[Side]],"Raintree Front",Upload_Indiv[[Excl Score]:[Excl Score]],0),"")</f>
        <v>4</v>
      </c>
      <c r="N25" s="152">
        <f t="shared" si="3"/>
        <v>0</v>
      </c>
      <c r="O25" s="149">
        <f>IFERROR(COUNTIFS(Upload_Indiv[[Player]:[Player]],$A25,Upload_Indiv[[Side]:[Side]],"Raintree Front",Upload_Indiv[[Excl Score]:[Excl Score]],0),"")</f>
        <v>5</v>
      </c>
      <c r="P25" s="150">
        <f>IFERROR(AVERAGEIFS(Upload_Indiv[Score5],Upload_Indiv[[Player]:[Player]],$A25,Upload_Indiv[[Side]:[Side]],"Raintree Front",Upload_Indiv[[Excl Score]:[Excl Score]],0),"")</f>
        <v>6</v>
      </c>
      <c r="Q25" s="150">
        <f t="shared" si="4"/>
        <v>1</v>
      </c>
      <c r="R25" s="151">
        <f>IFERROR(COUNTIFS(Upload_Indiv[[Player]:[Player]],$A25,Upload_Indiv[[Side]:[Side]],"Raintree Front",Upload_Indiv[[Excl Score]:[Excl Score]],0),"")</f>
        <v>5</v>
      </c>
      <c r="S25" s="152">
        <f>IFERROR(AVERAGEIFS(Upload_Indiv[Score6],Upload_Indiv[[Player]:[Player]],$A25,Upload_Indiv[[Side]:[Side]],"Raintree Front",Upload_Indiv[[Excl Score]:[Excl Score]],0),"")</f>
        <v>5.6</v>
      </c>
      <c r="T25" s="152">
        <f t="shared" si="5"/>
        <v>-0.40000000000000036</v>
      </c>
      <c r="U25" s="149">
        <f>IFERROR(COUNTIFS(Upload_Indiv[[Player]:[Player]],$A25,Upload_Indiv[[Side]:[Side]],"Raintree Front",Upload_Indiv[[Excl Score]:[Excl Score]],0),"")</f>
        <v>5</v>
      </c>
      <c r="V25" s="150">
        <f>IFERROR(AVERAGEIFS(Upload_Indiv[Score7],Upload_Indiv[[Player]:[Player]],$A25,Upload_Indiv[[Side]:[Side]],"Raintree Front",Upload_Indiv[[Excl Score]:[Excl Score]],0),"")</f>
        <v>6.2</v>
      </c>
      <c r="W25" s="150">
        <f t="shared" si="6"/>
        <v>0.20000000000000018</v>
      </c>
      <c r="X25" s="151">
        <f>IFERROR(COUNTIFS(Upload_Indiv[[Player]:[Player]],$A25,Upload_Indiv[[Side]:[Side]],"Raintree Front",Upload_Indiv[[Excl Score]:[Excl Score]],0),"")</f>
        <v>5</v>
      </c>
      <c r="Y25" s="152">
        <f>IFERROR(AVERAGEIFS(Upload_Indiv[Score8],Upload_Indiv[[Player]:[Player]],$A25,Upload_Indiv[[Side]:[Side]],"Raintree Front",Upload_Indiv[[Excl Score]:[Excl Score]],0),"")</f>
        <v>4.2</v>
      </c>
      <c r="Z25" s="152">
        <f t="shared" si="7"/>
        <v>0.20000000000000018</v>
      </c>
      <c r="AA25" s="149">
        <f>IFERROR(COUNTIFS(Upload_Indiv[[Player]:[Player]],$A25,Upload_Indiv[[Side]:[Side]],"Raintree Front",Upload_Indiv[[Excl Score]:[Excl Score]],0),"")</f>
        <v>5</v>
      </c>
      <c r="AB25" s="150">
        <f>IFERROR(AVERAGEIFS(Upload_Indiv[Score9],Upload_Indiv[[Player]:[Player]],$A25,Upload_Indiv[[Side]:[Side]],"Raintree Front",Upload_Indiv[[Excl Score]:[Excl Score]],0),"")</f>
        <v>6.4</v>
      </c>
      <c r="AC25" s="150">
        <f t="shared" si="8"/>
        <v>1.4000000000000004</v>
      </c>
      <c r="AD25" s="165">
        <f t="shared" si="9"/>
        <v>5</v>
      </c>
      <c r="AE25" s="165">
        <f t="shared" si="10"/>
        <v>49.2</v>
      </c>
      <c r="AF25" s="165">
        <f t="shared" si="10"/>
        <v>2.2000000000000002</v>
      </c>
      <c r="AG25" s="149">
        <f>IFERROR(COUNTIFS(Upload_Indiv[[Player]:[Player]],$A25,Upload_Indiv[[Side]:[Side]],"Raintree Back",Upload_Indiv[[Excl Score]:[Excl Score]],0),"")</f>
        <v>7</v>
      </c>
      <c r="AH25" s="150">
        <f>IFERROR(AVERAGEIFS(Upload_Indiv[Score1],Upload_Indiv[[Player]:[Player]],$A25,Upload_Indiv[[Side]:[Side]],"Raintree Back",Upload_Indiv[[Excl Score]:[Excl Score]],0),"")</f>
        <v>5.2857142857142856</v>
      </c>
      <c r="AI25" s="150">
        <f t="shared" si="11"/>
        <v>0.28571428571428559</v>
      </c>
      <c r="AJ25" s="151">
        <f>IFERROR(COUNTIFS(Upload_Indiv[[Player]:[Player]],$A25,Upload_Indiv[[Side]:[Side]],"Raintree Back",Upload_Indiv[[Excl Score]:[Excl Score]],0),"")</f>
        <v>7</v>
      </c>
      <c r="AK25" s="152">
        <f>IFERROR(AVERAGEIFS(Upload_Indiv[Score2],Upload_Indiv[[Player]:[Player]],$A25,Upload_Indiv[[Side]:[Side]],"Raintree Back",Upload_Indiv[[Excl Score]:[Excl Score]],0),"")</f>
        <v>4</v>
      </c>
      <c r="AL25" s="152">
        <f t="shared" si="12"/>
        <v>0</v>
      </c>
      <c r="AM25" s="149">
        <f>IFERROR(COUNTIFS(Upload_Indiv[[Player]:[Player]],$A25,Upload_Indiv[[Side]:[Side]],"Raintree Back",Upload_Indiv[[Excl Score]:[Excl Score]],0),"")</f>
        <v>7</v>
      </c>
      <c r="AN25" s="150">
        <f>IFERROR(AVERAGEIFS(Upload_Indiv[Score3],Upload_Indiv[[Player]:[Player]],$A25,Upload_Indiv[[Side]:[Side]],"Raintree Back",Upload_Indiv[[Excl Score]:[Excl Score]],0),"")</f>
        <v>5.7142857142857144</v>
      </c>
      <c r="AO25" s="150">
        <f t="shared" si="13"/>
        <v>0.71428571428571441</v>
      </c>
      <c r="AP25" s="151">
        <f>IFERROR(COUNTIFS(Upload_Indiv[[Player]:[Player]],$A25,Upload_Indiv[[Side]:[Side]],"Raintree Back",Upload_Indiv[[Excl Score]:[Excl Score]],0),"")</f>
        <v>7</v>
      </c>
      <c r="AQ25" s="152">
        <f>IFERROR(AVERAGEIFS(Upload_Indiv[Score4],Upload_Indiv[[Player]:[Player]],$A25,Upload_Indiv[[Side]:[Side]],"Raintree Back",Upload_Indiv[[Excl Score]:[Excl Score]],0),"")</f>
        <v>5.4285714285714288</v>
      </c>
      <c r="AR25" s="152">
        <f t="shared" si="14"/>
        <v>-0.57142857142857117</v>
      </c>
      <c r="AS25" s="149">
        <f>IFERROR(COUNTIFS(Upload_Indiv[[Player]:[Player]],$A25,Upload_Indiv[[Side]:[Side]],"Raintree Back",Upload_Indiv[[Excl Score]:[Excl Score]],0),"")</f>
        <v>7</v>
      </c>
      <c r="AT25" s="150">
        <f>IFERROR(AVERAGEIFS(Upload_Indiv[Score5],Upload_Indiv[[Player]:[Player]],$A25,Upload_Indiv[[Side]:[Side]],"Raintree Back",Upload_Indiv[[Excl Score]:[Excl Score]],0),"")</f>
        <v>5.4285714285714288</v>
      </c>
      <c r="AU25" s="150">
        <f t="shared" si="15"/>
        <v>0.42857142857142883</v>
      </c>
      <c r="AV25" s="151">
        <f>IFERROR(COUNTIFS(Upload_Indiv[[Player]:[Player]],$A25,Upload_Indiv[[Side]:[Side]],"Raintree Back",Upload_Indiv[[Excl Score]:[Excl Score]],0),"")</f>
        <v>7</v>
      </c>
      <c r="AW25" s="152">
        <f>IFERROR(AVERAGEIFS(Upload_Indiv[Score6],Upload_Indiv[[Player]:[Player]],$A25,Upload_Indiv[[Side]:[Side]],"Raintree Back",Upload_Indiv[[Excl Score]:[Excl Score]],0),"")</f>
        <v>7</v>
      </c>
      <c r="AX25" s="152">
        <f t="shared" si="16"/>
        <v>1</v>
      </c>
      <c r="AY25" s="149">
        <f>IFERROR(COUNTIFS(Upload_Indiv[[Player]:[Player]],$A25,Upload_Indiv[[Side]:[Side]],"Raintree Back",Upload_Indiv[[Excl Score]:[Excl Score]],0),"")</f>
        <v>7</v>
      </c>
      <c r="AZ25" s="150">
        <f>IFERROR(AVERAGEIFS(Upload_Indiv[Score7],Upload_Indiv[[Player]:[Player]],$A25,Upload_Indiv[[Side]:[Side]],"Raintree Back",Upload_Indiv[[Excl Score]:[Excl Score]],0),"")</f>
        <v>5.1428571428571432</v>
      </c>
      <c r="BA25" s="150">
        <f t="shared" si="17"/>
        <v>1.1428571428571432</v>
      </c>
      <c r="BB25" s="151">
        <f>IFERROR(COUNTIFS(Upload_Indiv[[Player]:[Player]],$A25,Upload_Indiv[[Side]:[Side]],"Raintree Back",Upload_Indiv[[Excl Score]:[Excl Score]],0),"")</f>
        <v>7</v>
      </c>
      <c r="BC25" s="152">
        <f>IFERROR(AVERAGEIFS(Upload_Indiv[Score8],Upload_Indiv[[Player]:[Player]],$A25,Upload_Indiv[[Side]:[Side]],"Raintree Back",Upload_Indiv[[Excl Score]:[Excl Score]],0),"")</f>
        <v>5.7142857142857144</v>
      </c>
      <c r="BD25" s="152">
        <f t="shared" si="18"/>
        <v>-0.28571428571428559</v>
      </c>
      <c r="BE25" s="149">
        <f>IFERROR(COUNTIFS(Upload_Indiv[[Player]:[Player]],$A25,Upload_Indiv[[Side]:[Side]],"Raintree Back",Upload_Indiv[[Excl Score]:[Excl Score]],0),"")</f>
        <v>7</v>
      </c>
      <c r="BF25" s="150">
        <f>IFERROR(AVERAGEIFS(Upload_Indiv[Score9],Upload_Indiv[[Player]:[Player]],$A25,Upload_Indiv[[Side]:[Side]],"Raintree Back",Upload_Indiv[[Excl Score]:[Excl Score]],0),"")</f>
        <v>7.2857142857142856</v>
      </c>
      <c r="BG25" s="150">
        <f t="shared" si="19"/>
        <v>1.2857142857142856</v>
      </c>
      <c r="BH25" s="165">
        <f t="shared" si="20"/>
        <v>7</v>
      </c>
      <c r="BI25" s="165">
        <f t="shared" si="21"/>
        <v>51.000000000000007</v>
      </c>
      <c r="BJ25" s="165">
        <f t="shared" si="21"/>
        <v>4.0000000000000009</v>
      </c>
    </row>
    <row r="26" spans="1:62" ht="15" customHeight="1" x14ac:dyDescent="0.25">
      <c r="A26" s="4" t="s">
        <v>433</v>
      </c>
      <c r="B26" s="170">
        <f>IFERROR(AVERAGEIFS(Upload_Indiv[Hdcp],Upload_Indiv[[Player]:[Player]],$A26,Upload_Indiv[[Excl Score]:[Excl Score]],0),"")</f>
        <v>5.4333333333333336</v>
      </c>
      <c r="C26" s="149">
        <f>IFERROR(COUNTIFS(Upload_Indiv[[Player]:[Player]],$A26,Upload_Indiv[[Side]:[Side]],"Raintree Front",Upload_Indiv[[Excl Score]:[Excl Score]],0),"")</f>
        <v>2</v>
      </c>
      <c r="D26" s="150">
        <f>IFERROR(AVERAGEIFS(Upload_Indiv[Score1],Upload_Indiv[[Player]:[Player]],$A26,Upload_Indiv[[Side]:[Side]],"Raintree Front",Upload_Indiv[[Excl Score]:[Excl Score]],0),"")</f>
        <v>5</v>
      </c>
      <c r="E26" s="150">
        <f t="shared" si="0"/>
        <v>0</v>
      </c>
      <c r="F26" s="151">
        <f>IFERROR(COUNTIFS(Upload_Indiv[[Player]:[Player]],$A26,Upload_Indiv[[Side]:[Side]],"Raintree Front",Upload_Indiv[[Excl Score]:[Excl Score]],0),"")</f>
        <v>2</v>
      </c>
      <c r="G26" s="152">
        <f>IFERROR(AVERAGEIFS(Upload_Indiv[Score2],Upload_Indiv[[Player]:[Player]],$A26,Upload_Indiv[[Side]:[Side]],"Raintree Front",Upload_Indiv[[Excl Score]:[Excl Score]],0),"")</f>
        <v>4</v>
      </c>
      <c r="H26" s="152">
        <f t="shared" si="1"/>
        <v>-1</v>
      </c>
      <c r="I26" s="149">
        <f>IFERROR(COUNTIFS(Upload_Indiv[[Player]:[Player]],$A26,Upload_Indiv[[Side]:[Side]],"Raintree Front",Upload_Indiv[[Excl Score]:[Excl Score]],0),"")</f>
        <v>2</v>
      </c>
      <c r="J26" s="150">
        <f>IFERROR(AVERAGEIFS(Upload_Indiv[Score3],Upload_Indiv[[Player]:[Player]],$A26,Upload_Indiv[[Side]:[Side]],"Raintree Front",Upload_Indiv[[Excl Score]:[Excl Score]],0),"")</f>
        <v>7</v>
      </c>
      <c r="K26" s="150">
        <f t="shared" si="2"/>
        <v>2</v>
      </c>
      <c r="L26" s="151">
        <f>IFERROR(COUNTIFS(Upload_Indiv[[Player]:[Player]],$A26,Upload_Indiv[[Side]:[Side]],"Raintree Front",Upload_Indiv[[Excl Score]:[Excl Score]],0),"")</f>
        <v>2</v>
      </c>
      <c r="M26" s="152">
        <f>IFERROR(AVERAGEIFS(Upload_Indiv[Score4],Upload_Indiv[[Player]:[Player]],$A26,Upload_Indiv[[Side]:[Side]],"Raintree Front",Upload_Indiv[[Excl Score]:[Excl Score]],0),"")</f>
        <v>3.5</v>
      </c>
      <c r="N26" s="152">
        <f t="shared" si="3"/>
        <v>0.5</v>
      </c>
      <c r="O26" s="149">
        <f>IFERROR(COUNTIFS(Upload_Indiv[[Player]:[Player]],$A26,Upload_Indiv[[Side]:[Side]],"Raintree Front",Upload_Indiv[[Excl Score]:[Excl Score]],0),"")</f>
        <v>2</v>
      </c>
      <c r="P26" s="150">
        <f>IFERROR(AVERAGEIFS(Upload_Indiv[Score5],Upload_Indiv[[Player]:[Player]],$A26,Upload_Indiv[[Side]:[Side]],"Raintree Front",Upload_Indiv[[Excl Score]:[Excl Score]],0),"")</f>
        <v>5.5</v>
      </c>
      <c r="Q26" s="150">
        <f t="shared" si="4"/>
        <v>1.5</v>
      </c>
      <c r="R26" s="151">
        <f>IFERROR(COUNTIFS(Upload_Indiv[[Player]:[Player]],$A26,Upload_Indiv[[Side]:[Side]],"Raintree Front",Upload_Indiv[[Excl Score]:[Excl Score]],0),"")</f>
        <v>2</v>
      </c>
      <c r="S26" s="152">
        <f>IFERROR(AVERAGEIFS(Upload_Indiv[Score6],Upload_Indiv[[Player]:[Player]],$A26,Upload_Indiv[[Side]:[Side]],"Raintree Front",Upload_Indiv[[Excl Score]:[Excl Score]],0),"")</f>
        <v>5</v>
      </c>
      <c r="T26" s="152">
        <f t="shared" si="5"/>
        <v>0</v>
      </c>
      <c r="U26" s="149">
        <f>IFERROR(COUNTIFS(Upload_Indiv[[Player]:[Player]],$A26,Upload_Indiv[[Side]:[Side]],"Raintree Front",Upload_Indiv[[Excl Score]:[Excl Score]],0),"")</f>
        <v>2</v>
      </c>
      <c r="V26" s="150">
        <f>IFERROR(AVERAGEIFS(Upload_Indiv[Score7],Upload_Indiv[[Player]:[Player]],$A26,Upload_Indiv[[Side]:[Side]],"Raintree Front",Upload_Indiv[[Excl Score]:[Excl Score]],0),"")</f>
        <v>6</v>
      </c>
      <c r="W26" s="150">
        <f t="shared" si="6"/>
        <v>0</v>
      </c>
      <c r="X26" s="151">
        <f>IFERROR(COUNTIFS(Upload_Indiv[[Player]:[Player]],$A26,Upload_Indiv[[Side]:[Side]],"Raintree Front",Upload_Indiv[[Excl Score]:[Excl Score]],0),"")</f>
        <v>2</v>
      </c>
      <c r="Y26" s="152">
        <f>IFERROR(AVERAGEIFS(Upload_Indiv[Score8],Upload_Indiv[[Player]:[Player]],$A26,Upload_Indiv[[Side]:[Side]],"Raintree Front",Upload_Indiv[[Excl Score]:[Excl Score]],0),"")</f>
        <v>5</v>
      </c>
      <c r="Z26" s="152">
        <f t="shared" si="7"/>
        <v>2</v>
      </c>
      <c r="AA26" s="149">
        <f>IFERROR(COUNTIFS(Upload_Indiv[[Player]:[Player]],$A26,Upload_Indiv[[Side]:[Side]],"Raintree Front",Upload_Indiv[[Excl Score]:[Excl Score]],0),"")</f>
        <v>2</v>
      </c>
      <c r="AB26" s="150">
        <f>IFERROR(AVERAGEIFS(Upload_Indiv[Score9],Upload_Indiv[[Player]:[Player]],$A26,Upload_Indiv[[Side]:[Side]],"Raintree Front",Upload_Indiv[[Excl Score]:[Excl Score]],0),"")</f>
        <v>5</v>
      </c>
      <c r="AC26" s="150">
        <f t="shared" si="8"/>
        <v>0</v>
      </c>
      <c r="AD26" s="165">
        <f t="shared" si="9"/>
        <v>2</v>
      </c>
      <c r="AE26" s="165">
        <f t="shared" si="10"/>
        <v>46</v>
      </c>
      <c r="AF26" s="165">
        <f t="shared" si="10"/>
        <v>5</v>
      </c>
      <c r="AG26" s="149">
        <f>IFERROR(COUNTIFS(Upload_Indiv[[Player]:[Player]],$A26,Upload_Indiv[[Side]:[Side]],"Raintree Back",Upload_Indiv[[Excl Score]:[Excl Score]],0),"")</f>
        <v>4</v>
      </c>
      <c r="AH26" s="150">
        <f>IFERROR(AVERAGEIFS(Upload_Indiv[Score1],Upload_Indiv[[Player]:[Player]],$A26,Upload_Indiv[[Side]:[Side]],"Raintree Back",Upload_Indiv[[Excl Score]:[Excl Score]],0),"")</f>
        <v>5</v>
      </c>
      <c r="AI26" s="150">
        <f t="shared" si="11"/>
        <v>1</v>
      </c>
      <c r="AJ26" s="151">
        <f>IFERROR(COUNTIFS(Upload_Indiv[[Player]:[Player]],$A26,Upload_Indiv[[Side]:[Side]],"Raintree Back",Upload_Indiv[[Excl Score]:[Excl Score]],0),"")</f>
        <v>4</v>
      </c>
      <c r="AK26" s="152">
        <f>IFERROR(AVERAGEIFS(Upload_Indiv[Score2],Upload_Indiv[[Player]:[Player]],$A26,Upload_Indiv[[Side]:[Side]],"Raintree Back",Upload_Indiv[[Excl Score]:[Excl Score]],0),"")</f>
        <v>4</v>
      </c>
      <c r="AL26" s="152">
        <f t="shared" si="12"/>
        <v>1</v>
      </c>
      <c r="AM26" s="149">
        <f>IFERROR(COUNTIFS(Upload_Indiv[[Player]:[Player]],$A26,Upload_Indiv[[Side]:[Side]],"Raintree Back",Upload_Indiv[[Excl Score]:[Excl Score]],0),"")</f>
        <v>4</v>
      </c>
      <c r="AN26" s="150">
        <f>IFERROR(AVERAGEIFS(Upload_Indiv[Score3],Upload_Indiv[[Player]:[Player]],$A26,Upload_Indiv[[Side]:[Side]],"Raintree Back",Upload_Indiv[[Excl Score]:[Excl Score]],0),"")</f>
        <v>5</v>
      </c>
      <c r="AO26" s="150">
        <f t="shared" si="13"/>
        <v>1</v>
      </c>
      <c r="AP26" s="151">
        <f>IFERROR(COUNTIFS(Upload_Indiv[[Player]:[Player]],$A26,Upload_Indiv[[Side]:[Side]],"Raintree Back",Upload_Indiv[[Excl Score]:[Excl Score]],0),"")</f>
        <v>4</v>
      </c>
      <c r="AQ26" s="152">
        <f>IFERROR(AVERAGEIFS(Upload_Indiv[Score4],Upload_Indiv[[Player]:[Player]],$A26,Upload_Indiv[[Side]:[Side]],"Raintree Back",Upload_Indiv[[Excl Score]:[Excl Score]],0),"")</f>
        <v>4.5</v>
      </c>
      <c r="AR26" s="152">
        <f t="shared" si="14"/>
        <v>-0.5</v>
      </c>
      <c r="AS26" s="149">
        <f>IFERROR(COUNTIFS(Upload_Indiv[[Player]:[Player]],$A26,Upload_Indiv[[Side]:[Side]],"Raintree Back",Upload_Indiv[[Excl Score]:[Excl Score]],0),"")</f>
        <v>4</v>
      </c>
      <c r="AT26" s="150">
        <f>IFERROR(AVERAGEIFS(Upload_Indiv[Score5],Upload_Indiv[[Player]:[Player]],$A26,Upload_Indiv[[Side]:[Side]],"Raintree Back",Upload_Indiv[[Excl Score]:[Excl Score]],0),"")</f>
        <v>5.5</v>
      </c>
      <c r="AU26" s="150">
        <f t="shared" si="15"/>
        <v>0.5</v>
      </c>
      <c r="AV26" s="151">
        <f>IFERROR(COUNTIFS(Upload_Indiv[[Player]:[Player]],$A26,Upload_Indiv[[Side]:[Side]],"Raintree Back",Upload_Indiv[[Excl Score]:[Excl Score]],0),"")</f>
        <v>4</v>
      </c>
      <c r="AW26" s="152">
        <f>IFERROR(AVERAGEIFS(Upload_Indiv[Score6],Upload_Indiv[[Player]:[Player]],$A26,Upload_Indiv[[Side]:[Side]],"Raintree Back",Upload_Indiv[[Excl Score]:[Excl Score]],0),"")</f>
        <v>4.75</v>
      </c>
      <c r="AX26" s="152">
        <f t="shared" si="16"/>
        <v>-1.25</v>
      </c>
      <c r="AY26" s="149">
        <f>IFERROR(COUNTIFS(Upload_Indiv[[Player]:[Player]],$A26,Upload_Indiv[[Side]:[Side]],"Raintree Back",Upload_Indiv[[Excl Score]:[Excl Score]],0),"")</f>
        <v>4</v>
      </c>
      <c r="AZ26" s="150">
        <f>IFERROR(AVERAGEIFS(Upload_Indiv[Score7],Upload_Indiv[[Player]:[Player]],$A26,Upload_Indiv[[Side]:[Side]],"Raintree Back",Upload_Indiv[[Excl Score]:[Excl Score]],0),"")</f>
        <v>3.75</v>
      </c>
      <c r="BA26" s="150">
        <f t="shared" si="17"/>
        <v>0.75</v>
      </c>
      <c r="BB26" s="151">
        <f>IFERROR(COUNTIFS(Upload_Indiv[[Player]:[Player]],$A26,Upload_Indiv[[Side]:[Side]],"Raintree Back",Upload_Indiv[[Excl Score]:[Excl Score]],0),"")</f>
        <v>4</v>
      </c>
      <c r="BC26" s="152">
        <f>IFERROR(AVERAGEIFS(Upload_Indiv[Score8],Upload_Indiv[[Player]:[Player]],$A26,Upload_Indiv[[Side]:[Side]],"Raintree Back",Upload_Indiv[[Excl Score]:[Excl Score]],0),"")</f>
        <v>4.75</v>
      </c>
      <c r="BD26" s="152">
        <f t="shared" si="18"/>
        <v>-0.25</v>
      </c>
      <c r="BE26" s="149">
        <f>IFERROR(COUNTIFS(Upload_Indiv[[Player]:[Player]],$A26,Upload_Indiv[[Side]:[Side]],"Raintree Back",Upload_Indiv[[Excl Score]:[Excl Score]],0),"")</f>
        <v>4</v>
      </c>
      <c r="BF26" s="150">
        <f>IFERROR(AVERAGEIFS(Upload_Indiv[Score9],Upload_Indiv[[Player]:[Player]],$A26,Upload_Indiv[[Side]:[Side]],"Raintree Back",Upload_Indiv[[Excl Score]:[Excl Score]],0),"")</f>
        <v>6</v>
      </c>
      <c r="BG26" s="150">
        <f t="shared" si="19"/>
        <v>0</v>
      </c>
      <c r="BH26" s="165">
        <f t="shared" si="20"/>
        <v>4</v>
      </c>
      <c r="BI26" s="165">
        <f t="shared" si="21"/>
        <v>43.25</v>
      </c>
      <c r="BJ26" s="165">
        <f t="shared" si="21"/>
        <v>2.25</v>
      </c>
    </row>
    <row r="27" spans="1:62" ht="15" customHeight="1" x14ac:dyDescent="0.25">
      <c r="A27" s="4" t="s">
        <v>317</v>
      </c>
      <c r="B27" s="170">
        <f>IFERROR(AVERAGEIFS(Upload_Indiv[Hdcp],Upload_Indiv[[Player]:[Player]],$A27,Upload_Indiv[[Excl Score]:[Excl Score]],0),"")</f>
        <v>17.069999999999997</v>
      </c>
      <c r="C27" s="149">
        <f>IFERROR(COUNTIFS(Upload_Indiv[[Player]:[Player]],$A27,Upload_Indiv[[Side]:[Side]],"Raintree Front",Upload_Indiv[[Excl Score]:[Excl Score]],0),"")</f>
        <v>6</v>
      </c>
      <c r="D27" s="150">
        <f>IFERROR(AVERAGEIFS(Upload_Indiv[Score1],Upload_Indiv[[Player]:[Player]],$A27,Upload_Indiv[[Side]:[Side]],"Raintree Front",Upload_Indiv[[Excl Score]:[Excl Score]],0),"")</f>
        <v>7.166666666666667</v>
      </c>
      <c r="E27" s="150">
        <f t="shared" si="0"/>
        <v>1.166666666666667</v>
      </c>
      <c r="F27" s="151">
        <f>IFERROR(COUNTIFS(Upload_Indiv[[Player]:[Player]],$A27,Upload_Indiv[[Side]:[Side]],"Raintree Front",Upload_Indiv[[Excl Score]:[Excl Score]],0),"")</f>
        <v>6</v>
      </c>
      <c r="G27" s="152">
        <f>IFERROR(AVERAGEIFS(Upload_Indiv[Score2],Upload_Indiv[[Player]:[Player]],$A27,Upload_Indiv[[Side]:[Side]],"Raintree Front",Upload_Indiv[[Excl Score]:[Excl Score]],0),"")</f>
        <v>6.666666666666667</v>
      </c>
      <c r="H27" s="152">
        <f t="shared" si="1"/>
        <v>-0.33333333333333304</v>
      </c>
      <c r="I27" s="149">
        <f>IFERROR(COUNTIFS(Upload_Indiv[[Player]:[Player]],$A27,Upload_Indiv[[Side]:[Side]],"Raintree Front",Upload_Indiv[[Excl Score]:[Excl Score]],0),"")</f>
        <v>6</v>
      </c>
      <c r="J27" s="150">
        <f>IFERROR(AVERAGEIFS(Upload_Indiv[Score3],Upload_Indiv[[Player]:[Player]],$A27,Upload_Indiv[[Side]:[Side]],"Raintree Front",Upload_Indiv[[Excl Score]:[Excl Score]],0),"")</f>
        <v>7.5</v>
      </c>
      <c r="K27" s="150">
        <f t="shared" si="2"/>
        <v>1.5</v>
      </c>
      <c r="L27" s="151">
        <f>IFERROR(COUNTIFS(Upload_Indiv[[Player]:[Player]],$A27,Upload_Indiv[[Side]:[Side]],"Raintree Front",Upload_Indiv[[Excl Score]:[Excl Score]],0),"")</f>
        <v>6</v>
      </c>
      <c r="M27" s="152">
        <f>IFERROR(AVERAGEIFS(Upload_Indiv[Score4],Upload_Indiv[[Player]:[Player]],$A27,Upload_Indiv[[Side]:[Side]],"Raintree Front",Upload_Indiv[[Excl Score]:[Excl Score]],0),"")</f>
        <v>5</v>
      </c>
      <c r="N27" s="152">
        <f t="shared" si="3"/>
        <v>0</v>
      </c>
      <c r="O27" s="149">
        <f>IFERROR(COUNTIFS(Upload_Indiv[[Player]:[Player]],$A27,Upload_Indiv[[Side]:[Side]],"Raintree Front",Upload_Indiv[[Excl Score]:[Excl Score]],0),"")</f>
        <v>6</v>
      </c>
      <c r="P27" s="150">
        <f>IFERROR(AVERAGEIFS(Upload_Indiv[Score5],Upload_Indiv[[Player]:[Player]],$A27,Upload_Indiv[[Side]:[Side]],"Raintree Front",Upload_Indiv[[Excl Score]:[Excl Score]],0),"")</f>
        <v>6.333333333333333</v>
      </c>
      <c r="Q27" s="150">
        <f t="shared" si="4"/>
        <v>1.333333333333333</v>
      </c>
      <c r="R27" s="151">
        <f>IFERROR(COUNTIFS(Upload_Indiv[[Player]:[Player]],$A27,Upload_Indiv[[Side]:[Side]],"Raintree Front",Upload_Indiv[[Excl Score]:[Excl Score]],0),"")</f>
        <v>6</v>
      </c>
      <c r="S27" s="152">
        <f>IFERROR(AVERAGEIFS(Upload_Indiv[Score6],Upload_Indiv[[Player]:[Player]],$A27,Upload_Indiv[[Side]:[Side]],"Raintree Front",Upload_Indiv[[Excl Score]:[Excl Score]],0),"")</f>
        <v>6.166666666666667</v>
      </c>
      <c r="T27" s="152">
        <f t="shared" si="5"/>
        <v>0.16666666666666696</v>
      </c>
      <c r="U27" s="149">
        <f>IFERROR(COUNTIFS(Upload_Indiv[[Player]:[Player]],$A27,Upload_Indiv[[Side]:[Side]],"Raintree Front",Upload_Indiv[[Excl Score]:[Excl Score]],0),"")</f>
        <v>6</v>
      </c>
      <c r="V27" s="150">
        <f>IFERROR(AVERAGEIFS(Upload_Indiv[Score7],Upload_Indiv[[Player]:[Player]],$A27,Upload_Indiv[[Side]:[Side]],"Raintree Front",Upload_Indiv[[Excl Score]:[Excl Score]],0),"")</f>
        <v>8.8333333333333339</v>
      </c>
      <c r="W27" s="150">
        <f t="shared" si="6"/>
        <v>1.8333333333333339</v>
      </c>
      <c r="X27" s="151">
        <f>IFERROR(COUNTIFS(Upload_Indiv[[Player]:[Player]],$A27,Upload_Indiv[[Side]:[Side]],"Raintree Front",Upload_Indiv[[Excl Score]:[Excl Score]],0),"")</f>
        <v>6</v>
      </c>
      <c r="Y27" s="152">
        <f>IFERROR(AVERAGEIFS(Upload_Indiv[Score8],Upload_Indiv[[Player]:[Player]],$A27,Upload_Indiv[[Side]:[Side]],"Raintree Front",Upload_Indiv[[Excl Score]:[Excl Score]],0),"")</f>
        <v>4.833333333333333</v>
      </c>
      <c r="Z27" s="152">
        <f t="shared" si="7"/>
        <v>-0.16666666666666696</v>
      </c>
      <c r="AA27" s="149">
        <f>IFERROR(COUNTIFS(Upload_Indiv[[Player]:[Player]],$A27,Upload_Indiv[[Side]:[Side]],"Raintree Front",Upload_Indiv[[Excl Score]:[Excl Score]],0),"")</f>
        <v>6</v>
      </c>
      <c r="AB27" s="150">
        <f>IFERROR(AVERAGEIFS(Upload_Indiv[Score9],Upload_Indiv[[Player]:[Player]],$A27,Upload_Indiv[[Side]:[Side]],"Raintree Front",Upload_Indiv[[Excl Score]:[Excl Score]],0),"")</f>
        <v>6.666666666666667</v>
      </c>
      <c r="AC27" s="150">
        <f t="shared" si="8"/>
        <v>0.66666666666666696</v>
      </c>
      <c r="AD27" s="165">
        <f t="shared" si="9"/>
        <v>6</v>
      </c>
      <c r="AE27" s="165">
        <f t="shared" si="10"/>
        <v>59.166666666666671</v>
      </c>
      <c r="AF27" s="165">
        <f t="shared" si="10"/>
        <v>6.1666666666666679</v>
      </c>
      <c r="AG27" s="149">
        <f>IFERROR(COUNTIFS(Upload_Indiv[[Player]:[Player]],$A27,Upload_Indiv[[Side]:[Side]],"Raintree Back",Upload_Indiv[[Excl Score]:[Excl Score]],0),"")</f>
        <v>5</v>
      </c>
      <c r="AH27" s="150">
        <f>IFERROR(AVERAGEIFS(Upload_Indiv[Score1],Upload_Indiv[[Player]:[Player]],$A27,Upload_Indiv[[Side]:[Side]],"Raintree Back",Upload_Indiv[[Excl Score]:[Excl Score]],0),"")</f>
        <v>5.6</v>
      </c>
      <c r="AI27" s="150">
        <f t="shared" si="11"/>
        <v>-0.40000000000000036</v>
      </c>
      <c r="AJ27" s="151">
        <f>IFERROR(COUNTIFS(Upload_Indiv[[Player]:[Player]],$A27,Upload_Indiv[[Side]:[Side]],"Raintree Back",Upload_Indiv[[Excl Score]:[Excl Score]],0),"")</f>
        <v>5</v>
      </c>
      <c r="AK27" s="152">
        <f>IFERROR(AVERAGEIFS(Upload_Indiv[Score2],Upload_Indiv[[Player]:[Player]],$A27,Upload_Indiv[[Side]:[Side]],"Raintree Back",Upload_Indiv[[Excl Score]:[Excl Score]],0),"")</f>
        <v>5.8</v>
      </c>
      <c r="AL27" s="152">
        <f t="shared" si="12"/>
        <v>0.79999999999999982</v>
      </c>
      <c r="AM27" s="149">
        <f>IFERROR(COUNTIFS(Upload_Indiv[[Player]:[Player]],$A27,Upload_Indiv[[Side]:[Side]],"Raintree Back",Upload_Indiv[[Excl Score]:[Excl Score]],0),"")</f>
        <v>5</v>
      </c>
      <c r="AN27" s="150">
        <f>IFERROR(AVERAGEIFS(Upload_Indiv[Score3],Upload_Indiv[[Player]:[Player]],$A27,Upload_Indiv[[Side]:[Side]],"Raintree Back",Upload_Indiv[[Excl Score]:[Excl Score]],0),"")</f>
        <v>6.4</v>
      </c>
      <c r="AO27" s="150">
        <f t="shared" si="13"/>
        <v>0.40000000000000036</v>
      </c>
      <c r="AP27" s="151">
        <f>IFERROR(COUNTIFS(Upload_Indiv[[Player]:[Player]],$A27,Upload_Indiv[[Side]:[Side]],"Raintree Back",Upload_Indiv[[Excl Score]:[Excl Score]],0),"")</f>
        <v>5</v>
      </c>
      <c r="AQ27" s="152">
        <f>IFERROR(AVERAGEIFS(Upload_Indiv[Score4],Upload_Indiv[[Player]:[Player]],$A27,Upload_Indiv[[Side]:[Side]],"Raintree Back",Upload_Indiv[[Excl Score]:[Excl Score]],0),"")</f>
        <v>6.8</v>
      </c>
      <c r="AR27" s="152">
        <f t="shared" si="14"/>
        <v>0.79999999999999982</v>
      </c>
      <c r="AS27" s="149">
        <f>IFERROR(COUNTIFS(Upload_Indiv[[Player]:[Player]],$A27,Upload_Indiv[[Side]:[Side]],"Raintree Back",Upload_Indiv[[Excl Score]:[Excl Score]],0),"")</f>
        <v>5</v>
      </c>
      <c r="AT27" s="150">
        <f>IFERROR(AVERAGEIFS(Upload_Indiv[Score5],Upload_Indiv[[Player]:[Player]],$A27,Upload_Indiv[[Side]:[Side]],"Raintree Back",Upload_Indiv[[Excl Score]:[Excl Score]],0),"")</f>
        <v>7.2</v>
      </c>
      <c r="AU27" s="150">
        <f t="shared" si="15"/>
        <v>1.2000000000000002</v>
      </c>
      <c r="AV27" s="151">
        <f>IFERROR(COUNTIFS(Upload_Indiv[[Player]:[Player]],$A27,Upload_Indiv[[Side]:[Side]],"Raintree Back",Upload_Indiv[[Excl Score]:[Excl Score]],0),"")</f>
        <v>5</v>
      </c>
      <c r="AW27" s="152">
        <f>IFERROR(AVERAGEIFS(Upload_Indiv[Score6],Upload_Indiv[[Player]:[Player]],$A27,Upload_Indiv[[Side]:[Side]],"Raintree Back",Upload_Indiv[[Excl Score]:[Excl Score]],0),"")</f>
        <v>8.4</v>
      </c>
      <c r="AX27" s="152">
        <f t="shared" si="16"/>
        <v>1.4000000000000004</v>
      </c>
      <c r="AY27" s="149">
        <f>IFERROR(COUNTIFS(Upload_Indiv[[Player]:[Player]],$A27,Upload_Indiv[[Side]:[Side]],"Raintree Back",Upload_Indiv[[Excl Score]:[Excl Score]],0),"")</f>
        <v>5</v>
      </c>
      <c r="AZ27" s="150">
        <f>IFERROR(AVERAGEIFS(Upload_Indiv[Score7],Upload_Indiv[[Player]:[Player]],$A27,Upload_Indiv[[Side]:[Side]],"Raintree Back",Upload_Indiv[[Excl Score]:[Excl Score]],0),"")</f>
        <v>4.8</v>
      </c>
      <c r="BA27" s="150">
        <f t="shared" si="17"/>
        <v>0.79999999999999982</v>
      </c>
      <c r="BB27" s="151">
        <f>IFERROR(COUNTIFS(Upload_Indiv[[Player]:[Player]],$A27,Upload_Indiv[[Side]:[Side]],"Raintree Back",Upload_Indiv[[Excl Score]:[Excl Score]],0),"")</f>
        <v>5</v>
      </c>
      <c r="BC27" s="152">
        <f>IFERROR(AVERAGEIFS(Upload_Indiv[Score8],Upload_Indiv[[Player]:[Player]],$A27,Upload_Indiv[[Side]:[Side]],"Raintree Back",Upload_Indiv[[Excl Score]:[Excl Score]],0),"")</f>
        <v>5.6</v>
      </c>
      <c r="BD27" s="152">
        <f t="shared" si="18"/>
        <v>-0.40000000000000036</v>
      </c>
      <c r="BE27" s="149">
        <f>IFERROR(COUNTIFS(Upload_Indiv[[Player]:[Player]],$A27,Upload_Indiv[[Side]:[Side]],"Raintree Back",Upload_Indiv[[Excl Score]:[Excl Score]],0),"")</f>
        <v>5</v>
      </c>
      <c r="BF27" s="150">
        <f>IFERROR(AVERAGEIFS(Upload_Indiv[Score9],Upload_Indiv[[Player]:[Player]],$A27,Upload_Indiv[[Side]:[Side]],"Raintree Back",Upload_Indiv[[Excl Score]:[Excl Score]],0),"")</f>
        <v>7.2</v>
      </c>
      <c r="BG27" s="150">
        <f t="shared" si="19"/>
        <v>0.20000000000000018</v>
      </c>
      <c r="BH27" s="165">
        <f t="shared" si="20"/>
        <v>5</v>
      </c>
      <c r="BI27" s="165">
        <f t="shared" si="21"/>
        <v>57.8</v>
      </c>
      <c r="BJ27" s="165">
        <f t="shared" si="21"/>
        <v>4.8</v>
      </c>
    </row>
    <row r="28" spans="1:62" ht="15" customHeight="1" x14ac:dyDescent="0.25">
      <c r="A28" s="4" t="s">
        <v>153</v>
      </c>
      <c r="B28" s="170">
        <f>IFERROR(AVERAGEIFS(Upload_Indiv[Hdcp],Upload_Indiv[[Player]:[Player]],$A28,Upload_Indiv[[Excl Score]:[Excl Score]],0),"")</f>
        <v>6.4092307692307697</v>
      </c>
      <c r="C28" s="149">
        <f>IFERROR(COUNTIFS(Upload_Indiv[[Player]:[Player]],$A28,Upload_Indiv[[Side]:[Side]],"Raintree Front",Upload_Indiv[[Excl Score]:[Excl Score]],0),"")</f>
        <v>5</v>
      </c>
      <c r="D28" s="150">
        <f>IFERROR(AVERAGEIFS(Upload_Indiv[Score1],Upload_Indiv[[Player]:[Player]],$A28,Upload_Indiv[[Side]:[Side]],"Raintree Front",Upload_Indiv[[Excl Score]:[Excl Score]],0),"")</f>
        <v>5.2</v>
      </c>
      <c r="E28" s="150">
        <f t="shared" si="0"/>
        <v>0.20000000000000018</v>
      </c>
      <c r="F28" s="151">
        <f>IFERROR(COUNTIFS(Upload_Indiv[[Player]:[Player]],$A28,Upload_Indiv[[Side]:[Side]],"Raintree Front",Upload_Indiv[[Excl Score]:[Excl Score]],0),"")</f>
        <v>5</v>
      </c>
      <c r="G28" s="152">
        <f>IFERROR(AVERAGEIFS(Upload_Indiv[Score2],Upload_Indiv[[Player]:[Player]],$A28,Upload_Indiv[[Side]:[Side]],"Raintree Front",Upload_Indiv[[Excl Score]:[Excl Score]],0),"")</f>
        <v>5.4</v>
      </c>
      <c r="H28" s="152">
        <f t="shared" si="1"/>
        <v>0.40000000000000036</v>
      </c>
      <c r="I28" s="149">
        <f>IFERROR(COUNTIFS(Upload_Indiv[[Player]:[Player]],$A28,Upload_Indiv[[Side]:[Side]],"Raintree Front",Upload_Indiv[[Excl Score]:[Excl Score]],0),"")</f>
        <v>5</v>
      </c>
      <c r="J28" s="150">
        <f>IFERROR(AVERAGEIFS(Upload_Indiv[Score3],Upload_Indiv[[Player]:[Player]],$A28,Upload_Indiv[[Side]:[Side]],"Raintree Front",Upload_Indiv[[Excl Score]:[Excl Score]],0),"")</f>
        <v>5.6</v>
      </c>
      <c r="K28" s="150">
        <f t="shared" si="2"/>
        <v>0.59999999999999964</v>
      </c>
      <c r="L28" s="151">
        <f>IFERROR(COUNTIFS(Upload_Indiv[[Player]:[Player]],$A28,Upload_Indiv[[Side]:[Side]],"Raintree Front",Upload_Indiv[[Excl Score]:[Excl Score]],0),"")</f>
        <v>5</v>
      </c>
      <c r="M28" s="152">
        <f>IFERROR(AVERAGEIFS(Upload_Indiv[Score4],Upload_Indiv[[Player]:[Player]],$A28,Upload_Indiv[[Side]:[Side]],"Raintree Front",Upload_Indiv[[Excl Score]:[Excl Score]],0),"")</f>
        <v>4.4000000000000004</v>
      </c>
      <c r="N28" s="152">
        <f t="shared" si="3"/>
        <v>1.4000000000000004</v>
      </c>
      <c r="O28" s="149">
        <f>IFERROR(COUNTIFS(Upload_Indiv[[Player]:[Player]],$A28,Upload_Indiv[[Side]:[Side]],"Raintree Front",Upload_Indiv[[Excl Score]:[Excl Score]],0),"")</f>
        <v>5</v>
      </c>
      <c r="P28" s="150">
        <f>IFERROR(AVERAGEIFS(Upload_Indiv[Score5],Upload_Indiv[[Player]:[Player]],$A28,Upload_Indiv[[Side]:[Side]],"Raintree Front",Upload_Indiv[[Excl Score]:[Excl Score]],0),"")</f>
        <v>5.2</v>
      </c>
      <c r="Q28" s="150">
        <f t="shared" si="4"/>
        <v>1.2000000000000002</v>
      </c>
      <c r="R28" s="151">
        <f>IFERROR(COUNTIFS(Upload_Indiv[[Player]:[Player]],$A28,Upload_Indiv[[Side]:[Side]],"Raintree Front",Upload_Indiv[[Excl Score]:[Excl Score]],0),"")</f>
        <v>5</v>
      </c>
      <c r="S28" s="152">
        <f>IFERROR(AVERAGEIFS(Upload_Indiv[Score6],Upload_Indiv[[Player]:[Player]],$A28,Upload_Indiv[[Side]:[Side]],"Raintree Front",Upload_Indiv[[Excl Score]:[Excl Score]],0),"")</f>
        <v>5.4</v>
      </c>
      <c r="T28" s="152">
        <f t="shared" si="5"/>
        <v>0.40000000000000036</v>
      </c>
      <c r="U28" s="149">
        <f>IFERROR(COUNTIFS(Upload_Indiv[[Player]:[Player]],$A28,Upload_Indiv[[Side]:[Side]],"Raintree Front",Upload_Indiv[[Excl Score]:[Excl Score]],0),"")</f>
        <v>5</v>
      </c>
      <c r="V28" s="150">
        <f>IFERROR(AVERAGEIFS(Upload_Indiv[Score7],Upload_Indiv[[Player]:[Player]],$A28,Upload_Indiv[[Side]:[Side]],"Raintree Front",Upload_Indiv[[Excl Score]:[Excl Score]],0),"")</f>
        <v>6.2</v>
      </c>
      <c r="W28" s="150">
        <f t="shared" si="6"/>
        <v>0.20000000000000018</v>
      </c>
      <c r="X28" s="151">
        <f>IFERROR(COUNTIFS(Upload_Indiv[[Player]:[Player]],$A28,Upload_Indiv[[Side]:[Side]],"Raintree Front",Upload_Indiv[[Excl Score]:[Excl Score]],0),"")</f>
        <v>5</v>
      </c>
      <c r="Y28" s="152">
        <f>IFERROR(AVERAGEIFS(Upload_Indiv[Score8],Upload_Indiv[[Player]:[Player]],$A28,Upload_Indiv[[Side]:[Side]],"Raintree Front",Upload_Indiv[[Excl Score]:[Excl Score]],0),"")</f>
        <v>4</v>
      </c>
      <c r="Z28" s="152">
        <f t="shared" si="7"/>
        <v>0</v>
      </c>
      <c r="AA28" s="149">
        <f>IFERROR(COUNTIFS(Upload_Indiv[[Player]:[Player]],$A28,Upload_Indiv[[Side]:[Side]],"Raintree Front",Upload_Indiv[[Excl Score]:[Excl Score]],0),"")</f>
        <v>5</v>
      </c>
      <c r="AB28" s="150">
        <f>IFERROR(AVERAGEIFS(Upload_Indiv[Score9],Upload_Indiv[[Player]:[Player]],$A28,Upload_Indiv[[Side]:[Side]],"Raintree Front",Upload_Indiv[[Excl Score]:[Excl Score]],0),"")</f>
        <v>4.2</v>
      </c>
      <c r="AC28" s="150">
        <f t="shared" si="8"/>
        <v>-0.79999999999999982</v>
      </c>
      <c r="AD28" s="165">
        <f t="shared" si="9"/>
        <v>5</v>
      </c>
      <c r="AE28" s="165">
        <f t="shared" si="10"/>
        <v>45.600000000000009</v>
      </c>
      <c r="AF28" s="165">
        <f t="shared" si="10"/>
        <v>3.6000000000000014</v>
      </c>
      <c r="AG28" s="149">
        <f>IFERROR(COUNTIFS(Upload_Indiv[[Player]:[Player]],$A28,Upload_Indiv[[Side]:[Side]],"Raintree Back",Upload_Indiv[[Excl Score]:[Excl Score]],0),"")</f>
        <v>8</v>
      </c>
      <c r="AH28" s="150">
        <f>IFERROR(AVERAGEIFS(Upload_Indiv[Score1],Upload_Indiv[[Player]:[Player]],$A28,Upload_Indiv[[Side]:[Side]],"Raintree Back",Upload_Indiv[[Excl Score]:[Excl Score]],0),"")</f>
        <v>4.375</v>
      </c>
      <c r="AI28" s="150">
        <f t="shared" si="11"/>
        <v>0.375</v>
      </c>
      <c r="AJ28" s="151">
        <f>IFERROR(COUNTIFS(Upload_Indiv[[Player]:[Player]],$A28,Upload_Indiv[[Side]:[Side]],"Raintree Back",Upload_Indiv[[Excl Score]:[Excl Score]],0),"")</f>
        <v>8</v>
      </c>
      <c r="AK28" s="152">
        <f>IFERROR(AVERAGEIFS(Upload_Indiv[Score2],Upload_Indiv[[Player]:[Player]],$A28,Upload_Indiv[[Side]:[Side]],"Raintree Back",Upload_Indiv[[Excl Score]:[Excl Score]],0),"")</f>
        <v>4.125</v>
      </c>
      <c r="AL28" s="152">
        <f t="shared" si="12"/>
        <v>0.125</v>
      </c>
      <c r="AM28" s="149">
        <f>IFERROR(COUNTIFS(Upload_Indiv[[Player]:[Player]],$A28,Upload_Indiv[[Side]:[Side]],"Raintree Back",Upload_Indiv[[Excl Score]:[Excl Score]],0),"")</f>
        <v>8</v>
      </c>
      <c r="AN28" s="150">
        <f>IFERROR(AVERAGEIFS(Upload_Indiv[Score3],Upload_Indiv[[Player]:[Player]],$A28,Upload_Indiv[[Side]:[Side]],"Raintree Back",Upload_Indiv[[Excl Score]:[Excl Score]],0),"")</f>
        <v>5.25</v>
      </c>
      <c r="AO28" s="150">
        <f t="shared" si="13"/>
        <v>1.25</v>
      </c>
      <c r="AP28" s="151">
        <f>IFERROR(COUNTIFS(Upload_Indiv[[Player]:[Player]],$A28,Upload_Indiv[[Side]:[Side]],"Raintree Back",Upload_Indiv[[Excl Score]:[Excl Score]],0),"")</f>
        <v>8</v>
      </c>
      <c r="AQ28" s="152">
        <f>IFERROR(AVERAGEIFS(Upload_Indiv[Score4],Upload_Indiv[[Player]:[Player]],$A28,Upload_Indiv[[Side]:[Side]],"Raintree Back",Upload_Indiv[[Excl Score]:[Excl Score]],0),"")</f>
        <v>5.375</v>
      </c>
      <c r="AR28" s="152">
        <f t="shared" si="14"/>
        <v>0.375</v>
      </c>
      <c r="AS28" s="149">
        <f>IFERROR(COUNTIFS(Upload_Indiv[[Player]:[Player]],$A28,Upload_Indiv[[Side]:[Side]],"Raintree Back",Upload_Indiv[[Excl Score]:[Excl Score]],0),"")</f>
        <v>8</v>
      </c>
      <c r="AT28" s="150">
        <f>IFERROR(AVERAGEIFS(Upload_Indiv[Score5],Upload_Indiv[[Player]:[Player]],$A28,Upload_Indiv[[Side]:[Side]],"Raintree Back",Upload_Indiv[[Excl Score]:[Excl Score]],0),"")</f>
        <v>5.375</v>
      </c>
      <c r="AU28" s="150">
        <f t="shared" si="15"/>
        <v>0.375</v>
      </c>
      <c r="AV28" s="151">
        <f>IFERROR(COUNTIFS(Upload_Indiv[[Player]:[Player]],$A28,Upload_Indiv[[Side]:[Side]],"Raintree Back",Upload_Indiv[[Excl Score]:[Excl Score]],0),"")</f>
        <v>8</v>
      </c>
      <c r="AW28" s="152">
        <f>IFERROR(AVERAGEIFS(Upload_Indiv[Score6],Upload_Indiv[[Player]:[Player]],$A28,Upload_Indiv[[Side]:[Side]],"Raintree Back",Upload_Indiv[[Excl Score]:[Excl Score]],0),"")</f>
        <v>5.25</v>
      </c>
      <c r="AX28" s="152">
        <f t="shared" si="16"/>
        <v>-0.75</v>
      </c>
      <c r="AY28" s="149">
        <f>IFERROR(COUNTIFS(Upload_Indiv[[Player]:[Player]],$A28,Upload_Indiv[[Side]:[Side]],"Raintree Back",Upload_Indiv[[Excl Score]:[Excl Score]],0),"")</f>
        <v>8</v>
      </c>
      <c r="AZ28" s="150">
        <f>IFERROR(AVERAGEIFS(Upload_Indiv[Score7],Upload_Indiv[[Player]:[Player]],$A28,Upload_Indiv[[Side]:[Side]],"Raintree Back",Upload_Indiv[[Excl Score]:[Excl Score]],0),"")</f>
        <v>3.75</v>
      </c>
      <c r="BA28" s="150">
        <f t="shared" si="17"/>
        <v>0.75</v>
      </c>
      <c r="BB28" s="151">
        <f>IFERROR(COUNTIFS(Upload_Indiv[[Player]:[Player]],$A28,Upload_Indiv[[Side]:[Side]],"Raintree Back",Upload_Indiv[[Excl Score]:[Excl Score]],0),"")</f>
        <v>8</v>
      </c>
      <c r="BC28" s="152">
        <f>IFERROR(AVERAGEIFS(Upload_Indiv[Score8],Upload_Indiv[[Player]:[Player]],$A28,Upload_Indiv[[Side]:[Side]],"Raintree Back",Upload_Indiv[[Excl Score]:[Excl Score]],0),"")</f>
        <v>4.625</v>
      </c>
      <c r="BD28" s="152">
        <f t="shared" si="18"/>
        <v>-0.375</v>
      </c>
      <c r="BE28" s="149">
        <f>IFERROR(COUNTIFS(Upload_Indiv[[Player]:[Player]],$A28,Upload_Indiv[[Side]:[Side]],"Raintree Back",Upload_Indiv[[Excl Score]:[Excl Score]],0),"")</f>
        <v>8</v>
      </c>
      <c r="BF28" s="150">
        <f>IFERROR(AVERAGEIFS(Upload_Indiv[Score9],Upload_Indiv[[Player]:[Player]],$A28,Upload_Indiv[[Side]:[Side]],"Raintree Back",Upload_Indiv[[Excl Score]:[Excl Score]],0),"")</f>
        <v>6.875</v>
      </c>
      <c r="BG28" s="150">
        <f t="shared" si="19"/>
        <v>0.875</v>
      </c>
      <c r="BH28" s="165">
        <f t="shared" si="20"/>
        <v>8</v>
      </c>
      <c r="BI28" s="165">
        <f t="shared" si="21"/>
        <v>45</v>
      </c>
      <c r="BJ28" s="165">
        <f t="shared" si="21"/>
        <v>3</v>
      </c>
    </row>
    <row r="29" spans="1:62" ht="15" customHeight="1" x14ac:dyDescent="0.25">
      <c r="A29" s="4" t="s">
        <v>304</v>
      </c>
      <c r="B29" s="170" t="str">
        <f>IFERROR(AVERAGEIFS(Upload_Indiv[Hdcp],Upload_Indiv[[Player]:[Player]],$A29,Upload_Indiv[[Excl Score]:[Excl Score]],0),"")</f>
        <v/>
      </c>
      <c r="C29" s="149">
        <f>IFERROR(COUNTIFS(Upload_Indiv[[Player]:[Player]],$A29,Upload_Indiv[[Side]:[Side]],"Raintree Front",Upload_Indiv[[Excl Score]:[Excl Score]],0),"")</f>
        <v>0</v>
      </c>
      <c r="D29" s="150" t="str">
        <f>IFERROR(AVERAGEIFS(Upload_Indiv[Score1],Upload_Indiv[[Player]:[Player]],$A29,Upload_Indiv[[Side]:[Side]],"Raintree Front",Upload_Indiv[[Excl Score]:[Excl Score]],0),"")</f>
        <v/>
      </c>
      <c r="E29" s="150" t="str">
        <f t="shared" si="0"/>
        <v/>
      </c>
      <c r="F29" s="151">
        <f>IFERROR(COUNTIFS(Upload_Indiv[[Player]:[Player]],$A29,Upload_Indiv[[Side]:[Side]],"Raintree Front",Upload_Indiv[[Excl Score]:[Excl Score]],0),"")</f>
        <v>0</v>
      </c>
      <c r="G29" s="152" t="str">
        <f>IFERROR(AVERAGEIFS(Upload_Indiv[Score2],Upload_Indiv[[Player]:[Player]],$A29,Upload_Indiv[[Side]:[Side]],"Raintree Front",Upload_Indiv[[Excl Score]:[Excl Score]],0),"")</f>
        <v/>
      </c>
      <c r="H29" s="152" t="str">
        <f t="shared" si="1"/>
        <v/>
      </c>
      <c r="I29" s="149">
        <f>IFERROR(COUNTIFS(Upload_Indiv[[Player]:[Player]],$A29,Upload_Indiv[[Side]:[Side]],"Raintree Front",Upload_Indiv[[Excl Score]:[Excl Score]],0),"")</f>
        <v>0</v>
      </c>
      <c r="J29" s="150" t="str">
        <f>IFERROR(AVERAGEIFS(Upload_Indiv[Score3],Upload_Indiv[[Player]:[Player]],$A29,Upload_Indiv[[Side]:[Side]],"Raintree Front",Upload_Indiv[[Excl Score]:[Excl Score]],0),"")</f>
        <v/>
      </c>
      <c r="K29" s="150" t="str">
        <f t="shared" si="2"/>
        <v/>
      </c>
      <c r="L29" s="151">
        <f>IFERROR(COUNTIFS(Upload_Indiv[[Player]:[Player]],$A29,Upload_Indiv[[Side]:[Side]],"Raintree Front",Upload_Indiv[[Excl Score]:[Excl Score]],0),"")</f>
        <v>0</v>
      </c>
      <c r="M29" s="152" t="str">
        <f>IFERROR(AVERAGEIFS(Upload_Indiv[Score4],Upload_Indiv[[Player]:[Player]],$A29,Upload_Indiv[[Side]:[Side]],"Raintree Front",Upload_Indiv[[Excl Score]:[Excl Score]],0),"")</f>
        <v/>
      </c>
      <c r="N29" s="152" t="str">
        <f t="shared" si="3"/>
        <v/>
      </c>
      <c r="O29" s="149">
        <f>IFERROR(COUNTIFS(Upload_Indiv[[Player]:[Player]],$A29,Upload_Indiv[[Side]:[Side]],"Raintree Front",Upload_Indiv[[Excl Score]:[Excl Score]],0),"")</f>
        <v>0</v>
      </c>
      <c r="P29" s="150" t="str">
        <f>IFERROR(AVERAGEIFS(Upload_Indiv[Score5],Upload_Indiv[[Player]:[Player]],$A29,Upload_Indiv[[Side]:[Side]],"Raintree Front",Upload_Indiv[[Excl Score]:[Excl Score]],0),"")</f>
        <v/>
      </c>
      <c r="Q29" s="150" t="str">
        <f t="shared" si="4"/>
        <v/>
      </c>
      <c r="R29" s="151">
        <f>IFERROR(COUNTIFS(Upload_Indiv[[Player]:[Player]],$A29,Upload_Indiv[[Side]:[Side]],"Raintree Front",Upload_Indiv[[Excl Score]:[Excl Score]],0),"")</f>
        <v>0</v>
      </c>
      <c r="S29" s="152" t="str">
        <f>IFERROR(AVERAGEIFS(Upload_Indiv[Score6],Upload_Indiv[[Player]:[Player]],$A29,Upload_Indiv[[Side]:[Side]],"Raintree Front",Upload_Indiv[[Excl Score]:[Excl Score]],0),"")</f>
        <v/>
      </c>
      <c r="T29" s="152" t="str">
        <f t="shared" si="5"/>
        <v/>
      </c>
      <c r="U29" s="149">
        <f>IFERROR(COUNTIFS(Upload_Indiv[[Player]:[Player]],$A29,Upload_Indiv[[Side]:[Side]],"Raintree Front",Upload_Indiv[[Excl Score]:[Excl Score]],0),"")</f>
        <v>0</v>
      </c>
      <c r="V29" s="150" t="str">
        <f>IFERROR(AVERAGEIFS(Upload_Indiv[Score7],Upload_Indiv[[Player]:[Player]],$A29,Upload_Indiv[[Side]:[Side]],"Raintree Front",Upload_Indiv[[Excl Score]:[Excl Score]],0),"")</f>
        <v/>
      </c>
      <c r="W29" s="150" t="str">
        <f t="shared" si="6"/>
        <v/>
      </c>
      <c r="X29" s="151">
        <f>IFERROR(COUNTIFS(Upload_Indiv[[Player]:[Player]],$A29,Upload_Indiv[[Side]:[Side]],"Raintree Front",Upload_Indiv[[Excl Score]:[Excl Score]],0),"")</f>
        <v>0</v>
      </c>
      <c r="Y29" s="152" t="str">
        <f>IFERROR(AVERAGEIFS(Upload_Indiv[Score8],Upload_Indiv[[Player]:[Player]],$A29,Upload_Indiv[[Side]:[Side]],"Raintree Front",Upload_Indiv[[Excl Score]:[Excl Score]],0),"")</f>
        <v/>
      </c>
      <c r="Z29" s="152" t="str">
        <f t="shared" si="7"/>
        <v/>
      </c>
      <c r="AA29" s="149">
        <f>IFERROR(COUNTIFS(Upload_Indiv[[Player]:[Player]],$A29,Upload_Indiv[[Side]:[Side]],"Raintree Front",Upload_Indiv[[Excl Score]:[Excl Score]],0),"")</f>
        <v>0</v>
      </c>
      <c r="AB29" s="150" t="str">
        <f>IFERROR(AVERAGEIFS(Upload_Indiv[Score9],Upload_Indiv[[Player]:[Player]],$A29,Upload_Indiv[[Side]:[Side]],"Raintree Front",Upload_Indiv[[Excl Score]:[Excl Score]],0),"")</f>
        <v/>
      </c>
      <c r="AC29" s="150" t="str">
        <f t="shared" si="8"/>
        <v/>
      </c>
      <c r="AD29" s="165">
        <f t="shared" si="9"/>
        <v>0</v>
      </c>
      <c r="AE29" s="165">
        <f t="shared" si="10"/>
        <v>0</v>
      </c>
      <c r="AF29" s="165">
        <f t="shared" si="10"/>
        <v>0</v>
      </c>
      <c r="AG29" s="149">
        <f>IFERROR(COUNTIFS(Upload_Indiv[[Player]:[Player]],$A29,Upload_Indiv[[Side]:[Side]],"Raintree Back",Upload_Indiv[[Excl Score]:[Excl Score]],0),"")</f>
        <v>0</v>
      </c>
      <c r="AH29" s="150" t="str">
        <f>IFERROR(AVERAGEIFS(Upload_Indiv[Score1],Upload_Indiv[[Player]:[Player]],$A29,Upload_Indiv[[Side]:[Side]],"Raintree Back",Upload_Indiv[[Excl Score]:[Excl Score]],0),"")</f>
        <v/>
      </c>
      <c r="AI29" s="150" t="str">
        <f t="shared" si="11"/>
        <v/>
      </c>
      <c r="AJ29" s="151">
        <f>IFERROR(COUNTIFS(Upload_Indiv[[Player]:[Player]],$A29,Upload_Indiv[[Side]:[Side]],"Raintree Back",Upload_Indiv[[Excl Score]:[Excl Score]],0),"")</f>
        <v>0</v>
      </c>
      <c r="AK29" s="152" t="str">
        <f>IFERROR(AVERAGEIFS(Upload_Indiv[Score2],Upload_Indiv[[Player]:[Player]],$A29,Upload_Indiv[[Side]:[Side]],"Raintree Back",Upload_Indiv[[Excl Score]:[Excl Score]],0),"")</f>
        <v/>
      </c>
      <c r="AL29" s="152" t="str">
        <f t="shared" si="12"/>
        <v/>
      </c>
      <c r="AM29" s="149">
        <f>IFERROR(COUNTIFS(Upload_Indiv[[Player]:[Player]],$A29,Upload_Indiv[[Side]:[Side]],"Raintree Back",Upload_Indiv[[Excl Score]:[Excl Score]],0),"")</f>
        <v>0</v>
      </c>
      <c r="AN29" s="150" t="str">
        <f>IFERROR(AVERAGEIFS(Upload_Indiv[Score3],Upload_Indiv[[Player]:[Player]],$A29,Upload_Indiv[[Side]:[Side]],"Raintree Back",Upload_Indiv[[Excl Score]:[Excl Score]],0),"")</f>
        <v/>
      </c>
      <c r="AO29" s="150" t="str">
        <f t="shared" si="13"/>
        <v/>
      </c>
      <c r="AP29" s="151">
        <f>IFERROR(COUNTIFS(Upload_Indiv[[Player]:[Player]],$A29,Upload_Indiv[[Side]:[Side]],"Raintree Back",Upload_Indiv[[Excl Score]:[Excl Score]],0),"")</f>
        <v>0</v>
      </c>
      <c r="AQ29" s="152" t="str">
        <f>IFERROR(AVERAGEIFS(Upload_Indiv[Score4],Upload_Indiv[[Player]:[Player]],$A29,Upload_Indiv[[Side]:[Side]],"Raintree Back",Upload_Indiv[[Excl Score]:[Excl Score]],0),"")</f>
        <v/>
      </c>
      <c r="AR29" s="152" t="str">
        <f t="shared" si="14"/>
        <v/>
      </c>
      <c r="AS29" s="149">
        <f>IFERROR(COUNTIFS(Upload_Indiv[[Player]:[Player]],$A29,Upload_Indiv[[Side]:[Side]],"Raintree Back",Upload_Indiv[[Excl Score]:[Excl Score]],0),"")</f>
        <v>0</v>
      </c>
      <c r="AT29" s="150" t="str">
        <f>IFERROR(AVERAGEIFS(Upload_Indiv[Score5],Upload_Indiv[[Player]:[Player]],$A29,Upload_Indiv[[Side]:[Side]],"Raintree Back",Upload_Indiv[[Excl Score]:[Excl Score]],0),"")</f>
        <v/>
      </c>
      <c r="AU29" s="150" t="str">
        <f t="shared" si="15"/>
        <v/>
      </c>
      <c r="AV29" s="151">
        <f>IFERROR(COUNTIFS(Upload_Indiv[[Player]:[Player]],$A29,Upload_Indiv[[Side]:[Side]],"Raintree Back",Upload_Indiv[[Excl Score]:[Excl Score]],0),"")</f>
        <v>0</v>
      </c>
      <c r="AW29" s="152" t="str">
        <f>IFERROR(AVERAGEIFS(Upload_Indiv[Score6],Upload_Indiv[[Player]:[Player]],$A29,Upload_Indiv[[Side]:[Side]],"Raintree Back",Upload_Indiv[[Excl Score]:[Excl Score]],0),"")</f>
        <v/>
      </c>
      <c r="AX29" s="152" t="str">
        <f t="shared" si="16"/>
        <v/>
      </c>
      <c r="AY29" s="149">
        <f>IFERROR(COUNTIFS(Upload_Indiv[[Player]:[Player]],$A29,Upload_Indiv[[Side]:[Side]],"Raintree Back",Upload_Indiv[[Excl Score]:[Excl Score]],0),"")</f>
        <v>0</v>
      </c>
      <c r="AZ29" s="150" t="str">
        <f>IFERROR(AVERAGEIFS(Upload_Indiv[Score7],Upload_Indiv[[Player]:[Player]],$A29,Upload_Indiv[[Side]:[Side]],"Raintree Back",Upload_Indiv[[Excl Score]:[Excl Score]],0),"")</f>
        <v/>
      </c>
      <c r="BA29" s="150" t="str">
        <f t="shared" si="17"/>
        <v/>
      </c>
      <c r="BB29" s="151">
        <f>IFERROR(COUNTIFS(Upload_Indiv[[Player]:[Player]],$A29,Upload_Indiv[[Side]:[Side]],"Raintree Back",Upload_Indiv[[Excl Score]:[Excl Score]],0),"")</f>
        <v>0</v>
      </c>
      <c r="BC29" s="152" t="str">
        <f>IFERROR(AVERAGEIFS(Upload_Indiv[Score8],Upload_Indiv[[Player]:[Player]],$A29,Upload_Indiv[[Side]:[Side]],"Raintree Back",Upload_Indiv[[Excl Score]:[Excl Score]],0),"")</f>
        <v/>
      </c>
      <c r="BD29" s="152" t="str">
        <f t="shared" si="18"/>
        <v/>
      </c>
      <c r="BE29" s="149">
        <f>IFERROR(COUNTIFS(Upload_Indiv[[Player]:[Player]],$A29,Upload_Indiv[[Side]:[Side]],"Raintree Back",Upload_Indiv[[Excl Score]:[Excl Score]],0),"")</f>
        <v>0</v>
      </c>
      <c r="BF29" s="150" t="str">
        <f>IFERROR(AVERAGEIFS(Upload_Indiv[Score9],Upload_Indiv[[Player]:[Player]],$A29,Upload_Indiv[[Side]:[Side]],"Raintree Back",Upload_Indiv[[Excl Score]:[Excl Score]],0),"")</f>
        <v/>
      </c>
      <c r="BG29" s="150" t="str">
        <f t="shared" si="19"/>
        <v/>
      </c>
      <c r="BH29" s="165">
        <f t="shared" si="20"/>
        <v>0</v>
      </c>
      <c r="BI29" s="165">
        <f t="shared" si="21"/>
        <v>0</v>
      </c>
      <c r="BJ29" s="165">
        <f t="shared" si="21"/>
        <v>0</v>
      </c>
    </row>
    <row r="30" spans="1:62" ht="15" customHeight="1" x14ac:dyDescent="0.25">
      <c r="A30" s="4" t="s">
        <v>425</v>
      </c>
      <c r="B30" s="170">
        <f>IFERROR(AVERAGEIFS(Upload_Indiv[Hdcp],Upload_Indiv[[Player]:[Player]],$A30,Upload_Indiv[[Excl Score]:[Excl Score]],0),"")</f>
        <v>15.74</v>
      </c>
      <c r="C30" s="149">
        <f>IFERROR(COUNTIFS(Upload_Indiv[[Player]:[Player]],$A30,Upload_Indiv[[Side]:[Side]],"Raintree Front",Upload_Indiv[[Excl Score]:[Excl Score]],0),"")</f>
        <v>4</v>
      </c>
      <c r="D30" s="150">
        <f>IFERROR(AVERAGEIFS(Upload_Indiv[Score1],Upload_Indiv[[Player]:[Player]],$A30,Upload_Indiv[[Side]:[Side]],"Raintree Front",Upload_Indiv[[Excl Score]:[Excl Score]],0),"")</f>
        <v>7.5</v>
      </c>
      <c r="E30" s="150">
        <f t="shared" si="0"/>
        <v>1.5</v>
      </c>
      <c r="F30" s="151">
        <f>IFERROR(COUNTIFS(Upload_Indiv[[Player]:[Player]],$A30,Upload_Indiv[[Side]:[Side]],"Raintree Front",Upload_Indiv[[Excl Score]:[Excl Score]],0),"")</f>
        <v>4</v>
      </c>
      <c r="G30" s="152">
        <f>IFERROR(AVERAGEIFS(Upload_Indiv[Score2],Upload_Indiv[[Player]:[Player]],$A30,Upload_Indiv[[Side]:[Side]],"Raintree Front",Upload_Indiv[[Excl Score]:[Excl Score]],0),"")</f>
        <v>6.5</v>
      </c>
      <c r="H30" s="152">
        <f t="shared" si="1"/>
        <v>-0.5</v>
      </c>
      <c r="I30" s="149">
        <f>IFERROR(COUNTIFS(Upload_Indiv[[Player]:[Player]],$A30,Upload_Indiv[[Side]:[Side]],"Raintree Front",Upload_Indiv[[Excl Score]:[Excl Score]],0),"")</f>
        <v>4</v>
      </c>
      <c r="J30" s="150">
        <f>IFERROR(AVERAGEIFS(Upload_Indiv[Score3],Upload_Indiv[[Player]:[Player]],$A30,Upload_Indiv[[Side]:[Side]],"Raintree Front",Upload_Indiv[[Excl Score]:[Excl Score]],0),"")</f>
        <v>7</v>
      </c>
      <c r="K30" s="150">
        <f t="shared" si="2"/>
        <v>1</v>
      </c>
      <c r="L30" s="151">
        <f>IFERROR(COUNTIFS(Upload_Indiv[[Player]:[Player]],$A30,Upload_Indiv[[Side]:[Side]],"Raintree Front",Upload_Indiv[[Excl Score]:[Excl Score]],0),"")</f>
        <v>4</v>
      </c>
      <c r="M30" s="152">
        <f>IFERROR(AVERAGEIFS(Upload_Indiv[Score4],Upload_Indiv[[Player]:[Player]],$A30,Upload_Indiv[[Side]:[Side]],"Raintree Front",Upload_Indiv[[Excl Score]:[Excl Score]],0),"")</f>
        <v>4.25</v>
      </c>
      <c r="N30" s="152">
        <f t="shared" si="3"/>
        <v>0.25</v>
      </c>
      <c r="O30" s="149">
        <f>IFERROR(COUNTIFS(Upload_Indiv[[Player]:[Player]],$A30,Upload_Indiv[[Side]:[Side]],"Raintree Front",Upload_Indiv[[Excl Score]:[Excl Score]],0),"")</f>
        <v>4</v>
      </c>
      <c r="P30" s="150">
        <f>IFERROR(AVERAGEIFS(Upload_Indiv[Score5],Upload_Indiv[[Player]:[Player]],$A30,Upload_Indiv[[Side]:[Side]],"Raintree Front",Upload_Indiv[[Excl Score]:[Excl Score]],0),"")</f>
        <v>6.5</v>
      </c>
      <c r="Q30" s="150">
        <f t="shared" si="4"/>
        <v>1.5</v>
      </c>
      <c r="R30" s="151">
        <f>IFERROR(COUNTIFS(Upload_Indiv[[Player]:[Player]],$A30,Upload_Indiv[[Side]:[Side]],"Raintree Front",Upload_Indiv[[Excl Score]:[Excl Score]],0),"")</f>
        <v>4</v>
      </c>
      <c r="S30" s="152">
        <f>IFERROR(AVERAGEIFS(Upload_Indiv[Score6],Upload_Indiv[[Player]:[Player]],$A30,Upload_Indiv[[Side]:[Side]],"Raintree Front",Upload_Indiv[[Excl Score]:[Excl Score]],0),"")</f>
        <v>5.75</v>
      </c>
      <c r="T30" s="152">
        <f t="shared" si="5"/>
        <v>-0.25</v>
      </c>
      <c r="U30" s="149">
        <f>IFERROR(COUNTIFS(Upload_Indiv[[Player]:[Player]],$A30,Upload_Indiv[[Side]:[Side]],"Raintree Front",Upload_Indiv[[Excl Score]:[Excl Score]],0),"")</f>
        <v>4</v>
      </c>
      <c r="V30" s="150">
        <f>IFERROR(AVERAGEIFS(Upload_Indiv[Score7],Upload_Indiv[[Player]:[Player]],$A30,Upload_Indiv[[Side]:[Side]],"Raintree Front",Upload_Indiv[[Excl Score]:[Excl Score]],0),"")</f>
        <v>8.25</v>
      </c>
      <c r="W30" s="150">
        <f t="shared" si="6"/>
        <v>1.25</v>
      </c>
      <c r="X30" s="151">
        <f>IFERROR(COUNTIFS(Upload_Indiv[[Player]:[Player]],$A30,Upload_Indiv[[Side]:[Side]],"Raintree Front",Upload_Indiv[[Excl Score]:[Excl Score]],0),"")</f>
        <v>4</v>
      </c>
      <c r="Y30" s="152">
        <f>IFERROR(AVERAGEIFS(Upload_Indiv[Score8],Upload_Indiv[[Player]:[Player]],$A30,Upload_Indiv[[Side]:[Side]],"Raintree Front",Upload_Indiv[[Excl Score]:[Excl Score]],0),"")</f>
        <v>4.75</v>
      </c>
      <c r="Z30" s="152">
        <f t="shared" si="7"/>
        <v>-0.25</v>
      </c>
      <c r="AA30" s="149">
        <f>IFERROR(COUNTIFS(Upload_Indiv[[Player]:[Player]],$A30,Upload_Indiv[[Side]:[Side]],"Raintree Front",Upload_Indiv[[Excl Score]:[Excl Score]],0),"")</f>
        <v>4</v>
      </c>
      <c r="AB30" s="150">
        <f>IFERROR(AVERAGEIFS(Upload_Indiv[Score9],Upload_Indiv[[Player]:[Player]],$A30,Upload_Indiv[[Side]:[Side]],"Raintree Front",Upload_Indiv[[Excl Score]:[Excl Score]],0),"")</f>
        <v>7.25</v>
      </c>
      <c r="AC30" s="150">
        <f t="shared" si="8"/>
        <v>1.25</v>
      </c>
      <c r="AD30" s="165">
        <f t="shared" si="9"/>
        <v>4</v>
      </c>
      <c r="AE30" s="165">
        <f t="shared" si="10"/>
        <v>57.75</v>
      </c>
      <c r="AF30" s="165">
        <f t="shared" si="10"/>
        <v>5.75</v>
      </c>
      <c r="AG30" s="149">
        <f>IFERROR(COUNTIFS(Upload_Indiv[[Player]:[Player]],$A30,Upload_Indiv[[Side]:[Side]],"Raintree Back",Upload_Indiv[[Excl Score]:[Excl Score]],0),"")</f>
        <v>4</v>
      </c>
      <c r="AH30" s="150">
        <f>IFERROR(AVERAGEIFS(Upload_Indiv[Score1],Upload_Indiv[[Player]:[Player]],$A30,Upload_Indiv[[Side]:[Side]],"Raintree Back",Upload_Indiv[[Excl Score]:[Excl Score]],0),"")</f>
        <v>5.75</v>
      </c>
      <c r="AI30" s="150">
        <f t="shared" si="11"/>
        <v>-0.25</v>
      </c>
      <c r="AJ30" s="151">
        <f>IFERROR(COUNTIFS(Upload_Indiv[[Player]:[Player]],$A30,Upload_Indiv[[Side]:[Side]],"Raintree Back",Upload_Indiv[[Excl Score]:[Excl Score]],0),"")</f>
        <v>4</v>
      </c>
      <c r="AK30" s="152">
        <f>IFERROR(AVERAGEIFS(Upload_Indiv[Score2],Upload_Indiv[[Player]:[Player]],$A30,Upload_Indiv[[Side]:[Side]],"Raintree Back",Upload_Indiv[[Excl Score]:[Excl Score]],0),"")</f>
        <v>5.75</v>
      </c>
      <c r="AL30" s="152">
        <f t="shared" si="12"/>
        <v>0.75</v>
      </c>
      <c r="AM30" s="149">
        <f>IFERROR(COUNTIFS(Upload_Indiv[[Player]:[Player]],$A30,Upload_Indiv[[Side]:[Side]],"Raintree Back",Upload_Indiv[[Excl Score]:[Excl Score]],0),"")</f>
        <v>4</v>
      </c>
      <c r="AN30" s="150">
        <f>IFERROR(AVERAGEIFS(Upload_Indiv[Score3],Upload_Indiv[[Player]:[Player]],$A30,Upload_Indiv[[Side]:[Side]],"Raintree Back",Upload_Indiv[[Excl Score]:[Excl Score]],0),"")</f>
        <v>7.25</v>
      </c>
      <c r="AO30" s="150">
        <f t="shared" si="13"/>
        <v>2.25</v>
      </c>
      <c r="AP30" s="151">
        <f>IFERROR(COUNTIFS(Upload_Indiv[[Player]:[Player]],$A30,Upload_Indiv[[Side]:[Side]],"Raintree Back",Upload_Indiv[[Excl Score]:[Excl Score]],0),"")</f>
        <v>4</v>
      </c>
      <c r="AQ30" s="152">
        <f>IFERROR(AVERAGEIFS(Upload_Indiv[Score4],Upload_Indiv[[Player]:[Player]],$A30,Upload_Indiv[[Side]:[Side]],"Raintree Back",Upload_Indiv[[Excl Score]:[Excl Score]],0),"")</f>
        <v>6</v>
      </c>
      <c r="AR30" s="152">
        <f t="shared" si="14"/>
        <v>0</v>
      </c>
      <c r="AS30" s="149">
        <f>IFERROR(COUNTIFS(Upload_Indiv[[Player]:[Player]],$A30,Upload_Indiv[[Side]:[Side]],"Raintree Back",Upload_Indiv[[Excl Score]:[Excl Score]],0),"")</f>
        <v>4</v>
      </c>
      <c r="AT30" s="150">
        <f>IFERROR(AVERAGEIFS(Upload_Indiv[Score5],Upload_Indiv[[Player]:[Player]],$A30,Upload_Indiv[[Side]:[Side]],"Raintree Back",Upload_Indiv[[Excl Score]:[Excl Score]],0),"")</f>
        <v>6.25</v>
      </c>
      <c r="AU30" s="150">
        <f t="shared" si="15"/>
        <v>0.25</v>
      </c>
      <c r="AV30" s="151">
        <f>IFERROR(COUNTIFS(Upload_Indiv[[Player]:[Player]],$A30,Upload_Indiv[[Side]:[Side]],"Raintree Back",Upload_Indiv[[Excl Score]:[Excl Score]],0),"")</f>
        <v>4</v>
      </c>
      <c r="AW30" s="152">
        <f>IFERROR(AVERAGEIFS(Upload_Indiv[Score6],Upload_Indiv[[Player]:[Player]],$A30,Upload_Indiv[[Side]:[Side]],"Raintree Back",Upload_Indiv[[Excl Score]:[Excl Score]],0),"")</f>
        <v>8.25</v>
      </c>
      <c r="AX30" s="152">
        <f t="shared" si="16"/>
        <v>1.25</v>
      </c>
      <c r="AY30" s="149">
        <f>IFERROR(COUNTIFS(Upload_Indiv[[Player]:[Player]],$A30,Upload_Indiv[[Side]:[Side]],"Raintree Back",Upload_Indiv[[Excl Score]:[Excl Score]],0),"")</f>
        <v>4</v>
      </c>
      <c r="AZ30" s="150">
        <f>IFERROR(AVERAGEIFS(Upload_Indiv[Score7],Upload_Indiv[[Player]:[Player]],$A30,Upload_Indiv[[Side]:[Side]],"Raintree Back",Upload_Indiv[[Excl Score]:[Excl Score]],0),"")</f>
        <v>4.75</v>
      </c>
      <c r="BA30" s="150">
        <f t="shared" si="17"/>
        <v>0.75</v>
      </c>
      <c r="BB30" s="151">
        <f>IFERROR(COUNTIFS(Upload_Indiv[[Player]:[Player]],$A30,Upload_Indiv[[Side]:[Side]],"Raintree Back",Upload_Indiv[[Excl Score]:[Excl Score]],0),"")</f>
        <v>4</v>
      </c>
      <c r="BC30" s="152">
        <f>IFERROR(AVERAGEIFS(Upload_Indiv[Score8],Upload_Indiv[[Player]:[Player]],$A30,Upload_Indiv[[Side]:[Side]],"Raintree Back",Upload_Indiv[[Excl Score]:[Excl Score]],0),"")</f>
        <v>5.25</v>
      </c>
      <c r="BD30" s="152">
        <f t="shared" si="18"/>
        <v>-0.75</v>
      </c>
      <c r="BE30" s="149">
        <f>IFERROR(COUNTIFS(Upload_Indiv[[Player]:[Player]],$A30,Upload_Indiv[[Side]:[Side]],"Raintree Back",Upload_Indiv[[Excl Score]:[Excl Score]],0),"")</f>
        <v>4</v>
      </c>
      <c r="BF30" s="150">
        <f>IFERROR(AVERAGEIFS(Upload_Indiv[Score9],Upload_Indiv[[Player]:[Player]],$A30,Upload_Indiv[[Side]:[Side]],"Raintree Back",Upload_Indiv[[Excl Score]:[Excl Score]],0),"")</f>
        <v>7.75</v>
      </c>
      <c r="BG30" s="150">
        <f t="shared" si="19"/>
        <v>0.75</v>
      </c>
      <c r="BH30" s="165">
        <f t="shared" si="20"/>
        <v>4</v>
      </c>
      <c r="BI30" s="165">
        <f t="shared" si="21"/>
        <v>57</v>
      </c>
      <c r="BJ30" s="165">
        <f t="shared" si="21"/>
        <v>5</v>
      </c>
    </row>
    <row r="31" spans="1:62" ht="15" customHeight="1" x14ac:dyDescent="0.25">
      <c r="A31" s="4" t="s">
        <v>274</v>
      </c>
      <c r="B31" s="170">
        <f>IFERROR(AVERAGEIFS(Upload_Indiv[Hdcp],Upload_Indiv[[Player]:[Player]],$A31,Upload_Indiv[[Excl Score]:[Excl Score]],0),"")</f>
        <v>8.6830769230769214</v>
      </c>
      <c r="C31" s="149">
        <f>IFERROR(COUNTIFS(Upload_Indiv[[Player]:[Player]],$A31,Upload_Indiv[[Side]:[Side]],"Raintree Front",Upload_Indiv[[Excl Score]:[Excl Score]],0),"")</f>
        <v>6</v>
      </c>
      <c r="D31" s="150">
        <f>IFERROR(AVERAGEIFS(Upload_Indiv[Score1],Upload_Indiv[[Player]:[Player]],$A31,Upload_Indiv[[Side]:[Side]],"Raintree Front",Upload_Indiv[[Excl Score]:[Excl Score]],0),"")</f>
        <v>6.333333333333333</v>
      </c>
      <c r="E31" s="150">
        <f t="shared" si="0"/>
        <v>1.333333333333333</v>
      </c>
      <c r="F31" s="151">
        <f>IFERROR(COUNTIFS(Upload_Indiv[[Player]:[Player]],$A31,Upload_Indiv[[Side]:[Side]],"Raintree Front",Upload_Indiv[[Excl Score]:[Excl Score]],0),"")</f>
        <v>6</v>
      </c>
      <c r="G31" s="152">
        <f>IFERROR(AVERAGEIFS(Upload_Indiv[Score2],Upload_Indiv[[Player]:[Player]],$A31,Upload_Indiv[[Side]:[Side]],"Raintree Front",Upload_Indiv[[Excl Score]:[Excl Score]],0),"")</f>
        <v>5.666666666666667</v>
      </c>
      <c r="H31" s="152">
        <f t="shared" si="1"/>
        <v>-0.33333333333333304</v>
      </c>
      <c r="I31" s="149">
        <f>IFERROR(COUNTIFS(Upload_Indiv[[Player]:[Player]],$A31,Upload_Indiv[[Side]:[Side]],"Raintree Front",Upload_Indiv[[Excl Score]:[Excl Score]],0),"")</f>
        <v>6</v>
      </c>
      <c r="J31" s="150">
        <f>IFERROR(AVERAGEIFS(Upload_Indiv[Score3],Upload_Indiv[[Player]:[Player]],$A31,Upload_Indiv[[Side]:[Side]],"Raintree Front",Upload_Indiv[[Excl Score]:[Excl Score]],0),"")</f>
        <v>5.666666666666667</v>
      </c>
      <c r="K31" s="150">
        <f t="shared" si="2"/>
        <v>0.66666666666666696</v>
      </c>
      <c r="L31" s="151">
        <f>IFERROR(COUNTIFS(Upload_Indiv[[Player]:[Player]],$A31,Upload_Indiv[[Side]:[Side]],"Raintree Front",Upload_Indiv[[Excl Score]:[Excl Score]],0),"")</f>
        <v>6</v>
      </c>
      <c r="M31" s="152">
        <f>IFERROR(AVERAGEIFS(Upload_Indiv[Score4],Upload_Indiv[[Player]:[Player]],$A31,Upload_Indiv[[Side]:[Side]],"Raintree Front",Upload_Indiv[[Excl Score]:[Excl Score]],0),"")</f>
        <v>3.5</v>
      </c>
      <c r="N31" s="152">
        <f t="shared" si="3"/>
        <v>-0.5</v>
      </c>
      <c r="O31" s="149">
        <f>IFERROR(COUNTIFS(Upload_Indiv[[Player]:[Player]],$A31,Upload_Indiv[[Side]:[Side]],"Raintree Front",Upload_Indiv[[Excl Score]:[Excl Score]],0),"")</f>
        <v>6</v>
      </c>
      <c r="P31" s="150">
        <f>IFERROR(AVERAGEIFS(Upload_Indiv[Score5],Upload_Indiv[[Player]:[Player]],$A31,Upload_Indiv[[Side]:[Side]],"Raintree Front",Upload_Indiv[[Excl Score]:[Excl Score]],0),"")</f>
        <v>5.833333333333333</v>
      </c>
      <c r="Q31" s="150">
        <f t="shared" si="4"/>
        <v>0.83333333333333304</v>
      </c>
      <c r="R31" s="151">
        <f>IFERROR(COUNTIFS(Upload_Indiv[[Player]:[Player]],$A31,Upload_Indiv[[Side]:[Side]],"Raintree Front",Upload_Indiv[[Excl Score]:[Excl Score]],0),"")</f>
        <v>6</v>
      </c>
      <c r="S31" s="152">
        <f>IFERROR(AVERAGEIFS(Upload_Indiv[Score6],Upload_Indiv[[Player]:[Player]],$A31,Upload_Indiv[[Side]:[Side]],"Raintree Front",Upload_Indiv[[Excl Score]:[Excl Score]],0),"")</f>
        <v>5.166666666666667</v>
      </c>
      <c r="T31" s="152">
        <f t="shared" si="5"/>
        <v>0.16666666666666696</v>
      </c>
      <c r="U31" s="149">
        <f>IFERROR(COUNTIFS(Upload_Indiv[[Player]:[Player]],$A31,Upload_Indiv[[Side]:[Side]],"Raintree Front",Upload_Indiv[[Excl Score]:[Excl Score]],0),"")</f>
        <v>6</v>
      </c>
      <c r="V31" s="150">
        <f>IFERROR(AVERAGEIFS(Upload_Indiv[Score7],Upload_Indiv[[Player]:[Player]],$A31,Upload_Indiv[[Side]:[Side]],"Raintree Front",Upload_Indiv[[Excl Score]:[Excl Score]],0),"")</f>
        <v>5.833333333333333</v>
      </c>
      <c r="W31" s="150">
        <f t="shared" si="6"/>
        <v>-0.16666666666666696</v>
      </c>
      <c r="X31" s="151">
        <f>IFERROR(COUNTIFS(Upload_Indiv[[Player]:[Player]],$A31,Upload_Indiv[[Side]:[Side]],"Raintree Front",Upload_Indiv[[Excl Score]:[Excl Score]],0),"")</f>
        <v>6</v>
      </c>
      <c r="Y31" s="152">
        <f>IFERROR(AVERAGEIFS(Upload_Indiv[Score8],Upload_Indiv[[Player]:[Player]],$A31,Upload_Indiv[[Side]:[Side]],"Raintree Front",Upload_Indiv[[Excl Score]:[Excl Score]],0),"")</f>
        <v>4.5</v>
      </c>
      <c r="Z31" s="152">
        <f t="shared" si="7"/>
        <v>0.5</v>
      </c>
      <c r="AA31" s="149">
        <f>IFERROR(COUNTIFS(Upload_Indiv[[Player]:[Player]],$A31,Upload_Indiv[[Side]:[Side]],"Raintree Front",Upload_Indiv[[Excl Score]:[Excl Score]],0),"")</f>
        <v>6</v>
      </c>
      <c r="AB31" s="150">
        <f>IFERROR(AVERAGEIFS(Upload_Indiv[Score9],Upload_Indiv[[Player]:[Player]],$A31,Upload_Indiv[[Side]:[Side]],"Raintree Front",Upload_Indiv[[Excl Score]:[Excl Score]],0),"")</f>
        <v>4.666666666666667</v>
      </c>
      <c r="AC31" s="150">
        <f t="shared" si="8"/>
        <v>-0.33333333333333304</v>
      </c>
      <c r="AD31" s="165">
        <f t="shared" si="9"/>
        <v>6</v>
      </c>
      <c r="AE31" s="165">
        <f t="shared" si="10"/>
        <v>47.166666666666664</v>
      </c>
      <c r="AF31" s="165">
        <f t="shared" si="10"/>
        <v>2.166666666666667</v>
      </c>
      <c r="AG31" s="149">
        <f>IFERROR(COUNTIFS(Upload_Indiv[[Player]:[Player]],$A31,Upload_Indiv[[Side]:[Side]],"Raintree Back",Upload_Indiv[[Excl Score]:[Excl Score]],0),"")</f>
        <v>7</v>
      </c>
      <c r="AH31" s="150">
        <f>IFERROR(AVERAGEIFS(Upload_Indiv[Score1],Upload_Indiv[[Player]:[Player]],$A31,Upload_Indiv[[Side]:[Side]],"Raintree Back",Upload_Indiv[[Excl Score]:[Excl Score]],0),"")</f>
        <v>4.8571428571428568</v>
      </c>
      <c r="AI31" s="150">
        <f t="shared" si="11"/>
        <v>-0.14285714285714324</v>
      </c>
      <c r="AJ31" s="151">
        <f>IFERROR(COUNTIFS(Upload_Indiv[[Player]:[Player]],$A31,Upload_Indiv[[Side]:[Side]],"Raintree Back",Upload_Indiv[[Excl Score]:[Excl Score]],0),"")</f>
        <v>7</v>
      </c>
      <c r="AK31" s="152">
        <f>IFERROR(AVERAGEIFS(Upload_Indiv[Score2],Upload_Indiv[[Player]:[Player]],$A31,Upload_Indiv[[Side]:[Side]],"Raintree Back",Upload_Indiv[[Excl Score]:[Excl Score]],0),"")</f>
        <v>4</v>
      </c>
      <c r="AL31" s="152">
        <f t="shared" si="12"/>
        <v>0</v>
      </c>
      <c r="AM31" s="149">
        <f>IFERROR(COUNTIFS(Upload_Indiv[[Player]:[Player]],$A31,Upload_Indiv[[Side]:[Side]],"Raintree Back",Upload_Indiv[[Excl Score]:[Excl Score]],0),"")</f>
        <v>7</v>
      </c>
      <c r="AN31" s="150">
        <f>IFERROR(AVERAGEIFS(Upload_Indiv[Score3],Upload_Indiv[[Player]:[Player]],$A31,Upload_Indiv[[Side]:[Side]],"Raintree Back",Upload_Indiv[[Excl Score]:[Excl Score]],0),"")</f>
        <v>5.4285714285714288</v>
      </c>
      <c r="AO31" s="150">
        <f t="shared" si="13"/>
        <v>0.42857142857142883</v>
      </c>
      <c r="AP31" s="151">
        <f>IFERROR(COUNTIFS(Upload_Indiv[[Player]:[Player]],$A31,Upload_Indiv[[Side]:[Side]],"Raintree Back",Upload_Indiv[[Excl Score]:[Excl Score]],0),"")</f>
        <v>7</v>
      </c>
      <c r="AQ31" s="152">
        <f>IFERROR(AVERAGEIFS(Upload_Indiv[Score4],Upload_Indiv[[Player]:[Player]],$A31,Upload_Indiv[[Side]:[Side]],"Raintree Back",Upload_Indiv[[Excl Score]:[Excl Score]],0),"")</f>
        <v>5</v>
      </c>
      <c r="AR31" s="152">
        <f t="shared" si="14"/>
        <v>0</v>
      </c>
      <c r="AS31" s="149">
        <f>IFERROR(COUNTIFS(Upload_Indiv[[Player]:[Player]],$A31,Upload_Indiv[[Side]:[Side]],"Raintree Back",Upload_Indiv[[Excl Score]:[Excl Score]],0),"")</f>
        <v>7</v>
      </c>
      <c r="AT31" s="150">
        <f>IFERROR(AVERAGEIFS(Upload_Indiv[Score5],Upload_Indiv[[Player]:[Player]],$A31,Upload_Indiv[[Side]:[Side]],"Raintree Back",Upload_Indiv[[Excl Score]:[Excl Score]],0),"")</f>
        <v>5.2857142857142856</v>
      </c>
      <c r="AU31" s="150">
        <f t="shared" si="15"/>
        <v>0.28571428571428559</v>
      </c>
      <c r="AV31" s="151">
        <f>IFERROR(COUNTIFS(Upload_Indiv[[Player]:[Player]],$A31,Upload_Indiv[[Side]:[Side]],"Raintree Back",Upload_Indiv[[Excl Score]:[Excl Score]],0),"")</f>
        <v>7</v>
      </c>
      <c r="AW31" s="152">
        <f>IFERROR(AVERAGEIFS(Upload_Indiv[Score6],Upload_Indiv[[Player]:[Player]],$A31,Upload_Indiv[[Side]:[Side]],"Raintree Back",Upload_Indiv[[Excl Score]:[Excl Score]],0),"")</f>
        <v>6.2857142857142856</v>
      </c>
      <c r="AX31" s="152">
        <f t="shared" si="16"/>
        <v>0.28571428571428559</v>
      </c>
      <c r="AY31" s="149">
        <f>IFERROR(COUNTIFS(Upload_Indiv[[Player]:[Player]],$A31,Upload_Indiv[[Side]:[Side]],"Raintree Back",Upload_Indiv[[Excl Score]:[Excl Score]],0),"")</f>
        <v>7</v>
      </c>
      <c r="AZ31" s="150">
        <f>IFERROR(AVERAGEIFS(Upload_Indiv[Score7],Upload_Indiv[[Player]:[Player]],$A31,Upload_Indiv[[Side]:[Side]],"Raintree Back",Upload_Indiv[[Excl Score]:[Excl Score]],0),"")</f>
        <v>3.7142857142857144</v>
      </c>
      <c r="BA31" s="150">
        <f t="shared" si="17"/>
        <v>-0.28571428571428559</v>
      </c>
      <c r="BB31" s="151">
        <f>IFERROR(COUNTIFS(Upload_Indiv[[Player]:[Player]],$A31,Upload_Indiv[[Side]:[Side]],"Raintree Back",Upload_Indiv[[Excl Score]:[Excl Score]],0),"")</f>
        <v>7</v>
      </c>
      <c r="BC31" s="152">
        <f>IFERROR(AVERAGEIFS(Upload_Indiv[Score8],Upload_Indiv[[Player]:[Player]],$A31,Upload_Indiv[[Side]:[Side]],"Raintree Back",Upload_Indiv[[Excl Score]:[Excl Score]],0),"")</f>
        <v>5.2857142857142856</v>
      </c>
      <c r="BD31" s="152">
        <f t="shared" si="18"/>
        <v>0.28571428571428559</v>
      </c>
      <c r="BE31" s="149">
        <f>IFERROR(COUNTIFS(Upload_Indiv[[Player]:[Player]],$A31,Upload_Indiv[[Side]:[Side]],"Raintree Back",Upload_Indiv[[Excl Score]:[Excl Score]],0),"")</f>
        <v>7</v>
      </c>
      <c r="BF31" s="150">
        <f>IFERROR(AVERAGEIFS(Upload_Indiv[Score9],Upload_Indiv[[Player]:[Player]],$A31,Upload_Indiv[[Side]:[Side]],"Raintree Back",Upload_Indiv[[Excl Score]:[Excl Score]],0),"")</f>
        <v>7.2857142857142856</v>
      </c>
      <c r="BG31" s="150">
        <f t="shared" si="19"/>
        <v>1.2857142857142856</v>
      </c>
      <c r="BH31" s="165">
        <f t="shared" si="20"/>
        <v>7</v>
      </c>
      <c r="BI31" s="165">
        <f t="shared" si="21"/>
        <v>47.142857142857139</v>
      </c>
      <c r="BJ31" s="165">
        <f t="shared" si="21"/>
        <v>2.1428571428571423</v>
      </c>
    </row>
    <row r="32" spans="1:62" ht="15" customHeight="1" x14ac:dyDescent="0.25">
      <c r="A32" s="4" t="s">
        <v>165</v>
      </c>
      <c r="B32" s="170">
        <f>IFERROR(AVERAGEIFS(Upload_Indiv[Hdcp],Upload_Indiv[[Player]:[Player]],$A32,Upload_Indiv[[Excl Score]:[Excl Score]],0),"")</f>
        <v>17.456</v>
      </c>
      <c r="C32" s="149">
        <f>IFERROR(COUNTIFS(Upload_Indiv[[Player]:[Player]],$A32,Upload_Indiv[[Side]:[Side]],"Raintree Front",Upload_Indiv[[Excl Score]:[Excl Score]],0),"")</f>
        <v>4</v>
      </c>
      <c r="D32" s="150">
        <f>IFERROR(AVERAGEIFS(Upload_Indiv[Score1],Upload_Indiv[[Player]:[Player]],$A32,Upload_Indiv[[Side]:[Side]],"Raintree Front",Upload_Indiv[[Excl Score]:[Excl Score]],0),"")</f>
        <v>6.25</v>
      </c>
      <c r="E32" s="150">
        <f t="shared" si="0"/>
        <v>0.25</v>
      </c>
      <c r="F32" s="151">
        <f>IFERROR(COUNTIFS(Upload_Indiv[[Player]:[Player]],$A32,Upload_Indiv[[Side]:[Side]],"Raintree Front",Upload_Indiv[[Excl Score]:[Excl Score]],0),"")</f>
        <v>4</v>
      </c>
      <c r="G32" s="152">
        <f>IFERROR(AVERAGEIFS(Upload_Indiv[Score2],Upload_Indiv[[Player]:[Player]],$A32,Upload_Indiv[[Side]:[Side]],"Raintree Front",Upload_Indiv[[Excl Score]:[Excl Score]],0),"")</f>
        <v>8</v>
      </c>
      <c r="H32" s="152">
        <f t="shared" si="1"/>
        <v>1</v>
      </c>
      <c r="I32" s="149">
        <f>IFERROR(COUNTIFS(Upload_Indiv[[Player]:[Player]],$A32,Upload_Indiv[[Side]:[Side]],"Raintree Front",Upload_Indiv[[Excl Score]:[Excl Score]],0),"")</f>
        <v>4</v>
      </c>
      <c r="J32" s="150">
        <f>IFERROR(AVERAGEIFS(Upload_Indiv[Score3],Upload_Indiv[[Player]:[Player]],$A32,Upload_Indiv[[Side]:[Side]],"Raintree Front",Upload_Indiv[[Excl Score]:[Excl Score]],0),"")</f>
        <v>6.25</v>
      </c>
      <c r="K32" s="150">
        <f t="shared" si="2"/>
        <v>0.25</v>
      </c>
      <c r="L32" s="151">
        <f>IFERROR(COUNTIFS(Upload_Indiv[[Player]:[Player]],$A32,Upload_Indiv[[Side]:[Side]],"Raintree Front",Upload_Indiv[[Excl Score]:[Excl Score]],0),"")</f>
        <v>4</v>
      </c>
      <c r="M32" s="152">
        <f>IFERROR(AVERAGEIFS(Upload_Indiv[Score4],Upload_Indiv[[Player]:[Player]],$A32,Upload_Indiv[[Side]:[Side]],"Raintree Front",Upload_Indiv[[Excl Score]:[Excl Score]],0),"")</f>
        <v>4</v>
      </c>
      <c r="N32" s="152">
        <f t="shared" si="3"/>
        <v>-1</v>
      </c>
      <c r="O32" s="149">
        <f>IFERROR(COUNTIFS(Upload_Indiv[[Player]:[Player]],$A32,Upload_Indiv[[Side]:[Side]],"Raintree Front",Upload_Indiv[[Excl Score]:[Excl Score]],0),"")</f>
        <v>4</v>
      </c>
      <c r="P32" s="150">
        <f>IFERROR(AVERAGEIFS(Upload_Indiv[Score5],Upload_Indiv[[Player]:[Player]],$A32,Upload_Indiv[[Side]:[Side]],"Raintree Front",Upload_Indiv[[Excl Score]:[Excl Score]],0),"")</f>
        <v>7.25</v>
      </c>
      <c r="Q32" s="150">
        <f t="shared" si="4"/>
        <v>2.25</v>
      </c>
      <c r="R32" s="151">
        <f>IFERROR(COUNTIFS(Upload_Indiv[[Player]:[Player]],$A32,Upload_Indiv[[Side]:[Side]],"Raintree Front",Upload_Indiv[[Excl Score]:[Excl Score]],0),"")</f>
        <v>4</v>
      </c>
      <c r="S32" s="152">
        <f>IFERROR(AVERAGEIFS(Upload_Indiv[Score6],Upload_Indiv[[Player]:[Player]],$A32,Upload_Indiv[[Side]:[Side]],"Raintree Front",Upload_Indiv[[Excl Score]:[Excl Score]],0),"")</f>
        <v>6.5</v>
      </c>
      <c r="T32" s="152">
        <f t="shared" si="5"/>
        <v>0.5</v>
      </c>
      <c r="U32" s="149">
        <f>IFERROR(COUNTIFS(Upload_Indiv[[Player]:[Player]],$A32,Upload_Indiv[[Side]:[Side]],"Raintree Front",Upload_Indiv[[Excl Score]:[Excl Score]],0),"")</f>
        <v>4</v>
      </c>
      <c r="V32" s="150">
        <f>IFERROR(AVERAGEIFS(Upload_Indiv[Score7],Upload_Indiv[[Player]:[Player]],$A32,Upload_Indiv[[Side]:[Side]],"Raintree Front",Upload_Indiv[[Excl Score]:[Excl Score]],0),"")</f>
        <v>7.75</v>
      </c>
      <c r="W32" s="150">
        <f t="shared" si="6"/>
        <v>0.75</v>
      </c>
      <c r="X32" s="151">
        <f>IFERROR(COUNTIFS(Upload_Indiv[[Player]:[Player]],$A32,Upload_Indiv[[Side]:[Side]],"Raintree Front",Upload_Indiv[[Excl Score]:[Excl Score]],0),"")</f>
        <v>4</v>
      </c>
      <c r="Y32" s="152">
        <f>IFERROR(AVERAGEIFS(Upload_Indiv[Score8],Upload_Indiv[[Player]:[Player]],$A32,Upload_Indiv[[Side]:[Side]],"Raintree Front",Upload_Indiv[[Excl Score]:[Excl Score]],0),"")</f>
        <v>5.25</v>
      </c>
      <c r="Z32" s="152">
        <f t="shared" si="7"/>
        <v>0.25</v>
      </c>
      <c r="AA32" s="149">
        <f>IFERROR(COUNTIFS(Upload_Indiv[[Player]:[Player]],$A32,Upload_Indiv[[Side]:[Side]],"Raintree Front",Upload_Indiv[[Excl Score]:[Excl Score]],0),"")</f>
        <v>4</v>
      </c>
      <c r="AB32" s="150">
        <f>IFERROR(AVERAGEIFS(Upload_Indiv[Score9],Upload_Indiv[[Player]:[Player]],$A32,Upload_Indiv[[Side]:[Side]],"Raintree Front",Upload_Indiv[[Excl Score]:[Excl Score]],0),"")</f>
        <v>5.75</v>
      </c>
      <c r="AC32" s="150">
        <f t="shared" si="8"/>
        <v>-0.25</v>
      </c>
      <c r="AD32" s="165">
        <f t="shared" si="9"/>
        <v>4</v>
      </c>
      <c r="AE32" s="165">
        <f t="shared" si="10"/>
        <v>57</v>
      </c>
      <c r="AF32" s="165">
        <f t="shared" si="10"/>
        <v>4</v>
      </c>
      <c r="AG32" s="149">
        <f>IFERROR(COUNTIFS(Upload_Indiv[[Player]:[Player]],$A32,Upload_Indiv[[Side]:[Side]],"Raintree Back",Upload_Indiv[[Excl Score]:[Excl Score]],0),"")</f>
        <v>1</v>
      </c>
      <c r="AH32" s="150">
        <f>IFERROR(AVERAGEIFS(Upload_Indiv[Score1],Upload_Indiv[[Player]:[Player]],$A32,Upload_Indiv[[Side]:[Side]],"Raintree Back",Upload_Indiv[[Excl Score]:[Excl Score]],0),"")</f>
        <v>5</v>
      </c>
      <c r="AI32" s="150">
        <f t="shared" si="11"/>
        <v>-1</v>
      </c>
      <c r="AJ32" s="151">
        <f>IFERROR(COUNTIFS(Upload_Indiv[[Player]:[Player]],$A32,Upload_Indiv[[Side]:[Side]],"Raintree Back",Upload_Indiv[[Excl Score]:[Excl Score]],0),"")</f>
        <v>1</v>
      </c>
      <c r="AK32" s="152">
        <f>IFERROR(AVERAGEIFS(Upload_Indiv[Score2],Upload_Indiv[[Player]:[Player]],$A32,Upload_Indiv[[Side]:[Side]],"Raintree Back",Upload_Indiv[[Excl Score]:[Excl Score]],0),"")</f>
        <v>6</v>
      </c>
      <c r="AL32" s="152">
        <f t="shared" si="12"/>
        <v>1</v>
      </c>
      <c r="AM32" s="149">
        <f>IFERROR(COUNTIFS(Upload_Indiv[[Player]:[Player]],$A32,Upload_Indiv[[Side]:[Side]],"Raintree Back",Upload_Indiv[[Excl Score]:[Excl Score]],0),"")</f>
        <v>1</v>
      </c>
      <c r="AN32" s="150">
        <f>IFERROR(AVERAGEIFS(Upload_Indiv[Score3],Upload_Indiv[[Player]:[Player]],$A32,Upload_Indiv[[Side]:[Side]],"Raintree Back",Upload_Indiv[[Excl Score]:[Excl Score]],0),"")</f>
        <v>9</v>
      </c>
      <c r="AO32" s="150">
        <f t="shared" si="13"/>
        <v>3</v>
      </c>
      <c r="AP32" s="151">
        <f>IFERROR(COUNTIFS(Upload_Indiv[[Player]:[Player]],$A32,Upload_Indiv[[Side]:[Side]],"Raintree Back",Upload_Indiv[[Excl Score]:[Excl Score]],0),"")</f>
        <v>1</v>
      </c>
      <c r="AQ32" s="152">
        <f>IFERROR(AVERAGEIFS(Upload_Indiv[Score4],Upload_Indiv[[Player]:[Player]],$A32,Upload_Indiv[[Side]:[Side]],"Raintree Back",Upload_Indiv[[Excl Score]:[Excl Score]],0),"")</f>
        <v>7</v>
      </c>
      <c r="AR32" s="152">
        <f t="shared" si="14"/>
        <v>1</v>
      </c>
      <c r="AS32" s="149">
        <f>IFERROR(COUNTIFS(Upload_Indiv[[Player]:[Player]],$A32,Upload_Indiv[[Side]:[Side]],"Raintree Back",Upload_Indiv[[Excl Score]:[Excl Score]],0),"")</f>
        <v>1</v>
      </c>
      <c r="AT32" s="150">
        <f>IFERROR(AVERAGEIFS(Upload_Indiv[Score5],Upload_Indiv[[Player]:[Player]],$A32,Upload_Indiv[[Side]:[Side]],"Raintree Back",Upload_Indiv[[Excl Score]:[Excl Score]],0),"")</f>
        <v>7</v>
      </c>
      <c r="AU32" s="150">
        <f t="shared" si="15"/>
        <v>1</v>
      </c>
      <c r="AV32" s="151">
        <f>IFERROR(COUNTIFS(Upload_Indiv[[Player]:[Player]],$A32,Upload_Indiv[[Side]:[Side]],"Raintree Back",Upload_Indiv[[Excl Score]:[Excl Score]],0),"")</f>
        <v>1</v>
      </c>
      <c r="AW32" s="152">
        <f>IFERROR(AVERAGEIFS(Upload_Indiv[Score6],Upload_Indiv[[Player]:[Player]],$A32,Upload_Indiv[[Side]:[Side]],"Raintree Back",Upload_Indiv[[Excl Score]:[Excl Score]],0),"")</f>
        <v>6</v>
      </c>
      <c r="AX32" s="152">
        <f t="shared" si="16"/>
        <v>-1</v>
      </c>
      <c r="AY32" s="149">
        <f>IFERROR(COUNTIFS(Upload_Indiv[[Player]:[Player]],$A32,Upload_Indiv[[Side]:[Side]],"Raintree Back",Upload_Indiv[[Excl Score]:[Excl Score]],0),"")</f>
        <v>1</v>
      </c>
      <c r="AZ32" s="150">
        <f>IFERROR(AVERAGEIFS(Upload_Indiv[Score7],Upload_Indiv[[Player]:[Player]],$A32,Upload_Indiv[[Side]:[Side]],"Raintree Back",Upload_Indiv[[Excl Score]:[Excl Score]],0),"")</f>
        <v>3</v>
      </c>
      <c r="BA32" s="150">
        <f t="shared" si="17"/>
        <v>-1</v>
      </c>
      <c r="BB32" s="151">
        <f>IFERROR(COUNTIFS(Upload_Indiv[[Player]:[Player]],$A32,Upload_Indiv[[Side]:[Side]],"Raintree Back",Upload_Indiv[[Excl Score]:[Excl Score]],0),"")</f>
        <v>1</v>
      </c>
      <c r="BC32" s="152">
        <f>IFERROR(AVERAGEIFS(Upload_Indiv[Score8],Upload_Indiv[[Player]:[Player]],$A32,Upload_Indiv[[Side]:[Side]],"Raintree Back",Upload_Indiv[[Excl Score]:[Excl Score]],0),"")</f>
        <v>6</v>
      </c>
      <c r="BD32" s="152">
        <f t="shared" si="18"/>
        <v>0</v>
      </c>
      <c r="BE32" s="149">
        <f>IFERROR(COUNTIFS(Upload_Indiv[[Player]:[Player]],$A32,Upload_Indiv[[Side]:[Side]],"Raintree Back",Upload_Indiv[[Excl Score]:[Excl Score]],0),"")</f>
        <v>1</v>
      </c>
      <c r="BF32" s="150">
        <f>IFERROR(AVERAGEIFS(Upload_Indiv[Score9],Upload_Indiv[[Player]:[Player]],$A32,Upload_Indiv[[Side]:[Side]],"Raintree Back",Upload_Indiv[[Excl Score]:[Excl Score]],0),"")</f>
        <v>8</v>
      </c>
      <c r="BG32" s="150">
        <f t="shared" si="19"/>
        <v>1</v>
      </c>
      <c r="BH32" s="165">
        <f t="shared" si="20"/>
        <v>1</v>
      </c>
      <c r="BI32" s="165">
        <f t="shared" si="21"/>
        <v>57</v>
      </c>
      <c r="BJ32" s="165">
        <f t="shared" si="21"/>
        <v>4</v>
      </c>
    </row>
    <row r="33" spans="1:62" ht="15" customHeight="1" x14ac:dyDescent="0.25">
      <c r="A33" s="4" t="s">
        <v>102</v>
      </c>
      <c r="B33" s="170">
        <f>IFERROR(AVERAGEIFS(Upload_Indiv[Hdcp],Upload_Indiv[[Player]:[Player]],$A33,Upload_Indiv[[Excl Score]:[Excl Score]],0),"")</f>
        <v>12.056000000000001</v>
      </c>
      <c r="C33" s="149">
        <f>IFERROR(COUNTIFS(Upload_Indiv[[Player]:[Player]],$A33,Upload_Indiv[[Side]:[Side]],"Raintree Front",Upload_Indiv[[Excl Score]:[Excl Score]],0),"")</f>
        <v>3</v>
      </c>
      <c r="D33" s="150">
        <f>IFERROR(AVERAGEIFS(Upload_Indiv[Score1],Upload_Indiv[[Player]:[Player]],$A33,Upload_Indiv[[Side]:[Side]],"Raintree Front",Upload_Indiv[[Excl Score]:[Excl Score]],0),"")</f>
        <v>6.333333333333333</v>
      </c>
      <c r="E33" s="150">
        <f t="shared" si="0"/>
        <v>0.33333333333333304</v>
      </c>
      <c r="F33" s="151">
        <f>IFERROR(COUNTIFS(Upload_Indiv[[Player]:[Player]],$A33,Upload_Indiv[[Side]:[Side]],"Raintree Front",Upload_Indiv[[Excl Score]:[Excl Score]],0),"")</f>
        <v>3</v>
      </c>
      <c r="G33" s="152">
        <f>IFERROR(AVERAGEIFS(Upload_Indiv[Score2],Upload_Indiv[[Player]:[Player]],$A33,Upload_Indiv[[Side]:[Side]],"Raintree Front",Upload_Indiv[[Excl Score]:[Excl Score]],0),"")</f>
        <v>5.666666666666667</v>
      </c>
      <c r="H33" s="152">
        <f t="shared" si="1"/>
        <v>-0.33333333333333304</v>
      </c>
      <c r="I33" s="149">
        <f>IFERROR(COUNTIFS(Upload_Indiv[[Player]:[Player]],$A33,Upload_Indiv[[Side]:[Side]],"Raintree Front",Upload_Indiv[[Excl Score]:[Excl Score]],0),"")</f>
        <v>3</v>
      </c>
      <c r="J33" s="150">
        <f>IFERROR(AVERAGEIFS(Upload_Indiv[Score3],Upload_Indiv[[Player]:[Player]],$A33,Upload_Indiv[[Side]:[Side]],"Raintree Front",Upload_Indiv[[Excl Score]:[Excl Score]],0),"")</f>
        <v>4.666666666666667</v>
      </c>
      <c r="K33" s="150">
        <f t="shared" si="2"/>
        <v>-1.333333333333333</v>
      </c>
      <c r="L33" s="151">
        <f>IFERROR(COUNTIFS(Upload_Indiv[[Player]:[Player]],$A33,Upload_Indiv[[Side]:[Side]],"Raintree Front",Upload_Indiv[[Excl Score]:[Excl Score]],0),"")</f>
        <v>3</v>
      </c>
      <c r="M33" s="152">
        <f>IFERROR(AVERAGEIFS(Upload_Indiv[Score4],Upload_Indiv[[Player]:[Player]],$A33,Upload_Indiv[[Side]:[Side]],"Raintree Front",Upload_Indiv[[Excl Score]:[Excl Score]],0),"")</f>
        <v>4.666666666666667</v>
      </c>
      <c r="N33" s="152">
        <f t="shared" si="3"/>
        <v>0.66666666666666696</v>
      </c>
      <c r="O33" s="149">
        <f>IFERROR(COUNTIFS(Upload_Indiv[[Player]:[Player]],$A33,Upload_Indiv[[Side]:[Side]],"Raintree Front",Upload_Indiv[[Excl Score]:[Excl Score]],0),"")</f>
        <v>3</v>
      </c>
      <c r="P33" s="150">
        <f>IFERROR(AVERAGEIFS(Upload_Indiv[Score5],Upload_Indiv[[Player]:[Player]],$A33,Upload_Indiv[[Side]:[Side]],"Raintree Front",Upload_Indiv[[Excl Score]:[Excl Score]],0),"")</f>
        <v>6.333333333333333</v>
      </c>
      <c r="Q33" s="150">
        <f t="shared" si="4"/>
        <v>1.333333333333333</v>
      </c>
      <c r="R33" s="151">
        <f>IFERROR(COUNTIFS(Upload_Indiv[[Player]:[Player]],$A33,Upload_Indiv[[Side]:[Side]],"Raintree Front",Upload_Indiv[[Excl Score]:[Excl Score]],0),"")</f>
        <v>3</v>
      </c>
      <c r="S33" s="152">
        <f>IFERROR(AVERAGEIFS(Upload_Indiv[Score6],Upload_Indiv[[Player]:[Player]],$A33,Upload_Indiv[[Side]:[Side]],"Raintree Front",Upload_Indiv[[Excl Score]:[Excl Score]],0),"")</f>
        <v>6</v>
      </c>
      <c r="T33" s="152">
        <f t="shared" si="5"/>
        <v>0</v>
      </c>
      <c r="U33" s="149">
        <f>IFERROR(COUNTIFS(Upload_Indiv[[Player]:[Player]],$A33,Upload_Indiv[[Side]:[Side]],"Raintree Front",Upload_Indiv[[Excl Score]:[Excl Score]],0),"")</f>
        <v>3</v>
      </c>
      <c r="V33" s="150">
        <f>IFERROR(AVERAGEIFS(Upload_Indiv[Score7],Upload_Indiv[[Player]:[Player]],$A33,Upload_Indiv[[Side]:[Side]],"Raintree Front",Upload_Indiv[[Excl Score]:[Excl Score]],0),"")</f>
        <v>7</v>
      </c>
      <c r="W33" s="150">
        <f t="shared" si="6"/>
        <v>1</v>
      </c>
      <c r="X33" s="151">
        <f>IFERROR(COUNTIFS(Upload_Indiv[[Player]:[Player]],$A33,Upload_Indiv[[Side]:[Side]],"Raintree Front",Upload_Indiv[[Excl Score]:[Excl Score]],0),"")</f>
        <v>3</v>
      </c>
      <c r="Y33" s="152">
        <f>IFERROR(AVERAGEIFS(Upload_Indiv[Score8],Upload_Indiv[[Player]:[Player]],$A33,Upload_Indiv[[Side]:[Side]],"Raintree Front",Upload_Indiv[[Excl Score]:[Excl Score]],0),"")</f>
        <v>5.666666666666667</v>
      </c>
      <c r="Z33" s="152">
        <f t="shared" si="7"/>
        <v>1.666666666666667</v>
      </c>
      <c r="AA33" s="149">
        <f>IFERROR(COUNTIFS(Upload_Indiv[[Player]:[Player]],$A33,Upload_Indiv[[Side]:[Side]],"Raintree Front",Upload_Indiv[[Excl Score]:[Excl Score]],0),"")</f>
        <v>3</v>
      </c>
      <c r="AB33" s="150">
        <f>IFERROR(AVERAGEIFS(Upload_Indiv[Score9],Upload_Indiv[[Player]:[Player]],$A33,Upload_Indiv[[Side]:[Side]],"Raintree Front",Upload_Indiv[[Excl Score]:[Excl Score]],0),"")</f>
        <v>5.333333333333333</v>
      </c>
      <c r="AC33" s="150">
        <f t="shared" si="8"/>
        <v>0.33333333333333304</v>
      </c>
      <c r="AD33" s="165">
        <f t="shared" si="9"/>
        <v>3</v>
      </c>
      <c r="AE33" s="165">
        <f t="shared" si="10"/>
        <v>51.666666666666671</v>
      </c>
      <c r="AF33" s="165">
        <f t="shared" si="10"/>
        <v>3.666666666666667</v>
      </c>
      <c r="AG33" s="149">
        <f>IFERROR(COUNTIFS(Upload_Indiv[[Player]:[Player]],$A33,Upload_Indiv[[Side]:[Side]],"Raintree Back",Upload_Indiv[[Excl Score]:[Excl Score]],0),"")</f>
        <v>2</v>
      </c>
      <c r="AH33" s="150">
        <f>IFERROR(AVERAGEIFS(Upload_Indiv[Score1],Upload_Indiv[[Player]:[Player]],$A33,Upload_Indiv[[Side]:[Side]],"Raintree Back",Upload_Indiv[[Excl Score]:[Excl Score]],0),"")</f>
        <v>5</v>
      </c>
      <c r="AI33" s="150">
        <f t="shared" si="11"/>
        <v>0</v>
      </c>
      <c r="AJ33" s="151">
        <f>IFERROR(COUNTIFS(Upload_Indiv[[Player]:[Player]],$A33,Upload_Indiv[[Side]:[Side]],"Raintree Back",Upload_Indiv[[Excl Score]:[Excl Score]],0),"")</f>
        <v>2</v>
      </c>
      <c r="AK33" s="152">
        <f>IFERROR(AVERAGEIFS(Upload_Indiv[Score2],Upload_Indiv[[Player]:[Player]],$A33,Upload_Indiv[[Side]:[Side]],"Raintree Back",Upload_Indiv[[Excl Score]:[Excl Score]],0),"")</f>
        <v>4</v>
      </c>
      <c r="AL33" s="152">
        <f t="shared" si="12"/>
        <v>0</v>
      </c>
      <c r="AM33" s="149">
        <f>IFERROR(COUNTIFS(Upload_Indiv[[Player]:[Player]],$A33,Upload_Indiv[[Side]:[Side]],"Raintree Back",Upload_Indiv[[Excl Score]:[Excl Score]],0),"")</f>
        <v>2</v>
      </c>
      <c r="AN33" s="150">
        <f>IFERROR(AVERAGEIFS(Upload_Indiv[Score3],Upload_Indiv[[Player]:[Player]],$A33,Upload_Indiv[[Side]:[Side]],"Raintree Back",Upload_Indiv[[Excl Score]:[Excl Score]],0),"")</f>
        <v>5.5</v>
      </c>
      <c r="AO33" s="150">
        <f t="shared" si="13"/>
        <v>0.5</v>
      </c>
      <c r="AP33" s="151">
        <f>IFERROR(COUNTIFS(Upload_Indiv[[Player]:[Player]],$A33,Upload_Indiv[[Side]:[Side]],"Raintree Back",Upload_Indiv[[Excl Score]:[Excl Score]],0),"")</f>
        <v>2</v>
      </c>
      <c r="AQ33" s="152">
        <f>IFERROR(AVERAGEIFS(Upload_Indiv[Score4],Upload_Indiv[[Player]:[Player]],$A33,Upload_Indiv[[Side]:[Side]],"Raintree Back",Upload_Indiv[[Excl Score]:[Excl Score]],0),"")</f>
        <v>4</v>
      </c>
      <c r="AR33" s="152">
        <f t="shared" si="14"/>
        <v>-2</v>
      </c>
      <c r="AS33" s="149">
        <f>IFERROR(COUNTIFS(Upload_Indiv[[Player]:[Player]],$A33,Upload_Indiv[[Side]:[Side]],"Raintree Back",Upload_Indiv[[Excl Score]:[Excl Score]],0),"")</f>
        <v>2</v>
      </c>
      <c r="AT33" s="150">
        <f>IFERROR(AVERAGEIFS(Upload_Indiv[Score5],Upload_Indiv[[Player]:[Player]],$A33,Upload_Indiv[[Side]:[Side]],"Raintree Back",Upload_Indiv[[Excl Score]:[Excl Score]],0),"")</f>
        <v>5</v>
      </c>
      <c r="AU33" s="150">
        <f t="shared" si="15"/>
        <v>-1</v>
      </c>
      <c r="AV33" s="151">
        <f>IFERROR(COUNTIFS(Upload_Indiv[[Player]:[Player]],$A33,Upload_Indiv[[Side]:[Side]],"Raintree Back",Upload_Indiv[[Excl Score]:[Excl Score]],0),"")</f>
        <v>2</v>
      </c>
      <c r="AW33" s="152">
        <f>IFERROR(AVERAGEIFS(Upload_Indiv[Score6],Upload_Indiv[[Player]:[Player]],$A33,Upload_Indiv[[Side]:[Side]],"Raintree Back",Upload_Indiv[[Excl Score]:[Excl Score]],0),"")</f>
        <v>6.5</v>
      </c>
      <c r="AX33" s="152">
        <f t="shared" si="16"/>
        <v>0.5</v>
      </c>
      <c r="AY33" s="149">
        <f>IFERROR(COUNTIFS(Upload_Indiv[[Player]:[Player]],$A33,Upload_Indiv[[Side]:[Side]],"Raintree Back",Upload_Indiv[[Excl Score]:[Excl Score]],0),"")</f>
        <v>2</v>
      </c>
      <c r="AZ33" s="150">
        <f>IFERROR(AVERAGEIFS(Upload_Indiv[Score7],Upload_Indiv[[Player]:[Player]],$A33,Upload_Indiv[[Side]:[Side]],"Raintree Back",Upload_Indiv[[Excl Score]:[Excl Score]],0),"")</f>
        <v>4</v>
      </c>
      <c r="BA33" s="150">
        <f t="shared" si="17"/>
        <v>0</v>
      </c>
      <c r="BB33" s="151">
        <f>IFERROR(COUNTIFS(Upload_Indiv[[Player]:[Player]],$A33,Upload_Indiv[[Side]:[Side]],"Raintree Back",Upload_Indiv[[Excl Score]:[Excl Score]],0),"")</f>
        <v>2</v>
      </c>
      <c r="BC33" s="152">
        <f>IFERROR(AVERAGEIFS(Upload_Indiv[Score8],Upload_Indiv[[Player]:[Player]],$A33,Upload_Indiv[[Side]:[Side]],"Raintree Back",Upload_Indiv[[Excl Score]:[Excl Score]],0),"")</f>
        <v>6</v>
      </c>
      <c r="BD33" s="152">
        <f t="shared" si="18"/>
        <v>0</v>
      </c>
      <c r="BE33" s="149">
        <f>IFERROR(COUNTIFS(Upload_Indiv[[Player]:[Player]],$A33,Upload_Indiv[[Side]:[Side]],"Raintree Back",Upload_Indiv[[Excl Score]:[Excl Score]],0),"")</f>
        <v>2</v>
      </c>
      <c r="BF33" s="150">
        <f>IFERROR(AVERAGEIFS(Upload_Indiv[Score9],Upload_Indiv[[Player]:[Player]],$A33,Upload_Indiv[[Side]:[Side]],"Raintree Back",Upload_Indiv[[Excl Score]:[Excl Score]],0),"")</f>
        <v>6.5</v>
      </c>
      <c r="BG33" s="150">
        <f t="shared" si="19"/>
        <v>0.5</v>
      </c>
      <c r="BH33" s="165">
        <f t="shared" si="20"/>
        <v>2</v>
      </c>
      <c r="BI33" s="165">
        <f t="shared" si="21"/>
        <v>46.5</v>
      </c>
      <c r="BJ33" s="165">
        <f t="shared" si="21"/>
        <v>-1.5</v>
      </c>
    </row>
    <row r="34" spans="1:62" ht="15" customHeight="1" x14ac:dyDescent="0.25">
      <c r="A34" s="4" t="s">
        <v>207</v>
      </c>
      <c r="B34" s="170">
        <f>IFERROR(AVERAGEIFS(Upload_Indiv[Hdcp],Upload_Indiv[[Player]:[Player]],$A34,Upload_Indiv[[Excl Score]:[Excl Score]],0),"")</f>
        <v>10.56</v>
      </c>
      <c r="C34" s="149">
        <f>IFERROR(COUNTIFS(Upload_Indiv[[Player]:[Player]],$A34,Upload_Indiv[[Side]:[Side]],"Raintree Front",Upload_Indiv[[Excl Score]:[Excl Score]],0),"")</f>
        <v>1</v>
      </c>
      <c r="D34" s="150">
        <f>IFERROR(AVERAGEIFS(Upload_Indiv[Score1],Upload_Indiv[[Player]:[Player]],$A34,Upload_Indiv[[Side]:[Side]],"Raintree Front",Upload_Indiv[[Excl Score]:[Excl Score]],0),"")</f>
        <v>7</v>
      </c>
      <c r="E34" s="150">
        <f t="shared" si="0"/>
        <v>1</v>
      </c>
      <c r="F34" s="151">
        <f>IFERROR(COUNTIFS(Upload_Indiv[[Player]:[Player]],$A34,Upload_Indiv[[Side]:[Side]],"Raintree Front",Upload_Indiv[[Excl Score]:[Excl Score]],0),"")</f>
        <v>1</v>
      </c>
      <c r="G34" s="152">
        <f>IFERROR(AVERAGEIFS(Upload_Indiv[Score2],Upload_Indiv[[Player]:[Player]],$A34,Upload_Indiv[[Side]:[Side]],"Raintree Front",Upload_Indiv[[Excl Score]:[Excl Score]],0),"")</f>
        <v>6</v>
      </c>
      <c r="H34" s="152">
        <f t="shared" si="1"/>
        <v>0</v>
      </c>
      <c r="I34" s="149">
        <f>IFERROR(COUNTIFS(Upload_Indiv[[Player]:[Player]],$A34,Upload_Indiv[[Side]:[Side]],"Raintree Front",Upload_Indiv[[Excl Score]:[Excl Score]],0),"")</f>
        <v>1</v>
      </c>
      <c r="J34" s="150">
        <f>IFERROR(AVERAGEIFS(Upload_Indiv[Score3],Upload_Indiv[[Player]:[Player]],$A34,Upload_Indiv[[Side]:[Side]],"Raintree Front",Upload_Indiv[[Excl Score]:[Excl Score]],0),"")</f>
        <v>6</v>
      </c>
      <c r="K34" s="150">
        <f t="shared" si="2"/>
        <v>1</v>
      </c>
      <c r="L34" s="151">
        <f>IFERROR(COUNTIFS(Upload_Indiv[[Player]:[Player]],$A34,Upload_Indiv[[Side]:[Side]],"Raintree Front",Upload_Indiv[[Excl Score]:[Excl Score]],0),"")</f>
        <v>1</v>
      </c>
      <c r="M34" s="152">
        <f>IFERROR(AVERAGEIFS(Upload_Indiv[Score4],Upload_Indiv[[Player]:[Player]],$A34,Upload_Indiv[[Side]:[Side]],"Raintree Front",Upload_Indiv[[Excl Score]:[Excl Score]],0),"")</f>
        <v>4</v>
      </c>
      <c r="N34" s="152">
        <f t="shared" si="3"/>
        <v>0</v>
      </c>
      <c r="O34" s="149">
        <f>IFERROR(COUNTIFS(Upload_Indiv[[Player]:[Player]],$A34,Upload_Indiv[[Side]:[Side]],"Raintree Front",Upload_Indiv[[Excl Score]:[Excl Score]],0),"")</f>
        <v>1</v>
      </c>
      <c r="P34" s="150">
        <f>IFERROR(AVERAGEIFS(Upload_Indiv[Score5],Upload_Indiv[[Player]:[Player]],$A34,Upload_Indiv[[Side]:[Side]],"Raintree Front",Upload_Indiv[[Excl Score]:[Excl Score]],0),"")</f>
        <v>5</v>
      </c>
      <c r="Q34" s="150">
        <f t="shared" si="4"/>
        <v>0</v>
      </c>
      <c r="R34" s="151">
        <f>IFERROR(COUNTIFS(Upload_Indiv[[Player]:[Player]],$A34,Upload_Indiv[[Side]:[Side]],"Raintree Front",Upload_Indiv[[Excl Score]:[Excl Score]],0),"")</f>
        <v>1</v>
      </c>
      <c r="S34" s="152">
        <f>IFERROR(AVERAGEIFS(Upload_Indiv[Score6],Upload_Indiv[[Player]:[Player]],$A34,Upload_Indiv[[Side]:[Side]],"Raintree Front",Upload_Indiv[[Excl Score]:[Excl Score]],0),"")</f>
        <v>5</v>
      </c>
      <c r="T34" s="152">
        <f t="shared" si="5"/>
        <v>-1</v>
      </c>
      <c r="U34" s="149">
        <f>IFERROR(COUNTIFS(Upload_Indiv[[Player]:[Player]],$A34,Upload_Indiv[[Side]:[Side]],"Raintree Front",Upload_Indiv[[Excl Score]:[Excl Score]],0),"")</f>
        <v>1</v>
      </c>
      <c r="V34" s="150">
        <f>IFERROR(AVERAGEIFS(Upload_Indiv[Score7],Upload_Indiv[[Player]:[Player]],$A34,Upload_Indiv[[Side]:[Side]],"Raintree Front",Upload_Indiv[[Excl Score]:[Excl Score]],0),"")</f>
        <v>7</v>
      </c>
      <c r="W34" s="150">
        <f t="shared" si="6"/>
        <v>1</v>
      </c>
      <c r="X34" s="151">
        <f>IFERROR(COUNTIFS(Upload_Indiv[[Player]:[Player]],$A34,Upload_Indiv[[Side]:[Side]],"Raintree Front",Upload_Indiv[[Excl Score]:[Excl Score]],0),"")</f>
        <v>1</v>
      </c>
      <c r="Y34" s="152">
        <f>IFERROR(AVERAGEIFS(Upload_Indiv[Score8],Upload_Indiv[[Player]:[Player]],$A34,Upload_Indiv[[Side]:[Side]],"Raintree Front",Upload_Indiv[[Excl Score]:[Excl Score]],0),"")</f>
        <v>4</v>
      </c>
      <c r="Z34" s="152">
        <f t="shared" si="7"/>
        <v>0</v>
      </c>
      <c r="AA34" s="149">
        <f>IFERROR(COUNTIFS(Upload_Indiv[[Player]:[Player]],$A34,Upload_Indiv[[Side]:[Side]],"Raintree Front",Upload_Indiv[[Excl Score]:[Excl Score]],0),"")</f>
        <v>1</v>
      </c>
      <c r="AB34" s="150">
        <f>IFERROR(AVERAGEIFS(Upload_Indiv[Score9],Upload_Indiv[[Player]:[Player]],$A34,Upload_Indiv[[Side]:[Side]],"Raintree Front",Upload_Indiv[[Excl Score]:[Excl Score]],0),"")</f>
        <v>6</v>
      </c>
      <c r="AC34" s="150">
        <f t="shared" si="8"/>
        <v>1</v>
      </c>
      <c r="AD34" s="165">
        <f t="shared" si="9"/>
        <v>1</v>
      </c>
      <c r="AE34" s="165">
        <f t="shared" si="10"/>
        <v>50</v>
      </c>
      <c r="AF34" s="165">
        <f t="shared" si="10"/>
        <v>3</v>
      </c>
      <c r="AG34" s="149">
        <f>IFERROR(COUNTIFS(Upload_Indiv[[Player]:[Player]],$A34,Upload_Indiv[[Side]:[Side]],"Raintree Back",Upload_Indiv[[Excl Score]:[Excl Score]],0),"")</f>
        <v>0</v>
      </c>
      <c r="AH34" s="150" t="str">
        <f>IFERROR(AVERAGEIFS(Upload_Indiv[Score1],Upload_Indiv[[Player]:[Player]],$A34,Upload_Indiv[[Side]:[Side]],"Raintree Back",Upload_Indiv[[Excl Score]:[Excl Score]],0),"")</f>
        <v/>
      </c>
      <c r="AI34" s="150" t="str">
        <f t="shared" si="11"/>
        <v/>
      </c>
      <c r="AJ34" s="151">
        <f>IFERROR(COUNTIFS(Upload_Indiv[[Player]:[Player]],$A34,Upload_Indiv[[Side]:[Side]],"Raintree Back",Upload_Indiv[[Excl Score]:[Excl Score]],0),"")</f>
        <v>0</v>
      </c>
      <c r="AK34" s="152" t="str">
        <f>IFERROR(AVERAGEIFS(Upload_Indiv[Score2],Upload_Indiv[[Player]:[Player]],$A34,Upload_Indiv[[Side]:[Side]],"Raintree Back",Upload_Indiv[[Excl Score]:[Excl Score]],0),"")</f>
        <v/>
      </c>
      <c r="AL34" s="152" t="str">
        <f t="shared" si="12"/>
        <v/>
      </c>
      <c r="AM34" s="149">
        <f>IFERROR(COUNTIFS(Upload_Indiv[[Player]:[Player]],$A34,Upload_Indiv[[Side]:[Side]],"Raintree Back",Upload_Indiv[[Excl Score]:[Excl Score]],0),"")</f>
        <v>0</v>
      </c>
      <c r="AN34" s="150" t="str">
        <f>IFERROR(AVERAGEIFS(Upload_Indiv[Score3],Upload_Indiv[[Player]:[Player]],$A34,Upload_Indiv[[Side]:[Side]],"Raintree Back",Upload_Indiv[[Excl Score]:[Excl Score]],0),"")</f>
        <v/>
      </c>
      <c r="AO34" s="150" t="str">
        <f t="shared" si="13"/>
        <v/>
      </c>
      <c r="AP34" s="151">
        <f>IFERROR(COUNTIFS(Upload_Indiv[[Player]:[Player]],$A34,Upload_Indiv[[Side]:[Side]],"Raintree Back",Upload_Indiv[[Excl Score]:[Excl Score]],0),"")</f>
        <v>0</v>
      </c>
      <c r="AQ34" s="152" t="str">
        <f>IFERROR(AVERAGEIFS(Upload_Indiv[Score4],Upload_Indiv[[Player]:[Player]],$A34,Upload_Indiv[[Side]:[Side]],"Raintree Back",Upload_Indiv[[Excl Score]:[Excl Score]],0),"")</f>
        <v/>
      </c>
      <c r="AR34" s="152" t="str">
        <f t="shared" si="14"/>
        <v/>
      </c>
      <c r="AS34" s="149">
        <f>IFERROR(COUNTIFS(Upload_Indiv[[Player]:[Player]],$A34,Upload_Indiv[[Side]:[Side]],"Raintree Back",Upload_Indiv[[Excl Score]:[Excl Score]],0),"")</f>
        <v>0</v>
      </c>
      <c r="AT34" s="150" t="str">
        <f>IFERROR(AVERAGEIFS(Upload_Indiv[Score5],Upload_Indiv[[Player]:[Player]],$A34,Upload_Indiv[[Side]:[Side]],"Raintree Back",Upload_Indiv[[Excl Score]:[Excl Score]],0),"")</f>
        <v/>
      </c>
      <c r="AU34" s="150" t="str">
        <f t="shared" si="15"/>
        <v/>
      </c>
      <c r="AV34" s="151">
        <f>IFERROR(COUNTIFS(Upload_Indiv[[Player]:[Player]],$A34,Upload_Indiv[[Side]:[Side]],"Raintree Back",Upload_Indiv[[Excl Score]:[Excl Score]],0),"")</f>
        <v>0</v>
      </c>
      <c r="AW34" s="152" t="str">
        <f>IFERROR(AVERAGEIFS(Upload_Indiv[Score6],Upload_Indiv[[Player]:[Player]],$A34,Upload_Indiv[[Side]:[Side]],"Raintree Back",Upload_Indiv[[Excl Score]:[Excl Score]],0),"")</f>
        <v/>
      </c>
      <c r="AX34" s="152" t="str">
        <f t="shared" si="16"/>
        <v/>
      </c>
      <c r="AY34" s="149">
        <f>IFERROR(COUNTIFS(Upload_Indiv[[Player]:[Player]],$A34,Upload_Indiv[[Side]:[Side]],"Raintree Back",Upload_Indiv[[Excl Score]:[Excl Score]],0),"")</f>
        <v>0</v>
      </c>
      <c r="AZ34" s="150" t="str">
        <f>IFERROR(AVERAGEIFS(Upload_Indiv[Score7],Upload_Indiv[[Player]:[Player]],$A34,Upload_Indiv[[Side]:[Side]],"Raintree Back",Upload_Indiv[[Excl Score]:[Excl Score]],0),"")</f>
        <v/>
      </c>
      <c r="BA34" s="150" t="str">
        <f t="shared" si="17"/>
        <v/>
      </c>
      <c r="BB34" s="151">
        <f>IFERROR(COUNTIFS(Upload_Indiv[[Player]:[Player]],$A34,Upload_Indiv[[Side]:[Side]],"Raintree Back",Upload_Indiv[[Excl Score]:[Excl Score]],0),"")</f>
        <v>0</v>
      </c>
      <c r="BC34" s="152" t="str">
        <f>IFERROR(AVERAGEIFS(Upload_Indiv[Score8],Upload_Indiv[[Player]:[Player]],$A34,Upload_Indiv[[Side]:[Side]],"Raintree Back",Upload_Indiv[[Excl Score]:[Excl Score]],0),"")</f>
        <v/>
      </c>
      <c r="BD34" s="152" t="str">
        <f t="shared" si="18"/>
        <v/>
      </c>
      <c r="BE34" s="149">
        <f>IFERROR(COUNTIFS(Upload_Indiv[[Player]:[Player]],$A34,Upload_Indiv[[Side]:[Side]],"Raintree Back",Upload_Indiv[[Excl Score]:[Excl Score]],0),"")</f>
        <v>0</v>
      </c>
      <c r="BF34" s="150" t="str">
        <f>IFERROR(AVERAGEIFS(Upload_Indiv[Score9],Upload_Indiv[[Player]:[Player]],$A34,Upload_Indiv[[Side]:[Side]],"Raintree Back",Upload_Indiv[[Excl Score]:[Excl Score]],0),"")</f>
        <v/>
      </c>
      <c r="BG34" s="150" t="str">
        <f t="shared" si="19"/>
        <v/>
      </c>
      <c r="BH34" s="165">
        <f t="shared" si="20"/>
        <v>0</v>
      </c>
      <c r="BI34" s="165">
        <f t="shared" si="21"/>
        <v>0</v>
      </c>
      <c r="BJ34" s="165">
        <f t="shared" si="21"/>
        <v>0</v>
      </c>
    </row>
    <row r="35" spans="1:62" ht="15" customHeight="1" x14ac:dyDescent="0.25">
      <c r="A35" s="4" t="s">
        <v>265</v>
      </c>
      <c r="B35" s="170">
        <f>IFERROR(AVERAGEIFS(Upload_Indiv[Hdcp],Upload_Indiv[[Player]:[Player]],$A35,Upload_Indiv[[Excl Score]:[Excl Score]],0),"")</f>
        <v>18.24583333333333</v>
      </c>
      <c r="C35" s="149">
        <f>IFERROR(COUNTIFS(Upload_Indiv[[Player]:[Player]],$A35,Upload_Indiv[[Side]:[Side]],"Raintree Front",Upload_Indiv[[Excl Score]:[Excl Score]],0),"")</f>
        <v>5</v>
      </c>
      <c r="D35" s="150">
        <f>IFERROR(AVERAGEIFS(Upload_Indiv[Score1],Upload_Indiv[[Player]:[Player]],$A35,Upload_Indiv[[Side]:[Side]],"Raintree Front",Upload_Indiv[[Excl Score]:[Excl Score]],0),"")</f>
        <v>7</v>
      </c>
      <c r="E35" s="150">
        <f t="shared" si="0"/>
        <v>1</v>
      </c>
      <c r="F35" s="151">
        <f>IFERROR(COUNTIFS(Upload_Indiv[[Player]:[Player]],$A35,Upload_Indiv[[Side]:[Side]],"Raintree Front",Upload_Indiv[[Excl Score]:[Excl Score]],0),"")</f>
        <v>5</v>
      </c>
      <c r="G35" s="152">
        <f>IFERROR(AVERAGEIFS(Upload_Indiv[Score2],Upload_Indiv[[Player]:[Player]],$A35,Upload_Indiv[[Side]:[Side]],"Raintree Front",Upload_Indiv[[Excl Score]:[Excl Score]],0),"")</f>
        <v>7.4</v>
      </c>
      <c r="H35" s="152">
        <f t="shared" si="1"/>
        <v>0.40000000000000036</v>
      </c>
      <c r="I35" s="149">
        <f>IFERROR(COUNTIFS(Upload_Indiv[[Player]:[Player]],$A35,Upload_Indiv[[Side]:[Side]],"Raintree Front",Upload_Indiv[[Excl Score]:[Excl Score]],0),"")</f>
        <v>5</v>
      </c>
      <c r="J35" s="150">
        <f>IFERROR(AVERAGEIFS(Upload_Indiv[Score3],Upload_Indiv[[Player]:[Player]],$A35,Upload_Indiv[[Side]:[Side]],"Raintree Front",Upload_Indiv[[Excl Score]:[Excl Score]],0),"")</f>
        <v>6.2</v>
      </c>
      <c r="K35" s="150">
        <f t="shared" si="2"/>
        <v>0.20000000000000018</v>
      </c>
      <c r="L35" s="151">
        <f>IFERROR(COUNTIFS(Upload_Indiv[[Player]:[Player]],$A35,Upload_Indiv[[Side]:[Side]],"Raintree Front",Upload_Indiv[[Excl Score]:[Excl Score]],0),"")</f>
        <v>5</v>
      </c>
      <c r="M35" s="152">
        <f>IFERROR(AVERAGEIFS(Upload_Indiv[Score4],Upload_Indiv[[Player]:[Player]],$A35,Upload_Indiv[[Side]:[Side]],"Raintree Front",Upload_Indiv[[Excl Score]:[Excl Score]],0),"")</f>
        <v>5.6</v>
      </c>
      <c r="N35" s="152">
        <f t="shared" si="3"/>
        <v>0.59999999999999964</v>
      </c>
      <c r="O35" s="149">
        <f>IFERROR(COUNTIFS(Upload_Indiv[[Player]:[Player]],$A35,Upload_Indiv[[Side]:[Side]],"Raintree Front",Upload_Indiv[[Excl Score]:[Excl Score]],0),"")</f>
        <v>5</v>
      </c>
      <c r="P35" s="150">
        <f>IFERROR(AVERAGEIFS(Upload_Indiv[Score5],Upload_Indiv[[Player]:[Player]],$A35,Upload_Indiv[[Side]:[Side]],"Raintree Front",Upload_Indiv[[Excl Score]:[Excl Score]],0),"")</f>
        <v>5.8</v>
      </c>
      <c r="Q35" s="150">
        <f t="shared" si="4"/>
        <v>-0.20000000000000018</v>
      </c>
      <c r="R35" s="151">
        <f>IFERROR(COUNTIFS(Upload_Indiv[[Player]:[Player]],$A35,Upload_Indiv[[Side]:[Side]],"Raintree Front",Upload_Indiv[[Excl Score]:[Excl Score]],0),"")</f>
        <v>5</v>
      </c>
      <c r="S35" s="152">
        <f>IFERROR(AVERAGEIFS(Upload_Indiv[Score6],Upload_Indiv[[Player]:[Player]],$A35,Upload_Indiv[[Side]:[Side]],"Raintree Front",Upload_Indiv[[Excl Score]:[Excl Score]],0),"")</f>
        <v>7.4</v>
      </c>
      <c r="T35" s="152">
        <f t="shared" si="5"/>
        <v>1.4000000000000004</v>
      </c>
      <c r="U35" s="149">
        <f>IFERROR(COUNTIFS(Upload_Indiv[[Player]:[Player]],$A35,Upload_Indiv[[Side]:[Side]],"Raintree Front",Upload_Indiv[[Excl Score]:[Excl Score]],0),"")</f>
        <v>5</v>
      </c>
      <c r="V35" s="150">
        <f>IFERROR(AVERAGEIFS(Upload_Indiv[Score7],Upload_Indiv[[Player]:[Player]],$A35,Upload_Indiv[[Side]:[Side]],"Raintree Front",Upload_Indiv[[Excl Score]:[Excl Score]],0),"")</f>
        <v>7.2</v>
      </c>
      <c r="W35" s="150">
        <f t="shared" si="6"/>
        <v>0.20000000000000018</v>
      </c>
      <c r="X35" s="151">
        <f>IFERROR(COUNTIFS(Upload_Indiv[[Player]:[Player]],$A35,Upload_Indiv[[Side]:[Side]],"Raintree Front",Upload_Indiv[[Excl Score]:[Excl Score]],0),"")</f>
        <v>5</v>
      </c>
      <c r="Y35" s="152">
        <f>IFERROR(AVERAGEIFS(Upload_Indiv[Score8],Upload_Indiv[[Player]:[Player]],$A35,Upload_Indiv[[Side]:[Side]],"Raintree Front",Upload_Indiv[[Excl Score]:[Excl Score]],0),"")</f>
        <v>5.2</v>
      </c>
      <c r="Z35" s="152">
        <f t="shared" si="7"/>
        <v>0.20000000000000018</v>
      </c>
      <c r="AA35" s="149">
        <f>IFERROR(COUNTIFS(Upload_Indiv[[Player]:[Player]],$A35,Upload_Indiv[[Side]:[Side]],"Raintree Front",Upload_Indiv[[Excl Score]:[Excl Score]],0),"")</f>
        <v>5</v>
      </c>
      <c r="AB35" s="150">
        <f>IFERROR(AVERAGEIFS(Upload_Indiv[Score9],Upload_Indiv[[Player]:[Player]],$A35,Upload_Indiv[[Side]:[Side]],"Raintree Front",Upload_Indiv[[Excl Score]:[Excl Score]],0),"")</f>
        <v>7</v>
      </c>
      <c r="AC35" s="150">
        <f t="shared" si="8"/>
        <v>1</v>
      </c>
      <c r="AD35" s="165">
        <f t="shared" si="9"/>
        <v>5</v>
      </c>
      <c r="AE35" s="165">
        <f t="shared" si="10"/>
        <v>58.800000000000004</v>
      </c>
      <c r="AF35" s="165">
        <f t="shared" si="10"/>
        <v>4.8000000000000007</v>
      </c>
      <c r="AG35" s="149">
        <f>IFERROR(COUNTIFS(Upload_Indiv[[Player]:[Player]],$A35,Upload_Indiv[[Side]:[Side]],"Raintree Back",Upload_Indiv[[Excl Score]:[Excl Score]],0),"")</f>
        <v>7</v>
      </c>
      <c r="AH35" s="150">
        <f>IFERROR(AVERAGEIFS(Upload_Indiv[Score1],Upload_Indiv[[Player]:[Player]],$A35,Upload_Indiv[[Side]:[Side]],"Raintree Back",Upload_Indiv[[Excl Score]:[Excl Score]],0),"")</f>
        <v>6.5714285714285712</v>
      </c>
      <c r="AI35" s="150">
        <f t="shared" si="11"/>
        <v>0.57142857142857117</v>
      </c>
      <c r="AJ35" s="151">
        <f>IFERROR(COUNTIFS(Upload_Indiv[[Player]:[Player]],$A35,Upload_Indiv[[Side]:[Side]],"Raintree Back",Upload_Indiv[[Excl Score]:[Excl Score]],0),"")</f>
        <v>7</v>
      </c>
      <c r="AK35" s="152">
        <f>IFERROR(AVERAGEIFS(Upload_Indiv[Score2],Upload_Indiv[[Player]:[Player]],$A35,Upload_Indiv[[Side]:[Side]],"Raintree Back",Upload_Indiv[[Excl Score]:[Excl Score]],0),"")</f>
        <v>5</v>
      </c>
      <c r="AL35" s="152">
        <f t="shared" si="12"/>
        <v>0</v>
      </c>
      <c r="AM35" s="149">
        <f>IFERROR(COUNTIFS(Upload_Indiv[[Player]:[Player]],$A35,Upload_Indiv[[Side]:[Side]],"Raintree Back",Upload_Indiv[[Excl Score]:[Excl Score]],0),"")</f>
        <v>7</v>
      </c>
      <c r="AN35" s="150">
        <f>IFERROR(AVERAGEIFS(Upload_Indiv[Score3],Upload_Indiv[[Player]:[Player]],$A35,Upload_Indiv[[Side]:[Side]],"Raintree Back",Upload_Indiv[[Excl Score]:[Excl Score]],0),"")</f>
        <v>6.8571428571428568</v>
      </c>
      <c r="AO35" s="150">
        <f t="shared" si="13"/>
        <v>0.85714285714285676</v>
      </c>
      <c r="AP35" s="151">
        <f>IFERROR(COUNTIFS(Upload_Indiv[[Player]:[Player]],$A35,Upload_Indiv[[Side]:[Side]],"Raintree Back",Upload_Indiv[[Excl Score]:[Excl Score]],0),"")</f>
        <v>7</v>
      </c>
      <c r="AQ35" s="152">
        <f>IFERROR(AVERAGEIFS(Upload_Indiv[Score4],Upload_Indiv[[Player]:[Player]],$A35,Upload_Indiv[[Side]:[Side]],"Raintree Back",Upload_Indiv[[Excl Score]:[Excl Score]],0),"")</f>
        <v>7</v>
      </c>
      <c r="AR35" s="152">
        <f t="shared" si="14"/>
        <v>1</v>
      </c>
      <c r="AS35" s="149">
        <f>IFERROR(COUNTIFS(Upload_Indiv[[Player]:[Player]],$A35,Upload_Indiv[[Side]:[Side]],"Raintree Back",Upload_Indiv[[Excl Score]:[Excl Score]],0),"")</f>
        <v>7</v>
      </c>
      <c r="AT35" s="150">
        <f>IFERROR(AVERAGEIFS(Upload_Indiv[Score5],Upload_Indiv[[Player]:[Player]],$A35,Upload_Indiv[[Side]:[Side]],"Raintree Back",Upload_Indiv[[Excl Score]:[Excl Score]],0),"")</f>
        <v>7</v>
      </c>
      <c r="AU35" s="150">
        <f t="shared" si="15"/>
        <v>1</v>
      </c>
      <c r="AV35" s="151">
        <f>IFERROR(COUNTIFS(Upload_Indiv[[Player]:[Player]],$A35,Upload_Indiv[[Side]:[Side]],"Raintree Back",Upload_Indiv[[Excl Score]:[Excl Score]],0),"")</f>
        <v>7</v>
      </c>
      <c r="AW35" s="152">
        <f>IFERROR(AVERAGEIFS(Upload_Indiv[Score6],Upload_Indiv[[Player]:[Player]],$A35,Upload_Indiv[[Side]:[Side]],"Raintree Back",Upload_Indiv[[Excl Score]:[Excl Score]],0),"")</f>
        <v>7.4285714285714288</v>
      </c>
      <c r="AX35" s="152">
        <f t="shared" si="16"/>
        <v>0.42857142857142883</v>
      </c>
      <c r="AY35" s="149">
        <f>IFERROR(COUNTIFS(Upload_Indiv[[Player]:[Player]],$A35,Upload_Indiv[[Side]:[Side]],"Raintree Back",Upload_Indiv[[Excl Score]:[Excl Score]],0),"")</f>
        <v>7</v>
      </c>
      <c r="AZ35" s="150">
        <f>IFERROR(AVERAGEIFS(Upload_Indiv[Score7],Upload_Indiv[[Player]:[Player]],$A35,Upload_Indiv[[Side]:[Side]],"Raintree Back",Upload_Indiv[[Excl Score]:[Excl Score]],0),"")</f>
        <v>5.5714285714285712</v>
      </c>
      <c r="BA35" s="150">
        <f t="shared" si="17"/>
        <v>0.57142857142857117</v>
      </c>
      <c r="BB35" s="151">
        <f>IFERROR(COUNTIFS(Upload_Indiv[[Player]:[Player]],$A35,Upload_Indiv[[Side]:[Side]],"Raintree Back",Upload_Indiv[[Excl Score]:[Excl Score]],0),"")</f>
        <v>7</v>
      </c>
      <c r="BC35" s="152">
        <f>IFERROR(AVERAGEIFS(Upload_Indiv[Score8],Upload_Indiv[[Player]:[Player]],$A35,Upload_Indiv[[Side]:[Side]],"Raintree Back",Upload_Indiv[[Excl Score]:[Excl Score]],0),"")</f>
        <v>6.4285714285714288</v>
      </c>
      <c r="BD35" s="152">
        <f t="shared" si="18"/>
        <v>0.42857142857142883</v>
      </c>
      <c r="BE35" s="149">
        <f>IFERROR(COUNTIFS(Upload_Indiv[[Player]:[Player]],$A35,Upload_Indiv[[Side]:[Side]],"Raintree Back",Upload_Indiv[[Excl Score]:[Excl Score]],0),"")</f>
        <v>7</v>
      </c>
      <c r="BF35" s="150">
        <f>IFERROR(AVERAGEIFS(Upload_Indiv[Score9],Upload_Indiv[[Player]:[Player]],$A35,Upload_Indiv[[Side]:[Side]],"Raintree Back",Upload_Indiv[[Excl Score]:[Excl Score]],0),"")</f>
        <v>7.8571428571428568</v>
      </c>
      <c r="BG35" s="150">
        <f t="shared" si="19"/>
        <v>0.85714285714285676</v>
      </c>
      <c r="BH35" s="165">
        <f t="shared" si="20"/>
        <v>7</v>
      </c>
      <c r="BI35" s="165">
        <f t="shared" si="21"/>
        <v>59.714285714285715</v>
      </c>
      <c r="BJ35" s="165">
        <f t="shared" si="21"/>
        <v>5.7142857142857135</v>
      </c>
    </row>
    <row r="36" spans="1:62" ht="15" customHeight="1" x14ac:dyDescent="0.25">
      <c r="A36" s="4" t="s">
        <v>272</v>
      </c>
      <c r="B36" s="170">
        <f>IFERROR(AVERAGEIFS(Upload_Indiv[Hdcp],Upload_Indiv[[Player]:[Player]],$A36,Upload_Indiv[[Excl Score]:[Excl Score]],0),"")</f>
        <v>7.7672727272727258</v>
      </c>
      <c r="C36" s="149">
        <f>IFERROR(COUNTIFS(Upload_Indiv[[Player]:[Player]],$A36,Upload_Indiv[[Side]:[Side]],"Raintree Front",Upload_Indiv[[Excl Score]:[Excl Score]],0),"")</f>
        <v>5</v>
      </c>
      <c r="D36" s="150">
        <f>IFERROR(AVERAGEIFS(Upload_Indiv[Score1],Upload_Indiv[[Player]:[Player]],$A36,Upload_Indiv[[Side]:[Side]],"Raintree Front",Upload_Indiv[[Excl Score]:[Excl Score]],0),"")</f>
        <v>5.4</v>
      </c>
      <c r="E36" s="150">
        <f t="shared" si="0"/>
        <v>0.40000000000000036</v>
      </c>
      <c r="F36" s="151">
        <f>IFERROR(COUNTIFS(Upload_Indiv[[Player]:[Player]],$A36,Upload_Indiv[[Side]:[Side]],"Raintree Front",Upload_Indiv[[Excl Score]:[Excl Score]],0),"")</f>
        <v>5</v>
      </c>
      <c r="G36" s="152">
        <f>IFERROR(AVERAGEIFS(Upload_Indiv[Score2],Upload_Indiv[[Player]:[Player]],$A36,Upload_Indiv[[Side]:[Side]],"Raintree Front",Upload_Indiv[[Excl Score]:[Excl Score]],0),"")</f>
        <v>6.8</v>
      </c>
      <c r="H36" s="152">
        <f t="shared" si="1"/>
        <v>0.79999999999999982</v>
      </c>
      <c r="I36" s="149">
        <f>IFERROR(COUNTIFS(Upload_Indiv[[Player]:[Player]],$A36,Upload_Indiv[[Side]:[Side]],"Raintree Front",Upload_Indiv[[Excl Score]:[Excl Score]],0),"")</f>
        <v>5</v>
      </c>
      <c r="J36" s="150">
        <f>IFERROR(AVERAGEIFS(Upload_Indiv[Score3],Upload_Indiv[[Player]:[Player]],$A36,Upload_Indiv[[Side]:[Side]],"Raintree Front",Upload_Indiv[[Excl Score]:[Excl Score]],0),"")</f>
        <v>6.2</v>
      </c>
      <c r="K36" s="150">
        <f t="shared" si="2"/>
        <v>1.2000000000000002</v>
      </c>
      <c r="L36" s="151">
        <f>IFERROR(COUNTIFS(Upload_Indiv[[Player]:[Player]],$A36,Upload_Indiv[[Side]:[Side]],"Raintree Front",Upload_Indiv[[Excl Score]:[Excl Score]],0),"")</f>
        <v>5</v>
      </c>
      <c r="M36" s="152">
        <f>IFERROR(AVERAGEIFS(Upload_Indiv[Score4],Upload_Indiv[[Player]:[Player]],$A36,Upload_Indiv[[Side]:[Side]],"Raintree Front",Upload_Indiv[[Excl Score]:[Excl Score]],0),"")</f>
        <v>4</v>
      </c>
      <c r="N36" s="152">
        <f t="shared" si="3"/>
        <v>0</v>
      </c>
      <c r="O36" s="149">
        <f>IFERROR(COUNTIFS(Upload_Indiv[[Player]:[Player]],$A36,Upload_Indiv[[Side]:[Side]],"Raintree Front",Upload_Indiv[[Excl Score]:[Excl Score]],0),"")</f>
        <v>5</v>
      </c>
      <c r="P36" s="150">
        <f>IFERROR(AVERAGEIFS(Upload_Indiv[Score5],Upload_Indiv[[Player]:[Player]],$A36,Upload_Indiv[[Side]:[Side]],"Raintree Front",Upload_Indiv[[Excl Score]:[Excl Score]],0),"")</f>
        <v>5.4</v>
      </c>
      <c r="Q36" s="150">
        <f t="shared" si="4"/>
        <v>1.4000000000000004</v>
      </c>
      <c r="R36" s="151">
        <f>IFERROR(COUNTIFS(Upload_Indiv[[Player]:[Player]],$A36,Upload_Indiv[[Side]:[Side]],"Raintree Front",Upload_Indiv[[Excl Score]:[Excl Score]],0),"")</f>
        <v>5</v>
      </c>
      <c r="S36" s="152">
        <f>IFERROR(AVERAGEIFS(Upload_Indiv[Score6],Upload_Indiv[[Player]:[Player]],$A36,Upload_Indiv[[Side]:[Side]],"Raintree Front",Upload_Indiv[[Excl Score]:[Excl Score]],0),"")</f>
        <v>5.8</v>
      </c>
      <c r="T36" s="152">
        <f t="shared" si="5"/>
        <v>0.79999999999999982</v>
      </c>
      <c r="U36" s="149">
        <f>IFERROR(COUNTIFS(Upload_Indiv[[Player]:[Player]],$A36,Upload_Indiv[[Side]:[Side]],"Raintree Front",Upload_Indiv[[Excl Score]:[Excl Score]],0),"")</f>
        <v>5</v>
      </c>
      <c r="V36" s="150">
        <f>IFERROR(AVERAGEIFS(Upload_Indiv[Score7],Upload_Indiv[[Player]:[Player]],$A36,Upload_Indiv[[Side]:[Side]],"Raintree Front",Upload_Indiv[[Excl Score]:[Excl Score]],0),"")</f>
        <v>6.8</v>
      </c>
      <c r="W36" s="150">
        <f t="shared" si="6"/>
        <v>0.79999999999999982</v>
      </c>
      <c r="X36" s="151">
        <f>IFERROR(COUNTIFS(Upload_Indiv[[Player]:[Player]],$A36,Upload_Indiv[[Side]:[Side]],"Raintree Front",Upload_Indiv[[Excl Score]:[Excl Score]],0),"")</f>
        <v>5</v>
      </c>
      <c r="Y36" s="152">
        <f>IFERROR(AVERAGEIFS(Upload_Indiv[Score8],Upload_Indiv[[Player]:[Player]],$A36,Upload_Indiv[[Side]:[Side]],"Raintree Front",Upload_Indiv[[Excl Score]:[Excl Score]],0),"")</f>
        <v>4.8</v>
      </c>
      <c r="Z36" s="152">
        <f t="shared" si="7"/>
        <v>0.79999999999999982</v>
      </c>
      <c r="AA36" s="149">
        <f>IFERROR(COUNTIFS(Upload_Indiv[[Player]:[Player]],$A36,Upload_Indiv[[Side]:[Side]],"Raintree Front",Upload_Indiv[[Excl Score]:[Excl Score]],0),"")</f>
        <v>5</v>
      </c>
      <c r="AB36" s="150">
        <f>IFERROR(AVERAGEIFS(Upload_Indiv[Score9],Upload_Indiv[[Player]:[Player]],$A36,Upload_Indiv[[Side]:[Side]],"Raintree Front",Upload_Indiv[[Excl Score]:[Excl Score]],0),"")</f>
        <v>6</v>
      </c>
      <c r="AC36" s="150">
        <f t="shared" si="8"/>
        <v>1</v>
      </c>
      <c r="AD36" s="165">
        <f t="shared" si="9"/>
        <v>5</v>
      </c>
      <c r="AE36" s="165">
        <f t="shared" si="10"/>
        <v>51.199999999999989</v>
      </c>
      <c r="AF36" s="165">
        <f t="shared" si="10"/>
        <v>7.2</v>
      </c>
      <c r="AG36" s="149">
        <f>IFERROR(COUNTIFS(Upload_Indiv[[Player]:[Player]],$A36,Upload_Indiv[[Side]:[Side]],"Raintree Back",Upload_Indiv[[Excl Score]:[Excl Score]],0),"")</f>
        <v>6</v>
      </c>
      <c r="AH36" s="150">
        <f>IFERROR(AVERAGEIFS(Upload_Indiv[Score1],Upload_Indiv[[Player]:[Player]],$A36,Upload_Indiv[[Side]:[Side]],"Raintree Back",Upload_Indiv[[Excl Score]:[Excl Score]],0),"")</f>
        <v>5</v>
      </c>
      <c r="AI36" s="150">
        <f t="shared" si="11"/>
        <v>0</v>
      </c>
      <c r="AJ36" s="151">
        <f>IFERROR(COUNTIFS(Upload_Indiv[[Player]:[Player]],$A36,Upload_Indiv[[Side]:[Side]],"Raintree Back",Upload_Indiv[[Excl Score]:[Excl Score]],0),"")</f>
        <v>6</v>
      </c>
      <c r="AK36" s="152">
        <f>IFERROR(AVERAGEIFS(Upload_Indiv[Score2],Upload_Indiv[[Player]:[Player]],$A36,Upload_Indiv[[Side]:[Side]],"Raintree Back",Upload_Indiv[[Excl Score]:[Excl Score]],0),"")</f>
        <v>4</v>
      </c>
      <c r="AL36" s="152">
        <f t="shared" si="12"/>
        <v>0</v>
      </c>
      <c r="AM36" s="149">
        <f>IFERROR(COUNTIFS(Upload_Indiv[[Player]:[Player]],$A36,Upload_Indiv[[Side]:[Side]],"Raintree Back",Upload_Indiv[[Excl Score]:[Excl Score]],0),"")</f>
        <v>6</v>
      </c>
      <c r="AN36" s="150">
        <f>IFERROR(AVERAGEIFS(Upload_Indiv[Score3],Upload_Indiv[[Player]:[Player]],$A36,Upload_Indiv[[Side]:[Side]],"Raintree Back",Upload_Indiv[[Excl Score]:[Excl Score]],0),"")</f>
        <v>5</v>
      </c>
      <c r="AO36" s="150">
        <f t="shared" si="13"/>
        <v>0</v>
      </c>
      <c r="AP36" s="151">
        <f>IFERROR(COUNTIFS(Upload_Indiv[[Player]:[Player]],$A36,Upload_Indiv[[Side]:[Side]],"Raintree Back",Upload_Indiv[[Excl Score]:[Excl Score]],0),"")</f>
        <v>6</v>
      </c>
      <c r="AQ36" s="152">
        <f>IFERROR(AVERAGEIFS(Upload_Indiv[Score4],Upload_Indiv[[Player]:[Player]],$A36,Upload_Indiv[[Side]:[Side]],"Raintree Back",Upload_Indiv[[Excl Score]:[Excl Score]],0),"")</f>
        <v>5.833333333333333</v>
      </c>
      <c r="AR36" s="152">
        <f t="shared" si="14"/>
        <v>0.83333333333333304</v>
      </c>
      <c r="AS36" s="149">
        <f>IFERROR(COUNTIFS(Upload_Indiv[[Player]:[Player]],$A36,Upload_Indiv[[Side]:[Side]],"Raintree Back",Upload_Indiv[[Excl Score]:[Excl Score]],0),"")</f>
        <v>6</v>
      </c>
      <c r="AT36" s="150">
        <f>IFERROR(AVERAGEIFS(Upload_Indiv[Score5],Upload_Indiv[[Player]:[Player]],$A36,Upload_Indiv[[Side]:[Side]],"Raintree Back",Upload_Indiv[[Excl Score]:[Excl Score]],0),"")</f>
        <v>4.666666666666667</v>
      </c>
      <c r="AU36" s="150">
        <f t="shared" si="15"/>
        <v>-0.33333333333333304</v>
      </c>
      <c r="AV36" s="151">
        <f>IFERROR(COUNTIFS(Upload_Indiv[[Player]:[Player]],$A36,Upload_Indiv[[Side]:[Side]],"Raintree Back",Upload_Indiv[[Excl Score]:[Excl Score]],0),"")</f>
        <v>6</v>
      </c>
      <c r="AW36" s="152">
        <f>IFERROR(AVERAGEIFS(Upload_Indiv[Score6],Upload_Indiv[[Player]:[Player]],$A36,Upload_Indiv[[Side]:[Side]],"Raintree Back",Upload_Indiv[[Excl Score]:[Excl Score]],0),"")</f>
        <v>5.5</v>
      </c>
      <c r="AX36" s="152">
        <f t="shared" si="16"/>
        <v>-0.5</v>
      </c>
      <c r="AY36" s="149">
        <f>IFERROR(COUNTIFS(Upload_Indiv[[Player]:[Player]],$A36,Upload_Indiv[[Side]:[Side]],"Raintree Back",Upload_Indiv[[Excl Score]:[Excl Score]],0),"")</f>
        <v>6</v>
      </c>
      <c r="AZ36" s="150">
        <f>IFERROR(AVERAGEIFS(Upload_Indiv[Score7],Upload_Indiv[[Player]:[Player]],$A36,Upload_Indiv[[Side]:[Side]],"Raintree Back",Upload_Indiv[[Excl Score]:[Excl Score]],0),"")</f>
        <v>4</v>
      </c>
      <c r="BA36" s="150">
        <f t="shared" si="17"/>
        <v>1</v>
      </c>
      <c r="BB36" s="151">
        <f>IFERROR(COUNTIFS(Upload_Indiv[[Player]:[Player]],$A36,Upload_Indiv[[Side]:[Side]],"Raintree Back",Upload_Indiv[[Excl Score]:[Excl Score]],0),"")</f>
        <v>6</v>
      </c>
      <c r="BC36" s="152">
        <f>IFERROR(AVERAGEIFS(Upload_Indiv[Score8],Upload_Indiv[[Player]:[Player]],$A36,Upload_Indiv[[Side]:[Side]],"Raintree Back",Upload_Indiv[[Excl Score]:[Excl Score]],0),"")</f>
        <v>5.666666666666667</v>
      </c>
      <c r="BD36" s="152">
        <f t="shared" si="18"/>
        <v>0.66666666666666696</v>
      </c>
      <c r="BE36" s="149">
        <f>IFERROR(COUNTIFS(Upload_Indiv[[Player]:[Player]],$A36,Upload_Indiv[[Side]:[Side]],"Raintree Back",Upload_Indiv[[Excl Score]:[Excl Score]],0),"")</f>
        <v>6</v>
      </c>
      <c r="BF36" s="150">
        <f>IFERROR(AVERAGEIFS(Upload_Indiv[Score9],Upload_Indiv[[Player]:[Player]],$A36,Upload_Indiv[[Side]:[Side]],"Raintree Back",Upload_Indiv[[Excl Score]:[Excl Score]],0),"")</f>
        <v>5.833333333333333</v>
      </c>
      <c r="BG36" s="150">
        <f t="shared" si="19"/>
        <v>-0.16666666666666696</v>
      </c>
      <c r="BH36" s="165">
        <f t="shared" si="20"/>
        <v>6</v>
      </c>
      <c r="BI36" s="165">
        <f t="shared" si="21"/>
        <v>45.5</v>
      </c>
      <c r="BJ36" s="165">
        <f t="shared" si="21"/>
        <v>1.5</v>
      </c>
    </row>
    <row r="37" spans="1:62" ht="15" customHeight="1" x14ac:dyDescent="0.25">
      <c r="A37" s="4" t="s">
        <v>158</v>
      </c>
      <c r="B37" s="170">
        <f>IFERROR(AVERAGEIFS(Upload_Indiv[Hdcp],Upload_Indiv[[Player]:[Player]],$A37,Upload_Indiv[[Excl Score]:[Excl Score]],0),"")</f>
        <v>14.307000000000002</v>
      </c>
      <c r="C37" s="149">
        <f>IFERROR(COUNTIFS(Upload_Indiv[[Player]:[Player]],$A37,Upload_Indiv[[Side]:[Side]],"Raintree Front",Upload_Indiv[[Excl Score]:[Excl Score]],0),"")</f>
        <v>5</v>
      </c>
      <c r="D37" s="150">
        <f>IFERROR(AVERAGEIFS(Upload_Indiv[Score1],Upload_Indiv[[Player]:[Player]],$A37,Upload_Indiv[[Side]:[Side]],"Raintree Front",Upload_Indiv[[Excl Score]:[Excl Score]],0),"")</f>
        <v>6.6</v>
      </c>
      <c r="E37" s="150">
        <f t="shared" si="0"/>
        <v>0.59999999999999964</v>
      </c>
      <c r="F37" s="151">
        <f>IFERROR(COUNTIFS(Upload_Indiv[[Player]:[Player]],$A37,Upload_Indiv[[Side]:[Side]],"Raintree Front",Upload_Indiv[[Excl Score]:[Excl Score]],0),"")</f>
        <v>5</v>
      </c>
      <c r="G37" s="152">
        <f>IFERROR(AVERAGEIFS(Upload_Indiv[Score2],Upload_Indiv[[Player]:[Player]],$A37,Upload_Indiv[[Side]:[Side]],"Raintree Front",Upload_Indiv[[Excl Score]:[Excl Score]],0),"")</f>
        <v>6.4</v>
      </c>
      <c r="H37" s="152">
        <f t="shared" si="1"/>
        <v>0.40000000000000036</v>
      </c>
      <c r="I37" s="149">
        <f>IFERROR(COUNTIFS(Upload_Indiv[[Player]:[Player]],$A37,Upload_Indiv[[Side]:[Side]],"Raintree Front",Upload_Indiv[[Excl Score]:[Excl Score]],0),"")</f>
        <v>5</v>
      </c>
      <c r="J37" s="150">
        <f>IFERROR(AVERAGEIFS(Upload_Indiv[Score3],Upload_Indiv[[Player]:[Player]],$A37,Upload_Indiv[[Side]:[Side]],"Raintree Front",Upload_Indiv[[Excl Score]:[Excl Score]],0),"")</f>
        <v>6.8</v>
      </c>
      <c r="K37" s="150">
        <f t="shared" si="2"/>
        <v>0.79999999999999982</v>
      </c>
      <c r="L37" s="151">
        <f>IFERROR(COUNTIFS(Upload_Indiv[[Player]:[Player]],$A37,Upload_Indiv[[Side]:[Side]],"Raintree Front",Upload_Indiv[[Excl Score]:[Excl Score]],0),"")</f>
        <v>5</v>
      </c>
      <c r="M37" s="152">
        <f>IFERROR(AVERAGEIFS(Upload_Indiv[Score4],Upload_Indiv[[Player]:[Player]],$A37,Upload_Indiv[[Side]:[Side]],"Raintree Front",Upload_Indiv[[Excl Score]:[Excl Score]],0),"")</f>
        <v>5</v>
      </c>
      <c r="N37" s="152">
        <f t="shared" si="3"/>
        <v>1</v>
      </c>
      <c r="O37" s="149">
        <f>IFERROR(COUNTIFS(Upload_Indiv[[Player]:[Player]],$A37,Upload_Indiv[[Side]:[Side]],"Raintree Front",Upload_Indiv[[Excl Score]:[Excl Score]],0),"")</f>
        <v>5</v>
      </c>
      <c r="P37" s="150">
        <f>IFERROR(AVERAGEIFS(Upload_Indiv[Score5],Upload_Indiv[[Player]:[Player]],$A37,Upload_Indiv[[Side]:[Side]],"Raintree Front",Upload_Indiv[[Excl Score]:[Excl Score]],0),"")</f>
        <v>6.6</v>
      </c>
      <c r="Q37" s="150">
        <f t="shared" si="4"/>
        <v>1.5999999999999996</v>
      </c>
      <c r="R37" s="151">
        <f>IFERROR(COUNTIFS(Upload_Indiv[[Player]:[Player]],$A37,Upload_Indiv[[Side]:[Side]],"Raintree Front",Upload_Indiv[[Excl Score]:[Excl Score]],0),"")</f>
        <v>5</v>
      </c>
      <c r="S37" s="152">
        <f>IFERROR(AVERAGEIFS(Upload_Indiv[Score6],Upload_Indiv[[Player]:[Player]],$A37,Upload_Indiv[[Side]:[Side]],"Raintree Front",Upload_Indiv[[Excl Score]:[Excl Score]],0),"")</f>
        <v>6.2</v>
      </c>
      <c r="T37" s="152">
        <f t="shared" si="5"/>
        <v>0.20000000000000018</v>
      </c>
      <c r="U37" s="149">
        <f>IFERROR(COUNTIFS(Upload_Indiv[[Player]:[Player]],$A37,Upload_Indiv[[Side]:[Side]],"Raintree Front",Upload_Indiv[[Excl Score]:[Excl Score]],0),"")</f>
        <v>5</v>
      </c>
      <c r="V37" s="150">
        <f>IFERROR(AVERAGEIFS(Upload_Indiv[Score7],Upload_Indiv[[Player]:[Player]],$A37,Upload_Indiv[[Side]:[Side]],"Raintree Front",Upload_Indiv[[Excl Score]:[Excl Score]],0),"")</f>
        <v>7.4</v>
      </c>
      <c r="W37" s="150">
        <f t="shared" si="6"/>
        <v>0.40000000000000036</v>
      </c>
      <c r="X37" s="151">
        <f>IFERROR(COUNTIFS(Upload_Indiv[[Player]:[Player]],$A37,Upload_Indiv[[Side]:[Side]],"Raintree Front",Upload_Indiv[[Excl Score]:[Excl Score]],0),"")</f>
        <v>5</v>
      </c>
      <c r="Y37" s="152">
        <f>IFERROR(AVERAGEIFS(Upload_Indiv[Score8],Upload_Indiv[[Player]:[Player]],$A37,Upload_Indiv[[Side]:[Side]],"Raintree Front",Upload_Indiv[[Excl Score]:[Excl Score]],0),"")</f>
        <v>5</v>
      </c>
      <c r="Z37" s="152">
        <f t="shared" si="7"/>
        <v>1</v>
      </c>
      <c r="AA37" s="149">
        <f>IFERROR(COUNTIFS(Upload_Indiv[[Player]:[Player]],$A37,Upload_Indiv[[Side]:[Side]],"Raintree Front",Upload_Indiv[[Excl Score]:[Excl Score]],0),"")</f>
        <v>5</v>
      </c>
      <c r="AB37" s="150">
        <f>IFERROR(AVERAGEIFS(Upload_Indiv[Score9],Upload_Indiv[[Player]:[Player]],$A37,Upload_Indiv[[Side]:[Side]],"Raintree Front",Upload_Indiv[[Excl Score]:[Excl Score]],0),"")</f>
        <v>5.6</v>
      </c>
      <c r="AC37" s="150">
        <f t="shared" si="8"/>
        <v>-0.40000000000000036</v>
      </c>
      <c r="AD37" s="165">
        <f t="shared" si="9"/>
        <v>5</v>
      </c>
      <c r="AE37" s="165">
        <f t="shared" si="10"/>
        <v>55.6</v>
      </c>
      <c r="AF37" s="165">
        <f t="shared" si="10"/>
        <v>5.6</v>
      </c>
      <c r="AG37" s="149">
        <f>IFERROR(COUNTIFS(Upload_Indiv[[Player]:[Player]],$A37,Upload_Indiv[[Side]:[Side]],"Raintree Back",Upload_Indiv[[Excl Score]:[Excl Score]],0),"")</f>
        <v>5</v>
      </c>
      <c r="AH37" s="150">
        <f>IFERROR(AVERAGEIFS(Upload_Indiv[Score1],Upload_Indiv[[Player]:[Player]],$A37,Upload_Indiv[[Side]:[Side]],"Raintree Back",Upload_Indiv[[Excl Score]:[Excl Score]],0),"")</f>
        <v>6.8</v>
      </c>
      <c r="AI37" s="150">
        <f t="shared" si="11"/>
        <v>1.7999999999999998</v>
      </c>
      <c r="AJ37" s="151">
        <f>IFERROR(COUNTIFS(Upload_Indiv[[Player]:[Player]],$A37,Upload_Indiv[[Side]:[Side]],"Raintree Back",Upload_Indiv[[Excl Score]:[Excl Score]],0),"")</f>
        <v>5</v>
      </c>
      <c r="AK37" s="152">
        <f>IFERROR(AVERAGEIFS(Upload_Indiv[Score2],Upload_Indiv[[Player]:[Player]],$A37,Upload_Indiv[[Side]:[Side]],"Raintree Back",Upload_Indiv[[Excl Score]:[Excl Score]],0),"")</f>
        <v>4.8</v>
      </c>
      <c r="AL37" s="152">
        <f t="shared" si="12"/>
        <v>0.79999999999999982</v>
      </c>
      <c r="AM37" s="149">
        <f>IFERROR(COUNTIFS(Upload_Indiv[[Player]:[Player]],$A37,Upload_Indiv[[Side]:[Side]],"Raintree Back",Upload_Indiv[[Excl Score]:[Excl Score]],0),"")</f>
        <v>5</v>
      </c>
      <c r="AN37" s="150">
        <f>IFERROR(AVERAGEIFS(Upload_Indiv[Score3],Upload_Indiv[[Player]:[Player]],$A37,Upload_Indiv[[Side]:[Side]],"Raintree Back",Upload_Indiv[[Excl Score]:[Excl Score]],0),"")</f>
        <v>6.4</v>
      </c>
      <c r="AO37" s="150">
        <f t="shared" si="13"/>
        <v>1.4000000000000004</v>
      </c>
      <c r="AP37" s="151">
        <f>IFERROR(COUNTIFS(Upload_Indiv[[Player]:[Player]],$A37,Upload_Indiv[[Side]:[Side]],"Raintree Back",Upload_Indiv[[Excl Score]:[Excl Score]],0),"")</f>
        <v>5</v>
      </c>
      <c r="AQ37" s="152">
        <f>IFERROR(AVERAGEIFS(Upload_Indiv[Score4],Upload_Indiv[[Player]:[Player]],$A37,Upload_Indiv[[Side]:[Side]],"Raintree Back",Upload_Indiv[[Excl Score]:[Excl Score]],0),"")</f>
        <v>6.2</v>
      </c>
      <c r="AR37" s="152">
        <f t="shared" si="14"/>
        <v>0.20000000000000018</v>
      </c>
      <c r="AS37" s="149">
        <f>IFERROR(COUNTIFS(Upload_Indiv[[Player]:[Player]],$A37,Upload_Indiv[[Side]:[Side]],"Raintree Back",Upload_Indiv[[Excl Score]:[Excl Score]],0),"")</f>
        <v>5</v>
      </c>
      <c r="AT37" s="150">
        <f>IFERROR(AVERAGEIFS(Upload_Indiv[Score5],Upload_Indiv[[Player]:[Player]],$A37,Upload_Indiv[[Side]:[Side]],"Raintree Back",Upload_Indiv[[Excl Score]:[Excl Score]],0),"")</f>
        <v>6.8</v>
      </c>
      <c r="AU37" s="150">
        <f t="shared" si="15"/>
        <v>0.79999999999999982</v>
      </c>
      <c r="AV37" s="151">
        <f>IFERROR(COUNTIFS(Upload_Indiv[[Player]:[Player]],$A37,Upload_Indiv[[Side]:[Side]],"Raintree Back",Upload_Indiv[[Excl Score]:[Excl Score]],0),"")</f>
        <v>5</v>
      </c>
      <c r="AW37" s="152">
        <f>IFERROR(AVERAGEIFS(Upload_Indiv[Score6],Upload_Indiv[[Player]:[Player]],$A37,Upload_Indiv[[Side]:[Side]],"Raintree Back",Upload_Indiv[[Excl Score]:[Excl Score]],0),"")</f>
        <v>5.8</v>
      </c>
      <c r="AX37" s="152">
        <f t="shared" si="16"/>
        <v>-1.2000000000000002</v>
      </c>
      <c r="AY37" s="149">
        <f>IFERROR(COUNTIFS(Upload_Indiv[[Player]:[Player]],$A37,Upload_Indiv[[Side]:[Side]],"Raintree Back",Upload_Indiv[[Excl Score]:[Excl Score]],0),"")</f>
        <v>5</v>
      </c>
      <c r="AZ37" s="150">
        <f>IFERROR(AVERAGEIFS(Upload_Indiv[Score7],Upload_Indiv[[Player]:[Player]],$A37,Upload_Indiv[[Side]:[Side]],"Raintree Back",Upload_Indiv[[Excl Score]:[Excl Score]],0),"")</f>
        <v>3.8</v>
      </c>
      <c r="BA37" s="150">
        <f t="shared" si="17"/>
        <v>-0.20000000000000018</v>
      </c>
      <c r="BB37" s="151">
        <f>IFERROR(COUNTIFS(Upload_Indiv[[Player]:[Player]],$A37,Upload_Indiv[[Side]:[Side]],"Raintree Back",Upload_Indiv[[Excl Score]:[Excl Score]],0),"")</f>
        <v>5</v>
      </c>
      <c r="BC37" s="152">
        <f>IFERROR(AVERAGEIFS(Upload_Indiv[Score8],Upload_Indiv[[Player]:[Player]],$A37,Upload_Indiv[[Side]:[Side]],"Raintree Back",Upload_Indiv[[Excl Score]:[Excl Score]],0),"")</f>
        <v>6.6</v>
      </c>
      <c r="BD37" s="152">
        <f t="shared" si="18"/>
        <v>0.59999999999999964</v>
      </c>
      <c r="BE37" s="149">
        <f>IFERROR(COUNTIFS(Upload_Indiv[[Player]:[Player]],$A37,Upload_Indiv[[Side]:[Side]],"Raintree Back",Upload_Indiv[[Excl Score]:[Excl Score]],0),"")</f>
        <v>5</v>
      </c>
      <c r="BF37" s="150">
        <f>IFERROR(AVERAGEIFS(Upload_Indiv[Score9],Upload_Indiv[[Player]:[Player]],$A37,Upload_Indiv[[Side]:[Side]],"Raintree Back",Upload_Indiv[[Excl Score]:[Excl Score]],0),"")</f>
        <v>7.6</v>
      </c>
      <c r="BG37" s="150">
        <f t="shared" si="19"/>
        <v>0.59999999999999964</v>
      </c>
      <c r="BH37" s="165">
        <f t="shared" si="20"/>
        <v>5</v>
      </c>
      <c r="BI37" s="165">
        <f t="shared" si="21"/>
        <v>54.8</v>
      </c>
      <c r="BJ37" s="165">
        <f t="shared" si="21"/>
        <v>4.7999999999999989</v>
      </c>
    </row>
    <row r="38" spans="1:62" ht="15" customHeight="1" x14ac:dyDescent="0.25">
      <c r="A38" s="4" t="s">
        <v>479</v>
      </c>
      <c r="B38" s="170">
        <f>IFERROR(AVERAGEIFS(Upload_Indiv[Hdcp],Upload_Indiv[[Player]:[Player]],$A38,Upload_Indiv[[Excl Score]:[Excl Score]],0),"")</f>
        <v>20</v>
      </c>
      <c r="C38" s="149">
        <f>IFERROR(COUNTIFS(Upload_Indiv[[Player]:[Player]],$A38,Upload_Indiv[[Side]:[Side]],"Raintree Front",Upload_Indiv[[Excl Score]:[Excl Score]],0),"")</f>
        <v>3</v>
      </c>
      <c r="D38" s="150">
        <f>IFERROR(AVERAGEIFS(Upload_Indiv[Score1],Upload_Indiv[[Player]:[Player]],$A38,Upload_Indiv[[Side]:[Side]],"Raintree Front",Upload_Indiv[[Excl Score]:[Excl Score]],0),"")</f>
        <v>8.6666666666666661</v>
      </c>
      <c r="E38" s="150">
        <f t="shared" si="0"/>
        <v>1.6666666666666661</v>
      </c>
      <c r="F38" s="151">
        <f>IFERROR(COUNTIFS(Upload_Indiv[[Player]:[Player]],$A38,Upload_Indiv[[Side]:[Side]],"Raintree Front",Upload_Indiv[[Excl Score]:[Excl Score]],0),"")</f>
        <v>3</v>
      </c>
      <c r="G38" s="152">
        <f>IFERROR(AVERAGEIFS(Upload_Indiv[Score2],Upload_Indiv[[Player]:[Player]],$A38,Upload_Indiv[[Side]:[Side]],"Raintree Front",Upload_Indiv[[Excl Score]:[Excl Score]],0),"")</f>
        <v>9.6666666666666661</v>
      </c>
      <c r="H38" s="152">
        <f t="shared" si="1"/>
        <v>2.6666666666666661</v>
      </c>
      <c r="I38" s="149">
        <f>IFERROR(COUNTIFS(Upload_Indiv[[Player]:[Player]],$A38,Upload_Indiv[[Side]:[Side]],"Raintree Front",Upload_Indiv[[Excl Score]:[Excl Score]],0),"")</f>
        <v>3</v>
      </c>
      <c r="J38" s="150">
        <f>IFERROR(AVERAGEIFS(Upload_Indiv[Score3],Upload_Indiv[[Player]:[Player]],$A38,Upload_Indiv[[Side]:[Side]],"Raintree Front",Upload_Indiv[[Excl Score]:[Excl Score]],0),"")</f>
        <v>7.666666666666667</v>
      </c>
      <c r="K38" s="150">
        <f t="shared" si="2"/>
        <v>1.666666666666667</v>
      </c>
      <c r="L38" s="151">
        <f>IFERROR(COUNTIFS(Upload_Indiv[[Player]:[Player]],$A38,Upload_Indiv[[Side]:[Side]],"Raintree Front",Upload_Indiv[[Excl Score]:[Excl Score]],0),"")</f>
        <v>3</v>
      </c>
      <c r="M38" s="152">
        <f>IFERROR(AVERAGEIFS(Upload_Indiv[Score4],Upload_Indiv[[Player]:[Player]],$A38,Upload_Indiv[[Side]:[Side]],"Raintree Front",Upload_Indiv[[Excl Score]:[Excl Score]],0),"")</f>
        <v>5.666666666666667</v>
      </c>
      <c r="N38" s="152">
        <f t="shared" si="3"/>
        <v>0.66666666666666696</v>
      </c>
      <c r="O38" s="149">
        <f>IFERROR(COUNTIFS(Upload_Indiv[[Player]:[Player]],$A38,Upload_Indiv[[Side]:[Side]],"Raintree Front",Upload_Indiv[[Excl Score]:[Excl Score]],0),"")</f>
        <v>3</v>
      </c>
      <c r="P38" s="150">
        <f>IFERROR(AVERAGEIFS(Upload_Indiv[Score5],Upload_Indiv[[Player]:[Player]],$A38,Upload_Indiv[[Side]:[Side]],"Raintree Front",Upload_Indiv[[Excl Score]:[Excl Score]],0),"")</f>
        <v>7.666666666666667</v>
      </c>
      <c r="Q38" s="150">
        <f t="shared" si="4"/>
        <v>1.666666666666667</v>
      </c>
      <c r="R38" s="151">
        <f>IFERROR(COUNTIFS(Upload_Indiv[[Player]:[Player]],$A38,Upload_Indiv[[Side]:[Side]],"Raintree Front",Upload_Indiv[[Excl Score]:[Excl Score]],0),"")</f>
        <v>3</v>
      </c>
      <c r="S38" s="152">
        <f>IFERROR(AVERAGEIFS(Upload_Indiv[Score6],Upload_Indiv[[Player]:[Player]],$A38,Upload_Indiv[[Side]:[Side]],"Raintree Front",Upload_Indiv[[Excl Score]:[Excl Score]],0),"")</f>
        <v>8</v>
      </c>
      <c r="T38" s="152">
        <f t="shared" si="5"/>
        <v>1</v>
      </c>
      <c r="U38" s="149">
        <f>IFERROR(COUNTIFS(Upload_Indiv[[Player]:[Player]],$A38,Upload_Indiv[[Side]:[Side]],"Raintree Front",Upload_Indiv[[Excl Score]:[Excl Score]],0),"")</f>
        <v>3</v>
      </c>
      <c r="V38" s="150">
        <f>IFERROR(AVERAGEIFS(Upload_Indiv[Score7],Upload_Indiv[[Player]:[Player]],$A38,Upload_Indiv[[Side]:[Side]],"Raintree Front",Upload_Indiv[[Excl Score]:[Excl Score]],0),"")</f>
        <v>9.3333333333333339</v>
      </c>
      <c r="W38" s="150">
        <f t="shared" si="6"/>
        <v>2.3333333333333339</v>
      </c>
      <c r="X38" s="151">
        <f>IFERROR(COUNTIFS(Upload_Indiv[[Player]:[Player]],$A38,Upload_Indiv[[Side]:[Side]],"Raintree Front",Upload_Indiv[[Excl Score]:[Excl Score]],0),"")</f>
        <v>3</v>
      </c>
      <c r="Y38" s="152">
        <f>IFERROR(AVERAGEIFS(Upload_Indiv[Score8],Upload_Indiv[[Player]:[Player]],$A38,Upload_Indiv[[Side]:[Side]],"Raintree Front",Upload_Indiv[[Excl Score]:[Excl Score]],0),"")</f>
        <v>7.333333333333333</v>
      </c>
      <c r="Z38" s="152">
        <f t="shared" si="7"/>
        <v>2.333333333333333</v>
      </c>
      <c r="AA38" s="149">
        <f>IFERROR(COUNTIFS(Upload_Indiv[[Player]:[Player]],$A38,Upload_Indiv[[Side]:[Side]],"Raintree Front",Upload_Indiv[[Excl Score]:[Excl Score]],0),"")</f>
        <v>3</v>
      </c>
      <c r="AB38" s="150">
        <f>IFERROR(AVERAGEIFS(Upload_Indiv[Score9],Upload_Indiv[[Player]:[Player]],$A38,Upload_Indiv[[Side]:[Side]],"Raintree Front",Upload_Indiv[[Excl Score]:[Excl Score]],0),"")</f>
        <v>8.3333333333333339</v>
      </c>
      <c r="AC38" s="150">
        <f t="shared" si="8"/>
        <v>2.3333333333333339</v>
      </c>
      <c r="AD38" s="165">
        <f t="shared" si="9"/>
        <v>3</v>
      </c>
      <c r="AE38" s="165">
        <f t="shared" si="10"/>
        <v>72.333333333333329</v>
      </c>
      <c r="AF38" s="165">
        <f t="shared" si="10"/>
        <v>16.333333333333336</v>
      </c>
      <c r="AG38" s="149">
        <f>IFERROR(COUNTIFS(Upload_Indiv[[Player]:[Player]],$A38,Upload_Indiv[[Side]:[Side]],"Raintree Back",Upload_Indiv[[Excl Score]:[Excl Score]],0),"")</f>
        <v>2</v>
      </c>
      <c r="AH38" s="150">
        <f>IFERROR(AVERAGEIFS(Upload_Indiv[Score1],Upload_Indiv[[Player]:[Player]],$A38,Upload_Indiv[[Side]:[Side]],"Raintree Back",Upload_Indiv[[Excl Score]:[Excl Score]],0),"")</f>
        <v>8.5</v>
      </c>
      <c r="AI38" s="150">
        <f t="shared" si="11"/>
        <v>2.5</v>
      </c>
      <c r="AJ38" s="151">
        <f>IFERROR(COUNTIFS(Upload_Indiv[[Player]:[Player]],$A38,Upload_Indiv[[Side]:[Side]],"Raintree Back",Upload_Indiv[[Excl Score]:[Excl Score]],0),"")</f>
        <v>2</v>
      </c>
      <c r="AK38" s="152">
        <f>IFERROR(AVERAGEIFS(Upload_Indiv[Score2],Upload_Indiv[[Player]:[Player]],$A38,Upload_Indiv[[Side]:[Side]],"Raintree Back",Upload_Indiv[[Excl Score]:[Excl Score]],0),"")</f>
        <v>6.5</v>
      </c>
      <c r="AL38" s="152">
        <f t="shared" si="12"/>
        <v>1.5</v>
      </c>
      <c r="AM38" s="149">
        <f>IFERROR(COUNTIFS(Upload_Indiv[[Player]:[Player]],$A38,Upload_Indiv[[Side]:[Side]],"Raintree Back",Upload_Indiv[[Excl Score]:[Excl Score]],0),"")</f>
        <v>2</v>
      </c>
      <c r="AN38" s="150">
        <f>IFERROR(AVERAGEIFS(Upload_Indiv[Score3],Upload_Indiv[[Player]:[Player]],$A38,Upload_Indiv[[Side]:[Side]],"Raintree Back",Upload_Indiv[[Excl Score]:[Excl Score]],0),"")</f>
        <v>8</v>
      </c>
      <c r="AO38" s="150">
        <f t="shared" si="13"/>
        <v>2</v>
      </c>
      <c r="AP38" s="151">
        <f>IFERROR(COUNTIFS(Upload_Indiv[[Player]:[Player]],$A38,Upload_Indiv[[Side]:[Side]],"Raintree Back",Upload_Indiv[[Excl Score]:[Excl Score]],0),"")</f>
        <v>2</v>
      </c>
      <c r="AQ38" s="152">
        <f>IFERROR(AVERAGEIFS(Upload_Indiv[Score4],Upload_Indiv[[Player]:[Player]],$A38,Upload_Indiv[[Side]:[Side]],"Raintree Back",Upload_Indiv[[Excl Score]:[Excl Score]],0),"")</f>
        <v>8.5</v>
      </c>
      <c r="AR38" s="152">
        <f t="shared" si="14"/>
        <v>1.5</v>
      </c>
      <c r="AS38" s="149">
        <f>IFERROR(COUNTIFS(Upload_Indiv[[Player]:[Player]],$A38,Upload_Indiv[[Side]:[Side]],"Raintree Back",Upload_Indiv[[Excl Score]:[Excl Score]],0),"")</f>
        <v>2</v>
      </c>
      <c r="AT38" s="150">
        <f>IFERROR(AVERAGEIFS(Upload_Indiv[Score5],Upload_Indiv[[Player]:[Player]],$A38,Upload_Indiv[[Side]:[Side]],"Raintree Back",Upload_Indiv[[Excl Score]:[Excl Score]],0),"")</f>
        <v>8.5</v>
      </c>
      <c r="AU38" s="150">
        <f t="shared" si="15"/>
        <v>2.5</v>
      </c>
      <c r="AV38" s="151">
        <f>IFERROR(COUNTIFS(Upload_Indiv[[Player]:[Player]],$A38,Upload_Indiv[[Side]:[Side]],"Raintree Back",Upload_Indiv[[Excl Score]:[Excl Score]],0),"")</f>
        <v>2</v>
      </c>
      <c r="AW38" s="152">
        <f>IFERROR(AVERAGEIFS(Upload_Indiv[Score6],Upload_Indiv[[Player]:[Player]],$A38,Upload_Indiv[[Side]:[Side]],"Raintree Back",Upload_Indiv[[Excl Score]:[Excl Score]],0),"")</f>
        <v>9</v>
      </c>
      <c r="AX38" s="152">
        <f t="shared" si="16"/>
        <v>2</v>
      </c>
      <c r="AY38" s="149">
        <f>IFERROR(COUNTIFS(Upload_Indiv[[Player]:[Player]],$A38,Upload_Indiv[[Side]:[Side]],"Raintree Back",Upload_Indiv[[Excl Score]:[Excl Score]],0),"")</f>
        <v>2</v>
      </c>
      <c r="AZ38" s="150">
        <f>IFERROR(AVERAGEIFS(Upload_Indiv[Score7],Upload_Indiv[[Player]:[Player]],$A38,Upload_Indiv[[Side]:[Side]],"Raintree Back",Upload_Indiv[[Excl Score]:[Excl Score]],0),"")</f>
        <v>6</v>
      </c>
      <c r="BA38" s="150">
        <f t="shared" si="17"/>
        <v>1</v>
      </c>
      <c r="BB38" s="151">
        <f>IFERROR(COUNTIFS(Upload_Indiv[[Player]:[Player]],$A38,Upload_Indiv[[Side]:[Side]],"Raintree Back",Upload_Indiv[[Excl Score]:[Excl Score]],0),"")</f>
        <v>2</v>
      </c>
      <c r="BC38" s="152">
        <f>IFERROR(AVERAGEIFS(Upload_Indiv[Score8],Upload_Indiv[[Player]:[Player]],$A38,Upload_Indiv[[Side]:[Side]],"Raintree Back",Upload_Indiv[[Excl Score]:[Excl Score]],0),"")</f>
        <v>7</v>
      </c>
      <c r="BD38" s="152">
        <f t="shared" si="18"/>
        <v>0</v>
      </c>
      <c r="BE38" s="149">
        <f>IFERROR(COUNTIFS(Upload_Indiv[[Player]:[Player]],$A38,Upload_Indiv[[Side]:[Side]],"Raintree Back",Upload_Indiv[[Excl Score]:[Excl Score]],0),"")</f>
        <v>2</v>
      </c>
      <c r="BF38" s="150">
        <f>IFERROR(AVERAGEIFS(Upload_Indiv[Score9],Upload_Indiv[[Player]:[Player]],$A38,Upload_Indiv[[Side]:[Side]],"Raintree Back",Upload_Indiv[[Excl Score]:[Excl Score]],0),"")</f>
        <v>9.5</v>
      </c>
      <c r="BG38" s="150">
        <f t="shared" si="19"/>
        <v>2.5</v>
      </c>
      <c r="BH38" s="165">
        <f t="shared" si="20"/>
        <v>2</v>
      </c>
      <c r="BI38" s="165">
        <f t="shared" si="21"/>
        <v>71.5</v>
      </c>
      <c r="BJ38" s="165">
        <f t="shared" si="21"/>
        <v>15.5</v>
      </c>
    </row>
    <row r="39" spans="1:62" ht="15" customHeight="1" x14ac:dyDescent="0.25">
      <c r="A39" s="4" t="s">
        <v>283</v>
      </c>
      <c r="B39" s="170">
        <f>IFERROR(AVERAGEIFS(Upload_Indiv[Hdcp],Upload_Indiv[[Player]:[Player]],$A39,Upload_Indiv[[Excl Score]:[Excl Score]],0),"")</f>
        <v>6.78</v>
      </c>
      <c r="C39" s="149">
        <f>IFERROR(COUNTIFS(Upload_Indiv[[Player]:[Player]],$A39,Upload_Indiv[[Side]:[Side]],"Raintree Front",Upload_Indiv[[Excl Score]:[Excl Score]],0),"")</f>
        <v>5</v>
      </c>
      <c r="D39" s="150">
        <f>IFERROR(AVERAGEIFS(Upload_Indiv[Score1],Upload_Indiv[[Player]:[Player]],$A39,Upload_Indiv[[Side]:[Side]],"Raintree Front",Upload_Indiv[[Excl Score]:[Excl Score]],0),"")</f>
        <v>5.2</v>
      </c>
      <c r="E39" s="150">
        <f t="shared" si="0"/>
        <v>0.20000000000000018</v>
      </c>
      <c r="F39" s="151">
        <f>IFERROR(COUNTIFS(Upload_Indiv[[Player]:[Player]],$A39,Upload_Indiv[[Side]:[Side]],"Raintree Front",Upload_Indiv[[Excl Score]:[Excl Score]],0),"")</f>
        <v>5</v>
      </c>
      <c r="G39" s="152">
        <f>IFERROR(AVERAGEIFS(Upload_Indiv[Score2],Upload_Indiv[[Player]:[Player]],$A39,Upload_Indiv[[Side]:[Side]],"Raintree Front",Upload_Indiv[[Excl Score]:[Excl Score]],0),"")</f>
        <v>5.2</v>
      </c>
      <c r="H39" s="152">
        <f t="shared" si="1"/>
        <v>-0.79999999999999982</v>
      </c>
      <c r="I39" s="149">
        <f>IFERROR(COUNTIFS(Upload_Indiv[[Player]:[Player]],$A39,Upload_Indiv[[Side]:[Side]],"Raintree Front",Upload_Indiv[[Excl Score]:[Excl Score]],0),"")</f>
        <v>5</v>
      </c>
      <c r="J39" s="150">
        <f>IFERROR(AVERAGEIFS(Upload_Indiv[Score3],Upload_Indiv[[Player]:[Player]],$A39,Upload_Indiv[[Side]:[Side]],"Raintree Front",Upload_Indiv[[Excl Score]:[Excl Score]],0),"")</f>
        <v>5.4</v>
      </c>
      <c r="K39" s="150">
        <f t="shared" si="2"/>
        <v>0.40000000000000036</v>
      </c>
      <c r="L39" s="151">
        <f>IFERROR(COUNTIFS(Upload_Indiv[[Player]:[Player]],$A39,Upload_Indiv[[Side]:[Side]],"Raintree Front",Upload_Indiv[[Excl Score]:[Excl Score]],0),"")</f>
        <v>5</v>
      </c>
      <c r="M39" s="152">
        <f>IFERROR(AVERAGEIFS(Upload_Indiv[Score4],Upload_Indiv[[Player]:[Player]],$A39,Upload_Indiv[[Side]:[Side]],"Raintree Front",Upload_Indiv[[Excl Score]:[Excl Score]],0),"")</f>
        <v>3.6</v>
      </c>
      <c r="N39" s="152">
        <f t="shared" si="3"/>
        <v>0.60000000000000009</v>
      </c>
      <c r="O39" s="149">
        <f>IFERROR(COUNTIFS(Upload_Indiv[[Player]:[Player]],$A39,Upload_Indiv[[Side]:[Side]],"Raintree Front",Upload_Indiv[[Excl Score]:[Excl Score]],0),"")</f>
        <v>5</v>
      </c>
      <c r="P39" s="150">
        <f>IFERROR(AVERAGEIFS(Upload_Indiv[Score5],Upload_Indiv[[Player]:[Player]],$A39,Upload_Indiv[[Side]:[Side]],"Raintree Front",Upload_Indiv[[Excl Score]:[Excl Score]],0),"")</f>
        <v>5.2</v>
      </c>
      <c r="Q39" s="150">
        <f t="shared" si="4"/>
        <v>1.2000000000000002</v>
      </c>
      <c r="R39" s="151">
        <f>IFERROR(COUNTIFS(Upload_Indiv[[Player]:[Player]],$A39,Upload_Indiv[[Side]:[Side]],"Raintree Front",Upload_Indiv[[Excl Score]:[Excl Score]],0),"")</f>
        <v>5</v>
      </c>
      <c r="S39" s="152">
        <f>IFERROR(AVERAGEIFS(Upload_Indiv[Score6],Upload_Indiv[[Player]:[Player]],$A39,Upload_Indiv[[Side]:[Side]],"Raintree Front",Upload_Indiv[[Excl Score]:[Excl Score]],0),"")</f>
        <v>5.4</v>
      </c>
      <c r="T39" s="152">
        <f t="shared" si="5"/>
        <v>0.40000000000000036</v>
      </c>
      <c r="U39" s="149">
        <f>IFERROR(COUNTIFS(Upload_Indiv[[Player]:[Player]],$A39,Upload_Indiv[[Side]:[Side]],"Raintree Front",Upload_Indiv[[Excl Score]:[Excl Score]],0),"")</f>
        <v>5</v>
      </c>
      <c r="V39" s="150">
        <f>IFERROR(AVERAGEIFS(Upload_Indiv[Score7],Upload_Indiv[[Player]:[Player]],$A39,Upload_Indiv[[Side]:[Side]],"Raintree Front",Upload_Indiv[[Excl Score]:[Excl Score]],0),"")</f>
        <v>7.2</v>
      </c>
      <c r="W39" s="150">
        <f t="shared" si="6"/>
        <v>1.2000000000000002</v>
      </c>
      <c r="X39" s="151">
        <f>IFERROR(COUNTIFS(Upload_Indiv[[Player]:[Player]],$A39,Upload_Indiv[[Side]:[Side]],"Raintree Front",Upload_Indiv[[Excl Score]:[Excl Score]],0),"")</f>
        <v>5</v>
      </c>
      <c r="Y39" s="152">
        <f>IFERROR(AVERAGEIFS(Upload_Indiv[Score8],Upload_Indiv[[Player]:[Player]],$A39,Upload_Indiv[[Side]:[Side]],"Raintree Front",Upload_Indiv[[Excl Score]:[Excl Score]],0),"")</f>
        <v>4.5999999999999996</v>
      </c>
      <c r="Z39" s="152">
        <f t="shared" si="7"/>
        <v>0.59999999999999964</v>
      </c>
      <c r="AA39" s="149">
        <f>IFERROR(COUNTIFS(Upload_Indiv[[Player]:[Player]],$A39,Upload_Indiv[[Side]:[Side]],"Raintree Front",Upload_Indiv[[Excl Score]:[Excl Score]],0),"")</f>
        <v>5</v>
      </c>
      <c r="AB39" s="150">
        <f>IFERROR(AVERAGEIFS(Upload_Indiv[Score9],Upload_Indiv[[Player]:[Player]],$A39,Upload_Indiv[[Side]:[Side]],"Raintree Front",Upload_Indiv[[Excl Score]:[Excl Score]],0),"")</f>
        <v>4.8</v>
      </c>
      <c r="AC39" s="150">
        <f t="shared" si="8"/>
        <v>-0.20000000000000018</v>
      </c>
      <c r="AD39" s="165">
        <f t="shared" si="9"/>
        <v>5</v>
      </c>
      <c r="AE39" s="165">
        <f t="shared" si="10"/>
        <v>46.6</v>
      </c>
      <c r="AF39" s="165">
        <f t="shared" si="10"/>
        <v>3.600000000000001</v>
      </c>
      <c r="AG39" s="149">
        <f>IFERROR(COUNTIFS(Upload_Indiv[[Player]:[Player]],$A39,Upload_Indiv[[Side]:[Side]],"Raintree Back",Upload_Indiv[[Excl Score]:[Excl Score]],0),"")</f>
        <v>8</v>
      </c>
      <c r="AH39" s="150">
        <f>IFERROR(AVERAGEIFS(Upload_Indiv[Score1],Upload_Indiv[[Player]:[Player]],$A39,Upload_Indiv[[Side]:[Side]],"Raintree Back",Upload_Indiv[[Excl Score]:[Excl Score]],0),"")</f>
        <v>5.125</v>
      </c>
      <c r="AI39" s="150">
        <f t="shared" si="11"/>
        <v>0.125</v>
      </c>
      <c r="AJ39" s="151">
        <f>IFERROR(COUNTIFS(Upload_Indiv[[Player]:[Player]],$A39,Upload_Indiv[[Side]:[Side]],"Raintree Back",Upload_Indiv[[Excl Score]:[Excl Score]],0),"")</f>
        <v>8</v>
      </c>
      <c r="AK39" s="152">
        <f>IFERROR(AVERAGEIFS(Upload_Indiv[Score2],Upload_Indiv[[Player]:[Player]],$A39,Upload_Indiv[[Side]:[Side]],"Raintree Back",Upload_Indiv[[Excl Score]:[Excl Score]],0),"")</f>
        <v>3.625</v>
      </c>
      <c r="AL39" s="152">
        <f t="shared" si="12"/>
        <v>-0.375</v>
      </c>
      <c r="AM39" s="149">
        <f>IFERROR(COUNTIFS(Upload_Indiv[[Player]:[Player]],$A39,Upload_Indiv[[Side]:[Side]],"Raintree Back",Upload_Indiv[[Excl Score]:[Excl Score]],0),"")</f>
        <v>8</v>
      </c>
      <c r="AN39" s="150">
        <f>IFERROR(AVERAGEIFS(Upload_Indiv[Score3],Upload_Indiv[[Player]:[Player]],$A39,Upload_Indiv[[Side]:[Side]],"Raintree Back",Upload_Indiv[[Excl Score]:[Excl Score]],0),"")</f>
        <v>4.5</v>
      </c>
      <c r="AO39" s="150">
        <f t="shared" si="13"/>
        <v>0.5</v>
      </c>
      <c r="AP39" s="151">
        <f>IFERROR(COUNTIFS(Upload_Indiv[[Player]:[Player]],$A39,Upload_Indiv[[Side]:[Side]],"Raintree Back",Upload_Indiv[[Excl Score]:[Excl Score]],0),"")</f>
        <v>8</v>
      </c>
      <c r="AQ39" s="152">
        <f>IFERROR(AVERAGEIFS(Upload_Indiv[Score4],Upload_Indiv[[Player]:[Player]],$A39,Upload_Indiv[[Side]:[Side]],"Raintree Back",Upload_Indiv[[Excl Score]:[Excl Score]],0),"")</f>
        <v>5.625</v>
      </c>
      <c r="AR39" s="152">
        <f t="shared" si="14"/>
        <v>0.625</v>
      </c>
      <c r="AS39" s="149">
        <f>IFERROR(COUNTIFS(Upload_Indiv[[Player]:[Player]],$A39,Upload_Indiv[[Side]:[Side]],"Raintree Back",Upload_Indiv[[Excl Score]:[Excl Score]],0),"")</f>
        <v>8</v>
      </c>
      <c r="AT39" s="150">
        <f>IFERROR(AVERAGEIFS(Upload_Indiv[Score5],Upload_Indiv[[Player]:[Player]],$A39,Upload_Indiv[[Side]:[Side]],"Raintree Back",Upload_Indiv[[Excl Score]:[Excl Score]],0),"")</f>
        <v>5.875</v>
      </c>
      <c r="AU39" s="150">
        <f t="shared" si="15"/>
        <v>0.875</v>
      </c>
      <c r="AV39" s="151">
        <f>IFERROR(COUNTIFS(Upload_Indiv[[Player]:[Player]],$A39,Upload_Indiv[[Side]:[Side]],"Raintree Back",Upload_Indiv[[Excl Score]:[Excl Score]],0),"")</f>
        <v>8</v>
      </c>
      <c r="AW39" s="152">
        <f>IFERROR(AVERAGEIFS(Upload_Indiv[Score6],Upload_Indiv[[Player]:[Player]],$A39,Upload_Indiv[[Side]:[Side]],"Raintree Back",Upload_Indiv[[Excl Score]:[Excl Score]],0),"")</f>
        <v>6.25</v>
      </c>
      <c r="AX39" s="152">
        <f t="shared" si="16"/>
        <v>0.25</v>
      </c>
      <c r="AY39" s="149">
        <f>IFERROR(COUNTIFS(Upload_Indiv[[Player]:[Player]],$A39,Upload_Indiv[[Side]:[Side]],"Raintree Back",Upload_Indiv[[Excl Score]:[Excl Score]],0),"")</f>
        <v>8</v>
      </c>
      <c r="AZ39" s="150">
        <f>IFERROR(AVERAGEIFS(Upload_Indiv[Score7],Upload_Indiv[[Player]:[Player]],$A39,Upload_Indiv[[Side]:[Side]],"Raintree Back",Upload_Indiv[[Excl Score]:[Excl Score]],0),"")</f>
        <v>3.5</v>
      </c>
      <c r="BA39" s="150">
        <f t="shared" si="17"/>
        <v>0.5</v>
      </c>
      <c r="BB39" s="151">
        <f>IFERROR(COUNTIFS(Upload_Indiv[[Player]:[Player]],$A39,Upload_Indiv[[Side]:[Side]],"Raintree Back",Upload_Indiv[[Excl Score]:[Excl Score]],0),"")</f>
        <v>8</v>
      </c>
      <c r="BC39" s="152">
        <f>IFERROR(AVERAGEIFS(Upload_Indiv[Score8],Upload_Indiv[[Player]:[Player]],$A39,Upload_Indiv[[Side]:[Side]],"Raintree Back",Upload_Indiv[[Excl Score]:[Excl Score]],0),"")</f>
        <v>5.125</v>
      </c>
      <c r="BD39" s="152">
        <f t="shared" si="18"/>
        <v>0.125</v>
      </c>
      <c r="BE39" s="149">
        <f>IFERROR(COUNTIFS(Upload_Indiv[[Player]:[Player]],$A39,Upload_Indiv[[Side]:[Side]],"Raintree Back",Upload_Indiv[[Excl Score]:[Excl Score]],0),"")</f>
        <v>8</v>
      </c>
      <c r="BF39" s="150">
        <f>IFERROR(AVERAGEIFS(Upload_Indiv[Score9],Upload_Indiv[[Player]:[Player]],$A39,Upload_Indiv[[Side]:[Side]],"Raintree Back",Upload_Indiv[[Excl Score]:[Excl Score]],0),"")</f>
        <v>6.5</v>
      </c>
      <c r="BG39" s="150">
        <f t="shared" si="19"/>
        <v>0.5</v>
      </c>
      <c r="BH39" s="165">
        <f t="shared" si="20"/>
        <v>8</v>
      </c>
      <c r="BI39" s="165">
        <f t="shared" si="21"/>
        <v>46.125</v>
      </c>
      <c r="BJ39" s="165">
        <f t="shared" si="21"/>
        <v>3.125</v>
      </c>
    </row>
    <row r="40" spans="1:62" ht="15" customHeight="1" x14ac:dyDescent="0.25">
      <c r="A40" s="4" t="s">
        <v>216</v>
      </c>
      <c r="B40" s="170">
        <f>IFERROR(AVERAGEIFS(Upload_Indiv[Hdcp],Upload_Indiv[[Player]:[Player]],$A40,Upload_Indiv[[Excl Score]:[Excl Score]],0),"")</f>
        <v>15.28</v>
      </c>
      <c r="C40" s="149">
        <f>IFERROR(COUNTIFS(Upload_Indiv[[Player]:[Player]],$A40,Upload_Indiv[[Side]:[Side]],"Raintree Front",Upload_Indiv[[Excl Score]:[Excl Score]],0),"")</f>
        <v>1</v>
      </c>
      <c r="D40" s="150">
        <f>IFERROR(AVERAGEIFS(Upload_Indiv[Score1],Upload_Indiv[[Player]:[Player]],$A40,Upload_Indiv[[Side]:[Side]],"Raintree Front",Upload_Indiv[[Excl Score]:[Excl Score]],0),"")</f>
        <v>6</v>
      </c>
      <c r="E40" s="150">
        <f t="shared" si="0"/>
        <v>0</v>
      </c>
      <c r="F40" s="151">
        <f>IFERROR(COUNTIFS(Upload_Indiv[[Player]:[Player]],$A40,Upload_Indiv[[Side]:[Side]],"Raintree Front",Upload_Indiv[[Excl Score]:[Excl Score]],0),"")</f>
        <v>1</v>
      </c>
      <c r="G40" s="152">
        <f>IFERROR(AVERAGEIFS(Upload_Indiv[Score2],Upload_Indiv[[Player]:[Player]],$A40,Upload_Indiv[[Side]:[Side]],"Raintree Front",Upload_Indiv[[Excl Score]:[Excl Score]],0),"")</f>
        <v>6</v>
      </c>
      <c r="H40" s="152">
        <f t="shared" si="1"/>
        <v>0</v>
      </c>
      <c r="I40" s="149">
        <f>IFERROR(COUNTIFS(Upload_Indiv[[Player]:[Player]],$A40,Upload_Indiv[[Side]:[Side]],"Raintree Front",Upload_Indiv[[Excl Score]:[Excl Score]],0),"")</f>
        <v>1</v>
      </c>
      <c r="J40" s="150">
        <f>IFERROR(AVERAGEIFS(Upload_Indiv[Score3],Upload_Indiv[[Player]:[Player]],$A40,Upload_Indiv[[Side]:[Side]],"Raintree Front",Upload_Indiv[[Excl Score]:[Excl Score]],0),"")</f>
        <v>6</v>
      </c>
      <c r="K40" s="150">
        <f t="shared" si="2"/>
        <v>0</v>
      </c>
      <c r="L40" s="151">
        <f>IFERROR(COUNTIFS(Upload_Indiv[[Player]:[Player]],$A40,Upload_Indiv[[Side]:[Side]],"Raintree Front",Upload_Indiv[[Excl Score]:[Excl Score]],0),"")</f>
        <v>1</v>
      </c>
      <c r="M40" s="152">
        <f>IFERROR(AVERAGEIFS(Upload_Indiv[Score4],Upload_Indiv[[Player]:[Player]],$A40,Upload_Indiv[[Side]:[Side]],"Raintree Front",Upload_Indiv[[Excl Score]:[Excl Score]],0),"")</f>
        <v>5</v>
      </c>
      <c r="N40" s="152">
        <f t="shared" si="3"/>
        <v>1</v>
      </c>
      <c r="O40" s="149">
        <f>IFERROR(COUNTIFS(Upload_Indiv[[Player]:[Player]],$A40,Upload_Indiv[[Side]:[Side]],"Raintree Front",Upload_Indiv[[Excl Score]:[Excl Score]],0),"")</f>
        <v>1</v>
      </c>
      <c r="P40" s="150">
        <f>IFERROR(AVERAGEIFS(Upload_Indiv[Score5],Upload_Indiv[[Player]:[Player]],$A40,Upload_Indiv[[Side]:[Side]],"Raintree Front",Upload_Indiv[[Excl Score]:[Excl Score]],0),"")</f>
        <v>6</v>
      </c>
      <c r="Q40" s="150">
        <f t="shared" si="4"/>
        <v>1</v>
      </c>
      <c r="R40" s="151">
        <f>IFERROR(COUNTIFS(Upload_Indiv[[Player]:[Player]],$A40,Upload_Indiv[[Side]:[Side]],"Raintree Front",Upload_Indiv[[Excl Score]:[Excl Score]],0),"")</f>
        <v>1</v>
      </c>
      <c r="S40" s="152">
        <f>IFERROR(AVERAGEIFS(Upload_Indiv[Score6],Upload_Indiv[[Player]:[Player]],$A40,Upload_Indiv[[Side]:[Side]],"Raintree Front",Upload_Indiv[[Excl Score]:[Excl Score]],0),"")</f>
        <v>5</v>
      </c>
      <c r="T40" s="152">
        <f t="shared" si="5"/>
        <v>-1</v>
      </c>
      <c r="U40" s="149">
        <f>IFERROR(COUNTIFS(Upload_Indiv[[Player]:[Player]],$A40,Upload_Indiv[[Side]:[Side]],"Raintree Front",Upload_Indiv[[Excl Score]:[Excl Score]],0),"")</f>
        <v>1</v>
      </c>
      <c r="V40" s="150">
        <f>IFERROR(AVERAGEIFS(Upload_Indiv[Score7],Upload_Indiv[[Player]:[Player]],$A40,Upload_Indiv[[Side]:[Side]],"Raintree Front",Upload_Indiv[[Excl Score]:[Excl Score]],0),"")</f>
        <v>7</v>
      </c>
      <c r="W40" s="150">
        <f t="shared" si="6"/>
        <v>0</v>
      </c>
      <c r="X40" s="151">
        <f>IFERROR(COUNTIFS(Upload_Indiv[[Player]:[Player]],$A40,Upload_Indiv[[Side]:[Side]],"Raintree Front",Upload_Indiv[[Excl Score]:[Excl Score]],0),"")</f>
        <v>1</v>
      </c>
      <c r="Y40" s="152">
        <f>IFERROR(AVERAGEIFS(Upload_Indiv[Score8],Upload_Indiv[[Player]:[Player]],$A40,Upload_Indiv[[Side]:[Side]],"Raintree Front",Upload_Indiv[[Excl Score]:[Excl Score]],0),"")</f>
        <v>7</v>
      </c>
      <c r="Z40" s="152">
        <f t="shared" si="7"/>
        <v>2</v>
      </c>
      <c r="AA40" s="149">
        <f>IFERROR(COUNTIFS(Upload_Indiv[[Player]:[Player]],$A40,Upload_Indiv[[Side]:[Side]],"Raintree Front",Upload_Indiv[[Excl Score]:[Excl Score]],0),"")</f>
        <v>1</v>
      </c>
      <c r="AB40" s="150">
        <f>IFERROR(AVERAGEIFS(Upload_Indiv[Score9],Upload_Indiv[[Player]:[Player]],$A40,Upload_Indiv[[Side]:[Side]],"Raintree Front",Upload_Indiv[[Excl Score]:[Excl Score]],0),"")</f>
        <v>6</v>
      </c>
      <c r="AC40" s="150">
        <f t="shared" si="8"/>
        <v>0</v>
      </c>
      <c r="AD40" s="165">
        <f t="shared" si="9"/>
        <v>1</v>
      </c>
      <c r="AE40" s="165">
        <f t="shared" si="10"/>
        <v>54</v>
      </c>
      <c r="AF40" s="165">
        <f t="shared" si="10"/>
        <v>3</v>
      </c>
      <c r="AG40" s="149">
        <f>IFERROR(COUNTIFS(Upload_Indiv[[Player]:[Player]],$A40,Upload_Indiv[[Side]:[Side]],"Raintree Back",Upload_Indiv[[Excl Score]:[Excl Score]],0),"")</f>
        <v>0</v>
      </c>
      <c r="AH40" s="150" t="str">
        <f>IFERROR(AVERAGEIFS(Upload_Indiv[Score1],Upload_Indiv[[Player]:[Player]],$A40,Upload_Indiv[[Side]:[Side]],"Raintree Back",Upload_Indiv[[Excl Score]:[Excl Score]],0),"")</f>
        <v/>
      </c>
      <c r="AI40" s="150" t="str">
        <f t="shared" si="11"/>
        <v/>
      </c>
      <c r="AJ40" s="151">
        <f>IFERROR(COUNTIFS(Upload_Indiv[[Player]:[Player]],$A40,Upload_Indiv[[Side]:[Side]],"Raintree Back",Upload_Indiv[[Excl Score]:[Excl Score]],0),"")</f>
        <v>0</v>
      </c>
      <c r="AK40" s="152" t="str">
        <f>IFERROR(AVERAGEIFS(Upload_Indiv[Score2],Upload_Indiv[[Player]:[Player]],$A40,Upload_Indiv[[Side]:[Side]],"Raintree Back",Upload_Indiv[[Excl Score]:[Excl Score]],0),"")</f>
        <v/>
      </c>
      <c r="AL40" s="152" t="str">
        <f t="shared" si="12"/>
        <v/>
      </c>
      <c r="AM40" s="149">
        <f>IFERROR(COUNTIFS(Upload_Indiv[[Player]:[Player]],$A40,Upload_Indiv[[Side]:[Side]],"Raintree Back",Upload_Indiv[[Excl Score]:[Excl Score]],0),"")</f>
        <v>0</v>
      </c>
      <c r="AN40" s="150" t="str">
        <f>IFERROR(AVERAGEIFS(Upload_Indiv[Score3],Upload_Indiv[[Player]:[Player]],$A40,Upload_Indiv[[Side]:[Side]],"Raintree Back",Upload_Indiv[[Excl Score]:[Excl Score]],0),"")</f>
        <v/>
      </c>
      <c r="AO40" s="150" t="str">
        <f t="shared" si="13"/>
        <v/>
      </c>
      <c r="AP40" s="151">
        <f>IFERROR(COUNTIFS(Upload_Indiv[[Player]:[Player]],$A40,Upload_Indiv[[Side]:[Side]],"Raintree Back",Upload_Indiv[[Excl Score]:[Excl Score]],0),"")</f>
        <v>0</v>
      </c>
      <c r="AQ40" s="152" t="str">
        <f>IFERROR(AVERAGEIFS(Upload_Indiv[Score4],Upload_Indiv[[Player]:[Player]],$A40,Upload_Indiv[[Side]:[Side]],"Raintree Back",Upload_Indiv[[Excl Score]:[Excl Score]],0),"")</f>
        <v/>
      </c>
      <c r="AR40" s="152" t="str">
        <f t="shared" si="14"/>
        <v/>
      </c>
      <c r="AS40" s="149">
        <f>IFERROR(COUNTIFS(Upload_Indiv[[Player]:[Player]],$A40,Upload_Indiv[[Side]:[Side]],"Raintree Back",Upload_Indiv[[Excl Score]:[Excl Score]],0),"")</f>
        <v>0</v>
      </c>
      <c r="AT40" s="150" t="str">
        <f>IFERROR(AVERAGEIFS(Upload_Indiv[Score5],Upload_Indiv[[Player]:[Player]],$A40,Upload_Indiv[[Side]:[Side]],"Raintree Back",Upload_Indiv[[Excl Score]:[Excl Score]],0),"")</f>
        <v/>
      </c>
      <c r="AU40" s="150" t="str">
        <f t="shared" si="15"/>
        <v/>
      </c>
      <c r="AV40" s="151">
        <f>IFERROR(COUNTIFS(Upload_Indiv[[Player]:[Player]],$A40,Upload_Indiv[[Side]:[Side]],"Raintree Back",Upload_Indiv[[Excl Score]:[Excl Score]],0),"")</f>
        <v>0</v>
      </c>
      <c r="AW40" s="152" t="str">
        <f>IFERROR(AVERAGEIFS(Upload_Indiv[Score6],Upload_Indiv[[Player]:[Player]],$A40,Upload_Indiv[[Side]:[Side]],"Raintree Back",Upload_Indiv[[Excl Score]:[Excl Score]],0),"")</f>
        <v/>
      </c>
      <c r="AX40" s="152" t="str">
        <f t="shared" si="16"/>
        <v/>
      </c>
      <c r="AY40" s="149">
        <f>IFERROR(COUNTIFS(Upload_Indiv[[Player]:[Player]],$A40,Upload_Indiv[[Side]:[Side]],"Raintree Back",Upload_Indiv[[Excl Score]:[Excl Score]],0),"")</f>
        <v>0</v>
      </c>
      <c r="AZ40" s="150" t="str">
        <f>IFERROR(AVERAGEIFS(Upload_Indiv[Score7],Upload_Indiv[[Player]:[Player]],$A40,Upload_Indiv[[Side]:[Side]],"Raintree Back",Upload_Indiv[[Excl Score]:[Excl Score]],0),"")</f>
        <v/>
      </c>
      <c r="BA40" s="150" t="str">
        <f t="shared" si="17"/>
        <v/>
      </c>
      <c r="BB40" s="151">
        <f>IFERROR(COUNTIFS(Upload_Indiv[[Player]:[Player]],$A40,Upload_Indiv[[Side]:[Side]],"Raintree Back",Upload_Indiv[[Excl Score]:[Excl Score]],0),"")</f>
        <v>0</v>
      </c>
      <c r="BC40" s="152" t="str">
        <f>IFERROR(AVERAGEIFS(Upload_Indiv[Score8],Upload_Indiv[[Player]:[Player]],$A40,Upload_Indiv[[Side]:[Side]],"Raintree Back",Upload_Indiv[[Excl Score]:[Excl Score]],0),"")</f>
        <v/>
      </c>
      <c r="BD40" s="152" t="str">
        <f t="shared" si="18"/>
        <v/>
      </c>
      <c r="BE40" s="149">
        <f>IFERROR(COUNTIFS(Upload_Indiv[[Player]:[Player]],$A40,Upload_Indiv[[Side]:[Side]],"Raintree Back",Upload_Indiv[[Excl Score]:[Excl Score]],0),"")</f>
        <v>0</v>
      </c>
      <c r="BF40" s="150" t="str">
        <f>IFERROR(AVERAGEIFS(Upload_Indiv[Score9],Upload_Indiv[[Player]:[Player]],$A40,Upload_Indiv[[Side]:[Side]],"Raintree Back",Upload_Indiv[[Excl Score]:[Excl Score]],0),"")</f>
        <v/>
      </c>
      <c r="BG40" s="150" t="str">
        <f t="shared" si="19"/>
        <v/>
      </c>
      <c r="BH40" s="165">
        <f t="shared" si="20"/>
        <v>0</v>
      </c>
      <c r="BI40" s="165">
        <f t="shared" si="21"/>
        <v>0</v>
      </c>
      <c r="BJ40" s="165">
        <f t="shared" si="21"/>
        <v>0</v>
      </c>
    </row>
    <row r="41" spans="1:62" ht="15" customHeight="1" x14ac:dyDescent="0.25">
      <c r="A41" s="4" t="s">
        <v>276</v>
      </c>
      <c r="B41" s="170">
        <f>IFERROR(AVERAGEIFS(Upload_Indiv[Hdcp],Upload_Indiv[[Player]:[Player]],$A41,Upload_Indiv[[Excl Score]:[Excl Score]],0),"")</f>
        <v>14.606923076923078</v>
      </c>
      <c r="C41" s="149">
        <f>IFERROR(COUNTIFS(Upload_Indiv[[Player]:[Player]],$A41,Upload_Indiv[[Side]:[Side]],"Raintree Front",Upload_Indiv[[Excl Score]:[Excl Score]],0),"")</f>
        <v>6</v>
      </c>
      <c r="D41" s="150">
        <f>IFERROR(AVERAGEIFS(Upload_Indiv[Score1],Upload_Indiv[[Player]:[Player]],$A41,Upload_Indiv[[Side]:[Side]],"Raintree Front",Upload_Indiv[[Excl Score]:[Excl Score]],0),"")</f>
        <v>6</v>
      </c>
      <c r="E41" s="150">
        <f t="shared" si="0"/>
        <v>0</v>
      </c>
      <c r="F41" s="151">
        <f>IFERROR(COUNTIFS(Upload_Indiv[[Player]:[Player]],$A41,Upload_Indiv[[Side]:[Side]],"Raintree Front",Upload_Indiv[[Excl Score]:[Excl Score]],0),"")</f>
        <v>6</v>
      </c>
      <c r="G41" s="152">
        <f>IFERROR(AVERAGEIFS(Upload_Indiv[Score2],Upload_Indiv[[Player]:[Player]],$A41,Upload_Indiv[[Side]:[Side]],"Raintree Front",Upload_Indiv[[Excl Score]:[Excl Score]],0),"")</f>
        <v>7.166666666666667</v>
      </c>
      <c r="H41" s="152">
        <f t="shared" si="1"/>
        <v>1.166666666666667</v>
      </c>
      <c r="I41" s="149">
        <f>IFERROR(COUNTIFS(Upload_Indiv[[Player]:[Player]],$A41,Upload_Indiv[[Side]:[Side]],"Raintree Front",Upload_Indiv[[Excl Score]:[Excl Score]],0),"")</f>
        <v>6</v>
      </c>
      <c r="J41" s="150">
        <f>IFERROR(AVERAGEIFS(Upload_Indiv[Score3],Upload_Indiv[[Player]:[Player]],$A41,Upload_Indiv[[Side]:[Side]],"Raintree Front",Upload_Indiv[[Excl Score]:[Excl Score]],0),"")</f>
        <v>6</v>
      </c>
      <c r="K41" s="150">
        <f t="shared" si="2"/>
        <v>0</v>
      </c>
      <c r="L41" s="151">
        <f>IFERROR(COUNTIFS(Upload_Indiv[[Player]:[Player]],$A41,Upload_Indiv[[Side]:[Side]],"Raintree Front",Upload_Indiv[[Excl Score]:[Excl Score]],0),"")</f>
        <v>6</v>
      </c>
      <c r="M41" s="152">
        <f>IFERROR(AVERAGEIFS(Upload_Indiv[Score4],Upload_Indiv[[Player]:[Player]],$A41,Upload_Indiv[[Side]:[Side]],"Raintree Front",Upload_Indiv[[Excl Score]:[Excl Score]],0),"")</f>
        <v>4.333333333333333</v>
      </c>
      <c r="N41" s="152">
        <f t="shared" si="3"/>
        <v>0.33333333333333304</v>
      </c>
      <c r="O41" s="149">
        <f>IFERROR(COUNTIFS(Upload_Indiv[[Player]:[Player]],$A41,Upload_Indiv[[Side]:[Side]],"Raintree Front",Upload_Indiv[[Excl Score]:[Excl Score]],0),"")</f>
        <v>6</v>
      </c>
      <c r="P41" s="150">
        <f>IFERROR(AVERAGEIFS(Upload_Indiv[Score5],Upload_Indiv[[Player]:[Player]],$A41,Upload_Indiv[[Side]:[Side]],"Raintree Front",Upload_Indiv[[Excl Score]:[Excl Score]],0),"")</f>
        <v>6.666666666666667</v>
      </c>
      <c r="Q41" s="150">
        <f t="shared" si="4"/>
        <v>1.666666666666667</v>
      </c>
      <c r="R41" s="151">
        <f>IFERROR(COUNTIFS(Upload_Indiv[[Player]:[Player]],$A41,Upload_Indiv[[Side]:[Side]],"Raintree Front",Upload_Indiv[[Excl Score]:[Excl Score]],0),"")</f>
        <v>6</v>
      </c>
      <c r="S41" s="152">
        <f>IFERROR(AVERAGEIFS(Upload_Indiv[Score6],Upload_Indiv[[Player]:[Player]],$A41,Upload_Indiv[[Side]:[Side]],"Raintree Front",Upload_Indiv[[Excl Score]:[Excl Score]],0),"")</f>
        <v>5.666666666666667</v>
      </c>
      <c r="T41" s="152">
        <f t="shared" si="5"/>
        <v>-0.33333333333333304</v>
      </c>
      <c r="U41" s="149">
        <f>IFERROR(COUNTIFS(Upload_Indiv[[Player]:[Player]],$A41,Upload_Indiv[[Side]:[Side]],"Raintree Front",Upload_Indiv[[Excl Score]:[Excl Score]],0),"")</f>
        <v>6</v>
      </c>
      <c r="V41" s="150">
        <f>IFERROR(AVERAGEIFS(Upload_Indiv[Score7],Upload_Indiv[[Player]:[Player]],$A41,Upload_Indiv[[Side]:[Side]],"Raintree Front",Upload_Indiv[[Excl Score]:[Excl Score]],0),"")</f>
        <v>7.666666666666667</v>
      </c>
      <c r="W41" s="150">
        <f t="shared" si="6"/>
        <v>0.66666666666666696</v>
      </c>
      <c r="X41" s="151">
        <f>IFERROR(COUNTIFS(Upload_Indiv[[Player]:[Player]],$A41,Upload_Indiv[[Side]:[Side]],"Raintree Front",Upload_Indiv[[Excl Score]:[Excl Score]],0),"")</f>
        <v>6</v>
      </c>
      <c r="Y41" s="152">
        <f>IFERROR(AVERAGEIFS(Upload_Indiv[Score8],Upload_Indiv[[Player]:[Player]],$A41,Upload_Indiv[[Side]:[Side]],"Raintree Front",Upload_Indiv[[Excl Score]:[Excl Score]],0),"")</f>
        <v>4.333333333333333</v>
      </c>
      <c r="Z41" s="152">
        <f t="shared" si="7"/>
        <v>-0.66666666666666696</v>
      </c>
      <c r="AA41" s="149">
        <f>IFERROR(COUNTIFS(Upload_Indiv[[Player]:[Player]],$A41,Upload_Indiv[[Side]:[Side]],"Raintree Front",Upload_Indiv[[Excl Score]:[Excl Score]],0),"")</f>
        <v>6</v>
      </c>
      <c r="AB41" s="150">
        <f>IFERROR(AVERAGEIFS(Upload_Indiv[Score9],Upload_Indiv[[Player]:[Player]],$A41,Upload_Indiv[[Side]:[Side]],"Raintree Front",Upload_Indiv[[Excl Score]:[Excl Score]],0),"")</f>
        <v>6.333333333333333</v>
      </c>
      <c r="AC41" s="150">
        <f t="shared" si="8"/>
        <v>0.33333333333333304</v>
      </c>
      <c r="AD41" s="165">
        <f t="shared" si="9"/>
        <v>6</v>
      </c>
      <c r="AE41" s="165">
        <f t="shared" si="10"/>
        <v>54.166666666666671</v>
      </c>
      <c r="AF41" s="165">
        <f t="shared" si="10"/>
        <v>3.166666666666667</v>
      </c>
      <c r="AG41" s="149">
        <f>IFERROR(COUNTIFS(Upload_Indiv[[Player]:[Player]],$A41,Upload_Indiv[[Side]:[Side]],"Raintree Back",Upload_Indiv[[Excl Score]:[Excl Score]],0),"")</f>
        <v>7</v>
      </c>
      <c r="AH41" s="150">
        <f>IFERROR(AVERAGEIFS(Upload_Indiv[Score1],Upload_Indiv[[Player]:[Player]],$A41,Upload_Indiv[[Side]:[Side]],"Raintree Back",Upload_Indiv[[Excl Score]:[Excl Score]],0),"")</f>
        <v>5.5714285714285712</v>
      </c>
      <c r="AI41" s="150">
        <f t="shared" si="11"/>
        <v>0.57142857142857117</v>
      </c>
      <c r="AJ41" s="151">
        <f>IFERROR(COUNTIFS(Upload_Indiv[[Player]:[Player]],$A41,Upload_Indiv[[Side]:[Side]],"Raintree Back",Upload_Indiv[[Excl Score]:[Excl Score]],0),"")</f>
        <v>7</v>
      </c>
      <c r="AK41" s="152">
        <f>IFERROR(AVERAGEIFS(Upload_Indiv[Score2],Upload_Indiv[[Player]:[Player]],$A41,Upload_Indiv[[Side]:[Side]],"Raintree Back",Upload_Indiv[[Excl Score]:[Excl Score]],0),"")</f>
        <v>4.8571428571428568</v>
      </c>
      <c r="AL41" s="152">
        <f t="shared" si="12"/>
        <v>-0.14285714285714324</v>
      </c>
      <c r="AM41" s="149">
        <f>IFERROR(COUNTIFS(Upload_Indiv[[Player]:[Player]],$A41,Upload_Indiv[[Side]:[Side]],"Raintree Back",Upload_Indiv[[Excl Score]:[Excl Score]],0),"")</f>
        <v>7</v>
      </c>
      <c r="AN41" s="150">
        <f>IFERROR(AVERAGEIFS(Upload_Indiv[Score3],Upload_Indiv[[Player]:[Player]],$A41,Upload_Indiv[[Side]:[Side]],"Raintree Back",Upload_Indiv[[Excl Score]:[Excl Score]],0),"")</f>
        <v>5.4285714285714288</v>
      </c>
      <c r="AO41" s="150">
        <f t="shared" si="13"/>
        <v>0.42857142857142883</v>
      </c>
      <c r="AP41" s="151">
        <f>IFERROR(COUNTIFS(Upload_Indiv[[Player]:[Player]],$A41,Upload_Indiv[[Side]:[Side]],"Raintree Back",Upload_Indiv[[Excl Score]:[Excl Score]],0),"")</f>
        <v>7</v>
      </c>
      <c r="AQ41" s="152">
        <f>IFERROR(AVERAGEIFS(Upload_Indiv[Score4],Upload_Indiv[[Player]:[Player]],$A41,Upload_Indiv[[Side]:[Side]],"Raintree Back",Upload_Indiv[[Excl Score]:[Excl Score]],0),"")</f>
        <v>7</v>
      </c>
      <c r="AR41" s="152">
        <f t="shared" si="14"/>
        <v>1</v>
      </c>
      <c r="AS41" s="149">
        <f>IFERROR(COUNTIFS(Upload_Indiv[[Player]:[Player]],$A41,Upload_Indiv[[Side]:[Side]],"Raintree Back",Upload_Indiv[[Excl Score]:[Excl Score]],0),"")</f>
        <v>7</v>
      </c>
      <c r="AT41" s="150">
        <f>IFERROR(AVERAGEIFS(Upload_Indiv[Score5],Upload_Indiv[[Player]:[Player]],$A41,Upload_Indiv[[Side]:[Side]],"Raintree Back",Upload_Indiv[[Excl Score]:[Excl Score]],0),"")</f>
        <v>5.1428571428571432</v>
      </c>
      <c r="AU41" s="150">
        <f t="shared" si="15"/>
        <v>-0.85714285714285676</v>
      </c>
      <c r="AV41" s="151">
        <f>IFERROR(COUNTIFS(Upload_Indiv[[Player]:[Player]],$A41,Upload_Indiv[[Side]:[Side]],"Raintree Back",Upload_Indiv[[Excl Score]:[Excl Score]],0),"")</f>
        <v>7</v>
      </c>
      <c r="AW41" s="152">
        <f>IFERROR(AVERAGEIFS(Upload_Indiv[Score6],Upload_Indiv[[Player]:[Player]],$A41,Upload_Indiv[[Side]:[Side]],"Raintree Back",Upload_Indiv[[Excl Score]:[Excl Score]],0),"")</f>
        <v>7.8571428571428568</v>
      </c>
      <c r="AX41" s="152">
        <f t="shared" si="16"/>
        <v>0.85714285714285676</v>
      </c>
      <c r="AY41" s="149">
        <f>IFERROR(COUNTIFS(Upload_Indiv[[Player]:[Player]],$A41,Upload_Indiv[[Side]:[Side]],"Raintree Back",Upload_Indiv[[Excl Score]:[Excl Score]],0),"")</f>
        <v>7</v>
      </c>
      <c r="AZ41" s="150">
        <f>IFERROR(AVERAGEIFS(Upload_Indiv[Score7],Upload_Indiv[[Player]:[Player]],$A41,Upload_Indiv[[Side]:[Side]],"Raintree Back",Upload_Indiv[[Excl Score]:[Excl Score]],0),"")</f>
        <v>4.1428571428571432</v>
      </c>
      <c r="BA41" s="150">
        <f t="shared" si="17"/>
        <v>0.14285714285714324</v>
      </c>
      <c r="BB41" s="151">
        <f>IFERROR(COUNTIFS(Upload_Indiv[[Player]:[Player]],$A41,Upload_Indiv[[Side]:[Side]],"Raintree Back",Upload_Indiv[[Excl Score]:[Excl Score]],0),"")</f>
        <v>7</v>
      </c>
      <c r="BC41" s="152">
        <f>IFERROR(AVERAGEIFS(Upload_Indiv[Score8],Upload_Indiv[[Player]:[Player]],$A41,Upload_Indiv[[Side]:[Side]],"Raintree Back",Upload_Indiv[[Excl Score]:[Excl Score]],0),"")</f>
        <v>6.5714285714285712</v>
      </c>
      <c r="BD41" s="152">
        <f t="shared" si="18"/>
        <v>0.57142857142857117</v>
      </c>
      <c r="BE41" s="149">
        <f>IFERROR(COUNTIFS(Upload_Indiv[[Player]:[Player]],$A41,Upload_Indiv[[Side]:[Side]],"Raintree Back",Upload_Indiv[[Excl Score]:[Excl Score]],0),"")</f>
        <v>7</v>
      </c>
      <c r="BF41" s="150">
        <f>IFERROR(AVERAGEIFS(Upload_Indiv[Score9],Upload_Indiv[[Player]:[Player]],$A41,Upload_Indiv[[Side]:[Side]],"Raintree Back",Upload_Indiv[[Excl Score]:[Excl Score]],0),"")</f>
        <v>8.1428571428571423</v>
      </c>
      <c r="BG41" s="150">
        <f t="shared" si="19"/>
        <v>1.1428571428571423</v>
      </c>
      <c r="BH41" s="165">
        <f t="shared" si="20"/>
        <v>7</v>
      </c>
      <c r="BI41" s="165">
        <f t="shared" si="21"/>
        <v>54.714285714285708</v>
      </c>
      <c r="BJ41" s="165">
        <f t="shared" si="21"/>
        <v>3.7142857142857135</v>
      </c>
    </row>
    <row r="42" spans="1:62" x14ac:dyDescent="0.25">
      <c r="A42" s="4" t="s">
        <v>146</v>
      </c>
      <c r="B42" s="170">
        <f>IFERROR(AVERAGEIFS(Upload_Indiv[Hdcp],Upload_Indiv[[Player]:[Player]],$A42,Upload_Indiv[[Excl Score]:[Excl Score]],0),"")</f>
        <v>3.379</v>
      </c>
      <c r="C42" s="149">
        <f>IFERROR(COUNTIFS(Upload_Indiv[[Player]:[Player]],$A42,Upload_Indiv[[Side]:[Side]],"Raintree Front",Upload_Indiv[[Excl Score]:[Excl Score]],0),"")</f>
        <v>6</v>
      </c>
      <c r="D42" s="150">
        <f>IFERROR(AVERAGEIFS(Upload_Indiv[Score1],Upload_Indiv[[Player]:[Player]],$A42,Upload_Indiv[[Side]:[Side]],"Raintree Front",Upload_Indiv[[Excl Score]:[Excl Score]],0),"")</f>
        <v>4.5</v>
      </c>
      <c r="E42" s="150">
        <f t="shared" si="0"/>
        <v>-0.5</v>
      </c>
      <c r="F42" s="151">
        <f>IFERROR(COUNTIFS(Upload_Indiv[[Player]:[Player]],$A42,Upload_Indiv[[Side]:[Side]],"Raintree Front",Upload_Indiv[[Excl Score]:[Excl Score]],0),"")</f>
        <v>6</v>
      </c>
      <c r="G42" s="152">
        <f>IFERROR(AVERAGEIFS(Upload_Indiv[Score2],Upload_Indiv[[Player]:[Player]],$A42,Upload_Indiv[[Side]:[Side]],"Raintree Front",Upload_Indiv[[Excl Score]:[Excl Score]],0),"")</f>
        <v>5.166666666666667</v>
      </c>
      <c r="H42" s="152">
        <f t="shared" si="1"/>
        <v>0.16666666666666696</v>
      </c>
      <c r="I42" s="149">
        <f>IFERROR(COUNTIFS(Upload_Indiv[[Player]:[Player]],$A42,Upload_Indiv[[Side]:[Side]],"Raintree Front",Upload_Indiv[[Excl Score]:[Excl Score]],0),"")</f>
        <v>6</v>
      </c>
      <c r="J42" s="150">
        <f>IFERROR(AVERAGEIFS(Upload_Indiv[Score3],Upload_Indiv[[Player]:[Player]],$A42,Upload_Indiv[[Side]:[Side]],"Raintree Front",Upload_Indiv[[Excl Score]:[Excl Score]],0),"")</f>
        <v>4.666666666666667</v>
      </c>
      <c r="K42" s="150">
        <f t="shared" si="2"/>
        <v>-0.33333333333333304</v>
      </c>
      <c r="L42" s="151">
        <f>IFERROR(COUNTIFS(Upload_Indiv[[Player]:[Player]],$A42,Upload_Indiv[[Side]:[Side]],"Raintree Front",Upload_Indiv[[Excl Score]:[Excl Score]],0),"")</f>
        <v>6</v>
      </c>
      <c r="M42" s="152">
        <f>IFERROR(AVERAGEIFS(Upload_Indiv[Score4],Upload_Indiv[[Player]:[Player]],$A42,Upload_Indiv[[Side]:[Side]],"Raintree Front",Upload_Indiv[[Excl Score]:[Excl Score]],0),"")</f>
        <v>3.8333333333333335</v>
      </c>
      <c r="N42" s="152">
        <f t="shared" si="3"/>
        <v>0.83333333333333348</v>
      </c>
      <c r="O42" s="149">
        <f>IFERROR(COUNTIFS(Upload_Indiv[[Player]:[Player]],$A42,Upload_Indiv[[Side]:[Side]],"Raintree Front",Upload_Indiv[[Excl Score]:[Excl Score]],0),"")</f>
        <v>6</v>
      </c>
      <c r="P42" s="150">
        <f>IFERROR(AVERAGEIFS(Upload_Indiv[Score5],Upload_Indiv[[Player]:[Player]],$A42,Upload_Indiv[[Side]:[Side]],"Raintree Front",Upload_Indiv[[Excl Score]:[Excl Score]],0),"")</f>
        <v>4.666666666666667</v>
      </c>
      <c r="Q42" s="150">
        <f t="shared" si="4"/>
        <v>0.66666666666666696</v>
      </c>
      <c r="R42" s="151">
        <f>IFERROR(COUNTIFS(Upload_Indiv[[Player]:[Player]],$A42,Upload_Indiv[[Side]:[Side]],"Raintree Front",Upload_Indiv[[Excl Score]:[Excl Score]],0),"")</f>
        <v>6</v>
      </c>
      <c r="S42" s="152">
        <f>IFERROR(AVERAGEIFS(Upload_Indiv[Score6],Upload_Indiv[[Player]:[Player]],$A42,Upload_Indiv[[Side]:[Side]],"Raintree Front",Upload_Indiv[[Excl Score]:[Excl Score]],0),"")</f>
        <v>4.5</v>
      </c>
      <c r="T42" s="152">
        <f t="shared" si="5"/>
        <v>-0.5</v>
      </c>
      <c r="U42" s="149">
        <f>IFERROR(COUNTIFS(Upload_Indiv[[Player]:[Player]],$A42,Upload_Indiv[[Side]:[Side]],"Raintree Front",Upload_Indiv[[Excl Score]:[Excl Score]],0),"")</f>
        <v>6</v>
      </c>
      <c r="V42" s="150">
        <f>IFERROR(AVERAGEIFS(Upload_Indiv[Score7],Upload_Indiv[[Player]:[Player]],$A42,Upload_Indiv[[Side]:[Side]],"Raintree Front",Upload_Indiv[[Excl Score]:[Excl Score]],0),"")</f>
        <v>6</v>
      </c>
      <c r="W42" s="150">
        <f t="shared" si="6"/>
        <v>1</v>
      </c>
      <c r="X42" s="151">
        <f>IFERROR(COUNTIFS(Upload_Indiv[[Player]:[Player]],$A42,Upload_Indiv[[Side]:[Side]],"Raintree Front",Upload_Indiv[[Excl Score]:[Excl Score]],0),"")</f>
        <v>6</v>
      </c>
      <c r="Y42" s="152">
        <f>IFERROR(AVERAGEIFS(Upload_Indiv[Score8],Upload_Indiv[[Player]:[Player]],$A42,Upload_Indiv[[Side]:[Side]],"Raintree Front",Upload_Indiv[[Excl Score]:[Excl Score]],0),"")</f>
        <v>3</v>
      </c>
      <c r="Z42" s="152">
        <f t="shared" si="7"/>
        <v>0</v>
      </c>
      <c r="AA42" s="149">
        <f>IFERROR(COUNTIFS(Upload_Indiv[[Player]:[Player]],$A42,Upload_Indiv[[Side]:[Side]],"Raintree Front",Upload_Indiv[[Excl Score]:[Excl Score]],0),"")</f>
        <v>6</v>
      </c>
      <c r="AB42" s="150">
        <f>IFERROR(AVERAGEIFS(Upload_Indiv[Score9],Upload_Indiv[[Player]:[Player]],$A42,Upload_Indiv[[Side]:[Side]],"Raintree Front",Upload_Indiv[[Excl Score]:[Excl Score]],0),"")</f>
        <v>4.666666666666667</v>
      </c>
      <c r="AC42" s="150">
        <f t="shared" si="8"/>
        <v>0.66666666666666696</v>
      </c>
      <c r="AD42" s="165">
        <f t="shared" si="9"/>
        <v>6</v>
      </c>
      <c r="AE42" s="165">
        <f t="shared" si="10"/>
        <v>41</v>
      </c>
      <c r="AF42" s="165">
        <f t="shared" si="10"/>
        <v>2.0000000000000013</v>
      </c>
      <c r="AG42" s="149">
        <f>IFERROR(COUNTIFS(Upload_Indiv[[Player]:[Player]],$A42,Upload_Indiv[[Side]:[Side]],"Raintree Back",Upload_Indiv[[Excl Score]:[Excl Score]],0),"")</f>
        <v>4</v>
      </c>
      <c r="AH42" s="150">
        <f>IFERROR(AVERAGEIFS(Upload_Indiv[Score1],Upload_Indiv[[Player]:[Player]],$A42,Upload_Indiv[[Side]:[Side]],"Raintree Back",Upload_Indiv[[Excl Score]:[Excl Score]],0),"")</f>
        <v>4</v>
      </c>
      <c r="AI42" s="150">
        <f t="shared" si="11"/>
        <v>0</v>
      </c>
      <c r="AJ42" s="151">
        <f>IFERROR(COUNTIFS(Upload_Indiv[[Player]:[Player]],$A42,Upload_Indiv[[Side]:[Side]],"Raintree Back",Upload_Indiv[[Excl Score]:[Excl Score]],0),"")</f>
        <v>4</v>
      </c>
      <c r="AK42" s="152">
        <f>IFERROR(AVERAGEIFS(Upload_Indiv[Score2],Upload_Indiv[[Player]:[Player]],$A42,Upload_Indiv[[Side]:[Side]],"Raintree Back",Upload_Indiv[[Excl Score]:[Excl Score]],0),"")</f>
        <v>2.75</v>
      </c>
      <c r="AL42" s="152">
        <f t="shared" si="12"/>
        <v>-0.25</v>
      </c>
      <c r="AM42" s="149">
        <f>IFERROR(COUNTIFS(Upload_Indiv[[Player]:[Player]],$A42,Upload_Indiv[[Side]:[Side]],"Raintree Back",Upload_Indiv[[Excl Score]:[Excl Score]],0),"")</f>
        <v>4</v>
      </c>
      <c r="AN42" s="150">
        <f>IFERROR(AVERAGEIFS(Upload_Indiv[Score3],Upload_Indiv[[Player]:[Player]],$A42,Upload_Indiv[[Side]:[Side]],"Raintree Back",Upload_Indiv[[Excl Score]:[Excl Score]],0),"")</f>
        <v>4.25</v>
      </c>
      <c r="AO42" s="150">
        <f t="shared" si="13"/>
        <v>0.25</v>
      </c>
      <c r="AP42" s="151">
        <f>IFERROR(COUNTIFS(Upload_Indiv[[Player]:[Player]],$A42,Upload_Indiv[[Side]:[Side]],"Raintree Back",Upload_Indiv[[Excl Score]:[Excl Score]],0),"")</f>
        <v>4</v>
      </c>
      <c r="AQ42" s="152">
        <f>IFERROR(AVERAGEIFS(Upload_Indiv[Score4],Upload_Indiv[[Player]:[Player]],$A42,Upload_Indiv[[Side]:[Side]],"Raintree Back",Upload_Indiv[[Excl Score]:[Excl Score]],0),"")</f>
        <v>4.5</v>
      </c>
      <c r="AR42" s="152">
        <f t="shared" si="14"/>
        <v>-0.5</v>
      </c>
      <c r="AS42" s="149">
        <f>IFERROR(COUNTIFS(Upload_Indiv[[Player]:[Player]],$A42,Upload_Indiv[[Side]:[Side]],"Raintree Back",Upload_Indiv[[Excl Score]:[Excl Score]],0),"")</f>
        <v>4</v>
      </c>
      <c r="AT42" s="150">
        <f>IFERROR(AVERAGEIFS(Upload_Indiv[Score5],Upload_Indiv[[Player]:[Player]],$A42,Upload_Indiv[[Side]:[Side]],"Raintree Back",Upload_Indiv[[Excl Score]:[Excl Score]],0),"")</f>
        <v>4.75</v>
      </c>
      <c r="AU42" s="150">
        <f t="shared" si="15"/>
        <v>-0.25</v>
      </c>
      <c r="AV42" s="151">
        <f>IFERROR(COUNTIFS(Upload_Indiv[[Player]:[Player]],$A42,Upload_Indiv[[Side]:[Side]],"Raintree Back",Upload_Indiv[[Excl Score]:[Excl Score]],0),"")</f>
        <v>4</v>
      </c>
      <c r="AW42" s="152">
        <f>IFERROR(AVERAGEIFS(Upload_Indiv[Score6],Upload_Indiv[[Player]:[Player]],$A42,Upload_Indiv[[Side]:[Side]],"Raintree Back",Upload_Indiv[[Excl Score]:[Excl Score]],0),"")</f>
        <v>5.25</v>
      </c>
      <c r="AX42" s="152">
        <f t="shared" si="16"/>
        <v>0.25</v>
      </c>
      <c r="AY42" s="149">
        <f>IFERROR(COUNTIFS(Upload_Indiv[[Player]:[Player]],$A42,Upload_Indiv[[Side]:[Side]],"Raintree Back",Upload_Indiv[[Excl Score]:[Excl Score]],0),"")</f>
        <v>4</v>
      </c>
      <c r="AZ42" s="150">
        <f>IFERROR(AVERAGEIFS(Upload_Indiv[Score7],Upload_Indiv[[Player]:[Player]],$A42,Upload_Indiv[[Side]:[Side]],"Raintree Back",Upload_Indiv[[Excl Score]:[Excl Score]],0),"")</f>
        <v>3.75</v>
      </c>
      <c r="BA42" s="150">
        <f t="shared" si="17"/>
        <v>0.75</v>
      </c>
      <c r="BB42" s="151">
        <f>IFERROR(COUNTIFS(Upload_Indiv[[Player]:[Player]],$A42,Upload_Indiv[[Side]:[Side]],"Raintree Back",Upload_Indiv[[Excl Score]:[Excl Score]],0),"")</f>
        <v>4</v>
      </c>
      <c r="BC42" s="152">
        <f>IFERROR(AVERAGEIFS(Upload_Indiv[Score8],Upload_Indiv[[Player]:[Player]],$A42,Upload_Indiv[[Side]:[Side]],"Raintree Back",Upload_Indiv[[Excl Score]:[Excl Score]],0),"")</f>
        <v>4.75</v>
      </c>
      <c r="BD42" s="152">
        <f t="shared" si="18"/>
        <v>-0.25</v>
      </c>
      <c r="BE42" s="149">
        <f>IFERROR(COUNTIFS(Upload_Indiv[[Player]:[Player]],$A42,Upload_Indiv[[Side]:[Side]],"Raintree Back",Upload_Indiv[[Excl Score]:[Excl Score]],0),"")</f>
        <v>4</v>
      </c>
      <c r="BF42" s="150">
        <f>IFERROR(AVERAGEIFS(Upload_Indiv[Score9],Upload_Indiv[[Player]:[Player]],$A42,Upload_Indiv[[Side]:[Side]],"Raintree Back",Upload_Indiv[[Excl Score]:[Excl Score]],0),"")</f>
        <v>6.25</v>
      </c>
      <c r="BG42" s="150">
        <f t="shared" si="19"/>
        <v>1.25</v>
      </c>
      <c r="BH42" s="165">
        <f t="shared" si="20"/>
        <v>4</v>
      </c>
      <c r="BI42" s="165">
        <f t="shared" si="21"/>
        <v>40.25</v>
      </c>
      <c r="BJ42" s="165">
        <f t="shared" si="21"/>
        <v>1.25</v>
      </c>
    </row>
    <row r="43" spans="1:62" x14ac:dyDescent="0.25">
      <c r="A43" s="4" t="s">
        <v>106</v>
      </c>
      <c r="B43" s="170">
        <f>IFERROR(AVERAGEIFS(Upload_Indiv[Hdcp],Upload_Indiv[[Player]:[Player]],$A43,Upload_Indiv[[Excl Score]:[Excl Score]],0),"")</f>
        <v>15.167499999999999</v>
      </c>
      <c r="C43" s="149">
        <f>IFERROR(COUNTIFS(Upload_Indiv[[Player]:[Player]],$A43,Upload_Indiv[[Side]:[Side]],"Raintree Front",Upload_Indiv[[Excl Score]:[Excl Score]],0),"")</f>
        <v>7</v>
      </c>
      <c r="D43" s="150">
        <f>IFERROR(AVERAGEIFS(Upload_Indiv[Score1],Upload_Indiv[[Player]:[Player]],$A43,Upload_Indiv[[Side]:[Side]],"Raintree Front",Upload_Indiv[[Excl Score]:[Excl Score]],0),"")</f>
        <v>6.8571428571428568</v>
      </c>
      <c r="E43" s="150">
        <f t="shared" si="0"/>
        <v>0.85714285714285676</v>
      </c>
      <c r="F43" s="151">
        <f>IFERROR(COUNTIFS(Upload_Indiv[[Player]:[Player]],$A43,Upload_Indiv[[Side]:[Side]],"Raintree Front",Upload_Indiv[[Excl Score]:[Excl Score]],0),"")</f>
        <v>7</v>
      </c>
      <c r="G43" s="152">
        <f>IFERROR(AVERAGEIFS(Upload_Indiv[Score2],Upload_Indiv[[Player]:[Player]],$A43,Upload_Indiv[[Side]:[Side]],"Raintree Front",Upload_Indiv[[Excl Score]:[Excl Score]],0),"")</f>
        <v>6.7142857142857144</v>
      </c>
      <c r="H43" s="152">
        <f t="shared" si="1"/>
        <v>0.71428571428571441</v>
      </c>
      <c r="I43" s="149">
        <f>IFERROR(COUNTIFS(Upload_Indiv[[Player]:[Player]],$A43,Upload_Indiv[[Side]:[Side]],"Raintree Front",Upload_Indiv[[Excl Score]:[Excl Score]],0),"")</f>
        <v>7</v>
      </c>
      <c r="J43" s="150">
        <f>IFERROR(AVERAGEIFS(Upload_Indiv[Score3],Upload_Indiv[[Player]:[Player]],$A43,Upload_Indiv[[Side]:[Side]],"Raintree Front",Upload_Indiv[[Excl Score]:[Excl Score]],0),"")</f>
        <v>6.1428571428571432</v>
      </c>
      <c r="K43" s="150">
        <f t="shared" si="2"/>
        <v>0.14285714285714324</v>
      </c>
      <c r="L43" s="151">
        <f>IFERROR(COUNTIFS(Upload_Indiv[[Player]:[Player]],$A43,Upload_Indiv[[Side]:[Side]],"Raintree Front",Upload_Indiv[[Excl Score]:[Excl Score]],0),"")</f>
        <v>7</v>
      </c>
      <c r="M43" s="152">
        <f>IFERROR(AVERAGEIFS(Upload_Indiv[Score4],Upload_Indiv[[Player]:[Player]],$A43,Upload_Indiv[[Side]:[Side]],"Raintree Front",Upload_Indiv[[Excl Score]:[Excl Score]],0),"")</f>
        <v>5</v>
      </c>
      <c r="N43" s="152">
        <f t="shared" si="3"/>
        <v>1</v>
      </c>
      <c r="O43" s="149">
        <f>IFERROR(COUNTIFS(Upload_Indiv[[Player]:[Player]],$A43,Upload_Indiv[[Side]:[Side]],"Raintree Front",Upload_Indiv[[Excl Score]:[Excl Score]],0),"")</f>
        <v>7</v>
      </c>
      <c r="P43" s="150">
        <f>IFERROR(AVERAGEIFS(Upload_Indiv[Score5],Upload_Indiv[[Player]:[Player]],$A43,Upload_Indiv[[Side]:[Side]],"Raintree Front",Upload_Indiv[[Excl Score]:[Excl Score]],0),"")</f>
        <v>6</v>
      </c>
      <c r="Q43" s="150">
        <f t="shared" si="4"/>
        <v>1</v>
      </c>
      <c r="R43" s="151">
        <f>IFERROR(COUNTIFS(Upload_Indiv[[Player]:[Player]],$A43,Upload_Indiv[[Side]:[Side]],"Raintree Front",Upload_Indiv[[Excl Score]:[Excl Score]],0),"")</f>
        <v>7</v>
      </c>
      <c r="S43" s="152">
        <f>IFERROR(AVERAGEIFS(Upload_Indiv[Score6],Upload_Indiv[[Player]:[Player]],$A43,Upload_Indiv[[Side]:[Side]],"Raintree Front",Upload_Indiv[[Excl Score]:[Excl Score]],0),"")</f>
        <v>6</v>
      </c>
      <c r="T43" s="152">
        <f t="shared" si="5"/>
        <v>0</v>
      </c>
      <c r="U43" s="149">
        <f>IFERROR(COUNTIFS(Upload_Indiv[[Player]:[Player]],$A43,Upload_Indiv[[Side]:[Side]],"Raintree Front",Upload_Indiv[[Excl Score]:[Excl Score]],0),"")</f>
        <v>7</v>
      </c>
      <c r="V43" s="150">
        <f>IFERROR(AVERAGEIFS(Upload_Indiv[Score7],Upload_Indiv[[Player]:[Player]],$A43,Upload_Indiv[[Side]:[Side]],"Raintree Front",Upload_Indiv[[Excl Score]:[Excl Score]],0),"")</f>
        <v>7.7142857142857144</v>
      </c>
      <c r="W43" s="150">
        <f t="shared" si="6"/>
        <v>0.71428571428571441</v>
      </c>
      <c r="X43" s="151">
        <f>IFERROR(COUNTIFS(Upload_Indiv[[Player]:[Player]],$A43,Upload_Indiv[[Side]:[Side]],"Raintree Front",Upload_Indiv[[Excl Score]:[Excl Score]],0),"")</f>
        <v>7</v>
      </c>
      <c r="Y43" s="152">
        <f>IFERROR(AVERAGEIFS(Upload_Indiv[Score8],Upload_Indiv[[Player]:[Player]],$A43,Upload_Indiv[[Side]:[Side]],"Raintree Front",Upload_Indiv[[Excl Score]:[Excl Score]],0),"")</f>
        <v>3.7142857142857144</v>
      </c>
      <c r="Z43" s="152">
        <f t="shared" si="7"/>
        <v>-1.2857142857142856</v>
      </c>
      <c r="AA43" s="149">
        <f>IFERROR(COUNTIFS(Upload_Indiv[[Player]:[Player]],$A43,Upload_Indiv[[Side]:[Side]],"Raintree Front",Upload_Indiv[[Excl Score]:[Excl Score]],0),"")</f>
        <v>7</v>
      </c>
      <c r="AB43" s="150">
        <f>IFERROR(AVERAGEIFS(Upload_Indiv[Score9],Upload_Indiv[[Player]:[Player]],$A43,Upload_Indiv[[Side]:[Side]],"Raintree Front",Upload_Indiv[[Excl Score]:[Excl Score]],0),"")</f>
        <v>6.2857142857142856</v>
      </c>
      <c r="AC43" s="150">
        <f t="shared" si="8"/>
        <v>0.28571428571428559</v>
      </c>
      <c r="AD43" s="165">
        <f t="shared" si="9"/>
        <v>7</v>
      </c>
      <c r="AE43" s="165">
        <f t="shared" si="10"/>
        <v>54.428571428571431</v>
      </c>
      <c r="AF43" s="165">
        <f t="shared" si="10"/>
        <v>3.4285714285714288</v>
      </c>
      <c r="AG43" s="149">
        <f>IFERROR(COUNTIFS(Upload_Indiv[[Player]:[Player]],$A43,Upload_Indiv[[Side]:[Side]],"Raintree Back",Upload_Indiv[[Excl Score]:[Excl Score]],0),"")</f>
        <v>5</v>
      </c>
      <c r="AH43" s="150">
        <f>IFERROR(AVERAGEIFS(Upload_Indiv[Score1],Upload_Indiv[[Player]:[Player]],$A43,Upload_Indiv[[Side]:[Side]],"Raintree Back",Upload_Indiv[[Excl Score]:[Excl Score]],0),"")</f>
        <v>5.2</v>
      </c>
      <c r="AI43" s="150">
        <f t="shared" si="11"/>
        <v>0.20000000000000018</v>
      </c>
      <c r="AJ43" s="151">
        <f>IFERROR(COUNTIFS(Upload_Indiv[[Player]:[Player]],$A43,Upload_Indiv[[Side]:[Side]],"Raintree Back",Upload_Indiv[[Excl Score]:[Excl Score]],0),"")</f>
        <v>5</v>
      </c>
      <c r="AK43" s="152">
        <f>IFERROR(AVERAGEIFS(Upload_Indiv[Score2],Upload_Indiv[[Player]:[Player]],$A43,Upload_Indiv[[Side]:[Side]],"Raintree Back",Upload_Indiv[[Excl Score]:[Excl Score]],0),"")</f>
        <v>5.2</v>
      </c>
      <c r="AL43" s="152">
        <f t="shared" si="12"/>
        <v>0.20000000000000018</v>
      </c>
      <c r="AM43" s="149">
        <f>IFERROR(COUNTIFS(Upload_Indiv[[Player]:[Player]],$A43,Upload_Indiv[[Side]:[Side]],"Raintree Back",Upload_Indiv[[Excl Score]:[Excl Score]],0),"")</f>
        <v>5</v>
      </c>
      <c r="AN43" s="150">
        <f>IFERROR(AVERAGEIFS(Upload_Indiv[Score3],Upload_Indiv[[Player]:[Player]],$A43,Upload_Indiv[[Side]:[Side]],"Raintree Back",Upload_Indiv[[Excl Score]:[Excl Score]],0),"")</f>
        <v>6.2</v>
      </c>
      <c r="AO43" s="150">
        <f t="shared" si="13"/>
        <v>1.2000000000000002</v>
      </c>
      <c r="AP43" s="151">
        <f>IFERROR(COUNTIFS(Upload_Indiv[[Player]:[Player]],$A43,Upload_Indiv[[Side]:[Side]],"Raintree Back",Upload_Indiv[[Excl Score]:[Excl Score]],0),"")</f>
        <v>5</v>
      </c>
      <c r="AQ43" s="152">
        <f>IFERROR(AVERAGEIFS(Upload_Indiv[Score4],Upload_Indiv[[Player]:[Player]],$A43,Upload_Indiv[[Side]:[Side]],"Raintree Back",Upload_Indiv[[Excl Score]:[Excl Score]],0),"")</f>
        <v>6.6</v>
      </c>
      <c r="AR43" s="152">
        <f t="shared" si="14"/>
        <v>0.59999999999999964</v>
      </c>
      <c r="AS43" s="149">
        <f>IFERROR(COUNTIFS(Upload_Indiv[[Player]:[Player]],$A43,Upload_Indiv[[Side]:[Side]],"Raintree Back",Upload_Indiv[[Excl Score]:[Excl Score]],0),"")</f>
        <v>5</v>
      </c>
      <c r="AT43" s="150">
        <f>IFERROR(AVERAGEIFS(Upload_Indiv[Score5],Upload_Indiv[[Player]:[Player]],$A43,Upload_Indiv[[Side]:[Side]],"Raintree Back",Upload_Indiv[[Excl Score]:[Excl Score]],0),"")</f>
        <v>6.8</v>
      </c>
      <c r="AU43" s="150">
        <f t="shared" si="15"/>
        <v>0.79999999999999982</v>
      </c>
      <c r="AV43" s="151">
        <f>IFERROR(COUNTIFS(Upload_Indiv[[Player]:[Player]],$A43,Upload_Indiv[[Side]:[Side]],"Raintree Back",Upload_Indiv[[Excl Score]:[Excl Score]],0),"")</f>
        <v>5</v>
      </c>
      <c r="AW43" s="152">
        <f>IFERROR(AVERAGEIFS(Upload_Indiv[Score6],Upload_Indiv[[Player]:[Player]],$A43,Upload_Indiv[[Side]:[Side]],"Raintree Back",Upload_Indiv[[Excl Score]:[Excl Score]],0),"")</f>
        <v>7.2</v>
      </c>
      <c r="AX43" s="152">
        <f t="shared" si="16"/>
        <v>0.20000000000000018</v>
      </c>
      <c r="AY43" s="149">
        <f>IFERROR(COUNTIFS(Upload_Indiv[[Player]:[Player]],$A43,Upload_Indiv[[Side]:[Side]],"Raintree Back",Upload_Indiv[[Excl Score]:[Excl Score]],0),"")</f>
        <v>5</v>
      </c>
      <c r="AZ43" s="150">
        <f>IFERROR(AVERAGEIFS(Upload_Indiv[Score7],Upload_Indiv[[Player]:[Player]],$A43,Upload_Indiv[[Side]:[Side]],"Raintree Back",Upload_Indiv[[Excl Score]:[Excl Score]],0),"")</f>
        <v>4.4000000000000004</v>
      </c>
      <c r="BA43" s="150">
        <f t="shared" si="17"/>
        <v>0.40000000000000036</v>
      </c>
      <c r="BB43" s="151">
        <f>IFERROR(COUNTIFS(Upload_Indiv[[Player]:[Player]],$A43,Upload_Indiv[[Side]:[Side]],"Raintree Back",Upload_Indiv[[Excl Score]:[Excl Score]],0),"")</f>
        <v>5</v>
      </c>
      <c r="BC43" s="152">
        <f>IFERROR(AVERAGEIFS(Upload_Indiv[Score8],Upload_Indiv[[Player]:[Player]],$A43,Upload_Indiv[[Side]:[Side]],"Raintree Back",Upload_Indiv[[Excl Score]:[Excl Score]],0),"")</f>
        <v>6.4</v>
      </c>
      <c r="BD43" s="152">
        <f t="shared" si="18"/>
        <v>0.40000000000000036</v>
      </c>
      <c r="BE43" s="149">
        <f>IFERROR(COUNTIFS(Upload_Indiv[[Player]:[Player]],$A43,Upload_Indiv[[Side]:[Side]],"Raintree Back",Upload_Indiv[[Excl Score]:[Excl Score]],0),"")</f>
        <v>5</v>
      </c>
      <c r="BF43" s="150">
        <f>IFERROR(AVERAGEIFS(Upload_Indiv[Score9],Upload_Indiv[[Player]:[Player]],$A43,Upload_Indiv[[Side]:[Side]],"Raintree Back",Upload_Indiv[[Excl Score]:[Excl Score]],0),"")</f>
        <v>8.6</v>
      </c>
      <c r="BG43" s="150">
        <f t="shared" si="19"/>
        <v>1.5999999999999996</v>
      </c>
      <c r="BH43" s="165">
        <f t="shared" si="20"/>
        <v>5</v>
      </c>
      <c r="BI43" s="165">
        <f t="shared" si="21"/>
        <v>56.6</v>
      </c>
      <c r="BJ43" s="165">
        <f t="shared" si="21"/>
        <v>5.6000000000000005</v>
      </c>
    </row>
    <row r="44" spans="1:62" x14ac:dyDescent="0.25">
      <c r="A44" s="4" t="s">
        <v>278</v>
      </c>
      <c r="B44" s="170">
        <f>IFERROR(AVERAGEIFS(Upload_Indiv[Hdcp],Upload_Indiv[[Player]:[Player]],$A44,Upload_Indiv[[Excl Score]:[Excl Score]],0),"")</f>
        <v>17.231666666666666</v>
      </c>
      <c r="C44" s="149">
        <f>IFERROR(COUNTIFS(Upload_Indiv[[Player]:[Player]],$A44,Upload_Indiv[[Side]:[Side]],"Raintree Front",Upload_Indiv[[Excl Score]:[Excl Score]],0),"")</f>
        <v>6</v>
      </c>
      <c r="D44" s="150">
        <f>IFERROR(AVERAGEIFS(Upload_Indiv[Score1],Upload_Indiv[[Player]:[Player]],$A44,Upload_Indiv[[Side]:[Side]],"Raintree Front",Upload_Indiv[[Excl Score]:[Excl Score]],0),"")</f>
        <v>7.166666666666667</v>
      </c>
      <c r="E44" s="150">
        <f t="shared" si="0"/>
        <v>1.166666666666667</v>
      </c>
      <c r="F44" s="151">
        <f>IFERROR(COUNTIFS(Upload_Indiv[[Player]:[Player]],$A44,Upload_Indiv[[Side]:[Side]],"Raintree Front",Upload_Indiv[[Excl Score]:[Excl Score]],0),"")</f>
        <v>6</v>
      </c>
      <c r="G44" s="152">
        <f>IFERROR(AVERAGEIFS(Upload_Indiv[Score2],Upload_Indiv[[Player]:[Player]],$A44,Upload_Indiv[[Side]:[Side]],"Raintree Front",Upload_Indiv[[Excl Score]:[Excl Score]],0),"")</f>
        <v>6.833333333333333</v>
      </c>
      <c r="H44" s="152">
        <f t="shared" si="1"/>
        <v>-0.16666666666666696</v>
      </c>
      <c r="I44" s="149">
        <f>IFERROR(COUNTIFS(Upload_Indiv[[Player]:[Player]],$A44,Upload_Indiv[[Side]:[Side]],"Raintree Front",Upload_Indiv[[Excl Score]:[Excl Score]],0),"")</f>
        <v>6</v>
      </c>
      <c r="J44" s="150">
        <f>IFERROR(AVERAGEIFS(Upload_Indiv[Score3],Upload_Indiv[[Player]:[Player]],$A44,Upload_Indiv[[Side]:[Side]],"Raintree Front",Upload_Indiv[[Excl Score]:[Excl Score]],0),"")</f>
        <v>6.5</v>
      </c>
      <c r="K44" s="150">
        <f t="shared" si="2"/>
        <v>0.5</v>
      </c>
      <c r="L44" s="151">
        <f>IFERROR(COUNTIFS(Upload_Indiv[[Player]:[Player]],$A44,Upload_Indiv[[Side]:[Side]],"Raintree Front",Upload_Indiv[[Excl Score]:[Excl Score]],0),"")</f>
        <v>6</v>
      </c>
      <c r="M44" s="152">
        <f>IFERROR(AVERAGEIFS(Upload_Indiv[Score4],Upload_Indiv[[Player]:[Player]],$A44,Upload_Indiv[[Side]:[Side]],"Raintree Front",Upload_Indiv[[Excl Score]:[Excl Score]],0),"")</f>
        <v>4.5</v>
      </c>
      <c r="N44" s="152">
        <f t="shared" si="3"/>
        <v>-0.5</v>
      </c>
      <c r="O44" s="149">
        <f>IFERROR(COUNTIFS(Upload_Indiv[[Player]:[Player]],$A44,Upload_Indiv[[Side]:[Side]],"Raintree Front",Upload_Indiv[[Excl Score]:[Excl Score]],0),"")</f>
        <v>6</v>
      </c>
      <c r="P44" s="150">
        <f>IFERROR(AVERAGEIFS(Upload_Indiv[Score5],Upload_Indiv[[Player]:[Player]],$A44,Upload_Indiv[[Side]:[Side]],"Raintree Front",Upload_Indiv[[Excl Score]:[Excl Score]],0),"")</f>
        <v>6.166666666666667</v>
      </c>
      <c r="Q44" s="150">
        <f t="shared" si="4"/>
        <v>1.166666666666667</v>
      </c>
      <c r="R44" s="151">
        <f>IFERROR(COUNTIFS(Upload_Indiv[[Player]:[Player]],$A44,Upload_Indiv[[Side]:[Side]],"Raintree Front",Upload_Indiv[[Excl Score]:[Excl Score]],0),"")</f>
        <v>6</v>
      </c>
      <c r="S44" s="152">
        <f>IFERROR(AVERAGEIFS(Upload_Indiv[Score6],Upload_Indiv[[Player]:[Player]],$A44,Upload_Indiv[[Side]:[Side]],"Raintree Front",Upload_Indiv[[Excl Score]:[Excl Score]],0),"")</f>
        <v>6.666666666666667</v>
      </c>
      <c r="T44" s="152">
        <f t="shared" si="5"/>
        <v>0.66666666666666696</v>
      </c>
      <c r="U44" s="149">
        <f>IFERROR(COUNTIFS(Upload_Indiv[[Player]:[Player]],$A44,Upload_Indiv[[Side]:[Side]],"Raintree Front",Upload_Indiv[[Excl Score]:[Excl Score]],0),"")</f>
        <v>6</v>
      </c>
      <c r="V44" s="150">
        <f>IFERROR(AVERAGEIFS(Upload_Indiv[Score7],Upload_Indiv[[Player]:[Player]],$A44,Upload_Indiv[[Side]:[Side]],"Raintree Front",Upload_Indiv[[Excl Score]:[Excl Score]],0),"")</f>
        <v>8.3333333333333339</v>
      </c>
      <c r="W44" s="150">
        <f t="shared" si="6"/>
        <v>1.3333333333333339</v>
      </c>
      <c r="X44" s="151">
        <f>IFERROR(COUNTIFS(Upload_Indiv[[Player]:[Player]],$A44,Upload_Indiv[[Side]:[Side]],"Raintree Front",Upload_Indiv[[Excl Score]:[Excl Score]],0),"")</f>
        <v>6</v>
      </c>
      <c r="Y44" s="152">
        <f>IFERROR(AVERAGEIFS(Upload_Indiv[Score8],Upload_Indiv[[Player]:[Player]],$A44,Upload_Indiv[[Side]:[Side]],"Raintree Front",Upload_Indiv[[Excl Score]:[Excl Score]],0),"")</f>
        <v>5.666666666666667</v>
      </c>
      <c r="Z44" s="152">
        <f t="shared" si="7"/>
        <v>0.66666666666666696</v>
      </c>
      <c r="AA44" s="149">
        <f>IFERROR(COUNTIFS(Upload_Indiv[[Player]:[Player]],$A44,Upload_Indiv[[Side]:[Side]],"Raintree Front",Upload_Indiv[[Excl Score]:[Excl Score]],0),"")</f>
        <v>6</v>
      </c>
      <c r="AB44" s="150">
        <f>IFERROR(AVERAGEIFS(Upload_Indiv[Score9],Upload_Indiv[[Player]:[Player]],$A44,Upload_Indiv[[Side]:[Side]],"Raintree Front",Upload_Indiv[[Excl Score]:[Excl Score]],0),"")</f>
        <v>6.666666666666667</v>
      </c>
      <c r="AC44" s="150">
        <f t="shared" si="8"/>
        <v>0.66666666666666696</v>
      </c>
      <c r="AD44" s="165">
        <f t="shared" si="9"/>
        <v>6</v>
      </c>
      <c r="AE44" s="165">
        <f t="shared" si="10"/>
        <v>58.5</v>
      </c>
      <c r="AF44" s="165">
        <f t="shared" si="10"/>
        <v>5.5000000000000018</v>
      </c>
      <c r="AG44" s="149">
        <f>IFERROR(COUNTIFS(Upload_Indiv[[Player]:[Player]],$A44,Upload_Indiv[[Side]:[Side]],"Raintree Back",Upload_Indiv[[Excl Score]:[Excl Score]],0),"")</f>
        <v>6</v>
      </c>
      <c r="AH44" s="150">
        <f>IFERROR(AVERAGEIFS(Upload_Indiv[Score1],Upload_Indiv[[Player]:[Player]],$A44,Upload_Indiv[[Side]:[Side]],"Raintree Back",Upload_Indiv[[Excl Score]:[Excl Score]],0),"")</f>
        <v>5.166666666666667</v>
      </c>
      <c r="AI44" s="150">
        <f t="shared" si="11"/>
        <v>-0.83333333333333304</v>
      </c>
      <c r="AJ44" s="151">
        <f>IFERROR(COUNTIFS(Upload_Indiv[[Player]:[Player]],$A44,Upload_Indiv[[Side]:[Side]],"Raintree Back",Upload_Indiv[[Excl Score]:[Excl Score]],0),"")</f>
        <v>6</v>
      </c>
      <c r="AK44" s="152">
        <f>IFERROR(AVERAGEIFS(Upload_Indiv[Score2],Upload_Indiv[[Player]:[Player]],$A44,Upload_Indiv[[Side]:[Side]],"Raintree Back",Upload_Indiv[[Excl Score]:[Excl Score]],0),"")</f>
        <v>4.666666666666667</v>
      </c>
      <c r="AL44" s="152">
        <f t="shared" si="12"/>
        <v>-0.33333333333333304</v>
      </c>
      <c r="AM44" s="149">
        <f>IFERROR(COUNTIFS(Upload_Indiv[[Player]:[Player]],$A44,Upload_Indiv[[Side]:[Side]],"Raintree Back",Upload_Indiv[[Excl Score]:[Excl Score]],0),"")</f>
        <v>6</v>
      </c>
      <c r="AN44" s="150">
        <f>IFERROR(AVERAGEIFS(Upload_Indiv[Score3],Upload_Indiv[[Player]:[Player]],$A44,Upload_Indiv[[Side]:[Side]],"Raintree Back",Upload_Indiv[[Excl Score]:[Excl Score]],0),"")</f>
        <v>6.333333333333333</v>
      </c>
      <c r="AO44" s="150">
        <f t="shared" si="13"/>
        <v>0.33333333333333304</v>
      </c>
      <c r="AP44" s="151">
        <f>IFERROR(COUNTIFS(Upload_Indiv[[Player]:[Player]],$A44,Upload_Indiv[[Side]:[Side]],"Raintree Back",Upload_Indiv[[Excl Score]:[Excl Score]],0),"")</f>
        <v>6</v>
      </c>
      <c r="AQ44" s="152">
        <f>IFERROR(AVERAGEIFS(Upload_Indiv[Score4],Upload_Indiv[[Player]:[Player]],$A44,Upload_Indiv[[Side]:[Side]],"Raintree Back",Upload_Indiv[[Excl Score]:[Excl Score]],0),"")</f>
        <v>7.5</v>
      </c>
      <c r="AR44" s="152">
        <f t="shared" si="14"/>
        <v>1.5</v>
      </c>
      <c r="AS44" s="149">
        <f>IFERROR(COUNTIFS(Upload_Indiv[[Player]:[Player]],$A44,Upload_Indiv[[Side]:[Side]],"Raintree Back",Upload_Indiv[[Excl Score]:[Excl Score]],0),"")</f>
        <v>6</v>
      </c>
      <c r="AT44" s="150">
        <f>IFERROR(AVERAGEIFS(Upload_Indiv[Score5],Upload_Indiv[[Player]:[Player]],$A44,Upload_Indiv[[Side]:[Side]],"Raintree Back",Upload_Indiv[[Excl Score]:[Excl Score]],0),"")</f>
        <v>6.666666666666667</v>
      </c>
      <c r="AU44" s="150">
        <f t="shared" si="15"/>
        <v>0.66666666666666696</v>
      </c>
      <c r="AV44" s="151">
        <f>IFERROR(COUNTIFS(Upload_Indiv[[Player]:[Player]],$A44,Upload_Indiv[[Side]:[Side]],"Raintree Back",Upload_Indiv[[Excl Score]:[Excl Score]],0),"")</f>
        <v>6</v>
      </c>
      <c r="AW44" s="152">
        <f>IFERROR(AVERAGEIFS(Upload_Indiv[Score6],Upload_Indiv[[Player]:[Player]],$A44,Upload_Indiv[[Side]:[Side]],"Raintree Back",Upload_Indiv[[Excl Score]:[Excl Score]],0),"")</f>
        <v>7.166666666666667</v>
      </c>
      <c r="AX44" s="152">
        <f t="shared" si="16"/>
        <v>0.16666666666666696</v>
      </c>
      <c r="AY44" s="149">
        <f>IFERROR(COUNTIFS(Upload_Indiv[[Player]:[Player]],$A44,Upload_Indiv[[Side]:[Side]],"Raintree Back",Upload_Indiv[[Excl Score]:[Excl Score]],0),"")</f>
        <v>6</v>
      </c>
      <c r="AZ44" s="150">
        <f>IFERROR(AVERAGEIFS(Upload_Indiv[Score7],Upload_Indiv[[Player]:[Player]],$A44,Upload_Indiv[[Side]:[Side]],"Raintree Back",Upload_Indiv[[Excl Score]:[Excl Score]],0),"")</f>
        <v>3.8333333333333335</v>
      </c>
      <c r="BA44" s="150">
        <f t="shared" si="17"/>
        <v>-0.16666666666666652</v>
      </c>
      <c r="BB44" s="151">
        <f>IFERROR(COUNTIFS(Upload_Indiv[[Player]:[Player]],$A44,Upload_Indiv[[Side]:[Side]],"Raintree Back",Upload_Indiv[[Excl Score]:[Excl Score]],0),"")</f>
        <v>6</v>
      </c>
      <c r="BC44" s="152">
        <f>IFERROR(AVERAGEIFS(Upload_Indiv[Score8],Upload_Indiv[[Player]:[Player]],$A44,Upload_Indiv[[Side]:[Side]],"Raintree Back",Upload_Indiv[[Excl Score]:[Excl Score]],0),"")</f>
        <v>6.333333333333333</v>
      </c>
      <c r="BD44" s="152">
        <f t="shared" si="18"/>
        <v>0.33333333333333304</v>
      </c>
      <c r="BE44" s="149">
        <f>IFERROR(COUNTIFS(Upload_Indiv[[Player]:[Player]],$A44,Upload_Indiv[[Side]:[Side]],"Raintree Back",Upload_Indiv[[Excl Score]:[Excl Score]],0),"")</f>
        <v>6</v>
      </c>
      <c r="BF44" s="150">
        <f>IFERROR(AVERAGEIFS(Upload_Indiv[Score9],Upload_Indiv[[Player]:[Player]],$A44,Upload_Indiv[[Side]:[Side]],"Raintree Back",Upload_Indiv[[Excl Score]:[Excl Score]],0),"")</f>
        <v>7.5</v>
      </c>
      <c r="BG44" s="150">
        <f t="shared" si="19"/>
        <v>0.5</v>
      </c>
      <c r="BH44" s="165">
        <f t="shared" si="20"/>
        <v>6</v>
      </c>
      <c r="BI44" s="165">
        <f t="shared" si="21"/>
        <v>55.166666666666671</v>
      </c>
      <c r="BJ44" s="165">
        <f t="shared" si="21"/>
        <v>2.1666666666666674</v>
      </c>
    </row>
    <row r="45" spans="1:62" x14ac:dyDescent="0.25">
      <c r="A45" s="4" t="s">
        <v>224</v>
      </c>
      <c r="B45" s="170">
        <f>IFERROR(AVERAGEIFS(Upload_Indiv[Hdcp],Upload_Indiv[[Player]:[Player]],$A45,Upload_Indiv[[Excl Score]:[Excl Score]],0),"")</f>
        <v>13.280000000000001</v>
      </c>
      <c r="C45" s="149">
        <f>IFERROR(COUNTIFS(Upload_Indiv[[Player]:[Player]],$A45,Upload_Indiv[[Side]:[Side]],"Raintree Front",Upload_Indiv[[Excl Score]:[Excl Score]],0),"")</f>
        <v>4</v>
      </c>
      <c r="D45" s="150">
        <f>IFERROR(AVERAGEIFS(Upload_Indiv[Score1],Upload_Indiv[[Player]:[Player]],$A45,Upload_Indiv[[Side]:[Side]],"Raintree Front",Upload_Indiv[[Excl Score]:[Excl Score]],0),"")</f>
        <v>5.25</v>
      </c>
      <c r="E45" s="150">
        <f t="shared" si="0"/>
        <v>-0.75</v>
      </c>
      <c r="F45" s="151">
        <f>IFERROR(COUNTIFS(Upload_Indiv[[Player]:[Player]],$A45,Upload_Indiv[[Side]:[Side]],"Raintree Front",Upload_Indiv[[Excl Score]:[Excl Score]],0),"")</f>
        <v>4</v>
      </c>
      <c r="G45" s="152">
        <f>IFERROR(AVERAGEIFS(Upload_Indiv[Score2],Upload_Indiv[[Player]:[Player]],$A45,Upload_Indiv[[Side]:[Side]],"Raintree Front",Upload_Indiv[[Excl Score]:[Excl Score]],0),"")</f>
        <v>6.75</v>
      </c>
      <c r="H45" s="152">
        <f t="shared" si="1"/>
        <v>0.75</v>
      </c>
      <c r="I45" s="149">
        <f>IFERROR(COUNTIFS(Upload_Indiv[[Player]:[Player]],$A45,Upload_Indiv[[Side]:[Side]],"Raintree Front",Upload_Indiv[[Excl Score]:[Excl Score]],0),"")</f>
        <v>4</v>
      </c>
      <c r="J45" s="150">
        <f>IFERROR(AVERAGEIFS(Upload_Indiv[Score3],Upload_Indiv[[Player]:[Player]],$A45,Upload_Indiv[[Side]:[Side]],"Raintree Front",Upload_Indiv[[Excl Score]:[Excl Score]],0),"")</f>
        <v>7</v>
      </c>
      <c r="K45" s="150">
        <f t="shared" si="2"/>
        <v>1</v>
      </c>
      <c r="L45" s="151">
        <f>IFERROR(COUNTIFS(Upload_Indiv[[Player]:[Player]],$A45,Upload_Indiv[[Side]:[Side]],"Raintree Front",Upload_Indiv[[Excl Score]:[Excl Score]],0),"")</f>
        <v>4</v>
      </c>
      <c r="M45" s="152">
        <f>IFERROR(AVERAGEIFS(Upload_Indiv[Score4],Upload_Indiv[[Player]:[Player]],$A45,Upload_Indiv[[Side]:[Side]],"Raintree Front",Upload_Indiv[[Excl Score]:[Excl Score]],0),"")</f>
        <v>4.75</v>
      </c>
      <c r="N45" s="152">
        <f t="shared" si="3"/>
        <v>0.75</v>
      </c>
      <c r="O45" s="149">
        <f>IFERROR(COUNTIFS(Upload_Indiv[[Player]:[Player]],$A45,Upload_Indiv[[Side]:[Side]],"Raintree Front",Upload_Indiv[[Excl Score]:[Excl Score]],0),"")</f>
        <v>4</v>
      </c>
      <c r="P45" s="150">
        <f>IFERROR(AVERAGEIFS(Upload_Indiv[Score5],Upload_Indiv[[Player]:[Player]],$A45,Upload_Indiv[[Side]:[Side]],"Raintree Front",Upload_Indiv[[Excl Score]:[Excl Score]],0),"")</f>
        <v>6</v>
      </c>
      <c r="Q45" s="150">
        <f t="shared" si="4"/>
        <v>1</v>
      </c>
      <c r="R45" s="151">
        <f>IFERROR(COUNTIFS(Upload_Indiv[[Player]:[Player]],$A45,Upload_Indiv[[Side]:[Side]],"Raintree Front",Upload_Indiv[[Excl Score]:[Excl Score]],0),"")</f>
        <v>4</v>
      </c>
      <c r="S45" s="152">
        <f>IFERROR(AVERAGEIFS(Upload_Indiv[Score6],Upload_Indiv[[Player]:[Player]],$A45,Upload_Indiv[[Side]:[Side]],"Raintree Front",Upload_Indiv[[Excl Score]:[Excl Score]],0),"")</f>
        <v>5.25</v>
      </c>
      <c r="T45" s="152">
        <f t="shared" si="5"/>
        <v>-0.75</v>
      </c>
      <c r="U45" s="149">
        <f>IFERROR(COUNTIFS(Upload_Indiv[[Player]:[Player]],$A45,Upload_Indiv[[Side]:[Side]],"Raintree Front",Upload_Indiv[[Excl Score]:[Excl Score]],0),"")</f>
        <v>4</v>
      </c>
      <c r="V45" s="150">
        <f>IFERROR(AVERAGEIFS(Upload_Indiv[Score7],Upload_Indiv[[Player]:[Player]],$A45,Upload_Indiv[[Side]:[Side]],"Raintree Front",Upload_Indiv[[Excl Score]:[Excl Score]],0),"")</f>
        <v>7</v>
      </c>
      <c r="W45" s="150">
        <f t="shared" si="6"/>
        <v>1</v>
      </c>
      <c r="X45" s="151">
        <f>IFERROR(COUNTIFS(Upload_Indiv[[Player]:[Player]],$A45,Upload_Indiv[[Side]:[Side]],"Raintree Front",Upload_Indiv[[Excl Score]:[Excl Score]],0),"")</f>
        <v>4</v>
      </c>
      <c r="Y45" s="152">
        <f>IFERROR(AVERAGEIFS(Upload_Indiv[Score8],Upload_Indiv[[Player]:[Player]],$A45,Upload_Indiv[[Side]:[Side]],"Raintree Front",Upload_Indiv[[Excl Score]:[Excl Score]],0),"")</f>
        <v>4.25</v>
      </c>
      <c r="Z45" s="152">
        <f t="shared" si="7"/>
        <v>0.25</v>
      </c>
      <c r="AA45" s="149">
        <f>IFERROR(COUNTIFS(Upload_Indiv[[Player]:[Player]],$A45,Upload_Indiv[[Side]:[Side]],"Raintree Front",Upload_Indiv[[Excl Score]:[Excl Score]],0),"")</f>
        <v>4</v>
      </c>
      <c r="AB45" s="150">
        <f>IFERROR(AVERAGEIFS(Upload_Indiv[Score9],Upload_Indiv[[Player]:[Player]],$A45,Upload_Indiv[[Side]:[Side]],"Raintree Front",Upload_Indiv[[Excl Score]:[Excl Score]],0),"")</f>
        <v>5.5</v>
      </c>
      <c r="AC45" s="150">
        <f t="shared" si="8"/>
        <v>-0.5</v>
      </c>
      <c r="AD45" s="165">
        <f t="shared" si="9"/>
        <v>4</v>
      </c>
      <c r="AE45" s="165">
        <f t="shared" si="10"/>
        <v>51.75</v>
      </c>
      <c r="AF45" s="165">
        <f t="shared" si="10"/>
        <v>2.75</v>
      </c>
      <c r="AG45" s="149">
        <f>IFERROR(COUNTIFS(Upload_Indiv[[Player]:[Player]],$A45,Upload_Indiv[[Side]:[Side]],"Raintree Back",Upload_Indiv[[Excl Score]:[Excl Score]],0),"")</f>
        <v>1</v>
      </c>
      <c r="AH45" s="150">
        <f>IFERROR(AVERAGEIFS(Upload_Indiv[Score1],Upload_Indiv[[Player]:[Player]],$A45,Upload_Indiv[[Side]:[Side]],"Raintree Back",Upload_Indiv[[Excl Score]:[Excl Score]],0),"")</f>
        <v>4</v>
      </c>
      <c r="AI45" s="150">
        <f t="shared" si="11"/>
        <v>-1</v>
      </c>
      <c r="AJ45" s="151">
        <f>IFERROR(COUNTIFS(Upload_Indiv[[Player]:[Player]],$A45,Upload_Indiv[[Side]:[Side]],"Raintree Back",Upload_Indiv[[Excl Score]:[Excl Score]],0),"")</f>
        <v>1</v>
      </c>
      <c r="AK45" s="152">
        <f>IFERROR(AVERAGEIFS(Upload_Indiv[Score2],Upload_Indiv[[Player]:[Player]],$A45,Upload_Indiv[[Side]:[Side]],"Raintree Back",Upload_Indiv[[Excl Score]:[Excl Score]],0),"")</f>
        <v>4</v>
      </c>
      <c r="AL45" s="152">
        <f t="shared" si="12"/>
        <v>0</v>
      </c>
      <c r="AM45" s="149">
        <f>IFERROR(COUNTIFS(Upload_Indiv[[Player]:[Player]],$A45,Upload_Indiv[[Side]:[Side]],"Raintree Back",Upload_Indiv[[Excl Score]:[Excl Score]],0),"")</f>
        <v>1</v>
      </c>
      <c r="AN45" s="150">
        <f>IFERROR(AVERAGEIFS(Upload_Indiv[Score3],Upload_Indiv[[Player]:[Player]],$A45,Upload_Indiv[[Side]:[Side]],"Raintree Back",Upload_Indiv[[Excl Score]:[Excl Score]],0),"")</f>
        <v>4</v>
      </c>
      <c r="AO45" s="150">
        <f t="shared" si="13"/>
        <v>-1</v>
      </c>
      <c r="AP45" s="151">
        <f>IFERROR(COUNTIFS(Upload_Indiv[[Player]:[Player]],$A45,Upload_Indiv[[Side]:[Side]],"Raintree Back",Upload_Indiv[[Excl Score]:[Excl Score]],0),"")</f>
        <v>1</v>
      </c>
      <c r="AQ45" s="152">
        <f>IFERROR(AVERAGEIFS(Upload_Indiv[Score4],Upload_Indiv[[Player]:[Player]],$A45,Upload_Indiv[[Side]:[Side]],"Raintree Back",Upload_Indiv[[Excl Score]:[Excl Score]],0),"")</f>
        <v>7</v>
      </c>
      <c r="AR45" s="152">
        <f t="shared" si="14"/>
        <v>1</v>
      </c>
      <c r="AS45" s="149">
        <f>IFERROR(COUNTIFS(Upload_Indiv[[Player]:[Player]],$A45,Upload_Indiv[[Side]:[Side]],"Raintree Back",Upload_Indiv[[Excl Score]:[Excl Score]],0),"")</f>
        <v>1</v>
      </c>
      <c r="AT45" s="150">
        <f>IFERROR(AVERAGEIFS(Upload_Indiv[Score5],Upload_Indiv[[Player]:[Player]],$A45,Upload_Indiv[[Side]:[Side]],"Raintree Back",Upload_Indiv[[Excl Score]:[Excl Score]],0),"")</f>
        <v>7</v>
      </c>
      <c r="AU45" s="150">
        <f t="shared" si="15"/>
        <v>1</v>
      </c>
      <c r="AV45" s="151">
        <f>IFERROR(COUNTIFS(Upload_Indiv[[Player]:[Player]],$A45,Upload_Indiv[[Side]:[Side]],"Raintree Back",Upload_Indiv[[Excl Score]:[Excl Score]],0),"")</f>
        <v>1</v>
      </c>
      <c r="AW45" s="152">
        <f>IFERROR(AVERAGEIFS(Upload_Indiv[Score6],Upload_Indiv[[Player]:[Player]],$A45,Upload_Indiv[[Side]:[Side]],"Raintree Back",Upload_Indiv[[Excl Score]:[Excl Score]],0),"")</f>
        <v>7</v>
      </c>
      <c r="AX45" s="152">
        <f t="shared" si="16"/>
        <v>1</v>
      </c>
      <c r="AY45" s="149">
        <f>IFERROR(COUNTIFS(Upload_Indiv[[Player]:[Player]],$A45,Upload_Indiv[[Side]:[Side]],"Raintree Back",Upload_Indiv[[Excl Score]:[Excl Score]],0),"")</f>
        <v>1</v>
      </c>
      <c r="AZ45" s="150">
        <f>IFERROR(AVERAGEIFS(Upload_Indiv[Score7],Upload_Indiv[[Player]:[Player]],$A45,Upload_Indiv[[Side]:[Side]],"Raintree Back",Upload_Indiv[[Excl Score]:[Excl Score]],0),"")</f>
        <v>4</v>
      </c>
      <c r="BA45" s="150">
        <f t="shared" si="17"/>
        <v>0</v>
      </c>
      <c r="BB45" s="151">
        <f>IFERROR(COUNTIFS(Upload_Indiv[[Player]:[Player]],$A45,Upload_Indiv[[Side]:[Side]],"Raintree Back",Upload_Indiv[[Excl Score]:[Excl Score]],0),"")</f>
        <v>1</v>
      </c>
      <c r="BC45" s="152">
        <f>IFERROR(AVERAGEIFS(Upload_Indiv[Score8],Upload_Indiv[[Player]:[Player]],$A45,Upload_Indiv[[Side]:[Side]],"Raintree Back",Upload_Indiv[[Excl Score]:[Excl Score]],0),"")</f>
        <v>6</v>
      </c>
      <c r="BD45" s="152">
        <f t="shared" si="18"/>
        <v>0</v>
      </c>
      <c r="BE45" s="149">
        <f>IFERROR(COUNTIFS(Upload_Indiv[[Player]:[Player]],$A45,Upload_Indiv[[Side]:[Side]],"Raintree Back",Upload_Indiv[[Excl Score]:[Excl Score]],0),"")</f>
        <v>1</v>
      </c>
      <c r="BF45" s="150">
        <f>IFERROR(AVERAGEIFS(Upload_Indiv[Score9],Upload_Indiv[[Player]:[Player]],$A45,Upload_Indiv[[Side]:[Side]],"Raintree Back",Upload_Indiv[[Excl Score]:[Excl Score]],0),"")</f>
        <v>6</v>
      </c>
      <c r="BG45" s="150">
        <f t="shared" si="19"/>
        <v>-1</v>
      </c>
      <c r="BH45" s="165">
        <f t="shared" si="20"/>
        <v>1</v>
      </c>
      <c r="BI45" s="165">
        <f t="shared" si="21"/>
        <v>49</v>
      </c>
      <c r="BJ45" s="165">
        <f t="shared" si="21"/>
        <v>0</v>
      </c>
    </row>
    <row r="46" spans="1:62" x14ac:dyDescent="0.25">
      <c r="A46" s="4" t="s">
        <v>513</v>
      </c>
      <c r="B46" s="170">
        <f>IFERROR(AVERAGEIFS(Upload_Indiv[Hdcp],Upload_Indiv[[Player]:[Player]],$A46,Upload_Indiv[[Excl Score]:[Excl Score]],0),"")</f>
        <v>10.404999999999999</v>
      </c>
      <c r="C46" s="149">
        <f>IFERROR(COUNTIFS(Upload_Indiv[[Player]:[Player]],$A46,Upload_Indiv[[Side]:[Side]],"Raintree Front",Upload_Indiv[[Excl Score]:[Excl Score]],0),"")</f>
        <v>2</v>
      </c>
      <c r="D46" s="150">
        <f>IFERROR(AVERAGEIFS(Upload_Indiv[Score1],Upload_Indiv[[Player]:[Player]],$A46,Upload_Indiv[[Side]:[Side]],"Raintree Front",Upload_Indiv[[Excl Score]:[Excl Score]],0),"")</f>
        <v>5</v>
      </c>
      <c r="E46" s="150">
        <f t="shared" si="0"/>
        <v>0</v>
      </c>
      <c r="F46" s="151">
        <f>IFERROR(COUNTIFS(Upload_Indiv[[Player]:[Player]],$A46,Upload_Indiv[[Side]:[Side]],"Raintree Front",Upload_Indiv[[Excl Score]:[Excl Score]],0),"")</f>
        <v>2</v>
      </c>
      <c r="G46" s="152">
        <f>IFERROR(AVERAGEIFS(Upload_Indiv[Score2],Upload_Indiv[[Player]:[Player]],$A46,Upload_Indiv[[Side]:[Side]],"Raintree Front",Upload_Indiv[[Excl Score]:[Excl Score]],0),"")</f>
        <v>6.5</v>
      </c>
      <c r="H46" s="152">
        <f t="shared" si="1"/>
        <v>0.5</v>
      </c>
      <c r="I46" s="149">
        <f>IFERROR(COUNTIFS(Upload_Indiv[[Player]:[Player]],$A46,Upload_Indiv[[Side]:[Side]],"Raintree Front",Upload_Indiv[[Excl Score]:[Excl Score]],0),"")</f>
        <v>2</v>
      </c>
      <c r="J46" s="150">
        <f>IFERROR(AVERAGEIFS(Upload_Indiv[Score3],Upload_Indiv[[Player]:[Player]],$A46,Upload_Indiv[[Side]:[Side]],"Raintree Front",Upload_Indiv[[Excl Score]:[Excl Score]],0),"")</f>
        <v>5.5</v>
      </c>
      <c r="K46" s="150">
        <f t="shared" si="2"/>
        <v>0.5</v>
      </c>
      <c r="L46" s="151">
        <f>IFERROR(COUNTIFS(Upload_Indiv[[Player]:[Player]],$A46,Upload_Indiv[[Side]:[Side]],"Raintree Front",Upload_Indiv[[Excl Score]:[Excl Score]],0),"")</f>
        <v>2</v>
      </c>
      <c r="M46" s="152">
        <f>IFERROR(AVERAGEIFS(Upload_Indiv[Score4],Upload_Indiv[[Player]:[Player]],$A46,Upload_Indiv[[Side]:[Side]],"Raintree Front",Upload_Indiv[[Excl Score]:[Excl Score]],0),"")</f>
        <v>5.5</v>
      </c>
      <c r="N46" s="152">
        <f t="shared" si="3"/>
        <v>1.5</v>
      </c>
      <c r="O46" s="149">
        <f>IFERROR(COUNTIFS(Upload_Indiv[[Player]:[Player]],$A46,Upload_Indiv[[Side]:[Side]],"Raintree Front",Upload_Indiv[[Excl Score]:[Excl Score]],0),"")</f>
        <v>2</v>
      </c>
      <c r="P46" s="150">
        <f>IFERROR(AVERAGEIFS(Upload_Indiv[Score5],Upload_Indiv[[Player]:[Player]],$A46,Upload_Indiv[[Side]:[Side]],"Raintree Front",Upload_Indiv[[Excl Score]:[Excl Score]],0),"")</f>
        <v>6</v>
      </c>
      <c r="Q46" s="150">
        <f t="shared" si="4"/>
        <v>1</v>
      </c>
      <c r="R46" s="151">
        <f>IFERROR(COUNTIFS(Upload_Indiv[[Player]:[Player]],$A46,Upload_Indiv[[Side]:[Side]],"Raintree Front",Upload_Indiv[[Excl Score]:[Excl Score]],0),"")</f>
        <v>2</v>
      </c>
      <c r="S46" s="152">
        <f>IFERROR(AVERAGEIFS(Upload_Indiv[Score6],Upload_Indiv[[Player]:[Player]],$A46,Upload_Indiv[[Side]:[Side]],"Raintree Front",Upload_Indiv[[Excl Score]:[Excl Score]],0),"")</f>
        <v>7</v>
      </c>
      <c r="T46" s="152">
        <f t="shared" si="5"/>
        <v>1</v>
      </c>
      <c r="U46" s="149">
        <f>IFERROR(COUNTIFS(Upload_Indiv[[Player]:[Player]],$A46,Upload_Indiv[[Side]:[Side]],"Raintree Front",Upload_Indiv[[Excl Score]:[Excl Score]],0),"")</f>
        <v>2</v>
      </c>
      <c r="V46" s="150">
        <f>IFERROR(AVERAGEIFS(Upload_Indiv[Score7],Upload_Indiv[[Player]:[Player]],$A46,Upload_Indiv[[Side]:[Side]],"Raintree Front",Upload_Indiv[[Excl Score]:[Excl Score]],0),"")</f>
        <v>7</v>
      </c>
      <c r="W46" s="150">
        <f t="shared" si="6"/>
        <v>1</v>
      </c>
      <c r="X46" s="151">
        <f>IFERROR(COUNTIFS(Upload_Indiv[[Player]:[Player]],$A46,Upload_Indiv[[Side]:[Side]],"Raintree Front",Upload_Indiv[[Excl Score]:[Excl Score]],0),"")</f>
        <v>2</v>
      </c>
      <c r="Y46" s="152">
        <f>IFERROR(AVERAGEIFS(Upload_Indiv[Score8],Upload_Indiv[[Player]:[Player]],$A46,Upload_Indiv[[Side]:[Side]],"Raintree Front",Upload_Indiv[[Excl Score]:[Excl Score]],0),"")</f>
        <v>5</v>
      </c>
      <c r="Z46" s="152">
        <f t="shared" si="7"/>
        <v>1</v>
      </c>
      <c r="AA46" s="149">
        <f>IFERROR(COUNTIFS(Upload_Indiv[[Player]:[Player]],$A46,Upload_Indiv[[Side]:[Side]],"Raintree Front",Upload_Indiv[[Excl Score]:[Excl Score]],0),"")</f>
        <v>2</v>
      </c>
      <c r="AB46" s="150">
        <f>IFERROR(AVERAGEIFS(Upload_Indiv[Score9],Upload_Indiv[[Player]:[Player]],$A46,Upload_Indiv[[Side]:[Side]],"Raintree Front",Upload_Indiv[[Excl Score]:[Excl Score]],0),"")</f>
        <v>5.5</v>
      </c>
      <c r="AC46" s="150">
        <f t="shared" si="8"/>
        <v>0.5</v>
      </c>
      <c r="AD46" s="165">
        <f t="shared" si="9"/>
        <v>2</v>
      </c>
      <c r="AE46" s="165">
        <f t="shared" si="10"/>
        <v>53</v>
      </c>
      <c r="AF46" s="165">
        <f t="shared" si="10"/>
        <v>7</v>
      </c>
      <c r="AG46" s="149">
        <f>IFERROR(COUNTIFS(Upload_Indiv[[Player]:[Player]],$A46,Upload_Indiv[[Side]:[Side]],"Raintree Back",Upload_Indiv[[Excl Score]:[Excl Score]],0),"")</f>
        <v>6</v>
      </c>
      <c r="AH46" s="150">
        <f>IFERROR(AVERAGEIFS(Upload_Indiv[Score1],Upload_Indiv[[Player]:[Player]],$A46,Upload_Indiv[[Side]:[Side]],"Raintree Back",Upload_Indiv[[Excl Score]:[Excl Score]],0),"")</f>
        <v>4.333333333333333</v>
      </c>
      <c r="AI46" s="150">
        <f t="shared" si="11"/>
        <v>-0.66666666666666696</v>
      </c>
      <c r="AJ46" s="151">
        <f>IFERROR(COUNTIFS(Upload_Indiv[[Player]:[Player]],$A46,Upload_Indiv[[Side]:[Side]],"Raintree Back",Upload_Indiv[[Excl Score]:[Excl Score]],0),"")</f>
        <v>6</v>
      </c>
      <c r="AK46" s="152">
        <f>IFERROR(AVERAGEIFS(Upload_Indiv[Score2],Upload_Indiv[[Player]:[Player]],$A46,Upload_Indiv[[Side]:[Side]],"Raintree Back",Upload_Indiv[[Excl Score]:[Excl Score]],0),"")</f>
        <v>4.5</v>
      </c>
      <c r="AL46" s="152">
        <f t="shared" si="12"/>
        <v>0.5</v>
      </c>
      <c r="AM46" s="149">
        <f>IFERROR(COUNTIFS(Upload_Indiv[[Player]:[Player]],$A46,Upload_Indiv[[Side]:[Side]],"Raintree Back",Upload_Indiv[[Excl Score]:[Excl Score]],0),"")</f>
        <v>6</v>
      </c>
      <c r="AN46" s="150">
        <f>IFERROR(AVERAGEIFS(Upload_Indiv[Score3],Upload_Indiv[[Player]:[Player]],$A46,Upload_Indiv[[Side]:[Side]],"Raintree Back",Upload_Indiv[[Excl Score]:[Excl Score]],0),"")</f>
        <v>5.166666666666667</v>
      </c>
      <c r="AO46" s="150">
        <f t="shared" si="13"/>
        <v>0.16666666666666696</v>
      </c>
      <c r="AP46" s="151">
        <f>IFERROR(COUNTIFS(Upload_Indiv[[Player]:[Player]],$A46,Upload_Indiv[[Side]:[Side]],"Raintree Back",Upload_Indiv[[Excl Score]:[Excl Score]],0),"")</f>
        <v>6</v>
      </c>
      <c r="AQ46" s="152">
        <f>IFERROR(AVERAGEIFS(Upload_Indiv[Score4],Upload_Indiv[[Player]:[Player]],$A46,Upload_Indiv[[Side]:[Side]],"Raintree Back",Upload_Indiv[[Excl Score]:[Excl Score]],0),"")</f>
        <v>6.5</v>
      </c>
      <c r="AR46" s="152">
        <f t="shared" si="14"/>
        <v>1.5</v>
      </c>
      <c r="AS46" s="149">
        <f>IFERROR(COUNTIFS(Upload_Indiv[[Player]:[Player]],$A46,Upload_Indiv[[Side]:[Side]],"Raintree Back",Upload_Indiv[[Excl Score]:[Excl Score]],0),"")</f>
        <v>6</v>
      </c>
      <c r="AT46" s="150">
        <f>IFERROR(AVERAGEIFS(Upload_Indiv[Score5],Upload_Indiv[[Player]:[Player]],$A46,Upload_Indiv[[Side]:[Side]],"Raintree Back",Upload_Indiv[[Excl Score]:[Excl Score]],0),"")</f>
        <v>5.5</v>
      </c>
      <c r="AU46" s="150">
        <f t="shared" si="15"/>
        <v>0.5</v>
      </c>
      <c r="AV46" s="151">
        <f>IFERROR(COUNTIFS(Upload_Indiv[[Player]:[Player]],$A46,Upload_Indiv[[Side]:[Side]],"Raintree Back",Upload_Indiv[[Excl Score]:[Excl Score]],0),"")</f>
        <v>6</v>
      </c>
      <c r="AW46" s="152">
        <f>IFERROR(AVERAGEIFS(Upload_Indiv[Score6],Upload_Indiv[[Player]:[Player]],$A46,Upload_Indiv[[Side]:[Side]],"Raintree Back",Upload_Indiv[[Excl Score]:[Excl Score]],0),"")</f>
        <v>7.166666666666667</v>
      </c>
      <c r="AX46" s="152">
        <f t="shared" si="16"/>
        <v>1.166666666666667</v>
      </c>
      <c r="AY46" s="149">
        <f>IFERROR(COUNTIFS(Upload_Indiv[[Player]:[Player]],$A46,Upload_Indiv[[Side]:[Side]],"Raintree Back",Upload_Indiv[[Excl Score]:[Excl Score]],0),"")</f>
        <v>6</v>
      </c>
      <c r="AZ46" s="150">
        <f>IFERROR(AVERAGEIFS(Upload_Indiv[Score7],Upload_Indiv[[Player]:[Player]],$A46,Upload_Indiv[[Side]:[Side]],"Raintree Back",Upload_Indiv[[Excl Score]:[Excl Score]],0),"")</f>
        <v>3.6666666666666665</v>
      </c>
      <c r="BA46" s="150">
        <f t="shared" si="17"/>
        <v>-0.33333333333333348</v>
      </c>
      <c r="BB46" s="151">
        <f>IFERROR(COUNTIFS(Upload_Indiv[[Player]:[Player]],$A46,Upload_Indiv[[Side]:[Side]],"Raintree Back",Upload_Indiv[[Excl Score]:[Excl Score]],0),"")</f>
        <v>6</v>
      </c>
      <c r="BC46" s="152">
        <f>IFERROR(AVERAGEIFS(Upload_Indiv[Score8],Upload_Indiv[[Player]:[Player]],$A46,Upload_Indiv[[Side]:[Side]],"Raintree Back",Upload_Indiv[[Excl Score]:[Excl Score]],0),"")</f>
        <v>5.666666666666667</v>
      </c>
      <c r="BD46" s="152">
        <f t="shared" si="18"/>
        <v>-0.33333333333333304</v>
      </c>
      <c r="BE46" s="149">
        <f>IFERROR(COUNTIFS(Upload_Indiv[[Player]:[Player]],$A46,Upload_Indiv[[Side]:[Side]],"Raintree Back",Upload_Indiv[[Excl Score]:[Excl Score]],0),"")</f>
        <v>6</v>
      </c>
      <c r="BF46" s="150">
        <f>IFERROR(AVERAGEIFS(Upload_Indiv[Score9],Upload_Indiv[[Player]:[Player]],$A46,Upload_Indiv[[Side]:[Side]],"Raintree Back",Upload_Indiv[[Excl Score]:[Excl Score]],0),"")</f>
        <v>7.666666666666667</v>
      </c>
      <c r="BG46" s="150">
        <f t="shared" si="19"/>
        <v>1.666666666666667</v>
      </c>
      <c r="BH46" s="165">
        <f t="shared" si="20"/>
        <v>6</v>
      </c>
      <c r="BI46" s="165">
        <f t="shared" si="21"/>
        <v>50.166666666666657</v>
      </c>
      <c r="BJ46" s="165">
        <f t="shared" si="21"/>
        <v>4.1666666666666679</v>
      </c>
    </row>
    <row r="47" spans="1:62" x14ac:dyDescent="0.25">
      <c r="A47" s="4" t="s">
        <v>101</v>
      </c>
      <c r="B47" s="170">
        <f>IFERROR(AVERAGEIFS(Upload_Indiv[Hdcp],Upload_Indiv[[Player]:[Player]],$A47,Upload_Indiv[[Excl Score]:[Excl Score]],0),"")</f>
        <v>18.491428571428571</v>
      </c>
      <c r="C47" s="149">
        <f>IFERROR(COUNTIFS(Upload_Indiv[[Player]:[Player]],$A47,Upload_Indiv[[Side]:[Side]],"Raintree Front",Upload_Indiv[[Excl Score]:[Excl Score]],0),"")</f>
        <v>8</v>
      </c>
      <c r="D47" s="150">
        <f>IFERROR(AVERAGEIFS(Upload_Indiv[Score1],Upload_Indiv[[Player]:[Player]],$A47,Upload_Indiv[[Side]:[Side]],"Raintree Front",Upload_Indiv[[Excl Score]:[Excl Score]],0),"")</f>
        <v>6.625</v>
      </c>
      <c r="E47" s="150">
        <f t="shared" si="0"/>
        <v>0.625</v>
      </c>
      <c r="F47" s="151">
        <f>IFERROR(COUNTIFS(Upload_Indiv[[Player]:[Player]],$A47,Upload_Indiv[[Side]:[Side]],"Raintree Front",Upload_Indiv[[Excl Score]:[Excl Score]],0),"")</f>
        <v>8</v>
      </c>
      <c r="G47" s="152">
        <f>IFERROR(AVERAGEIFS(Upload_Indiv[Score2],Upload_Indiv[[Player]:[Player]],$A47,Upload_Indiv[[Side]:[Side]],"Raintree Front",Upload_Indiv[[Excl Score]:[Excl Score]],0),"")</f>
        <v>7.5</v>
      </c>
      <c r="H47" s="152">
        <f t="shared" si="1"/>
        <v>0.5</v>
      </c>
      <c r="I47" s="149">
        <f>IFERROR(COUNTIFS(Upload_Indiv[[Player]:[Player]],$A47,Upload_Indiv[[Side]:[Side]],"Raintree Front",Upload_Indiv[[Excl Score]:[Excl Score]],0),"")</f>
        <v>8</v>
      </c>
      <c r="J47" s="150">
        <f>IFERROR(AVERAGEIFS(Upload_Indiv[Score3],Upload_Indiv[[Player]:[Player]],$A47,Upload_Indiv[[Side]:[Side]],"Raintree Front",Upload_Indiv[[Excl Score]:[Excl Score]],0),"")</f>
        <v>6.625</v>
      </c>
      <c r="K47" s="150">
        <f t="shared" si="2"/>
        <v>0.625</v>
      </c>
      <c r="L47" s="151">
        <f>IFERROR(COUNTIFS(Upload_Indiv[[Player]:[Player]],$A47,Upload_Indiv[[Side]:[Side]],"Raintree Front",Upload_Indiv[[Excl Score]:[Excl Score]],0),"")</f>
        <v>8</v>
      </c>
      <c r="M47" s="152">
        <f>IFERROR(AVERAGEIFS(Upload_Indiv[Score4],Upload_Indiv[[Player]:[Player]],$A47,Upload_Indiv[[Side]:[Side]],"Raintree Front",Upload_Indiv[[Excl Score]:[Excl Score]],0),"")</f>
        <v>5.375</v>
      </c>
      <c r="N47" s="152">
        <f t="shared" si="3"/>
        <v>0.375</v>
      </c>
      <c r="O47" s="149">
        <f>IFERROR(COUNTIFS(Upload_Indiv[[Player]:[Player]],$A47,Upload_Indiv[[Side]:[Side]],"Raintree Front",Upload_Indiv[[Excl Score]:[Excl Score]],0),"")</f>
        <v>8</v>
      </c>
      <c r="P47" s="150">
        <f>IFERROR(AVERAGEIFS(Upload_Indiv[Score5],Upload_Indiv[[Player]:[Player]],$A47,Upload_Indiv[[Side]:[Side]],"Raintree Front",Upload_Indiv[[Excl Score]:[Excl Score]],0),"")</f>
        <v>6.125</v>
      </c>
      <c r="Q47" s="150">
        <f t="shared" si="4"/>
        <v>0.125</v>
      </c>
      <c r="R47" s="151">
        <f>IFERROR(COUNTIFS(Upload_Indiv[[Player]:[Player]],$A47,Upload_Indiv[[Side]:[Side]],"Raintree Front",Upload_Indiv[[Excl Score]:[Excl Score]],0),"")</f>
        <v>8</v>
      </c>
      <c r="S47" s="152">
        <f>IFERROR(AVERAGEIFS(Upload_Indiv[Score6],Upload_Indiv[[Player]:[Player]],$A47,Upload_Indiv[[Side]:[Side]],"Raintree Front",Upload_Indiv[[Excl Score]:[Excl Score]],0),"")</f>
        <v>6.5</v>
      </c>
      <c r="T47" s="152">
        <f t="shared" si="5"/>
        <v>0.5</v>
      </c>
      <c r="U47" s="149">
        <f>IFERROR(COUNTIFS(Upload_Indiv[[Player]:[Player]],$A47,Upload_Indiv[[Side]:[Side]],"Raintree Front",Upload_Indiv[[Excl Score]:[Excl Score]],0),"")</f>
        <v>8</v>
      </c>
      <c r="V47" s="150">
        <f>IFERROR(AVERAGEIFS(Upload_Indiv[Score7],Upload_Indiv[[Player]:[Player]],$A47,Upload_Indiv[[Side]:[Side]],"Raintree Front",Upload_Indiv[[Excl Score]:[Excl Score]],0),"")</f>
        <v>8</v>
      </c>
      <c r="W47" s="150">
        <f t="shared" si="6"/>
        <v>1</v>
      </c>
      <c r="X47" s="151">
        <f>IFERROR(COUNTIFS(Upload_Indiv[[Player]:[Player]],$A47,Upload_Indiv[[Side]:[Side]],"Raintree Front",Upload_Indiv[[Excl Score]:[Excl Score]],0),"")</f>
        <v>8</v>
      </c>
      <c r="Y47" s="152">
        <f>IFERROR(AVERAGEIFS(Upload_Indiv[Score8],Upload_Indiv[[Player]:[Player]],$A47,Upload_Indiv[[Side]:[Side]],"Raintree Front",Upload_Indiv[[Excl Score]:[Excl Score]],0),"")</f>
        <v>5.125</v>
      </c>
      <c r="Z47" s="152">
        <f t="shared" si="7"/>
        <v>0.125</v>
      </c>
      <c r="AA47" s="149">
        <f>IFERROR(COUNTIFS(Upload_Indiv[[Player]:[Player]],$A47,Upload_Indiv[[Side]:[Side]],"Raintree Front",Upload_Indiv[[Excl Score]:[Excl Score]],0),"")</f>
        <v>8</v>
      </c>
      <c r="AB47" s="150">
        <f>IFERROR(AVERAGEIFS(Upload_Indiv[Score9],Upload_Indiv[[Player]:[Player]],$A47,Upload_Indiv[[Side]:[Side]],"Raintree Front",Upload_Indiv[[Excl Score]:[Excl Score]],0),"")</f>
        <v>6.125</v>
      </c>
      <c r="AC47" s="150">
        <f t="shared" si="8"/>
        <v>0.125</v>
      </c>
      <c r="AD47" s="165">
        <f t="shared" si="9"/>
        <v>8</v>
      </c>
      <c r="AE47" s="165">
        <f t="shared" si="10"/>
        <v>58</v>
      </c>
      <c r="AF47" s="165">
        <f t="shared" si="10"/>
        <v>4</v>
      </c>
      <c r="AG47" s="149">
        <f>IFERROR(COUNTIFS(Upload_Indiv[[Player]:[Player]],$A47,Upload_Indiv[[Side]:[Side]],"Raintree Back",Upload_Indiv[[Excl Score]:[Excl Score]],0),"")</f>
        <v>6</v>
      </c>
      <c r="AH47" s="150">
        <f>IFERROR(AVERAGEIFS(Upload_Indiv[Score1],Upload_Indiv[[Player]:[Player]],$A47,Upload_Indiv[[Side]:[Side]],"Raintree Back",Upload_Indiv[[Excl Score]:[Excl Score]],0),"")</f>
        <v>6.666666666666667</v>
      </c>
      <c r="AI47" s="150">
        <f t="shared" si="11"/>
        <v>0.66666666666666696</v>
      </c>
      <c r="AJ47" s="151">
        <f>IFERROR(COUNTIFS(Upload_Indiv[[Player]:[Player]],$A47,Upload_Indiv[[Side]:[Side]],"Raintree Back",Upload_Indiv[[Excl Score]:[Excl Score]],0),"")</f>
        <v>6</v>
      </c>
      <c r="AK47" s="152">
        <f>IFERROR(AVERAGEIFS(Upload_Indiv[Score2],Upload_Indiv[[Player]:[Player]],$A47,Upload_Indiv[[Side]:[Side]],"Raintree Back",Upload_Indiv[[Excl Score]:[Excl Score]],0),"")</f>
        <v>5.333333333333333</v>
      </c>
      <c r="AL47" s="152">
        <f t="shared" si="12"/>
        <v>0.33333333333333304</v>
      </c>
      <c r="AM47" s="149">
        <f>IFERROR(COUNTIFS(Upload_Indiv[[Player]:[Player]],$A47,Upload_Indiv[[Side]:[Side]],"Raintree Back",Upload_Indiv[[Excl Score]:[Excl Score]],0),"")</f>
        <v>6</v>
      </c>
      <c r="AN47" s="150">
        <f>IFERROR(AVERAGEIFS(Upload_Indiv[Score3],Upload_Indiv[[Player]:[Player]],$A47,Upload_Indiv[[Side]:[Side]],"Raintree Back",Upload_Indiv[[Excl Score]:[Excl Score]],0),"")</f>
        <v>6</v>
      </c>
      <c r="AO47" s="150">
        <f t="shared" si="13"/>
        <v>0</v>
      </c>
      <c r="AP47" s="151">
        <f>IFERROR(COUNTIFS(Upload_Indiv[[Player]:[Player]],$A47,Upload_Indiv[[Side]:[Side]],"Raintree Back",Upload_Indiv[[Excl Score]:[Excl Score]],0),"")</f>
        <v>6</v>
      </c>
      <c r="AQ47" s="152">
        <f>IFERROR(AVERAGEIFS(Upload_Indiv[Score4],Upload_Indiv[[Player]:[Player]],$A47,Upload_Indiv[[Side]:[Side]],"Raintree Back",Upload_Indiv[[Excl Score]:[Excl Score]],0),"")</f>
        <v>7</v>
      </c>
      <c r="AR47" s="152">
        <f t="shared" si="14"/>
        <v>1</v>
      </c>
      <c r="AS47" s="149">
        <f>IFERROR(COUNTIFS(Upload_Indiv[[Player]:[Player]],$A47,Upload_Indiv[[Side]:[Side]],"Raintree Back",Upload_Indiv[[Excl Score]:[Excl Score]],0),"")</f>
        <v>6</v>
      </c>
      <c r="AT47" s="150">
        <f>IFERROR(AVERAGEIFS(Upload_Indiv[Score5],Upload_Indiv[[Player]:[Player]],$A47,Upload_Indiv[[Side]:[Side]],"Raintree Back",Upload_Indiv[[Excl Score]:[Excl Score]],0),"")</f>
        <v>6.5</v>
      </c>
      <c r="AU47" s="150">
        <f t="shared" si="15"/>
        <v>0.5</v>
      </c>
      <c r="AV47" s="151">
        <f>IFERROR(COUNTIFS(Upload_Indiv[[Player]:[Player]],$A47,Upload_Indiv[[Side]:[Side]],"Raintree Back",Upload_Indiv[[Excl Score]:[Excl Score]],0),"")</f>
        <v>6</v>
      </c>
      <c r="AW47" s="152">
        <f>IFERROR(AVERAGEIFS(Upload_Indiv[Score6],Upload_Indiv[[Player]:[Player]],$A47,Upload_Indiv[[Side]:[Side]],"Raintree Back",Upload_Indiv[[Excl Score]:[Excl Score]],0),"")</f>
        <v>8.6666666666666661</v>
      </c>
      <c r="AX47" s="152">
        <f t="shared" si="16"/>
        <v>1.6666666666666661</v>
      </c>
      <c r="AY47" s="149">
        <f>IFERROR(COUNTIFS(Upload_Indiv[[Player]:[Player]],$A47,Upload_Indiv[[Side]:[Side]],"Raintree Back",Upload_Indiv[[Excl Score]:[Excl Score]],0),"")</f>
        <v>6</v>
      </c>
      <c r="AZ47" s="150">
        <f>IFERROR(AVERAGEIFS(Upload_Indiv[Score7],Upload_Indiv[[Player]:[Player]],$A47,Upload_Indiv[[Side]:[Side]],"Raintree Back",Upload_Indiv[[Excl Score]:[Excl Score]],0),"")</f>
        <v>4.666666666666667</v>
      </c>
      <c r="BA47" s="150">
        <f t="shared" si="17"/>
        <v>-0.33333333333333304</v>
      </c>
      <c r="BB47" s="151">
        <f>IFERROR(COUNTIFS(Upload_Indiv[[Player]:[Player]],$A47,Upload_Indiv[[Side]:[Side]],"Raintree Back",Upload_Indiv[[Excl Score]:[Excl Score]],0),"")</f>
        <v>6</v>
      </c>
      <c r="BC47" s="152">
        <f>IFERROR(AVERAGEIFS(Upload_Indiv[Score8],Upload_Indiv[[Player]:[Player]],$A47,Upload_Indiv[[Side]:[Side]],"Raintree Back",Upload_Indiv[[Excl Score]:[Excl Score]],0),"")</f>
        <v>7.833333333333333</v>
      </c>
      <c r="BD47" s="152">
        <f t="shared" si="18"/>
        <v>1.833333333333333</v>
      </c>
      <c r="BE47" s="149">
        <f>IFERROR(COUNTIFS(Upload_Indiv[[Player]:[Player]],$A47,Upload_Indiv[[Side]:[Side]],"Raintree Back",Upload_Indiv[[Excl Score]:[Excl Score]],0),"")</f>
        <v>6</v>
      </c>
      <c r="BF47" s="150">
        <f>IFERROR(AVERAGEIFS(Upload_Indiv[Score9],Upload_Indiv[[Player]:[Player]],$A47,Upload_Indiv[[Side]:[Side]],"Raintree Back",Upload_Indiv[[Excl Score]:[Excl Score]],0),"")</f>
        <v>8.1666666666666661</v>
      </c>
      <c r="BG47" s="150">
        <f t="shared" si="19"/>
        <v>1.1666666666666661</v>
      </c>
      <c r="BH47" s="165">
        <f t="shared" si="20"/>
        <v>6</v>
      </c>
      <c r="BI47" s="165">
        <f t="shared" si="21"/>
        <v>60.833333333333329</v>
      </c>
      <c r="BJ47" s="165">
        <f t="shared" si="21"/>
        <v>6.8333333333333321</v>
      </c>
    </row>
    <row r="48" spans="1:62" x14ac:dyDescent="0.25">
      <c r="A48" s="4" t="s">
        <v>262</v>
      </c>
      <c r="B48" s="170">
        <f>IFERROR(AVERAGEIFS(Upload_Indiv[Hdcp],Upload_Indiv[[Player]:[Player]],$A48,Upload_Indiv[[Excl Score]:[Excl Score]],0),"")</f>
        <v>10.37</v>
      </c>
      <c r="C48" s="149">
        <f>IFERROR(COUNTIFS(Upload_Indiv[[Player]:[Player]],$A48,Upload_Indiv[[Side]:[Side]],"Raintree Front",Upload_Indiv[[Excl Score]:[Excl Score]],0),"")</f>
        <v>1</v>
      </c>
      <c r="D48" s="150">
        <f>IFERROR(AVERAGEIFS(Upload_Indiv[Score1],Upload_Indiv[[Player]:[Player]],$A48,Upload_Indiv[[Side]:[Side]],"Raintree Front",Upload_Indiv[[Excl Score]:[Excl Score]],0),"")</f>
        <v>6</v>
      </c>
      <c r="E48" s="150">
        <f t="shared" si="0"/>
        <v>1</v>
      </c>
      <c r="F48" s="151">
        <f>IFERROR(COUNTIFS(Upload_Indiv[[Player]:[Player]],$A48,Upload_Indiv[[Side]:[Side]],"Raintree Front",Upload_Indiv[[Excl Score]:[Excl Score]],0),"")</f>
        <v>1</v>
      </c>
      <c r="G48" s="152">
        <f>IFERROR(AVERAGEIFS(Upload_Indiv[Score2],Upload_Indiv[[Player]:[Player]],$A48,Upload_Indiv[[Side]:[Side]],"Raintree Front",Upload_Indiv[[Excl Score]:[Excl Score]],0),"")</f>
        <v>8</v>
      </c>
      <c r="H48" s="152">
        <f t="shared" si="1"/>
        <v>2</v>
      </c>
      <c r="I48" s="149">
        <f>IFERROR(COUNTIFS(Upload_Indiv[[Player]:[Player]],$A48,Upload_Indiv[[Side]:[Side]],"Raintree Front",Upload_Indiv[[Excl Score]:[Excl Score]],0),"")</f>
        <v>1</v>
      </c>
      <c r="J48" s="150">
        <f>IFERROR(AVERAGEIFS(Upload_Indiv[Score3],Upload_Indiv[[Player]:[Player]],$A48,Upload_Indiv[[Side]:[Side]],"Raintree Front",Upload_Indiv[[Excl Score]:[Excl Score]],0),"")</f>
        <v>7</v>
      </c>
      <c r="K48" s="150">
        <f t="shared" si="2"/>
        <v>2</v>
      </c>
      <c r="L48" s="151">
        <f>IFERROR(COUNTIFS(Upload_Indiv[[Player]:[Player]],$A48,Upload_Indiv[[Side]:[Side]],"Raintree Front",Upload_Indiv[[Excl Score]:[Excl Score]],0),"")</f>
        <v>1</v>
      </c>
      <c r="M48" s="152">
        <f>IFERROR(AVERAGEIFS(Upload_Indiv[Score4],Upload_Indiv[[Player]:[Player]],$A48,Upload_Indiv[[Side]:[Side]],"Raintree Front",Upload_Indiv[[Excl Score]:[Excl Score]],0),"")</f>
        <v>3</v>
      </c>
      <c r="N48" s="152">
        <f t="shared" si="3"/>
        <v>-1</v>
      </c>
      <c r="O48" s="149">
        <f>IFERROR(COUNTIFS(Upload_Indiv[[Player]:[Player]],$A48,Upload_Indiv[[Side]:[Side]],"Raintree Front",Upload_Indiv[[Excl Score]:[Excl Score]],0),"")</f>
        <v>1</v>
      </c>
      <c r="P48" s="150">
        <f>IFERROR(AVERAGEIFS(Upload_Indiv[Score5],Upload_Indiv[[Player]:[Player]],$A48,Upload_Indiv[[Side]:[Side]],"Raintree Front",Upload_Indiv[[Excl Score]:[Excl Score]],0),"")</f>
        <v>5</v>
      </c>
      <c r="Q48" s="150">
        <f t="shared" si="4"/>
        <v>0</v>
      </c>
      <c r="R48" s="151">
        <f>IFERROR(COUNTIFS(Upload_Indiv[[Player]:[Player]],$A48,Upload_Indiv[[Side]:[Side]],"Raintree Front",Upload_Indiv[[Excl Score]:[Excl Score]],0),"")</f>
        <v>1</v>
      </c>
      <c r="S48" s="152">
        <f>IFERROR(AVERAGEIFS(Upload_Indiv[Score6],Upload_Indiv[[Player]:[Player]],$A48,Upload_Indiv[[Side]:[Side]],"Raintree Front",Upload_Indiv[[Excl Score]:[Excl Score]],0),"")</f>
        <v>6</v>
      </c>
      <c r="T48" s="152">
        <f t="shared" si="5"/>
        <v>0</v>
      </c>
      <c r="U48" s="149">
        <f>IFERROR(COUNTIFS(Upload_Indiv[[Player]:[Player]],$A48,Upload_Indiv[[Side]:[Side]],"Raintree Front",Upload_Indiv[[Excl Score]:[Excl Score]],0),"")</f>
        <v>1</v>
      </c>
      <c r="V48" s="150">
        <f>IFERROR(AVERAGEIFS(Upload_Indiv[Score7],Upload_Indiv[[Player]:[Player]],$A48,Upload_Indiv[[Side]:[Side]],"Raintree Front",Upload_Indiv[[Excl Score]:[Excl Score]],0),"")</f>
        <v>8</v>
      </c>
      <c r="W48" s="150">
        <f t="shared" si="6"/>
        <v>2</v>
      </c>
      <c r="X48" s="151">
        <f>IFERROR(COUNTIFS(Upload_Indiv[[Player]:[Player]],$A48,Upload_Indiv[[Side]:[Side]],"Raintree Front",Upload_Indiv[[Excl Score]:[Excl Score]],0),"")</f>
        <v>1</v>
      </c>
      <c r="Y48" s="152">
        <f>IFERROR(AVERAGEIFS(Upload_Indiv[Score8],Upload_Indiv[[Player]:[Player]],$A48,Upload_Indiv[[Side]:[Side]],"Raintree Front",Upload_Indiv[[Excl Score]:[Excl Score]],0),"")</f>
        <v>4</v>
      </c>
      <c r="Z48" s="152">
        <f t="shared" si="7"/>
        <v>0</v>
      </c>
      <c r="AA48" s="149">
        <f>IFERROR(COUNTIFS(Upload_Indiv[[Player]:[Player]],$A48,Upload_Indiv[[Side]:[Side]],"Raintree Front",Upload_Indiv[[Excl Score]:[Excl Score]],0),"")</f>
        <v>1</v>
      </c>
      <c r="AB48" s="150">
        <f>IFERROR(AVERAGEIFS(Upload_Indiv[Score9],Upload_Indiv[[Player]:[Player]],$A48,Upload_Indiv[[Side]:[Side]],"Raintree Front",Upload_Indiv[[Excl Score]:[Excl Score]],0),"")</f>
        <v>4</v>
      </c>
      <c r="AC48" s="150">
        <f t="shared" si="8"/>
        <v>-1</v>
      </c>
      <c r="AD48" s="165">
        <f t="shared" si="9"/>
        <v>1</v>
      </c>
      <c r="AE48" s="165">
        <f t="shared" si="10"/>
        <v>51</v>
      </c>
      <c r="AF48" s="165">
        <f t="shared" si="10"/>
        <v>5</v>
      </c>
      <c r="AG48" s="149">
        <f>IFERROR(COUNTIFS(Upload_Indiv[[Player]:[Player]],$A48,Upload_Indiv[[Side]:[Side]],"Raintree Back",Upload_Indiv[[Excl Score]:[Excl Score]],0),"")</f>
        <v>0</v>
      </c>
      <c r="AH48" s="150" t="str">
        <f>IFERROR(AVERAGEIFS(Upload_Indiv[Score1],Upload_Indiv[[Player]:[Player]],$A48,Upload_Indiv[[Side]:[Side]],"Raintree Back",Upload_Indiv[[Excl Score]:[Excl Score]],0),"")</f>
        <v/>
      </c>
      <c r="AI48" s="150" t="str">
        <f t="shared" si="11"/>
        <v/>
      </c>
      <c r="AJ48" s="151">
        <f>IFERROR(COUNTIFS(Upload_Indiv[[Player]:[Player]],$A48,Upload_Indiv[[Side]:[Side]],"Raintree Back",Upload_Indiv[[Excl Score]:[Excl Score]],0),"")</f>
        <v>0</v>
      </c>
      <c r="AK48" s="152" t="str">
        <f>IFERROR(AVERAGEIFS(Upload_Indiv[Score2],Upload_Indiv[[Player]:[Player]],$A48,Upload_Indiv[[Side]:[Side]],"Raintree Back",Upload_Indiv[[Excl Score]:[Excl Score]],0),"")</f>
        <v/>
      </c>
      <c r="AL48" s="152" t="str">
        <f t="shared" si="12"/>
        <v/>
      </c>
      <c r="AM48" s="149">
        <f>IFERROR(COUNTIFS(Upload_Indiv[[Player]:[Player]],$A48,Upload_Indiv[[Side]:[Side]],"Raintree Back",Upload_Indiv[[Excl Score]:[Excl Score]],0),"")</f>
        <v>0</v>
      </c>
      <c r="AN48" s="150" t="str">
        <f>IFERROR(AVERAGEIFS(Upload_Indiv[Score3],Upload_Indiv[[Player]:[Player]],$A48,Upload_Indiv[[Side]:[Side]],"Raintree Back",Upload_Indiv[[Excl Score]:[Excl Score]],0),"")</f>
        <v/>
      </c>
      <c r="AO48" s="150" t="str">
        <f t="shared" si="13"/>
        <v/>
      </c>
      <c r="AP48" s="151">
        <f>IFERROR(COUNTIFS(Upload_Indiv[[Player]:[Player]],$A48,Upload_Indiv[[Side]:[Side]],"Raintree Back",Upload_Indiv[[Excl Score]:[Excl Score]],0),"")</f>
        <v>0</v>
      </c>
      <c r="AQ48" s="152" t="str">
        <f>IFERROR(AVERAGEIFS(Upload_Indiv[Score4],Upload_Indiv[[Player]:[Player]],$A48,Upload_Indiv[[Side]:[Side]],"Raintree Back",Upload_Indiv[[Excl Score]:[Excl Score]],0),"")</f>
        <v/>
      </c>
      <c r="AR48" s="152" t="str">
        <f t="shared" si="14"/>
        <v/>
      </c>
      <c r="AS48" s="149">
        <f>IFERROR(COUNTIFS(Upload_Indiv[[Player]:[Player]],$A48,Upload_Indiv[[Side]:[Side]],"Raintree Back",Upload_Indiv[[Excl Score]:[Excl Score]],0),"")</f>
        <v>0</v>
      </c>
      <c r="AT48" s="150" t="str">
        <f>IFERROR(AVERAGEIFS(Upload_Indiv[Score5],Upload_Indiv[[Player]:[Player]],$A48,Upload_Indiv[[Side]:[Side]],"Raintree Back",Upload_Indiv[[Excl Score]:[Excl Score]],0),"")</f>
        <v/>
      </c>
      <c r="AU48" s="150" t="str">
        <f t="shared" si="15"/>
        <v/>
      </c>
      <c r="AV48" s="151">
        <f>IFERROR(COUNTIFS(Upload_Indiv[[Player]:[Player]],$A48,Upload_Indiv[[Side]:[Side]],"Raintree Back",Upload_Indiv[[Excl Score]:[Excl Score]],0),"")</f>
        <v>0</v>
      </c>
      <c r="AW48" s="152" t="str">
        <f>IFERROR(AVERAGEIFS(Upload_Indiv[Score6],Upload_Indiv[[Player]:[Player]],$A48,Upload_Indiv[[Side]:[Side]],"Raintree Back",Upload_Indiv[[Excl Score]:[Excl Score]],0),"")</f>
        <v/>
      </c>
      <c r="AX48" s="152" t="str">
        <f t="shared" si="16"/>
        <v/>
      </c>
      <c r="AY48" s="149">
        <f>IFERROR(COUNTIFS(Upload_Indiv[[Player]:[Player]],$A48,Upload_Indiv[[Side]:[Side]],"Raintree Back",Upload_Indiv[[Excl Score]:[Excl Score]],0),"")</f>
        <v>0</v>
      </c>
      <c r="AZ48" s="150" t="str">
        <f>IFERROR(AVERAGEIFS(Upload_Indiv[Score7],Upload_Indiv[[Player]:[Player]],$A48,Upload_Indiv[[Side]:[Side]],"Raintree Back",Upload_Indiv[[Excl Score]:[Excl Score]],0),"")</f>
        <v/>
      </c>
      <c r="BA48" s="150" t="str">
        <f t="shared" si="17"/>
        <v/>
      </c>
      <c r="BB48" s="151">
        <f>IFERROR(COUNTIFS(Upload_Indiv[[Player]:[Player]],$A48,Upload_Indiv[[Side]:[Side]],"Raintree Back",Upload_Indiv[[Excl Score]:[Excl Score]],0),"")</f>
        <v>0</v>
      </c>
      <c r="BC48" s="152" t="str">
        <f>IFERROR(AVERAGEIFS(Upload_Indiv[Score8],Upload_Indiv[[Player]:[Player]],$A48,Upload_Indiv[[Side]:[Side]],"Raintree Back",Upload_Indiv[[Excl Score]:[Excl Score]],0),"")</f>
        <v/>
      </c>
      <c r="BD48" s="152" t="str">
        <f t="shared" si="18"/>
        <v/>
      </c>
      <c r="BE48" s="149">
        <f>IFERROR(COUNTIFS(Upload_Indiv[[Player]:[Player]],$A48,Upload_Indiv[[Side]:[Side]],"Raintree Back",Upload_Indiv[[Excl Score]:[Excl Score]],0),"")</f>
        <v>0</v>
      </c>
      <c r="BF48" s="150" t="str">
        <f>IFERROR(AVERAGEIFS(Upload_Indiv[Score9],Upload_Indiv[[Player]:[Player]],$A48,Upload_Indiv[[Side]:[Side]],"Raintree Back",Upload_Indiv[[Excl Score]:[Excl Score]],0),"")</f>
        <v/>
      </c>
      <c r="BG48" s="150" t="str">
        <f t="shared" si="19"/>
        <v/>
      </c>
      <c r="BH48" s="165">
        <f t="shared" si="20"/>
        <v>0</v>
      </c>
      <c r="BI48" s="165">
        <f t="shared" si="21"/>
        <v>0</v>
      </c>
      <c r="BJ48" s="165">
        <f t="shared" si="21"/>
        <v>0</v>
      </c>
    </row>
    <row r="49" spans="1:62" x14ac:dyDescent="0.25">
      <c r="A49" s="4" t="s">
        <v>100</v>
      </c>
      <c r="B49" s="170">
        <f>IFERROR(AVERAGEIFS(Upload_Indiv[Hdcp],Upload_Indiv[[Player]:[Player]],$A49,Upload_Indiv[[Excl Score]:[Excl Score]],0),"")</f>
        <v>5.4981818181818189</v>
      </c>
      <c r="C49" s="149">
        <f>IFERROR(COUNTIFS(Upload_Indiv[[Player]:[Player]],$A49,Upload_Indiv[[Side]:[Side]],"Raintree Front",Upload_Indiv[[Excl Score]:[Excl Score]],0),"")</f>
        <v>6</v>
      </c>
      <c r="D49" s="150">
        <f>IFERROR(AVERAGEIFS(Upload_Indiv[Score1],Upload_Indiv[[Player]:[Player]],$A49,Upload_Indiv[[Side]:[Side]],"Raintree Front",Upload_Indiv[[Excl Score]:[Excl Score]],0),"")</f>
        <v>4.666666666666667</v>
      </c>
      <c r="E49" s="150">
        <f t="shared" si="0"/>
        <v>-0.33333333333333304</v>
      </c>
      <c r="F49" s="151">
        <f>IFERROR(COUNTIFS(Upload_Indiv[[Player]:[Player]],$A49,Upload_Indiv[[Side]:[Side]],"Raintree Front",Upload_Indiv[[Excl Score]:[Excl Score]],0),"")</f>
        <v>6</v>
      </c>
      <c r="G49" s="152">
        <f>IFERROR(AVERAGEIFS(Upload_Indiv[Score2],Upload_Indiv[[Player]:[Player]],$A49,Upload_Indiv[[Side]:[Side]],"Raintree Front",Upload_Indiv[[Excl Score]:[Excl Score]],0),"")</f>
        <v>5.833333333333333</v>
      </c>
      <c r="H49" s="152">
        <f t="shared" si="1"/>
        <v>0.83333333333333304</v>
      </c>
      <c r="I49" s="149">
        <f>IFERROR(COUNTIFS(Upload_Indiv[[Player]:[Player]],$A49,Upload_Indiv[[Side]:[Side]],"Raintree Front",Upload_Indiv[[Excl Score]:[Excl Score]],0),"")</f>
        <v>6</v>
      </c>
      <c r="J49" s="150">
        <f>IFERROR(AVERAGEIFS(Upload_Indiv[Score3],Upload_Indiv[[Player]:[Player]],$A49,Upload_Indiv[[Side]:[Side]],"Raintree Front",Upload_Indiv[[Excl Score]:[Excl Score]],0),"")</f>
        <v>5.333333333333333</v>
      </c>
      <c r="K49" s="150">
        <f t="shared" si="2"/>
        <v>0.33333333333333304</v>
      </c>
      <c r="L49" s="151">
        <f>IFERROR(COUNTIFS(Upload_Indiv[[Player]:[Player]],$A49,Upload_Indiv[[Side]:[Side]],"Raintree Front",Upload_Indiv[[Excl Score]:[Excl Score]],0),"")</f>
        <v>6</v>
      </c>
      <c r="M49" s="152">
        <f>IFERROR(AVERAGEIFS(Upload_Indiv[Score4],Upload_Indiv[[Player]:[Player]],$A49,Upload_Indiv[[Side]:[Side]],"Raintree Front",Upload_Indiv[[Excl Score]:[Excl Score]],0),"")</f>
        <v>4</v>
      </c>
      <c r="N49" s="152">
        <f t="shared" si="3"/>
        <v>1</v>
      </c>
      <c r="O49" s="149">
        <f>IFERROR(COUNTIFS(Upload_Indiv[[Player]:[Player]],$A49,Upload_Indiv[[Side]:[Side]],"Raintree Front",Upload_Indiv[[Excl Score]:[Excl Score]],0),"")</f>
        <v>6</v>
      </c>
      <c r="P49" s="150">
        <f>IFERROR(AVERAGEIFS(Upload_Indiv[Score5],Upload_Indiv[[Player]:[Player]],$A49,Upload_Indiv[[Side]:[Side]],"Raintree Front",Upload_Indiv[[Excl Score]:[Excl Score]],0),"")</f>
        <v>4</v>
      </c>
      <c r="Q49" s="150">
        <f t="shared" si="4"/>
        <v>0</v>
      </c>
      <c r="R49" s="151">
        <f>IFERROR(COUNTIFS(Upload_Indiv[[Player]:[Player]],$A49,Upload_Indiv[[Side]:[Side]],"Raintree Front",Upload_Indiv[[Excl Score]:[Excl Score]],0),"")</f>
        <v>6</v>
      </c>
      <c r="S49" s="152">
        <f>IFERROR(AVERAGEIFS(Upload_Indiv[Score6],Upload_Indiv[[Player]:[Player]],$A49,Upload_Indiv[[Side]:[Side]],"Raintree Front",Upload_Indiv[[Excl Score]:[Excl Score]],0),"")</f>
        <v>4.5</v>
      </c>
      <c r="T49" s="152">
        <f t="shared" si="5"/>
        <v>-0.5</v>
      </c>
      <c r="U49" s="149">
        <f>IFERROR(COUNTIFS(Upload_Indiv[[Player]:[Player]],$A49,Upload_Indiv[[Side]:[Side]],"Raintree Front",Upload_Indiv[[Excl Score]:[Excl Score]],0),"")</f>
        <v>6</v>
      </c>
      <c r="V49" s="150">
        <f>IFERROR(AVERAGEIFS(Upload_Indiv[Score7],Upload_Indiv[[Player]:[Player]],$A49,Upload_Indiv[[Side]:[Side]],"Raintree Front",Upload_Indiv[[Excl Score]:[Excl Score]],0),"")</f>
        <v>6</v>
      </c>
      <c r="W49" s="150">
        <f t="shared" si="6"/>
        <v>0</v>
      </c>
      <c r="X49" s="151">
        <f>IFERROR(COUNTIFS(Upload_Indiv[[Player]:[Player]],$A49,Upload_Indiv[[Side]:[Side]],"Raintree Front",Upload_Indiv[[Excl Score]:[Excl Score]],0),"")</f>
        <v>6</v>
      </c>
      <c r="Y49" s="152">
        <f>IFERROR(AVERAGEIFS(Upload_Indiv[Score8],Upload_Indiv[[Player]:[Player]],$A49,Upload_Indiv[[Side]:[Side]],"Raintree Front",Upload_Indiv[[Excl Score]:[Excl Score]],0),"")</f>
        <v>3.8333333333333335</v>
      </c>
      <c r="Z49" s="152">
        <f t="shared" si="7"/>
        <v>0.83333333333333348</v>
      </c>
      <c r="AA49" s="149">
        <f>IFERROR(COUNTIFS(Upload_Indiv[[Player]:[Player]],$A49,Upload_Indiv[[Side]:[Side]],"Raintree Front",Upload_Indiv[[Excl Score]:[Excl Score]],0),"")</f>
        <v>6</v>
      </c>
      <c r="AB49" s="150">
        <f>IFERROR(AVERAGEIFS(Upload_Indiv[Score9],Upload_Indiv[[Player]:[Player]],$A49,Upload_Indiv[[Side]:[Side]],"Raintree Front",Upload_Indiv[[Excl Score]:[Excl Score]],0),"")</f>
        <v>4.5</v>
      </c>
      <c r="AC49" s="150">
        <f t="shared" si="8"/>
        <v>-0.5</v>
      </c>
      <c r="AD49" s="165">
        <f t="shared" si="9"/>
        <v>6</v>
      </c>
      <c r="AE49" s="165">
        <f t="shared" si="10"/>
        <v>42.666666666666664</v>
      </c>
      <c r="AF49" s="165">
        <f t="shared" si="10"/>
        <v>1.6666666666666665</v>
      </c>
      <c r="AG49" s="149">
        <f>IFERROR(COUNTIFS(Upload_Indiv[[Player]:[Player]],$A49,Upload_Indiv[[Side]:[Side]],"Raintree Back",Upload_Indiv[[Excl Score]:[Excl Score]],0),"")</f>
        <v>5</v>
      </c>
      <c r="AH49" s="150">
        <f>IFERROR(AVERAGEIFS(Upload_Indiv[Score1],Upload_Indiv[[Player]:[Player]],$A49,Upload_Indiv[[Side]:[Side]],"Raintree Back",Upload_Indiv[[Excl Score]:[Excl Score]],0),"")</f>
        <v>4.5999999999999996</v>
      </c>
      <c r="AI49" s="150">
        <f t="shared" si="11"/>
        <v>0.59999999999999964</v>
      </c>
      <c r="AJ49" s="151">
        <f>IFERROR(COUNTIFS(Upload_Indiv[[Player]:[Player]],$A49,Upload_Indiv[[Side]:[Side]],"Raintree Back",Upload_Indiv[[Excl Score]:[Excl Score]],0),"")</f>
        <v>5</v>
      </c>
      <c r="AK49" s="152">
        <f>IFERROR(AVERAGEIFS(Upload_Indiv[Score2],Upload_Indiv[[Player]:[Player]],$A49,Upload_Indiv[[Side]:[Side]],"Raintree Back",Upload_Indiv[[Excl Score]:[Excl Score]],0),"")</f>
        <v>4.8</v>
      </c>
      <c r="AL49" s="152">
        <f t="shared" si="12"/>
        <v>1.7999999999999998</v>
      </c>
      <c r="AM49" s="149">
        <f>IFERROR(COUNTIFS(Upload_Indiv[[Player]:[Player]],$A49,Upload_Indiv[[Side]:[Side]],"Raintree Back",Upload_Indiv[[Excl Score]:[Excl Score]],0),"")</f>
        <v>5</v>
      </c>
      <c r="AN49" s="150">
        <f>IFERROR(AVERAGEIFS(Upload_Indiv[Score3],Upload_Indiv[[Player]:[Player]],$A49,Upload_Indiv[[Side]:[Side]],"Raintree Back",Upload_Indiv[[Excl Score]:[Excl Score]],0),"")</f>
        <v>5.4</v>
      </c>
      <c r="AO49" s="150">
        <f t="shared" si="13"/>
        <v>1.4000000000000004</v>
      </c>
      <c r="AP49" s="151">
        <f>IFERROR(COUNTIFS(Upload_Indiv[[Player]:[Player]],$A49,Upload_Indiv[[Side]:[Side]],"Raintree Back",Upload_Indiv[[Excl Score]:[Excl Score]],0),"")</f>
        <v>5</v>
      </c>
      <c r="AQ49" s="152">
        <f>IFERROR(AVERAGEIFS(Upload_Indiv[Score4],Upload_Indiv[[Player]:[Player]],$A49,Upload_Indiv[[Side]:[Side]],"Raintree Back",Upload_Indiv[[Excl Score]:[Excl Score]],0),"")</f>
        <v>6</v>
      </c>
      <c r="AR49" s="152">
        <f t="shared" si="14"/>
        <v>1</v>
      </c>
      <c r="AS49" s="149">
        <f>IFERROR(COUNTIFS(Upload_Indiv[[Player]:[Player]],$A49,Upload_Indiv[[Side]:[Side]],"Raintree Back",Upload_Indiv[[Excl Score]:[Excl Score]],0),"")</f>
        <v>5</v>
      </c>
      <c r="AT49" s="150">
        <f>IFERROR(AVERAGEIFS(Upload_Indiv[Score5],Upload_Indiv[[Player]:[Player]],$A49,Upload_Indiv[[Side]:[Side]],"Raintree Back",Upload_Indiv[[Excl Score]:[Excl Score]],0),"")</f>
        <v>5.2</v>
      </c>
      <c r="AU49" s="150">
        <f t="shared" si="15"/>
        <v>0.20000000000000018</v>
      </c>
      <c r="AV49" s="151">
        <f>IFERROR(COUNTIFS(Upload_Indiv[[Player]:[Player]],$A49,Upload_Indiv[[Side]:[Side]],"Raintree Back",Upload_Indiv[[Excl Score]:[Excl Score]],0),"")</f>
        <v>5</v>
      </c>
      <c r="AW49" s="152">
        <f>IFERROR(AVERAGEIFS(Upload_Indiv[Score6],Upload_Indiv[[Player]:[Player]],$A49,Upload_Indiv[[Side]:[Side]],"Raintree Back",Upload_Indiv[[Excl Score]:[Excl Score]],0),"")</f>
        <v>5.8</v>
      </c>
      <c r="AX49" s="152">
        <f t="shared" si="16"/>
        <v>-0.20000000000000018</v>
      </c>
      <c r="AY49" s="149">
        <f>IFERROR(COUNTIFS(Upload_Indiv[[Player]:[Player]],$A49,Upload_Indiv[[Side]:[Side]],"Raintree Back",Upload_Indiv[[Excl Score]:[Excl Score]],0),"")</f>
        <v>5</v>
      </c>
      <c r="AZ49" s="150">
        <f>IFERROR(AVERAGEIFS(Upload_Indiv[Score7],Upload_Indiv[[Player]:[Player]],$A49,Upload_Indiv[[Side]:[Side]],"Raintree Back",Upload_Indiv[[Excl Score]:[Excl Score]],0),"")</f>
        <v>3.4</v>
      </c>
      <c r="BA49" s="150">
        <f t="shared" si="17"/>
        <v>0.39999999999999991</v>
      </c>
      <c r="BB49" s="151">
        <f>IFERROR(COUNTIFS(Upload_Indiv[[Player]:[Player]],$A49,Upload_Indiv[[Side]:[Side]],"Raintree Back",Upload_Indiv[[Excl Score]:[Excl Score]],0),"")</f>
        <v>5</v>
      </c>
      <c r="BC49" s="152">
        <f>IFERROR(AVERAGEIFS(Upload_Indiv[Score8],Upload_Indiv[[Player]:[Player]],$A49,Upload_Indiv[[Side]:[Side]],"Raintree Back",Upload_Indiv[[Excl Score]:[Excl Score]],0),"")</f>
        <v>4.8</v>
      </c>
      <c r="BD49" s="152">
        <f t="shared" si="18"/>
        <v>-0.20000000000000018</v>
      </c>
      <c r="BE49" s="149">
        <f>IFERROR(COUNTIFS(Upload_Indiv[[Player]:[Player]],$A49,Upload_Indiv[[Side]:[Side]],"Raintree Back",Upload_Indiv[[Excl Score]:[Excl Score]],0),"")</f>
        <v>5</v>
      </c>
      <c r="BF49" s="150">
        <f>IFERROR(AVERAGEIFS(Upload_Indiv[Score9],Upload_Indiv[[Player]:[Player]],$A49,Upload_Indiv[[Side]:[Side]],"Raintree Back",Upload_Indiv[[Excl Score]:[Excl Score]],0),"")</f>
        <v>6.6</v>
      </c>
      <c r="BG49" s="150">
        <f t="shared" si="19"/>
        <v>0.59999999999999964</v>
      </c>
      <c r="BH49" s="165">
        <f t="shared" si="20"/>
        <v>5</v>
      </c>
      <c r="BI49" s="165">
        <f t="shared" si="21"/>
        <v>46.599999999999994</v>
      </c>
      <c r="BJ49" s="165">
        <f t="shared" si="21"/>
        <v>5.5999999999999988</v>
      </c>
    </row>
    <row r="50" spans="1:62" x14ac:dyDescent="0.25">
      <c r="A50" s="4" t="s">
        <v>233</v>
      </c>
      <c r="B50" s="170" t="str">
        <f>IFERROR(AVERAGEIFS(Upload_Indiv[Hdcp],Upload_Indiv[[Player]:[Player]],$A50,Upload_Indiv[[Excl Score]:[Excl Score]],0),"")</f>
        <v/>
      </c>
      <c r="C50" s="149">
        <f>IFERROR(COUNTIFS(Upload_Indiv[[Player]:[Player]],$A50,Upload_Indiv[[Side]:[Side]],"Raintree Front",Upload_Indiv[[Excl Score]:[Excl Score]],0),"")</f>
        <v>0</v>
      </c>
      <c r="D50" s="150" t="str">
        <f>IFERROR(AVERAGEIFS(Upload_Indiv[Score1],Upload_Indiv[[Player]:[Player]],$A50,Upload_Indiv[[Side]:[Side]],"Raintree Front",Upload_Indiv[[Excl Score]:[Excl Score]],0),"")</f>
        <v/>
      </c>
      <c r="E50" s="150" t="str">
        <f t="shared" si="0"/>
        <v/>
      </c>
      <c r="F50" s="151">
        <f>IFERROR(COUNTIFS(Upload_Indiv[[Player]:[Player]],$A50,Upload_Indiv[[Side]:[Side]],"Raintree Front",Upload_Indiv[[Excl Score]:[Excl Score]],0),"")</f>
        <v>0</v>
      </c>
      <c r="G50" s="152" t="str">
        <f>IFERROR(AVERAGEIFS(Upload_Indiv[Score2],Upload_Indiv[[Player]:[Player]],$A50,Upload_Indiv[[Side]:[Side]],"Raintree Front",Upload_Indiv[[Excl Score]:[Excl Score]],0),"")</f>
        <v/>
      </c>
      <c r="H50" s="152" t="str">
        <f t="shared" si="1"/>
        <v/>
      </c>
      <c r="I50" s="149">
        <f>IFERROR(COUNTIFS(Upload_Indiv[[Player]:[Player]],$A50,Upload_Indiv[[Side]:[Side]],"Raintree Front",Upload_Indiv[[Excl Score]:[Excl Score]],0),"")</f>
        <v>0</v>
      </c>
      <c r="J50" s="150" t="str">
        <f>IFERROR(AVERAGEIFS(Upload_Indiv[Score3],Upload_Indiv[[Player]:[Player]],$A50,Upload_Indiv[[Side]:[Side]],"Raintree Front",Upload_Indiv[[Excl Score]:[Excl Score]],0),"")</f>
        <v/>
      </c>
      <c r="K50" s="150" t="str">
        <f t="shared" si="2"/>
        <v/>
      </c>
      <c r="L50" s="151">
        <f>IFERROR(COUNTIFS(Upload_Indiv[[Player]:[Player]],$A50,Upload_Indiv[[Side]:[Side]],"Raintree Front",Upload_Indiv[[Excl Score]:[Excl Score]],0),"")</f>
        <v>0</v>
      </c>
      <c r="M50" s="152" t="str">
        <f>IFERROR(AVERAGEIFS(Upload_Indiv[Score4],Upload_Indiv[[Player]:[Player]],$A50,Upload_Indiv[[Side]:[Side]],"Raintree Front",Upload_Indiv[[Excl Score]:[Excl Score]],0),"")</f>
        <v/>
      </c>
      <c r="N50" s="152" t="str">
        <f t="shared" si="3"/>
        <v/>
      </c>
      <c r="O50" s="149">
        <f>IFERROR(COUNTIFS(Upload_Indiv[[Player]:[Player]],$A50,Upload_Indiv[[Side]:[Side]],"Raintree Front",Upload_Indiv[[Excl Score]:[Excl Score]],0),"")</f>
        <v>0</v>
      </c>
      <c r="P50" s="150" t="str">
        <f>IFERROR(AVERAGEIFS(Upload_Indiv[Score5],Upload_Indiv[[Player]:[Player]],$A50,Upload_Indiv[[Side]:[Side]],"Raintree Front",Upload_Indiv[[Excl Score]:[Excl Score]],0),"")</f>
        <v/>
      </c>
      <c r="Q50" s="150" t="str">
        <f t="shared" si="4"/>
        <v/>
      </c>
      <c r="R50" s="151">
        <f>IFERROR(COUNTIFS(Upload_Indiv[[Player]:[Player]],$A50,Upload_Indiv[[Side]:[Side]],"Raintree Front",Upload_Indiv[[Excl Score]:[Excl Score]],0),"")</f>
        <v>0</v>
      </c>
      <c r="S50" s="152" t="str">
        <f>IFERROR(AVERAGEIFS(Upload_Indiv[Score6],Upload_Indiv[[Player]:[Player]],$A50,Upload_Indiv[[Side]:[Side]],"Raintree Front",Upload_Indiv[[Excl Score]:[Excl Score]],0),"")</f>
        <v/>
      </c>
      <c r="T50" s="152" t="str">
        <f t="shared" si="5"/>
        <v/>
      </c>
      <c r="U50" s="149">
        <f>IFERROR(COUNTIFS(Upload_Indiv[[Player]:[Player]],$A50,Upload_Indiv[[Side]:[Side]],"Raintree Front",Upload_Indiv[[Excl Score]:[Excl Score]],0),"")</f>
        <v>0</v>
      </c>
      <c r="V50" s="150" t="str">
        <f>IFERROR(AVERAGEIFS(Upload_Indiv[Score7],Upload_Indiv[[Player]:[Player]],$A50,Upload_Indiv[[Side]:[Side]],"Raintree Front",Upload_Indiv[[Excl Score]:[Excl Score]],0),"")</f>
        <v/>
      </c>
      <c r="W50" s="150" t="str">
        <f t="shared" si="6"/>
        <v/>
      </c>
      <c r="X50" s="151">
        <f>IFERROR(COUNTIFS(Upload_Indiv[[Player]:[Player]],$A50,Upload_Indiv[[Side]:[Side]],"Raintree Front",Upload_Indiv[[Excl Score]:[Excl Score]],0),"")</f>
        <v>0</v>
      </c>
      <c r="Y50" s="152" t="str">
        <f>IFERROR(AVERAGEIFS(Upload_Indiv[Score8],Upload_Indiv[[Player]:[Player]],$A50,Upload_Indiv[[Side]:[Side]],"Raintree Front",Upload_Indiv[[Excl Score]:[Excl Score]],0),"")</f>
        <v/>
      </c>
      <c r="Z50" s="152" t="str">
        <f t="shared" si="7"/>
        <v/>
      </c>
      <c r="AA50" s="149">
        <f>IFERROR(COUNTIFS(Upload_Indiv[[Player]:[Player]],$A50,Upload_Indiv[[Side]:[Side]],"Raintree Front",Upload_Indiv[[Excl Score]:[Excl Score]],0),"")</f>
        <v>0</v>
      </c>
      <c r="AB50" s="150" t="str">
        <f>IFERROR(AVERAGEIFS(Upload_Indiv[Score9],Upload_Indiv[[Player]:[Player]],$A50,Upload_Indiv[[Side]:[Side]],"Raintree Front",Upload_Indiv[[Excl Score]:[Excl Score]],0),"")</f>
        <v/>
      </c>
      <c r="AC50" s="150" t="str">
        <f t="shared" si="8"/>
        <v/>
      </c>
      <c r="AD50" s="165">
        <f t="shared" si="9"/>
        <v>0</v>
      </c>
      <c r="AE50" s="165">
        <f t="shared" si="10"/>
        <v>0</v>
      </c>
      <c r="AF50" s="165">
        <f t="shared" si="10"/>
        <v>0</v>
      </c>
      <c r="AG50" s="149">
        <f>IFERROR(COUNTIFS(Upload_Indiv[[Player]:[Player]],$A50,Upload_Indiv[[Side]:[Side]],"Raintree Back",Upload_Indiv[[Excl Score]:[Excl Score]],0),"")</f>
        <v>0</v>
      </c>
      <c r="AH50" s="150" t="str">
        <f>IFERROR(AVERAGEIFS(Upload_Indiv[Score1],Upload_Indiv[[Player]:[Player]],$A50,Upload_Indiv[[Side]:[Side]],"Raintree Back",Upload_Indiv[[Excl Score]:[Excl Score]],0),"")</f>
        <v/>
      </c>
      <c r="AI50" s="150" t="str">
        <f t="shared" si="11"/>
        <v/>
      </c>
      <c r="AJ50" s="151">
        <f>IFERROR(COUNTIFS(Upload_Indiv[[Player]:[Player]],$A50,Upload_Indiv[[Side]:[Side]],"Raintree Back",Upload_Indiv[[Excl Score]:[Excl Score]],0),"")</f>
        <v>0</v>
      </c>
      <c r="AK50" s="152" t="str">
        <f>IFERROR(AVERAGEIFS(Upload_Indiv[Score2],Upload_Indiv[[Player]:[Player]],$A50,Upload_Indiv[[Side]:[Side]],"Raintree Back",Upload_Indiv[[Excl Score]:[Excl Score]],0),"")</f>
        <v/>
      </c>
      <c r="AL50" s="152" t="str">
        <f t="shared" si="12"/>
        <v/>
      </c>
      <c r="AM50" s="149">
        <f>IFERROR(COUNTIFS(Upload_Indiv[[Player]:[Player]],$A50,Upload_Indiv[[Side]:[Side]],"Raintree Back",Upload_Indiv[[Excl Score]:[Excl Score]],0),"")</f>
        <v>0</v>
      </c>
      <c r="AN50" s="150" t="str">
        <f>IFERROR(AVERAGEIFS(Upload_Indiv[Score3],Upload_Indiv[[Player]:[Player]],$A50,Upload_Indiv[[Side]:[Side]],"Raintree Back",Upload_Indiv[[Excl Score]:[Excl Score]],0),"")</f>
        <v/>
      </c>
      <c r="AO50" s="150" t="str">
        <f t="shared" si="13"/>
        <v/>
      </c>
      <c r="AP50" s="151">
        <f>IFERROR(COUNTIFS(Upload_Indiv[[Player]:[Player]],$A50,Upload_Indiv[[Side]:[Side]],"Raintree Back",Upload_Indiv[[Excl Score]:[Excl Score]],0),"")</f>
        <v>0</v>
      </c>
      <c r="AQ50" s="152" t="str">
        <f>IFERROR(AVERAGEIFS(Upload_Indiv[Score4],Upload_Indiv[[Player]:[Player]],$A50,Upload_Indiv[[Side]:[Side]],"Raintree Back",Upload_Indiv[[Excl Score]:[Excl Score]],0),"")</f>
        <v/>
      </c>
      <c r="AR50" s="152" t="str">
        <f t="shared" si="14"/>
        <v/>
      </c>
      <c r="AS50" s="149">
        <f>IFERROR(COUNTIFS(Upload_Indiv[[Player]:[Player]],$A50,Upload_Indiv[[Side]:[Side]],"Raintree Back",Upload_Indiv[[Excl Score]:[Excl Score]],0),"")</f>
        <v>0</v>
      </c>
      <c r="AT50" s="150" t="str">
        <f>IFERROR(AVERAGEIFS(Upload_Indiv[Score5],Upload_Indiv[[Player]:[Player]],$A50,Upload_Indiv[[Side]:[Side]],"Raintree Back",Upload_Indiv[[Excl Score]:[Excl Score]],0),"")</f>
        <v/>
      </c>
      <c r="AU50" s="150" t="str">
        <f t="shared" si="15"/>
        <v/>
      </c>
      <c r="AV50" s="151">
        <f>IFERROR(COUNTIFS(Upload_Indiv[[Player]:[Player]],$A50,Upload_Indiv[[Side]:[Side]],"Raintree Back",Upload_Indiv[[Excl Score]:[Excl Score]],0),"")</f>
        <v>0</v>
      </c>
      <c r="AW50" s="152" t="str">
        <f>IFERROR(AVERAGEIFS(Upload_Indiv[Score6],Upload_Indiv[[Player]:[Player]],$A50,Upload_Indiv[[Side]:[Side]],"Raintree Back",Upload_Indiv[[Excl Score]:[Excl Score]],0),"")</f>
        <v/>
      </c>
      <c r="AX50" s="152" t="str">
        <f t="shared" si="16"/>
        <v/>
      </c>
      <c r="AY50" s="149">
        <f>IFERROR(COUNTIFS(Upload_Indiv[[Player]:[Player]],$A50,Upload_Indiv[[Side]:[Side]],"Raintree Back",Upload_Indiv[[Excl Score]:[Excl Score]],0),"")</f>
        <v>0</v>
      </c>
      <c r="AZ50" s="150" t="str">
        <f>IFERROR(AVERAGEIFS(Upload_Indiv[Score7],Upload_Indiv[[Player]:[Player]],$A50,Upload_Indiv[[Side]:[Side]],"Raintree Back",Upload_Indiv[[Excl Score]:[Excl Score]],0),"")</f>
        <v/>
      </c>
      <c r="BA50" s="150" t="str">
        <f t="shared" si="17"/>
        <v/>
      </c>
      <c r="BB50" s="151">
        <f>IFERROR(COUNTIFS(Upload_Indiv[[Player]:[Player]],$A50,Upload_Indiv[[Side]:[Side]],"Raintree Back",Upload_Indiv[[Excl Score]:[Excl Score]],0),"")</f>
        <v>0</v>
      </c>
      <c r="BC50" s="152" t="str">
        <f>IFERROR(AVERAGEIFS(Upload_Indiv[Score8],Upload_Indiv[[Player]:[Player]],$A50,Upload_Indiv[[Side]:[Side]],"Raintree Back",Upload_Indiv[[Excl Score]:[Excl Score]],0),"")</f>
        <v/>
      </c>
      <c r="BD50" s="152" t="str">
        <f t="shared" si="18"/>
        <v/>
      </c>
      <c r="BE50" s="149">
        <f>IFERROR(COUNTIFS(Upload_Indiv[[Player]:[Player]],$A50,Upload_Indiv[[Side]:[Side]],"Raintree Back",Upload_Indiv[[Excl Score]:[Excl Score]],0),"")</f>
        <v>0</v>
      </c>
      <c r="BF50" s="150" t="str">
        <f>IFERROR(AVERAGEIFS(Upload_Indiv[Score9],Upload_Indiv[[Player]:[Player]],$A50,Upload_Indiv[[Side]:[Side]],"Raintree Back",Upload_Indiv[[Excl Score]:[Excl Score]],0),"")</f>
        <v/>
      </c>
      <c r="BG50" s="150" t="str">
        <f t="shared" si="19"/>
        <v/>
      </c>
      <c r="BH50" s="165">
        <f t="shared" si="20"/>
        <v>0</v>
      </c>
      <c r="BI50" s="165">
        <f t="shared" si="21"/>
        <v>0</v>
      </c>
      <c r="BJ50" s="165">
        <f t="shared" si="21"/>
        <v>0</v>
      </c>
    </row>
    <row r="51" spans="1:62" x14ac:dyDescent="0.25">
      <c r="A51" s="4" t="s">
        <v>234</v>
      </c>
      <c r="B51" s="170">
        <f>IFERROR(AVERAGEIFS(Upload_Indiv[Hdcp],Upload_Indiv[[Player]:[Player]],$A51,Upload_Indiv[[Excl Score]:[Excl Score]],0),"")</f>
        <v>11.52</v>
      </c>
      <c r="C51" s="149">
        <f>IFERROR(COUNTIFS(Upload_Indiv[[Player]:[Player]],$A51,Upload_Indiv[[Side]:[Side]],"Raintree Front",Upload_Indiv[[Excl Score]:[Excl Score]],0),"")</f>
        <v>2</v>
      </c>
      <c r="D51" s="150">
        <f>IFERROR(AVERAGEIFS(Upload_Indiv[Score1],Upload_Indiv[[Player]:[Player]],$A51,Upload_Indiv[[Side]:[Side]],"Raintree Front",Upload_Indiv[[Excl Score]:[Excl Score]],0),"")</f>
        <v>7</v>
      </c>
      <c r="E51" s="150">
        <f t="shared" si="0"/>
        <v>1</v>
      </c>
      <c r="F51" s="151">
        <f>IFERROR(COUNTIFS(Upload_Indiv[[Player]:[Player]],$A51,Upload_Indiv[[Side]:[Side]],"Raintree Front",Upload_Indiv[[Excl Score]:[Excl Score]],0),"")</f>
        <v>2</v>
      </c>
      <c r="G51" s="152">
        <f>IFERROR(AVERAGEIFS(Upload_Indiv[Score2],Upload_Indiv[[Player]:[Player]],$A51,Upload_Indiv[[Side]:[Side]],"Raintree Front",Upload_Indiv[[Excl Score]:[Excl Score]],0),"")</f>
        <v>6.5</v>
      </c>
      <c r="H51" s="152">
        <f t="shared" si="1"/>
        <v>0.5</v>
      </c>
      <c r="I51" s="149">
        <f>IFERROR(COUNTIFS(Upload_Indiv[[Player]:[Player]],$A51,Upload_Indiv[[Side]:[Side]],"Raintree Front",Upload_Indiv[[Excl Score]:[Excl Score]],0),"")</f>
        <v>2</v>
      </c>
      <c r="J51" s="150">
        <f>IFERROR(AVERAGEIFS(Upload_Indiv[Score3],Upload_Indiv[[Player]:[Player]],$A51,Upload_Indiv[[Side]:[Side]],"Raintree Front",Upload_Indiv[[Excl Score]:[Excl Score]],0),"")</f>
        <v>6.5</v>
      </c>
      <c r="K51" s="150">
        <f t="shared" si="2"/>
        <v>0.5</v>
      </c>
      <c r="L51" s="151">
        <f>IFERROR(COUNTIFS(Upload_Indiv[[Player]:[Player]],$A51,Upload_Indiv[[Side]:[Side]],"Raintree Front",Upload_Indiv[[Excl Score]:[Excl Score]],0),"")</f>
        <v>2</v>
      </c>
      <c r="M51" s="152">
        <f>IFERROR(AVERAGEIFS(Upload_Indiv[Score4],Upload_Indiv[[Player]:[Player]],$A51,Upload_Indiv[[Side]:[Side]],"Raintree Front",Upload_Indiv[[Excl Score]:[Excl Score]],0),"")</f>
        <v>4.5</v>
      </c>
      <c r="N51" s="152">
        <f t="shared" si="3"/>
        <v>0.5</v>
      </c>
      <c r="O51" s="149">
        <f>IFERROR(COUNTIFS(Upload_Indiv[[Player]:[Player]],$A51,Upload_Indiv[[Side]:[Side]],"Raintree Front",Upload_Indiv[[Excl Score]:[Excl Score]],0),"")</f>
        <v>2</v>
      </c>
      <c r="P51" s="150">
        <f>IFERROR(AVERAGEIFS(Upload_Indiv[Score5],Upload_Indiv[[Player]:[Player]],$A51,Upload_Indiv[[Side]:[Side]],"Raintree Front",Upload_Indiv[[Excl Score]:[Excl Score]],0),"")</f>
        <v>5.5</v>
      </c>
      <c r="Q51" s="150">
        <f t="shared" si="4"/>
        <v>0.5</v>
      </c>
      <c r="R51" s="151">
        <f>IFERROR(COUNTIFS(Upload_Indiv[[Player]:[Player]],$A51,Upload_Indiv[[Side]:[Side]],"Raintree Front",Upload_Indiv[[Excl Score]:[Excl Score]],0),"")</f>
        <v>2</v>
      </c>
      <c r="S51" s="152">
        <f>IFERROR(AVERAGEIFS(Upload_Indiv[Score6],Upload_Indiv[[Player]:[Player]],$A51,Upload_Indiv[[Side]:[Side]],"Raintree Front",Upload_Indiv[[Excl Score]:[Excl Score]],0),"")</f>
        <v>5.5</v>
      </c>
      <c r="T51" s="152">
        <f t="shared" si="5"/>
        <v>-0.5</v>
      </c>
      <c r="U51" s="149">
        <f>IFERROR(COUNTIFS(Upload_Indiv[[Player]:[Player]],$A51,Upload_Indiv[[Side]:[Side]],"Raintree Front",Upload_Indiv[[Excl Score]:[Excl Score]],0),"")</f>
        <v>2</v>
      </c>
      <c r="V51" s="150">
        <f>IFERROR(AVERAGEIFS(Upload_Indiv[Score7],Upload_Indiv[[Player]:[Player]],$A51,Upload_Indiv[[Side]:[Side]],"Raintree Front",Upload_Indiv[[Excl Score]:[Excl Score]],0),"")</f>
        <v>6.5</v>
      </c>
      <c r="W51" s="150">
        <f t="shared" si="6"/>
        <v>0.5</v>
      </c>
      <c r="X51" s="151">
        <f>IFERROR(COUNTIFS(Upload_Indiv[[Player]:[Player]],$A51,Upload_Indiv[[Side]:[Side]],"Raintree Front",Upload_Indiv[[Excl Score]:[Excl Score]],0),"")</f>
        <v>2</v>
      </c>
      <c r="Y51" s="152">
        <f>IFERROR(AVERAGEIFS(Upload_Indiv[Score8],Upload_Indiv[[Player]:[Player]],$A51,Upload_Indiv[[Side]:[Side]],"Raintree Front",Upload_Indiv[[Excl Score]:[Excl Score]],0),"")</f>
        <v>5</v>
      </c>
      <c r="Z51" s="152">
        <f t="shared" si="7"/>
        <v>1</v>
      </c>
      <c r="AA51" s="149">
        <f>IFERROR(COUNTIFS(Upload_Indiv[[Player]:[Player]],$A51,Upload_Indiv[[Side]:[Side]],"Raintree Front",Upload_Indiv[[Excl Score]:[Excl Score]],0),"")</f>
        <v>2</v>
      </c>
      <c r="AB51" s="150">
        <f>IFERROR(AVERAGEIFS(Upload_Indiv[Score9],Upload_Indiv[[Player]:[Player]],$A51,Upload_Indiv[[Side]:[Side]],"Raintree Front",Upload_Indiv[[Excl Score]:[Excl Score]],0),"")</f>
        <v>6</v>
      </c>
      <c r="AC51" s="150">
        <f t="shared" si="8"/>
        <v>1</v>
      </c>
      <c r="AD51" s="165">
        <f t="shared" si="9"/>
        <v>2</v>
      </c>
      <c r="AE51" s="165">
        <f t="shared" si="10"/>
        <v>53</v>
      </c>
      <c r="AF51" s="165">
        <f t="shared" si="10"/>
        <v>5</v>
      </c>
      <c r="AG51" s="149">
        <f>IFERROR(COUNTIFS(Upload_Indiv[[Player]:[Player]],$A51,Upload_Indiv[[Side]:[Side]],"Raintree Back",Upload_Indiv[[Excl Score]:[Excl Score]],0),"")</f>
        <v>0</v>
      </c>
      <c r="AH51" s="150" t="str">
        <f>IFERROR(AVERAGEIFS(Upload_Indiv[Score1],Upload_Indiv[[Player]:[Player]],$A51,Upload_Indiv[[Side]:[Side]],"Raintree Back",Upload_Indiv[[Excl Score]:[Excl Score]],0),"")</f>
        <v/>
      </c>
      <c r="AI51" s="150" t="str">
        <f t="shared" si="11"/>
        <v/>
      </c>
      <c r="AJ51" s="151">
        <f>IFERROR(COUNTIFS(Upload_Indiv[[Player]:[Player]],$A51,Upload_Indiv[[Side]:[Side]],"Raintree Back",Upload_Indiv[[Excl Score]:[Excl Score]],0),"")</f>
        <v>0</v>
      </c>
      <c r="AK51" s="152" t="str">
        <f>IFERROR(AVERAGEIFS(Upload_Indiv[Score2],Upload_Indiv[[Player]:[Player]],$A51,Upload_Indiv[[Side]:[Side]],"Raintree Back",Upload_Indiv[[Excl Score]:[Excl Score]],0),"")</f>
        <v/>
      </c>
      <c r="AL51" s="152" t="str">
        <f t="shared" si="12"/>
        <v/>
      </c>
      <c r="AM51" s="149">
        <f>IFERROR(COUNTIFS(Upload_Indiv[[Player]:[Player]],$A51,Upload_Indiv[[Side]:[Side]],"Raintree Back",Upload_Indiv[[Excl Score]:[Excl Score]],0),"")</f>
        <v>0</v>
      </c>
      <c r="AN51" s="150" t="str">
        <f>IFERROR(AVERAGEIFS(Upload_Indiv[Score3],Upload_Indiv[[Player]:[Player]],$A51,Upload_Indiv[[Side]:[Side]],"Raintree Back",Upload_Indiv[[Excl Score]:[Excl Score]],0),"")</f>
        <v/>
      </c>
      <c r="AO51" s="150" t="str">
        <f t="shared" si="13"/>
        <v/>
      </c>
      <c r="AP51" s="151">
        <f>IFERROR(COUNTIFS(Upload_Indiv[[Player]:[Player]],$A51,Upload_Indiv[[Side]:[Side]],"Raintree Back",Upload_Indiv[[Excl Score]:[Excl Score]],0),"")</f>
        <v>0</v>
      </c>
      <c r="AQ51" s="152" t="str">
        <f>IFERROR(AVERAGEIFS(Upload_Indiv[Score4],Upload_Indiv[[Player]:[Player]],$A51,Upload_Indiv[[Side]:[Side]],"Raintree Back",Upload_Indiv[[Excl Score]:[Excl Score]],0),"")</f>
        <v/>
      </c>
      <c r="AR51" s="152" t="str">
        <f t="shared" si="14"/>
        <v/>
      </c>
      <c r="AS51" s="149">
        <f>IFERROR(COUNTIFS(Upload_Indiv[[Player]:[Player]],$A51,Upload_Indiv[[Side]:[Side]],"Raintree Back",Upload_Indiv[[Excl Score]:[Excl Score]],0),"")</f>
        <v>0</v>
      </c>
      <c r="AT51" s="150" t="str">
        <f>IFERROR(AVERAGEIFS(Upload_Indiv[Score5],Upload_Indiv[[Player]:[Player]],$A51,Upload_Indiv[[Side]:[Side]],"Raintree Back",Upload_Indiv[[Excl Score]:[Excl Score]],0),"")</f>
        <v/>
      </c>
      <c r="AU51" s="150" t="str">
        <f t="shared" si="15"/>
        <v/>
      </c>
      <c r="AV51" s="151">
        <f>IFERROR(COUNTIFS(Upload_Indiv[[Player]:[Player]],$A51,Upload_Indiv[[Side]:[Side]],"Raintree Back",Upload_Indiv[[Excl Score]:[Excl Score]],0),"")</f>
        <v>0</v>
      </c>
      <c r="AW51" s="152" t="str">
        <f>IFERROR(AVERAGEIFS(Upload_Indiv[Score6],Upload_Indiv[[Player]:[Player]],$A51,Upload_Indiv[[Side]:[Side]],"Raintree Back",Upload_Indiv[[Excl Score]:[Excl Score]],0),"")</f>
        <v/>
      </c>
      <c r="AX51" s="152" t="str">
        <f t="shared" si="16"/>
        <v/>
      </c>
      <c r="AY51" s="149">
        <f>IFERROR(COUNTIFS(Upload_Indiv[[Player]:[Player]],$A51,Upload_Indiv[[Side]:[Side]],"Raintree Back",Upload_Indiv[[Excl Score]:[Excl Score]],0),"")</f>
        <v>0</v>
      </c>
      <c r="AZ51" s="150" t="str">
        <f>IFERROR(AVERAGEIFS(Upload_Indiv[Score7],Upload_Indiv[[Player]:[Player]],$A51,Upload_Indiv[[Side]:[Side]],"Raintree Back",Upload_Indiv[[Excl Score]:[Excl Score]],0),"")</f>
        <v/>
      </c>
      <c r="BA51" s="150" t="str">
        <f t="shared" si="17"/>
        <v/>
      </c>
      <c r="BB51" s="151">
        <f>IFERROR(COUNTIFS(Upload_Indiv[[Player]:[Player]],$A51,Upload_Indiv[[Side]:[Side]],"Raintree Back",Upload_Indiv[[Excl Score]:[Excl Score]],0),"")</f>
        <v>0</v>
      </c>
      <c r="BC51" s="152" t="str">
        <f>IFERROR(AVERAGEIFS(Upload_Indiv[Score8],Upload_Indiv[[Player]:[Player]],$A51,Upload_Indiv[[Side]:[Side]],"Raintree Back",Upload_Indiv[[Excl Score]:[Excl Score]],0),"")</f>
        <v/>
      </c>
      <c r="BD51" s="152" t="str">
        <f t="shared" si="18"/>
        <v/>
      </c>
      <c r="BE51" s="149">
        <f>IFERROR(COUNTIFS(Upload_Indiv[[Player]:[Player]],$A51,Upload_Indiv[[Side]:[Side]],"Raintree Back",Upload_Indiv[[Excl Score]:[Excl Score]],0),"")</f>
        <v>0</v>
      </c>
      <c r="BF51" s="150" t="str">
        <f>IFERROR(AVERAGEIFS(Upload_Indiv[Score9],Upload_Indiv[[Player]:[Player]],$A51,Upload_Indiv[[Side]:[Side]],"Raintree Back",Upload_Indiv[[Excl Score]:[Excl Score]],0),"")</f>
        <v/>
      </c>
      <c r="BG51" s="150" t="str">
        <f t="shared" si="19"/>
        <v/>
      </c>
      <c r="BH51" s="165">
        <f t="shared" si="20"/>
        <v>0</v>
      </c>
      <c r="BI51" s="165">
        <f t="shared" si="21"/>
        <v>0</v>
      </c>
      <c r="BJ51" s="165">
        <f t="shared" si="21"/>
        <v>0</v>
      </c>
    </row>
    <row r="52" spans="1:62" x14ac:dyDescent="0.25">
      <c r="A52" s="4" t="s">
        <v>431</v>
      </c>
      <c r="B52" s="170">
        <f>IFERROR(AVERAGEIFS(Upload_Indiv[Hdcp],Upload_Indiv[[Player]:[Player]],$A52,Upload_Indiv[[Excl Score]:[Excl Score]],0),"")</f>
        <v>3.8</v>
      </c>
      <c r="C52" s="149">
        <f>IFERROR(COUNTIFS(Upload_Indiv[[Player]:[Player]],$A52,Upload_Indiv[[Side]:[Side]],"Raintree Front",Upload_Indiv[[Excl Score]:[Excl Score]],0),"")</f>
        <v>0</v>
      </c>
      <c r="D52" s="150" t="str">
        <f>IFERROR(AVERAGEIFS(Upload_Indiv[Score1],Upload_Indiv[[Player]:[Player]],$A52,Upload_Indiv[[Side]:[Side]],"Raintree Front",Upload_Indiv[[Excl Score]:[Excl Score]],0),"")</f>
        <v/>
      </c>
      <c r="E52" s="150" t="str">
        <f t="shared" si="0"/>
        <v/>
      </c>
      <c r="F52" s="151">
        <f>IFERROR(COUNTIFS(Upload_Indiv[[Player]:[Player]],$A52,Upload_Indiv[[Side]:[Side]],"Raintree Front",Upload_Indiv[[Excl Score]:[Excl Score]],0),"")</f>
        <v>0</v>
      </c>
      <c r="G52" s="152" t="str">
        <f>IFERROR(AVERAGEIFS(Upload_Indiv[Score2],Upload_Indiv[[Player]:[Player]],$A52,Upload_Indiv[[Side]:[Side]],"Raintree Front",Upload_Indiv[[Excl Score]:[Excl Score]],0),"")</f>
        <v/>
      </c>
      <c r="H52" s="152" t="str">
        <f t="shared" si="1"/>
        <v/>
      </c>
      <c r="I52" s="149">
        <f>IFERROR(COUNTIFS(Upload_Indiv[[Player]:[Player]],$A52,Upload_Indiv[[Side]:[Side]],"Raintree Front",Upload_Indiv[[Excl Score]:[Excl Score]],0),"")</f>
        <v>0</v>
      </c>
      <c r="J52" s="150" t="str">
        <f>IFERROR(AVERAGEIFS(Upload_Indiv[Score3],Upload_Indiv[[Player]:[Player]],$A52,Upload_Indiv[[Side]:[Side]],"Raintree Front",Upload_Indiv[[Excl Score]:[Excl Score]],0),"")</f>
        <v/>
      </c>
      <c r="K52" s="150" t="str">
        <f t="shared" si="2"/>
        <v/>
      </c>
      <c r="L52" s="151">
        <f>IFERROR(COUNTIFS(Upload_Indiv[[Player]:[Player]],$A52,Upload_Indiv[[Side]:[Side]],"Raintree Front",Upload_Indiv[[Excl Score]:[Excl Score]],0),"")</f>
        <v>0</v>
      </c>
      <c r="M52" s="152" t="str">
        <f>IFERROR(AVERAGEIFS(Upload_Indiv[Score4],Upload_Indiv[[Player]:[Player]],$A52,Upload_Indiv[[Side]:[Side]],"Raintree Front",Upload_Indiv[[Excl Score]:[Excl Score]],0),"")</f>
        <v/>
      </c>
      <c r="N52" s="152" t="str">
        <f t="shared" si="3"/>
        <v/>
      </c>
      <c r="O52" s="149">
        <f>IFERROR(COUNTIFS(Upload_Indiv[[Player]:[Player]],$A52,Upload_Indiv[[Side]:[Side]],"Raintree Front",Upload_Indiv[[Excl Score]:[Excl Score]],0),"")</f>
        <v>0</v>
      </c>
      <c r="P52" s="150" t="str">
        <f>IFERROR(AVERAGEIFS(Upload_Indiv[Score5],Upload_Indiv[[Player]:[Player]],$A52,Upload_Indiv[[Side]:[Side]],"Raintree Front",Upload_Indiv[[Excl Score]:[Excl Score]],0),"")</f>
        <v/>
      </c>
      <c r="Q52" s="150" t="str">
        <f t="shared" si="4"/>
        <v/>
      </c>
      <c r="R52" s="151">
        <f>IFERROR(COUNTIFS(Upload_Indiv[[Player]:[Player]],$A52,Upload_Indiv[[Side]:[Side]],"Raintree Front",Upload_Indiv[[Excl Score]:[Excl Score]],0),"")</f>
        <v>0</v>
      </c>
      <c r="S52" s="152" t="str">
        <f>IFERROR(AVERAGEIFS(Upload_Indiv[Score6],Upload_Indiv[[Player]:[Player]],$A52,Upload_Indiv[[Side]:[Side]],"Raintree Front",Upload_Indiv[[Excl Score]:[Excl Score]],0),"")</f>
        <v/>
      </c>
      <c r="T52" s="152" t="str">
        <f t="shared" si="5"/>
        <v/>
      </c>
      <c r="U52" s="149">
        <f>IFERROR(COUNTIFS(Upload_Indiv[[Player]:[Player]],$A52,Upload_Indiv[[Side]:[Side]],"Raintree Front",Upload_Indiv[[Excl Score]:[Excl Score]],0),"")</f>
        <v>0</v>
      </c>
      <c r="V52" s="150" t="str">
        <f>IFERROR(AVERAGEIFS(Upload_Indiv[Score7],Upload_Indiv[[Player]:[Player]],$A52,Upload_Indiv[[Side]:[Side]],"Raintree Front",Upload_Indiv[[Excl Score]:[Excl Score]],0),"")</f>
        <v/>
      </c>
      <c r="W52" s="150" t="str">
        <f t="shared" si="6"/>
        <v/>
      </c>
      <c r="X52" s="151">
        <f>IFERROR(COUNTIFS(Upload_Indiv[[Player]:[Player]],$A52,Upload_Indiv[[Side]:[Side]],"Raintree Front",Upload_Indiv[[Excl Score]:[Excl Score]],0),"")</f>
        <v>0</v>
      </c>
      <c r="Y52" s="152" t="str">
        <f>IFERROR(AVERAGEIFS(Upload_Indiv[Score8],Upload_Indiv[[Player]:[Player]],$A52,Upload_Indiv[[Side]:[Side]],"Raintree Front",Upload_Indiv[[Excl Score]:[Excl Score]],0),"")</f>
        <v/>
      </c>
      <c r="Z52" s="152" t="str">
        <f t="shared" si="7"/>
        <v/>
      </c>
      <c r="AA52" s="149">
        <f>IFERROR(COUNTIFS(Upload_Indiv[[Player]:[Player]],$A52,Upload_Indiv[[Side]:[Side]],"Raintree Front",Upload_Indiv[[Excl Score]:[Excl Score]],0),"")</f>
        <v>0</v>
      </c>
      <c r="AB52" s="150" t="str">
        <f>IFERROR(AVERAGEIFS(Upload_Indiv[Score9],Upload_Indiv[[Player]:[Player]],$A52,Upload_Indiv[[Side]:[Side]],"Raintree Front",Upload_Indiv[[Excl Score]:[Excl Score]],0),"")</f>
        <v/>
      </c>
      <c r="AC52" s="150" t="str">
        <f t="shared" si="8"/>
        <v/>
      </c>
      <c r="AD52" s="165">
        <f t="shared" si="9"/>
        <v>0</v>
      </c>
      <c r="AE52" s="165">
        <f t="shared" si="10"/>
        <v>0</v>
      </c>
      <c r="AF52" s="165">
        <f t="shared" si="10"/>
        <v>0</v>
      </c>
      <c r="AG52" s="149">
        <f>IFERROR(COUNTIFS(Upload_Indiv[[Player]:[Player]],$A52,Upload_Indiv[[Side]:[Side]],"Raintree Back",Upload_Indiv[[Excl Score]:[Excl Score]],0),"")</f>
        <v>1</v>
      </c>
      <c r="AH52" s="150">
        <f>IFERROR(AVERAGEIFS(Upload_Indiv[Score1],Upload_Indiv[[Player]:[Player]],$A52,Upload_Indiv[[Side]:[Side]],"Raintree Back",Upload_Indiv[[Excl Score]:[Excl Score]],0),"")</f>
        <v>5</v>
      </c>
      <c r="AI52" s="150">
        <f t="shared" si="11"/>
        <v>1</v>
      </c>
      <c r="AJ52" s="151">
        <f>IFERROR(COUNTIFS(Upload_Indiv[[Player]:[Player]],$A52,Upload_Indiv[[Side]:[Side]],"Raintree Back",Upload_Indiv[[Excl Score]:[Excl Score]],0),"")</f>
        <v>1</v>
      </c>
      <c r="AK52" s="152">
        <f>IFERROR(AVERAGEIFS(Upload_Indiv[Score2],Upload_Indiv[[Player]:[Player]],$A52,Upload_Indiv[[Side]:[Side]],"Raintree Back",Upload_Indiv[[Excl Score]:[Excl Score]],0),"")</f>
        <v>3</v>
      </c>
      <c r="AL52" s="152">
        <f t="shared" si="12"/>
        <v>0</v>
      </c>
      <c r="AM52" s="149">
        <f>IFERROR(COUNTIFS(Upload_Indiv[[Player]:[Player]],$A52,Upload_Indiv[[Side]:[Side]],"Raintree Back",Upload_Indiv[[Excl Score]:[Excl Score]],0),"")</f>
        <v>1</v>
      </c>
      <c r="AN52" s="150">
        <f>IFERROR(AVERAGEIFS(Upload_Indiv[Score3],Upload_Indiv[[Player]:[Player]],$A52,Upload_Indiv[[Side]:[Side]],"Raintree Back",Upload_Indiv[[Excl Score]:[Excl Score]],0),"")</f>
        <v>5</v>
      </c>
      <c r="AO52" s="150">
        <f t="shared" si="13"/>
        <v>1</v>
      </c>
      <c r="AP52" s="151">
        <f>IFERROR(COUNTIFS(Upload_Indiv[[Player]:[Player]],$A52,Upload_Indiv[[Side]:[Side]],"Raintree Back",Upload_Indiv[[Excl Score]:[Excl Score]],0),"")</f>
        <v>1</v>
      </c>
      <c r="AQ52" s="152">
        <f>IFERROR(AVERAGEIFS(Upload_Indiv[Score4],Upload_Indiv[[Player]:[Player]],$A52,Upload_Indiv[[Side]:[Side]],"Raintree Back",Upload_Indiv[[Excl Score]:[Excl Score]],0),"")</f>
        <v>5</v>
      </c>
      <c r="AR52" s="152">
        <f t="shared" si="14"/>
        <v>0</v>
      </c>
      <c r="AS52" s="149">
        <f>IFERROR(COUNTIFS(Upload_Indiv[[Player]:[Player]],$A52,Upload_Indiv[[Side]:[Side]],"Raintree Back",Upload_Indiv[[Excl Score]:[Excl Score]],0),"")</f>
        <v>1</v>
      </c>
      <c r="AT52" s="150">
        <f>IFERROR(AVERAGEIFS(Upload_Indiv[Score5],Upload_Indiv[[Player]:[Player]],$A52,Upload_Indiv[[Side]:[Side]],"Raintree Back",Upload_Indiv[[Excl Score]:[Excl Score]],0),"")</f>
        <v>6</v>
      </c>
      <c r="AU52" s="150">
        <f t="shared" si="15"/>
        <v>1</v>
      </c>
      <c r="AV52" s="151">
        <f>IFERROR(COUNTIFS(Upload_Indiv[[Player]:[Player]],$A52,Upload_Indiv[[Side]:[Side]],"Raintree Back",Upload_Indiv[[Excl Score]:[Excl Score]],0),"")</f>
        <v>1</v>
      </c>
      <c r="AW52" s="152">
        <f>IFERROR(AVERAGEIFS(Upload_Indiv[Score6],Upload_Indiv[[Player]:[Player]],$A52,Upload_Indiv[[Side]:[Side]],"Raintree Back",Upload_Indiv[[Excl Score]:[Excl Score]],0),"")</f>
        <v>5</v>
      </c>
      <c r="AX52" s="152">
        <f t="shared" si="16"/>
        <v>0</v>
      </c>
      <c r="AY52" s="149">
        <f>IFERROR(COUNTIFS(Upload_Indiv[[Player]:[Player]],$A52,Upload_Indiv[[Side]:[Side]],"Raintree Back",Upload_Indiv[[Excl Score]:[Excl Score]],0),"")</f>
        <v>1</v>
      </c>
      <c r="AZ52" s="150">
        <f>IFERROR(AVERAGEIFS(Upload_Indiv[Score7],Upload_Indiv[[Player]:[Player]],$A52,Upload_Indiv[[Side]:[Side]],"Raintree Back",Upload_Indiv[[Excl Score]:[Excl Score]],0),"")</f>
        <v>3</v>
      </c>
      <c r="BA52" s="150">
        <f t="shared" si="17"/>
        <v>0</v>
      </c>
      <c r="BB52" s="151">
        <f>IFERROR(COUNTIFS(Upload_Indiv[[Player]:[Player]],$A52,Upload_Indiv[[Side]:[Side]],"Raintree Back",Upload_Indiv[[Excl Score]:[Excl Score]],0),"")</f>
        <v>1</v>
      </c>
      <c r="BC52" s="152">
        <f>IFERROR(AVERAGEIFS(Upload_Indiv[Score8],Upload_Indiv[[Player]:[Player]],$A52,Upload_Indiv[[Side]:[Side]],"Raintree Back",Upload_Indiv[[Excl Score]:[Excl Score]],0),"")</f>
        <v>4</v>
      </c>
      <c r="BD52" s="152">
        <f t="shared" si="18"/>
        <v>-1</v>
      </c>
      <c r="BE52" s="149">
        <f>IFERROR(COUNTIFS(Upload_Indiv[[Player]:[Player]],$A52,Upload_Indiv[[Side]:[Side]],"Raintree Back",Upload_Indiv[[Excl Score]:[Excl Score]],0),"")</f>
        <v>1</v>
      </c>
      <c r="BF52" s="150">
        <f>IFERROR(AVERAGEIFS(Upload_Indiv[Score9],Upload_Indiv[[Player]:[Player]],$A52,Upload_Indiv[[Side]:[Side]],"Raintree Back",Upload_Indiv[[Excl Score]:[Excl Score]],0),"")</f>
        <v>5</v>
      </c>
      <c r="BG52" s="150">
        <f t="shared" si="19"/>
        <v>-1</v>
      </c>
      <c r="BH52" s="165">
        <f t="shared" si="20"/>
        <v>1</v>
      </c>
      <c r="BI52" s="165">
        <f t="shared" si="21"/>
        <v>41</v>
      </c>
      <c r="BJ52" s="165">
        <f t="shared" si="21"/>
        <v>1</v>
      </c>
    </row>
    <row r="53" spans="1:62" x14ac:dyDescent="0.25">
      <c r="A53" s="4" t="s">
        <v>300</v>
      </c>
      <c r="B53" s="170">
        <f>IFERROR(AVERAGEIFS(Upload_Indiv[Hdcp],Upload_Indiv[[Player]:[Player]],$A53,Upload_Indiv[[Excl Score]:[Excl Score]],0),"")</f>
        <v>9.7583333333333329</v>
      </c>
      <c r="C53" s="149">
        <f>IFERROR(COUNTIFS(Upload_Indiv[[Player]:[Player]],$A53,Upload_Indiv[[Side]:[Side]],"Raintree Front",Upload_Indiv[[Excl Score]:[Excl Score]],0),"")</f>
        <v>5</v>
      </c>
      <c r="D53" s="150">
        <f>IFERROR(AVERAGEIFS(Upload_Indiv[Score1],Upload_Indiv[[Player]:[Player]],$A53,Upload_Indiv[[Side]:[Side]],"Raintree Front",Upload_Indiv[[Excl Score]:[Excl Score]],0),"")</f>
        <v>6.6</v>
      </c>
      <c r="E53" s="150">
        <f t="shared" si="0"/>
        <v>1.5999999999999996</v>
      </c>
      <c r="F53" s="151">
        <f>IFERROR(COUNTIFS(Upload_Indiv[[Player]:[Player]],$A53,Upload_Indiv[[Side]:[Side]],"Raintree Front",Upload_Indiv[[Excl Score]:[Excl Score]],0),"")</f>
        <v>5</v>
      </c>
      <c r="G53" s="152">
        <f>IFERROR(AVERAGEIFS(Upload_Indiv[Score2],Upload_Indiv[[Player]:[Player]],$A53,Upload_Indiv[[Side]:[Side]],"Raintree Front",Upload_Indiv[[Excl Score]:[Excl Score]],0),"")</f>
        <v>6.4</v>
      </c>
      <c r="H53" s="152">
        <f t="shared" si="1"/>
        <v>0.40000000000000036</v>
      </c>
      <c r="I53" s="149">
        <f>IFERROR(COUNTIFS(Upload_Indiv[[Player]:[Player]],$A53,Upload_Indiv[[Side]:[Side]],"Raintree Front",Upload_Indiv[[Excl Score]:[Excl Score]],0),"")</f>
        <v>5</v>
      </c>
      <c r="J53" s="150">
        <f>IFERROR(AVERAGEIFS(Upload_Indiv[Score3],Upload_Indiv[[Player]:[Player]],$A53,Upload_Indiv[[Side]:[Side]],"Raintree Front",Upload_Indiv[[Excl Score]:[Excl Score]],0),"")</f>
        <v>5</v>
      </c>
      <c r="K53" s="150">
        <f t="shared" si="2"/>
        <v>0</v>
      </c>
      <c r="L53" s="151">
        <f>IFERROR(COUNTIFS(Upload_Indiv[[Player]:[Player]],$A53,Upload_Indiv[[Side]:[Side]],"Raintree Front",Upload_Indiv[[Excl Score]:[Excl Score]],0),"")</f>
        <v>5</v>
      </c>
      <c r="M53" s="152">
        <f>IFERROR(AVERAGEIFS(Upload_Indiv[Score4],Upload_Indiv[[Player]:[Player]],$A53,Upload_Indiv[[Side]:[Side]],"Raintree Front",Upload_Indiv[[Excl Score]:[Excl Score]],0),"")</f>
        <v>4.2</v>
      </c>
      <c r="N53" s="152">
        <f t="shared" si="3"/>
        <v>0.20000000000000018</v>
      </c>
      <c r="O53" s="149">
        <f>IFERROR(COUNTIFS(Upload_Indiv[[Player]:[Player]],$A53,Upload_Indiv[[Side]:[Side]],"Raintree Front",Upload_Indiv[[Excl Score]:[Excl Score]],0),"")</f>
        <v>5</v>
      </c>
      <c r="P53" s="150">
        <f>IFERROR(AVERAGEIFS(Upload_Indiv[Score5],Upload_Indiv[[Player]:[Player]],$A53,Upload_Indiv[[Side]:[Side]],"Raintree Front",Upload_Indiv[[Excl Score]:[Excl Score]],0),"")</f>
        <v>5</v>
      </c>
      <c r="Q53" s="150">
        <f t="shared" si="4"/>
        <v>0</v>
      </c>
      <c r="R53" s="151">
        <f>IFERROR(COUNTIFS(Upload_Indiv[[Player]:[Player]],$A53,Upload_Indiv[[Side]:[Side]],"Raintree Front",Upload_Indiv[[Excl Score]:[Excl Score]],0),"")</f>
        <v>5</v>
      </c>
      <c r="S53" s="152">
        <f>IFERROR(AVERAGEIFS(Upload_Indiv[Score6],Upload_Indiv[[Player]:[Player]],$A53,Upload_Indiv[[Side]:[Side]],"Raintree Front",Upload_Indiv[[Excl Score]:[Excl Score]],0),"")</f>
        <v>6</v>
      </c>
      <c r="T53" s="152">
        <f t="shared" si="5"/>
        <v>0</v>
      </c>
      <c r="U53" s="149">
        <f>IFERROR(COUNTIFS(Upload_Indiv[[Player]:[Player]],$A53,Upload_Indiv[[Side]:[Side]],"Raintree Front",Upload_Indiv[[Excl Score]:[Excl Score]],0),"")</f>
        <v>5</v>
      </c>
      <c r="V53" s="150">
        <f>IFERROR(AVERAGEIFS(Upload_Indiv[Score7],Upload_Indiv[[Player]:[Player]],$A53,Upload_Indiv[[Side]:[Side]],"Raintree Front",Upload_Indiv[[Excl Score]:[Excl Score]],0),"")</f>
        <v>7.4</v>
      </c>
      <c r="W53" s="150">
        <f t="shared" si="6"/>
        <v>1.4000000000000004</v>
      </c>
      <c r="X53" s="151">
        <f>IFERROR(COUNTIFS(Upload_Indiv[[Player]:[Player]],$A53,Upload_Indiv[[Side]:[Side]],"Raintree Front",Upload_Indiv[[Excl Score]:[Excl Score]],0),"")</f>
        <v>5</v>
      </c>
      <c r="Y53" s="152">
        <f>IFERROR(AVERAGEIFS(Upload_Indiv[Score8],Upload_Indiv[[Player]:[Player]],$A53,Upload_Indiv[[Side]:[Side]],"Raintree Front",Upload_Indiv[[Excl Score]:[Excl Score]],0),"")</f>
        <v>4.4000000000000004</v>
      </c>
      <c r="Z53" s="152">
        <f t="shared" si="7"/>
        <v>0.40000000000000036</v>
      </c>
      <c r="AA53" s="149">
        <f>IFERROR(COUNTIFS(Upload_Indiv[[Player]:[Player]],$A53,Upload_Indiv[[Side]:[Side]],"Raintree Front",Upload_Indiv[[Excl Score]:[Excl Score]],0),"")</f>
        <v>5</v>
      </c>
      <c r="AB53" s="150">
        <f>IFERROR(AVERAGEIFS(Upload_Indiv[Score9],Upload_Indiv[[Player]:[Player]],$A53,Upload_Indiv[[Side]:[Side]],"Raintree Front",Upload_Indiv[[Excl Score]:[Excl Score]],0),"")</f>
        <v>6</v>
      </c>
      <c r="AC53" s="150">
        <f t="shared" si="8"/>
        <v>1</v>
      </c>
      <c r="AD53" s="165">
        <f t="shared" si="9"/>
        <v>5</v>
      </c>
      <c r="AE53" s="165">
        <f t="shared" si="10"/>
        <v>51</v>
      </c>
      <c r="AF53" s="165">
        <f t="shared" si="10"/>
        <v>5.0000000000000009</v>
      </c>
      <c r="AG53" s="149">
        <f>IFERROR(COUNTIFS(Upload_Indiv[[Player]:[Player]],$A53,Upload_Indiv[[Side]:[Side]],"Raintree Back",Upload_Indiv[[Excl Score]:[Excl Score]],0),"")</f>
        <v>7</v>
      </c>
      <c r="AH53" s="150">
        <f>IFERROR(AVERAGEIFS(Upload_Indiv[Score1],Upload_Indiv[[Player]:[Player]],$A53,Upload_Indiv[[Side]:[Side]],"Raintree Back",Upload_Indiv[[Excl Score]:[Excl Score]],0),"")</f>
        <v>4.7142857142857144</v>
      </c>
      <c r="AI53" s="150">
        <f t="shared" si="11"/>
        <v>-0.28571428571428559</v>
      </c>
      <c r="AJ53" s="151">
        <f>IFERROR(COUNTIFS(Upload_Indiv[[Player]:[Player]],$A53,Upload_Indiv[[Side]:[Side]],"Raintree Back",Upload_Indiv[[Excl Score]:[Excl Score]],0),"")</f>
        <v>7</v>
      </c>
      <c r="AK53" s="152">
        <f>IFERROR(AVERAGEIFS(Upload_Indiv[Score2],Upload_Indiv[[Player]:[Player]],$A53,Upload_Indiv[[Side]:[Side]],"Raintree Back",Upload_Indiv[[Excl Score]:[Excl Score]],0),"")</f>
        <v>3.7142857142857144</v>
      </c>
      <c r="AL53" s="152">
        <f t="shared" si="12"/>
        <v>-0.28571428571428559</v>
      </c>
      <c r="AM53" s="149">
        <f>IFERROR(COUNTIFS(Upload_Indiv[[Player]:[Player]],$A53,Upload_Indiv[[Side]:[Side]],"Raintree Back",Upload_Indiv[[Excl Score]:[Excl Score]],0),"")</f>
        <v>7</v>
      </c>
      <c r="AN53" s="150">
        <f>IFERROR(AVERAGEIFS(Upload_Indiv[Score3],Upload_Indiv[[Player]:[Player]],$A53,Upload_Indiv[[Side]:[Side]],"Raintree Back",Upload_Indiv[[Excl Score]:[Excl Score]],0),"")</f>
        <v>5.1428571428571432</v>
      </c>
      <c r="AO53" s="150">
        <f t="shared" si="13"/>
        <v>0.14285714285714324</v>
      </c>
      <c r="AP53" s="151">
        <f>IFERROR(COUNTIFS(Upload_Indiv[[Player]:[Player]],$A53,Upload_Indiv[[Side]:[Side]],"Raintree Back",Upload_Indiv[[Excl Score]:[Excl Score]],0),"")</f>
        <v>7</v>
      </c>
      <c r="AQ53" s="152">
        <f>IFERROR(AVERAGEIFS(Upload_Indiv[Score4],Upload_Indiv[[Player]:[Player]],$A53,Upload_Indiv[[Side]:[Side]],"Raintree Back",Upload_Indiv[[Excl Score]:[Excl Score]],0),"")</f>
        <v>5.5714285714285712</v>
      </c>
      <c r="AR53" s="152">
        <f t="shared" si="14"/>
        <v>0.57142857142857117</v>
      </c>
      <c r="AS53" s="149">
        <f>IFERROR(COUNTIFS(Upload_Indiv[[Player]:[Player]],$A53,Upload_Indiv[[Side]:[Side]],"Raintree Back",Upload_Indiv[[Excl Score]:[Excl Score]],0),"")</f>
        <v>7</v>
      </c>
      <c r="AT53" s="150">
        <f>IFERROR(AVERAGEIFS(Upload_Indiv[Score5],Upload_Indiv[[Player]:[Player]],$A53,Upload_Indiv[[Side]:[Side]],"Raintree Back",Upload_Indiv[[Excl Score]:[Excl Score]],0),"")</f>
        <v>4.7142857142857144</v>
      </c>
      <c r="AU53" s="150">
        <f t="shared" si="15"/>
        <v>-0.28571428571428559</v>
      </c>
      <c r="AV53" s="151">
        <f>IFERROR(COUNTIFS(Upload_Indiv[[Player]:[Player]],$A53,Upload_Indiv[[Side]:[Side]],"Raintree Back",Upload_Indiv[[Excl Score]:[Excl Score]],0),"")</f>
        <v>7</v>
      </c>
      <c r="AW53" s="152">
        <f>IFERROR(AVERAGEIFS(Upload_Indiv[Score6],Upload_Indiv[[Player]:[Player]],$A53,Upload_Indiv[[Side]:[Side]],"Raintree Back",Upload_Indiv[[Excl Score]:[Excl Score]],0),"")</f>
        <v>6.7142857142857144</v>
      </c>
      <c r="AX53" s="152">
        <f t="shared" si="16"/>
        <v>0.71428571428571441</v>
      </c>
      <c r="AY53" s="149">
        <f>IFERROR(COUNTIFS(Upload_Indiv[[Player]:[Player]],$A53,Upload_Indiv[[Side]:[Side]],"Raintree Back",Upload_Indiv[[Excl Score]:[Excl Score]],0),"")</f>
        <v>7</v>
      </c>
      <c r="AZ53" s="150">
        <f>IFERROR(AVERAGEIFS(Upload_Indiv[Score7],Upload_Indiv[[Player]:[Player]],$A53,Upload_Indiv[[Side]:[Side]],"Raintree Back",Upload_Indiv[[Excl Score]:[Excl Score]],0),"")</f>
        <v>3.8571428571428572</v>
      </c>
      <c r="BA53" s="150">
        <f t="shared" si="17"/>
        <v>-0.14285714285714279</v>
      </c>
      <c r="BB53" s="151">
        <f>IFERROR(COUNTIFS(Upload_Indiv[[Player]:[Player]],$A53,Upload_Indiv[[Side]:[Side]],"Raintree Back",Upload_Indiv[[Excl Score]:[Excl Score]],0),"")</f>
        <v>7</v>
      </c>
      <c r="BC53" s="152">
        <f>IFERROR(AVERAGEIFS(Upload_Indiv[Score8],Upload_Indiv[[Player]:[Player]],$A53,Upload_Indiv[[Side]:[Side]],"Raintree Back",Upload_Indiv[[Excl Score]:[Excl Score]],0),"")</f>
        <v>6.2857142857142856</v>
      </c>
      <c r="BD53" s="152">
        <f t="shared" si="18"/>
        <v>0.28571428571428559</v>
      </c>
      <c r="BE53" s="149">
        <f>IFERROR(COUNTIFS(Upload_Indiv[[Player]:[Player]],$A53,Upload_Indiv[[Side]:[Side]],"Raintree Back",Upload_Indiv[[Excl Score]:[Excl Score]],0),"")</f>
        <v>7</v>
      </c>
      <c r="BF53" s="150">
        <f>IFERROR(AVERAGEIFS(Upload_Indiv[Score9],Upload_Indiv[[Player]:[Player]],$A53,Upload_Indiv[[Side]:[Side]],"Raintree Back",Upload_Indiv[[Excl Score]:[Excl Score]],0),"")</f>
        <v>7</v>
      </c>
      <c r="BG53" s="150">
        <f t="shared" si="19"/>
        <v>1</v>
      </c>
      <c r="BH53" s="165">
        <f t="shared" si="20"/>
        <v>7</v>
      </c>
      <c r="BI53" s="165">
        <f t="shared" si="21"/>
        <v>47.714285714285715</v>
      </c>
      <c r="BJ53" s="165">
        <f t="shared" si="21"/>
        <v>1.7142857142857149</v>
      </c>
    </row>
    <row r="54" spans="1:62" x14ac:dyDescent="0.25">
      <c r="A54" s="4" t="s">
        <v>155</v>
      </c>
      <c r="B54" s="170">
        <f>IFERROR(AVERAGEIFS(Upload_Indiv[Hdcp],Upload_Indiv[[Player]:[Player]],$A54,Upload_Indiv[[Excl Score]:[Excl Score]],0),"")</f>
        <v>7.8099999999999987</v>
      </c>
      <c r="C54" s="149">
        <f>IFERROR(COUNTIFS(Upload_Indiv[[Player]:[Player]],$A54,Upload_Indiv[[Side]:[Side]],"Raintree Front",Upload_Indiv[[Excl Score]:[Excl Score]],0),"")</f>
        <v>5</v>
      </c>
      <c r="D54" s="150">
        <f>IFERROR(AVERAGEIFS(Upload_Indiv[Score1],Upload_Indiv[[Player]:[Player]],$A54,Upload_Indiv[[Side]:[Side]],"Raintree Front",Upload_Indiv[[Excl Score]:[Excl Score]],0),"")</f>
        <v>5.2</v>
      </c>
      <c r="E54" s="150">
        <f t="shared" si="0"/>
        <v>0.20000000000000018</v>
      </c>
      <c r="F54" s="151">
        <f>IFERROR(COUNTIFS(Upload_Indiv[[Player]:[Player]],$A54,Upload_Indiv[[Side]:[Side]],"Raintree Front",Upload_Indiv[[Excl Score]:[Excl Score]],0),"")</f>
        <v>5</v>
      </c>
      <c r="G54" s="152">
        <f>IFERROR(AVERAGEIFS(Upload_Indiv[Score2],Upload_Indiv[[Player]:[Player]],$A54,Upload_Indiv[[Side]:[Side]],"Raintree Front",Upload_Indiv[[Excl Score]:[Excl Score]],0),"")</f>
        <v>7</v>
      </c>
      <c r="H54" s="152">
        <f t="shared" si="1"/>
        <v>1</v>
      </c>
      <c r="I54" s="149">
        <f>IFERROR(COUNTIFS(Upload_Indiv[[Player]:[Player]],$A54,Upload_Indiv[[Side]:[Side]],"Raintree Front",Upload_Indiv[[Excl Score]:[Excl Score]],0),"")</f>
        <v>5</v>
      </c>
      <c r="J54" s="150">
        <f>IFERROR(AVERAGEIFS(Upload_Indiv[Score3],Upload_Indiv[[Player]:[Player]],$A54,Upload_Indiv[[Side]:[Side]],"Raintree Front",Upload_Indiv[[Excl Score]:[Excl Score]],0),"")</f>
        <v>6.4</v>
      </c>
      <c r="K54" s="150">
        <f t="shared" si="2"/>
        <v>1.4000000000000004</v>
      </c>
      <c r="L54" s="151">
        <f>IFERROR(COUNTIFS(Upload_Indiv[[Player]:[Player]],$A54,Upload_Indiv[[Side]:[Side]],"Raintree Front",Upload_Indiv[[Excl Score]:[Excl Score]],0),"")</f>
        <v>5</v>
      </c>
      <c r="M54" s="152">
        <f>IFERROR(AVERAGEIFS(Upload_Indiv[Score4],Upload_Indiv[[Player]:[Player]],$A54,Upload_Indiv[[Side]:[Side]],"Raintree Front",Upload_Indiv[[Excl Score]:[Excl Score]],0),"")</f>
        <v>4.4000000000000004</v>
      </c>
      <c r="N54" s="152">
        <f t="shared" si="3"/>
        <v>0.40000000000000036</v>
      </c>
      <c r="O54" s="149">
        <f>IFERROR(COUNTIFS(Upload_Indiv[[Player]:[Player]],$A54,Upload_Indiv[[Side]:[Side]],"Raintree Front",Upload_Indiv[[Excl Score]:[Excl Score]],0),"")</f>
        <v>5</v>
      </c>
      <c r="P54" s="150">
        <f>IFERROR(AVERAGEIFS(Upload_Indiv[Score5],Upload_Indiv[[Player]:[Player]],$A54,Upload_Indiv[[Side]:[Side]],"Raintree Front",Upload_Indiv[[Excl Score]:[Excl Score]],0),"")</f>
        <v>5.2</v>
      </c>
      <c r="Q54" s="150">
        <f t="shared" si="4"/>
        <v>1.2000000000000002</v>
      </c>
      <c r="R54" s="151">
        <f>IFERROR(COUNTIFS(Upload_Indiv[[Player]:[Player]],$A54,Upload_Indiv[[Side]:[Side]],"Raintree Front",Upload_Indiv[[Excl Score]:[Excl Score]],0),"")</f>
        <v>5</v>
      </c>
      <c r="S54" s="152">
        <f>IFERROR(AVERAGEIFS(Upload_Indiv[Score6],Upload_Indiv[[Player]:[Player]],$A54,Upload_Indiv[[Side]:[Side]],"Raintree Front",Upload_Indiv[[Excl Score]:[Excl Score]],0),"")</f>
        <v>5.6</v>
      </c>
      <c r="T54" s="152">
        <f t="shared" si="5"/>
        <v>0.59999999999999964</v>
      </c>
      <c r="U54" s="149">
        <f>IFERROR(COUNTIFS(Upload_Indiv[[Player]:[Player]],$A54,Upload_Indiv[[Side]:[Side]],"Raintree Front",Upload_Indiv[[Excl Score]:[Excl Score]],0),"")</f>
        <v>5</v>
      </c>
      <c r="V54" s="150">
        <f>IFERROR(AVERAGEIFS(Upload_Indiv[Score7],Upload_Indiv[[Player]:[Player]],$A54,Upload_Indiv[[Side]:[Side]],"Raintree Front",Upload_Indiv[[Excl Score]:[Excl Score]],0),"")</f>
        <v>7.8</v>
      </c>
      <c r="W54" s="150">
        <f t="shared" si="6"/>
        <v>1.7999999999999998</v>
      </c>
      <c r="X54" s="151">
        <f>IFERROR(COUNTIFS(Upload_Indiv[[Player]:[Player]],$A54,Upload_Indiv[[Side]:[Side]],"Raintree Front",Upload_Indiv[[Excl Score]:[Excl Score]],0),"")</f>
        <v>5</v>
      </c>
      <c r="Y54" s="152">
        <f>IFERROR(AVERAGEIFS(Upload_Indiv[Score8],Upload_Indiv[[Player]:[Player]],$A54,Upload_Indiv[[Side]:[Side]],"Raintree Front",Upload_Indiv[[Excl Score]:[Excl Score]],0),"")</f>
        <v>4.4000000000000004</v>
      </c>
      <c r="Z54" s="152">
        <f t="shared" si="7"/>
        <v>0.40000000000000036</v>
      </c>
      <c r="AA54" s="149">
        <f>IFERROR(COUNTIFS(Upload_Indiv[[Player]:[Player]],$A54,Upload_Indiv[[Side]:[Side]],"Raintree Front",Upload_Indiv[[Excl Score]:[Excl Score]],0),"")</f>
        <v>5</v>
      </c>
      <c r="AB54" s="150">
        <f>IFERROR(AVERAGEIFS(Upload_Indiv[Score9],Upload_Indiv[[Player]:[Player]],$A54,Upload_Indiv[[Side]:[Side]],"Raintree Front",Upload_Indiv[[Excl Score]:[Excl Score]],0),"")</f>
        <v>5.2</v>
      </c>
      <c r="AC54" s="150">
        <f t="shared" si="8"/>
        <v>0.20000000000000018</v>
      </c>
      <c r="AD54" s="165">
        <f t="shared" si="9"/>
        <v>5</v>
      </c>
      <c r="AE54" s="165">
        <f t="shared" si="10"/>
        <v>51.199999999999996</v>
      </c>
      <c r="AF54" s="165">
        <f t="shared" si="10"/>
        <v>7.2000000000000011</v>
      </c>
      <c r="AG54" s="149">
        <f>IFERROR(COUNTIFS(Upload_Indiv[[Player]:[Player]],$A54,Upload_Indiv[[Side]:[Side]],"Raintree Back",Upload_Indiv[[Excl Score]:[Excl Score]],0),"")</f>
        <v>4</v>
      </c>
      <c r="AH54" s="150">
        <f>IFERROR(AVERAGEIFS(Upload_Indiv[Score1],Upload_Indiv[[Player]:[Player]],$A54,Upload_Indiv[[Side]:[Side]],"Raintree Back",Upload_Indiv[[Excl Score]:[Excl Score]],0),"")</f>
        <v>5.25</v>
      </c>
      <c r="AI54" s="150">
        <f t="shared" si="11"/>
        <v>0.25</v>
      </c>
      <c r="AJ54" s="151">
        <f>IFERROR(COUNTIFS(Upload_Indiv[[Player]:[Player]],$A54,Upload_Indiv[[Side]:[Side]],"Raintree Back",Upload_Indiv[[Excl Score]:[Excl Score]],0),"")</f>
        <v>4</v>
      </c>
      <c r="AK54" s="152">
        <f>IFERROR(AVERAGEIFS(Upload_Indiv[Score2],Upload_Indiv[[Player]:[Player]],$A54,Upload_Indiv[[Side]:[Side]],"Raintree Back",Upload_Indiv[[Excl Score]:[Excl Score]],0),"")</f>
        <v>4.5</v>
      </c>
      <c r="AL54" s="152">
        <f t="shared" si="12"/>
        <v>0.5</v>
      </c>
      <c r="AM54" s="149">
        <f>IFERROR(COUNTIFS(Upload_Indiv[[Player]:[Player]],$A54,Upload_Indiv[[Side]:[Side]],"Raintree Back",Upload_Indiv[[Excl Score]:[Excl Score]],0),"")</f>
        <v>4</v>
      </c>
      <c r="AN54" s="150">
        <f>IFERROR(AVERAGEIFS(Upload_Indiv[Score3],Upload_Indiv[[Player]:[Player]],$A54,Upload_Indiv[[Side]:[Side]],"Raintree Back",Upload_Indiv[[Excl Score]:[Excl Score]],0),"")</f>
        <v>5.75</v>
      </c>
      <c r="AO54" s="150">
        <f t="shared" si="13"/>
        <v>0.75</v>
      </c>
      <c r="AP54" s="151">
        <f>IFERROR(COUNTIFS(Upload_Indiv[[Player]:[Player]],$A54,Upload_Indiv[[Side]:[Side]],"Raintree Back",Upload_Indiv[[Excl Score]:[Excl Score]],0),"")</f>
        <v>4</v>
      </c>
      <c r="AQ54" s="152">
        <f>IFERROR(AVERAGEIFS(Upload_Indiv[Score4],Upload_Indiv[[Player]:[Player]],$A54,Upload_Indiv[[Side]:[Side]],"Raintree Back",Upload_Indiv[[Excl Score]:[Excl Score]],0),"")</f>
        <v>5.5</v>
      </c>
      <c r="AR54" s="152">
        <f t="shared" si="14"/>
        <v>0.5</v>
      </c>
      <c r="AS54" s="149">
        <f>IFERROR(COUNTIFS(Upload_Indiv[[Player]:[Player]],$A54,Upload_Indiv[[Side]:[Side]],"Raintree Back",Upload_Indiv[[Excl Score]:[Excl Score]],0),"")</f>
        <v>4</v>
      </c>
      <c r="AT54" s="150">
        <f>IFERROR(AVERAGEIFS(Upload_Indiv[Score5],Upload_Indiv[[Player]:[Player]],$A54,Upload_Indiv[[Side]:[Side]],"Raintree Back",Upload_Indiv[[Excl Score]:[Excl Score]],0),"")</f>
        <v>6</v>
      </c>
      <c r="AU54" s="150">
        <f t="shared" si="15"/>
        <v>1</v>
      </c>
      <c r="AV54" s="151">
        <f>IFERROR(COUNTIFS(Upload_Indiv[[Player]:[Player]],$A54,Upload_Indiv[[Side]:[Side]],"Raintree Back",Upload_Indiv[[Excl Score]:[Excl Score]],0),"")</f>
        <v>4</v>
      </c>
      <c r="AW54" s="152">
        <f>IFERROR(AVERAGEIFS(Upload_Indiv[Score6],Upload_Indiv[[Player]:[Player]],$A54,Upload_Indiv[[Side]:[Side]],"Raintree Back",Upload_Indiv[[Excl Score]:[Excl Score]],0),"")</f>
        <v>6.25</v>
      </c>
      <c r="AX54" s="152">
        <f t="shared" si="16"/>
        <v>0.25</v>
      </c>
      <c r="AY54" s="149">
        <f>IFERROR(COUNTIFS(Upload_Indiv[[Player]:[Player]],$A54,Upload_Indiv[[Side]:[Side]],"Raintree Back",Upload_Indiv[[Excl Score]:[Excl Score]],0),"")</f>
        <v>4</v>
      </c>
      <c r="AZ54" s="150">
        <f>IFERROR(AVERAGEIFS(Upload_Indiv[Score7],Upload_Indiv[[Player]:[Player]],$A54,Upload_Indiv[[Side]:[Side]],"Raintree Back",Upload_Indiv[[Excl Score]:[Excl Score]],0),"")</f>
        <v>4.25</v>
      </c>
      <c r="BA54" s="150">
        <f t="shared" si="17"/>
        <v>1.25</v>
      </c>
      <c r="BB54" s="151">
        <f>IFERROR(COUNTIFS(Upload_Indiv[[Player]:[Player]],$A54,Upload_Indiv[[Side]:[Side]],"Raintree Back",Upload_Indiv[[Excl Score]:[Excl Score]],0),"")</f>
        <v>4</v>
      </c>
      <c r="BC54" s="152">
        <f>IFERROR(AVERAGEIFS(Upload_Indiv[Score8],Upload_Indiv[[Player]:[Player]],$A54,Upload_Indiv[[Side]:[Side]],"Raintree Back",Upload_Indiv[[Excl Score]:[Excl Score]],0),"")</f>
        <v>6.25</v>
      </c>
      <c r="BD54" s="152">
        <f t="shared" si="18"/>
        <v>1.25</v>
      </c>
      <c r="BE54" s="149">
        <f>IFERROR(COUNTIFS(Upload_Indiv[[Player]:[Player]],$A54,Upload_Indiv[[Side]:[Side]],"Raintree Back",Upload_Indiv[[Excl Score]:[Excl Score]],0),"")</f>
        <v>4</v>
      </c>
      <c r="BF54" s="150">
        <f>IFERROR(AVERAGEIFS(Upload_Indiv[Score9],Upload_Indiv[[Player]:[Player]],$A54,Upload_Indiv[[Side]:[Side]],"Raintree Back",Upload_Indiv[[Excl Score]:[Excl Score]],0),"")</f>
        <v>7</v>
      </c>
      <c r="BG54" s="150">
        <f t="shared" si="19"/>
        <v>1</v>
      </c>
      <c r="BH54" s="165">
        <f t="shared" si="20"/>
        <v>4</v>
      </c>
      <c r="BI54" s="165">
        <f t="shared" si="21"/>
        <v>50.75</v>
      </c>
      <c r="BJ54" s="165">
        <f t="shared" si="21"/>
        <v>6.75</v>
      </c>
    </row>
    <row r="55" spans="1:62" x14ac:dyDescent="0.25">
      <c r="A55" s="4" t="s">
        <v>495</v>
      </c>
    </row>
    <row r="56" spans="1:62" x14ac:dyDescent="0.25">
      <c r="A56" s="4" t="s">
        <v>148</v>
      </c>
    </row>
    <row r="57" spans="1:62" x14ac:dyDescent="0.25">
      <c r="A57" s="4" t="s">
        <v>286</v>
      </c>
    </row>
    <row r="58" spans="1:62" x14ac:dyDescent="0.25">
      <c r="A58" s="4" t="s">
        <v>491</v>
      </c>
    </row>
    <row r="59" spans="1:62" x14ac:dyDescent="0.25">
      <c r="A59" s="4" t="s">
        <v>156</v>
      </c>
    </row>
    <row r="60" spans="1:62" x14ac:dyDescent="0.25">
      <c r="A60" s="4" t="s">
        <v>246</v>
      </c>
    </row>
    <row r="61" spans="1:62" x14ac:dyDescent="0.25">
      <c r="A61" s="4" t="s">
        <v>484</v>
      </c>
    </row>
    <row r="62" spans="1:62" x14ac:dyDescent="0.25">
      <c r="A62" s="4" t="s">
        <v>267</v>
      </c>
    </row>
    <row r="63" spans="1:62" x14ac:dyDescent="0.25">
      <c r="A63" s="4" t="s">
        <v>429</v>
      </c>
    </row>
    <row r="64" spans="1:62" x14ac:dyDescent="0.25">
      <c r="A64" s="4" t="s">
        <v>315</v>
      </c>
    </row>
    <row r="65" spans="1:1" x14ac:dyDescent="0.25">
      <c r="A65" s="4" t="s">
        <v>258</v>
      </c>
    </row>
    <row r="66" spans="1:1" x14ac:dyDescent="0.25">
      <c r="A66" s="4" t="s">
        <v>294</v>
      </c>
    </row>
    <row r="67" spans="1:1" x14ac:dyDescent="0.25">
      <c r="A67" s="4" t="s">
        <v>103</v>
      </c>
    </row>
  </sheetData>
  <conditionalFormatting sqref="D7:E7 H7 AD7">
    <cfRule type="cellIs" dxfId="237" priority="481" operator="lessThan">
      <formula>0</formula>
    </cfRule>
    <cfRule type="cellIs" dxfId="236" priority="482" operator="greaterThanOrEqual">
      <formula>0</formula>
    </cfRule>
  </conditionalFormatting>
  <conditionalFormatting sqref="AE7:AF7">
    <cfRule type="cellIs" dxfId="235" priority="479" operator="lessThan">
      <formula>0</formula>
    </cfRule>
    <cfRule type="cellIs" dxfId="234" priority="480" operator="greaterThanOrEqual">
      <formula>0</formula>
    </cfRule>
  </conditionalFormatting>
  <conditionalFormatting sqref="E9:E54 H9:H54 AD9:AF54">
    <cfRule type="cellIs" dxfId="233" priority="473" operator="lessThan">
      <formula>0</formula>
    </cfRule>
    <cfRule type="cellIs" dxfId="232" priority="474" operator="greaterThanOrEqual">
      <formula>0</formula>
    </cfRule>
  </conditionalFormatting>
  <conditionalFormatting sqref="G7">
    <cfRule type="cellIs" dxfId="231" priority="471" operator="lessThan">
      <formula>0</formula>
    </cfRule>
    <cfRule type="cellIs" dxfId="230" priority="472" operator="greaterThanOrEqual">
      <formula>0</formula>
    </cfRule>
  </conditionalFormatting>
  <conditionalFormatting sqref="J7:K7 N7">
    <cfRule type="cellIs" dxfId="229" priority="469" operator="lessThan">
      <formula>0</formula>
    </cfRule>
    <cfRule type="cellIs" dxfId="228" priority="470" operator="greaterThanOrEqual">
      <formula>0</formula>
    </cfRule>
  </conditionalFormatting>
  <conditionalFormatting sqref="K9:K54 N9:N54">
    <cfRule type="cellIs" dxfId="227" priority="467" operator="lessThan">
      <formula>0</formula>
    </cfRule>
    <cfRule type="cellIs" dxfId="226" priority="468" operator="greaterThanOrEqual">
      <formula>0</formula>
    </cfRule>
  </conditionalFormatting>
  <conditionalFormatting sqref="M7">
    <cfRule type="cellIs" dxfId="225" priority="465" operator="lessThan">
      <formula>0</formula>
    </cfRule>
    <cfRule type="cellIs" dxfId="224" priority="466" operator="greaterThanOrEqual">
      <formula>0</formula>
    </cfRule>
  </conditionalFormatting>
  <conditionalFormatting sqref="P7:Q7 T7">
    <cfRule type="cellIs" dxfId="223" priority="463" operator="lessThan">
      <formula>0</formula>
    </cfRule>
    <cfRule type="cellIs" dxfId="222" priority="464" operator="greaterThanOrEqual">
      <formula>0</formula>
    </cfRule>
  </conditionalFormatting>
  <conditionalFormatting sqref="Q9:Q54 T9:T54">
    <cfRule type="cellIs" dxfId="221" priority="461" operator="lessThan">
      <formula>0</formula>
    </cfRule>
    <cfRule type="cellIs" dxfId="220" priority="462" operator="greaterThanOrEqual">
      <formula>0</formula>
    </cfRule>
  </conditionalFormatting>
  <conditionalFormatting sqref="S7">
    <cfRule type="cellIs" dxfId="219" priority="459" operator="lessThan">
      <formula>0</formula>
    </cfRule>
    <cfRule type="cellIs" dxfId="218" priority="460" operator="greaterThanOrEqual">
      <formula>0</formula>
    </cfRule>
  </conditionalFormatting>
  <conditionalFormatting sqref="V7:W7">
    <cfRule type="cellIs" dxfId="217" priority="457" operator="lessThan">
      <formula>0</formula>
    </cfRule>
    <cfRule type="cellIs" dxfId="216" priority="458" operator="greaterThanOrEqual">
      <formula>0</formula>
    </cfRule>
  </conditionalFormatting>
  <conditionalFormatting sqref="W9:W54">
    <cfRule type="cellIs" dxfId="215" priority="455" operator="lessThan">
      <formula>0</formula>
    </cfRule>
    <cfRule type="cellIs" dxfId="214" priority="456" operator="greaterThanOrEqual">
      <formula>0</formula>
    </cfRule>
  </conditionalFormatting>
  <conditionalFormatting sqref="AC9:AC54">
    <cfRule type="cellIs" dxfId="213" priority="443" operator="lessThan">
      <formula>0</formula>
    </cfRule>
    <cfRule type="cellIs" dxfId="212" priority="444" operator="greaterThanOrEqual">
      <formula>0</formula>
    </cfRule>
  </conditionalFormatting>
  <conditionalFormatting sqref="Z7">
    <cfRule type="cellIs" dxfId="211" priority="451" operator="lessThan">
      <formula>0</formula>
    </cfRule>
    <cfRule type="cellIs" dxfId="210" priority="452" operator="greaterThanOrEqual">
      <formula>0</formula>
    </cfRule>
  </conditionalFormatting>
  <conditionalFormatting sqref="Z9:Z54">
    <cfRule type="cellIs" dxfId="209" priority="449" operator="lessThan">
      <formula>0</formula>
    </cfRule>
    <cfRule type="cellIs" dxfId="208" priority="450" operator="greaterThanOrEqual">
      <formula>0</formula>
    </cfRule>
  </conditionalFormatting>
  <conditionalFormatting sqref="Y7">
    <cfRule type="cellIs" dxfId="207" priority="447" operator="lessThan">
      <formula>0</formula>
    </cfRule>
    <cfRule type="cellIs" dxfId="206" priority="448" operator="greaterThanOrEqual">
      <formula>0</formula>
    </cfRule>
  </conditionalFormatting>
  <conditionalFormatting sqref="AB7:AC7">
    <cfRule type="cellIs" dxfId="205" priority="445" operator="lessThan">
      <formula>0</formula>
    </cfRule>
    <cfRule type="cellIs" dxfId="204" priority="446" operator="greaterThanOrEqual">
      <formula>0</formula>
    </cfRule>
  </conditionalFormatting>
  <conditionalFormatting sqref="AH7:AI7 AL7 BH7">
    <cfRule type="cellIs" dxfId="203" priority="441" operator="lessThan">
      <formula>0</formula>
    </cfRule>
    <cfRule type="cellIs" dxfId="202" priority="442" operator="greaterThanOrEqual">
      <formula>0</formula>
    </cfRule>
  </conditionalFormatting>
  <conditionalFormatting sqref="BI7:BJ7">
    <cfRule type="cellIs" dxfId="201" priority="439" operator="lessThan">
      <formula>0</formula>
    </cfRule>
    <cfRule type="cellIs" dxfId="200" priority="440" operator="greaterThanOrEqual">
      <formula>0</formula>
    </cfRule>
  </conditionalFormatting>
  <conditionalFormatting sqref="BH9:BJ54 AL9:AL54 AI9:AI54">
    <cfRule type="cellIs" dxfId="199" priority="437" operator="lessThan">
      <formula>0</formula>
    </cfRule>
    <cfRule type="cellIs" dxfId="198" priority="438" operator="greaterThanOrEqual">
      <formula>0</formula>
    </cfRule>
  </conditionalFormatting>
  <conditionalFormatting sqref="AK7">
    <cfRule type="cellIs" dxfId="197" priority="435" operator="lessThan">
      <formula>0</formula>
    </cfRule>
    <cfRule type="cellIs" dxfId="196" priority="436" operator="greaterThanOrEqual">
      <formula>0</formula>
    </cfRule>
  </conditionalFormatting>
  <conditionalFormatting sqref="AN7:AO7 AR7">
    <cfRule type="cellIs" dxfId="195" priority="433" operator="lessThan">
      <formula>0</formula>
    </cfRule>
    <cfRule type="cellIs" dxfId="194" priority="434" operator="greaterThanOrEqual">
      <formula>0</formula>
    </cfRule>
  </conditionalFormatting>
  <conditionalFormatting sqref="AR9:AR54 AO9:AO54">
    <cfRule type="cellIs" dxfId="193" priority="431" operator="lessThan">
      <formula>0</formula>
    </cfRule>
    <cfRule type="cellIs" dxfId="192" priority="432" operator="greaterThanOrEqual">
      <formula>0</formula>
    </cfRule>
  </conditionalFormatting>
  <conditionalFormatting sqref="AQ7">
    <cfRule type="cellIs" dxfId="191" priority="429" operator="lessThan">
      <formula>0</formula>
    </cfRule>
    <cfRule type="cellIs" dxfId="190" priority="430" operator="greaterThanOrEqual">
      <formula>0</formula>
    </cfRule>
  </conditionalFormatting>
  <conditionalFormatting sqref="AT7:AU7 AX7">
    <cfRule type="cellIs" dxfId="189" priority="427" operator="lessThan">
      <formula>0</formula>
    </cfRule>
    <cfRule type="cellIs" dxfId="188" priority="428" operator="greaterThanOrEqual">
      <formula>0</formula>
    </cfRule>
  </conditionalFormatting>
  <conditionalFormatting sqref="AX9:AX54 AU9:AU54">
    <cfRule type="cellIs" dxfId="187" priority="425" operator="lessThan">
      <formula>0</formula>
    </cfRule>
    <cfRule type="cellIs" dxfId="186" priority="426" operator="greaterThanOrEqual">
      <formula>0</formula>
    </cfRule>
  </conditionalFormatting>
  <conditionalFormatting sqref="AW7">
    <cfRule type="cellIs" dxfId="185" priority="423" operator="lessThan">
      <formula>0</formula>
    </cfRule>
    <cfRule type="cellIs" dxfId="184" priority="424" operator="greaterThanOrEqual">
      <formula>0</formula>
    </cfRule>
  </conditionalFormatting>
  <conditionalFormatting sqref="AZ7:BA7">
    <cfRule type="cellIs" dxfId="183" priority="421" operator="lessThan">
      <formula>0</formula>
    </cfRule>
    <cfRule type="cellIs" dxfId="182" priority="422" operator="greaterThanOrEqual">
      <formula>0</formula>
    </cfRule>
  </conditionalFormatting>
  <conditionalFormatting sqref="BA9:BA54">
    <cfRule type="cellIs" dxfId="181" priority="419" operator="lessThan">
      <formula>0</formula>
    </cfRule>
    <cfRule type="cellIs" dxfId="180" priority="420" operator="greaterThanOrEqual">
      <formula>0</formula>
    </cfRule>
  </conditionalFormatting>
  <conditionalFormatting sqref="BG9:BG54">
    <cfRule type="cellIs" dxfId="179" priority="409" operator="lessThan">
      <formula>0</formula>
    </cfRule>
    <cfRule type="cellIs" dxfId="178" priority="410" operator="greaterThanOrEqual">
      <formula>0</formula>
    </cfRule>
  </conditionalFormatting>
  <conditionalFormatting sqref="BD7">
    <cfRule type="cellIs" dxfId="177" priority="417" operator="lessThan">
      <formula>0</formula>
    </cfRule>
    <cfRule type="cellIs" dxfId="176" priority="418" operator="greaterThanOrEqual">
      <formula>0</formula>
    </cfRule>
  </conditionalFormatting>
  <conditionalFormatting sqref="BD9:BD54">
    <cfRule type="cellIs" dxfId="175" priority="415" operator="lessThan">
      <formula>0</formula>
    </cfRule>
    <cfRule type="cellIs" dxfId="174" priority="416" operator="greaterThanOrEqual">
      <formula>0</formula>
    </cfRule>
  </conditionalFormatting>
  <conditionalFormatting sqref="BC7">
    <cfRule type="cellIs" dxfId="173" priority="413" operator="lessThan">
      <formula>0</formula>
    </cfRule>
    <cfRule type="cellIs" dxfId="172" priority="414" operator="greaterThanOrEqual">
      <formula>0</formula>
    </cfRule>
  </conditionalFormatting>
  <conditionalFormatting sqref="BF7:BG7">
    <cfRule type="cellIs" dxfId="171" priority="411" operator="lessThan">
      <formula>0</formula>
    </cfRule>
    <cfRule type="cellIs" dxfId="170" priority="412" operator="greaterThanOrEqual">
      <formula>0</formula>
    </cfRule>
  </conditionalFormatting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A13792-8DDB-49AD-BBA6-EB3DD8DB81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132</vt:i4>
      </vt:variant>
    </vt:vector>
  </HeadingPairs>
  <TitlesOfParts>
    <vt:vector size="179" baseType="lpstr">
      <vt:lpstr>qry_Static_Season_Config</vt:lpstr>
      <vt:lpstr>qry_Settings_System</vt:lpstr>
      <vt:lpstr>Settings_System</vt:lpstr>
      <vt:lpstr>Static_Season_Config</vt:lpstr>
      <vt:lpstr>Settings</vt:lpstr>
      <vt:lpstr>Settings Documentation</vt:lpstr>
      <vt:lpstr>Summary_New__Weekly_Stats</vt:lpstr>
      <vt:lpstr>DEPRECATED - Summary_New__Team_</vt:lpstr>
      <vt:lpstr>Summary_New__Player_Stats</vt:lpstr>
      <vt:lpstr>Summary_New__Matches</vt:lpstr>
      <vt:lpstr>Summary_New__Handicaps</vt:lpstr>
      <vt:lpstr>Summary_New__Players</vt:lpstr>
      <vt:lpstr>Summary_New__Teams</vt:lpstr>
      <vt:lpstr>Summary_New__Season</vt:lpstr>
      <vt:lpstr>Indiv_Results_Holes (2)</vt:lpstr>
      <vt:lpstr>Indiv_Results_Staging</vt:lpstr>
      <vt:lpstr>Upload_Indiv_Raw</vt:lpstr>
      <vt:lpstr>Indiv_Results_Holes</vt:lpstr>
      <vt:lpstr>Upload_Team_Raw</vt:lpstr>
      <vt:lpstr>Team_Results_Staging</vt:lpstr>
      <vt:lpstr>Dependency_Report</vt:lpstr>
      <vt:lpstr>NamedRangesReport</vt:lpstr>
      <vt:lpstr>Standings</vt:lpstr>
      <vt:lpstr>Summary</vt:lpstr>
      <vt:lpstr>Weekly Leaderboard</vt:lpstr>
      <vt:lpstr>Season Leaderboard</vt:lpstr>
      <vt:lpstr>Birdies by Player</vt:lpstr>
      <vt:lpstr>Eagles by Player</vt:lpstr>
      <vt:lpstr>League Birdies &amp; Eagles</vt:lpstr>
      <vt:lpstr>Top Perfs</vt:lpstr>
      <vt:lpstr>2025 Schedule</vt:lpstr>
      <vt:lpstr>Subs</vt:lpstr>
      <vt:lpstr>1-Aceholes</vt:lpstr>
      <vt:lpstr>2-Metheads</vt:lpstr>
      <vt:lpstr>3-Mickey Mouse Club</vt:lpstr>
      <vt:lpstr>4-Stymies</vt:lpstr>
      <vt:lpstr>5-Four Puttz</vt:lpstr>
      <vt:lpstr>6-Who's Your Caddy</vt:lpstr>
      <vt:lpstr>7-Hack Squad</vt:lpstr>
      <vt:lpstr>8-Blind Draw</vt:lpstr>
      <vt:lpstr>league roster</vt:lpstr>
      <vt:lpstr>Prior Season Scores</vt:lpstr>
      <vt:lpstr>Uploaded_Indiv_Data</vt:lpstr>
      <vt:lpstr>Uploaded_Team_Data</vt:lpstr>
      <vt:lpstr>Opp Low Net</vt:lpstr>
      <vt:lpstr>Net Rel to Par</vt:lpstr>
      <vt:lpstr>Indiv Stroke Detail</vt:lpstr>
      <vt:lpstr>allowUnderParBlindDrawGross</vt:lpstr>
      <vt:lpstr>allowWeekReuse</vt:lpstr>
      <vt:lpstr>autoExpandScorecard</vt:lpstr>
      <vt:lpstr>blindDrawBirdieMode</vt:lpstr>
      <vt:lpstr>blindDrawForfeitScore</vt:lpstr>
      <vt:lpstr>blindDrawFullScore</vt:lpstr>
      <vt:lpstr>blindDrawHandicap</vt:lpstr>
      <vt:lpstr>blindDrawScoreMode</vt:lpstr>
      <vt:lpstr>blindDrawTeamNumber</vt:lpstr>
      <vt:lpstr>courseName</vt:lpstr>
      <vt:lpstr>eligibility_MinPctRounds</vt:lpstr>
      <vt:lpstr>enable18HoleExpansion</vt:lpstr>
      <vt:lpstr>enableImportChecks</vt:lpstr>
      <vt:lpstr>enableMaxHoleScoreCap</vt:lpstr>
      <vt:lpstr>enableVerboseErrorLogging</vt:lpstr>
      <vt:lpstr>firstWeekDate</vt:lpstr>
      <vt:lpstr>handicapCalcMethod</vt:lpstr>
      <vt:lpstr>handicapPercent</vt:lpstr>
      <vt:lpstr>handicapRoundingMethod</vt:lpstr>
      <vt:lpstr>handicapRoundsLookback</vt:lpstr>
      <vt:lpstr>handicapRoundsUsed</vt:lpstr>
      <vt:lpstr>hcpBack</vt:lpstr>
      <vt:lpstr>hcpFront</vt:lpstr>
      <vt:lpstr>hdcprds</vt:lpstr>
      <vt:lpstr>ids</vt:lpstr>
      <vt:lpstr>leagueName</vt:lpstr>
      <vt:lpstr>leagueroster</vt:lpstr>
      <vt:lpstr>lowgross</vt:lpstr>
      <vt:lpstr>lownet</vt:lpstr>
      <vt:lpstr>makeUpWeekMode</vt:lpstr>
      <vt:lpstr>matchReportFilenamePattern</vt:lpstr>
      <vt:lpstr>matchReportsFolderPath</vt:lpstr>
      <vt:lpstr>maxHoleScoreOverPar</vt:lpstr>
      <vt:lpstr>maxPlayerHandicap</vt:lpstr>
      <vt:lpstr>numberOfTeams</vt:lpstr>
      <vt:lpstr>oneDriveReportsFolder</vt:lpstr>
      <vt:lpstr>parBack</vt:lpstr>
      <vt:lpstr>parFront</vt:lpstr>
      <vt:lpstr>pointsIndivNetTie</vt:lpstr>
      <vt:lpstr>pointsIndivNetWin</vt:lpstr>
      <vt:lpstr>pointsPerHoleTie</vt:lpstr>
      <vt:lpstr>pointsPerHoleWin</vt:lpstr>
      <vt:lpstr>pointsTeamNetTie</vt:lpstr>
      <vt:lpstr>pointsTeamNetWin</vt:lpstr>
      <vt:lpstr>'2025 Schedule'!Print_Area</vt:lpstr>
      <vt:lpstr>'Season Leaderboard'!Print_Area</vt:lpstr>
      <vt:lpstr>Standings!Print_Area</vt:lpstr>
      <vt:lpstr>Summary!Print_Area</vt:lpstr>
      <vt:lpstr>'Weekly Leaderboard'!Print_Area</vt:lpstr>
      <vt:lpstr>Summary!Print_Titles</vt:lpstr>
      <vt:lpstr>qualifier</vt:lpstr>
      <vt:lpstr>refreshAllMode</vt:lpstr>
      <vt:lpstr>roundsPerSeason</vt:lpstr>
      <vt:lpstr>seasonbirds</vt:lpstr>
      <vt:lpstr>seasoneagles</vt:lpstr>
      <vt:lpstr>seasongross</vt:lpstr>
      <vt:lpstr>seasonnet</vt:lpstr>
      <vt:lpstr>seasonpts</vt:lpstr>
      <vt:lpstr>seasonptsavg</vt:lpstr>
      <vt:lpstr>seasonrds</vt:lpstr>
      <vt:lpstr>seasonRoundsPlanned</vt:lpstr>
      <vt:lpstr>seasonStatus</vt:lpstr>
      <vt:lpstr>stagingFolderPath</vt:lpstr>
      <vt:lpstr>strokeAllocationMethod</vt:lpstr>
      <vt:lpstr>subs</vt:lpstr>
      <vt:lpstr>team1</vt:lpstr>
      <vt:lpstr>team2</vt:lpstr>
      <vt:lpstr>team3</vt:lpstr>
      <vt:lpstr>team4</vt:lpstr>
      <vt:lpstr>team5</vt:lpstr>
      <vt:lpstr>team6</vt:lpstr>
      <vt:lpstr>team7</vt:lpstr>
      <vt:lpstr>team8</vt:lpstr>
      <vt:lpstr>Upload_Data_Indiv</vt:lpstr>
      <vt:lpstr>'7-Hack Squad'!Upload_Indiv_Date</vt:lpstr>
      <vt:lpstr>'Eagles by Player'!Upload_Indiv_Date</vt:lpstr>
      <vt:lpstr>'Indiv Stroke Detail'!Upload_Indiv_Date</vt:lpstr>
      <vt:lpstr>Upload_Indiv_Date</vt:lpstr>
      <vt:lpstr>'7-Hack Squad'!Upload_Indiv_Excl_Score</vt:lpstr>
      <vt:lpstr>'Eagles by Player'!Upload_Indiv_Excl_Score</vt:lpstr>
      <vt:lpstr>'Indiv Stroke Detail'!Upload_Indiv_Excl_Score</vt:lpstr>
      <vt:lpstr>Upload_Indiv_Excl_Score</vt:lpstr>
      <vt:lpstr>'7-Hack Squad'!Upload_Indiv_Gross</vt:lpstr>
      <vt:lpstr>'Eagles by Player'!Upload_Indiv_Gross</vt:lpstr>
      <vt:lpstr>'Indiv Stroke Detail'!Upload_Indiv_Gross</vt:lpstr>
      <vt:lpstr>Upload_Indiv_Gross</vt:lpstr>
      <vt:lpstr>'7-Hack Squad'!Upload_Indiv_Net</vt:lpstr>
      <vt:lpstr>'Eagles by Player'!Upload_Indiv_Net</vt:lpstr>
      <vt:lpstr>'Indiv Stroke Detail'!Upload_Indiv_Net</vt:lpstr>
      <vt:lpstr>Upload_Indiv_Net</vt:lpstr>
      <vt:lpstr>'7-Hack Squad'!Upload_Indiv_Player</vt:lpstr>
      <vt:lpstr>'Eagles by Player'!Upload_Indiv_Player</vt:lpstr>
      <vt:lpstr>'Indiv Stroke Detail'!Upload_Indiv_Player</vt:lpstr>
      <vt:lpstr>Upload_Indiv_Player</vt:lpstr>
      <vt:lpstr>'7-Hack Squad'!Upload_Indiv_PointsTot</vt:lpstr>
      <vt:lpstr>'Eagles by Player'!Upload_Indiv_PointsTot</vt:lpstr>
      <vt:lpstr>'Indiv Stroke Detail'!Upload_Indiv_PointsTot</vt:lpstr>
      <vt:lpstr>Upload_Indiv_PointsTot</vt:lpstr>
      <vt:lpstr>'7-Hack Squad'!Upload_Indiv_Team</vt:lpstr>
      <vt:lpstr>'Eagles by Player'!Upload_Indiv_Team</vt:lpstr>
      <vt:lpstr>'Indiv Stroke Detail'!Upload_Indiv_Team</vt:lpstr>
      <vt:lpstr>Upload_Indiv_Team</vt:lpstr>
      <vt:lpstr>'7-Hack Squad'!Upload_Indiv_Tot_Birds</vt:lpstr>
      <vt:lpstr>'Eagles by Player'!Upload_Indiv_Tot_Birds</vt:lpstr>
      <vt:lpstr>'Indiv Stroke Detail'!Upload_Indiv_Tot_Birds</vt:lpstr>
      <vt:lpstr>Upload_Indiv_Tot_Birds</vt:lpstr>
      <vt:lpstr>'7-Hack Squad'!Upload_Indiv_Tot_Eagles</vt:lpstr>
      <vt:lpstr>'Eagles by Player'!Upload_Indiv_Tot_Eagles</vt:lpstr>
      <vt:lpstr>'Indiv Stroke Detail'!Upload_Indiv_Tot_Eagles</vt:lpstr>
      <vt:lpstr>Upload_Indiv_Tot_Eagles</vt:lpstr>
      <vt:lpstr>'7-Hack Squad'!Upload_Team_Date</vt:lpstr>
      <vt:lpstr>'Eagles by Player'!Upload_Team_Date</vt:lpstr>
      <vt:lpstr>'Indiv Stroke Detail'!Upload_Team_Date</vt:lpstr>
      <vt:lpstr>Upload_Team_Date</vt:lpstr>
      <vt:lpstr>'7-Hack Squad'!Upload_Team_Team</vt:lpstr>
      <vt:lpstr>'Eagles by Player'!Upload_Team_Team</vt:lpstr>
      <vt:lpstr>'Indiv Stroke Detail'!Upload_Team_Team</vt:lpstr>
      <vt:lpstr>Upload_Team_Team</vt:lpstr>
      <vt:lpstr>'7-Hack Squad'!Upload_Team_Tm_Net</vt:lpstr>
      <vt:lpstr>'Eagles by Player'!Upload_Team_Tm_Net</vt:lpstr>
      <vt:lpstr>'Indiv Stroke Detail'!Upload_Team_Tm_Net</vt:lpstr>
      <vt:lpstr>Upload_Team_Tm_Net</vt:lpstr>
      <vt:lpstr>'7-Hack Squad'!Upload_Team_Tm_Tot_Points</vt:lpstr>
      <vt:lpstr>'Eagles by Player'!Upload_Team_Tm_Tot_Points</vt:lpstr>
      <vt:lpstr>'Indiv Stroke Detail'!Upload_Team_Tm_Tot_Points</vt:lpstr>
      <vt:lpstr>Upload_Team_Tm_Tot_Points</vt:lpstr>
      <vt:lpstr>useAutoSchedule</vt:lpstr>
      <vt:lpstr>useBlindDraw</vt:lpstr>
      <vt:lpstr>useHybridMapping</vt:lpstr>
      <vt:lpstr>useLocalStagingFolder</vt:lpstr>
      <vt:lpstr>weeks</vt:lpstr>
      <vt:lpstr>weeks2</vt:lpstr>
    </vt:vector>
  </TitlesOfParts>
  <Manager/>
  <Company>The Timken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HYDER</dc:creator>
  <cp:keywords/>
  <dc:description/>
  <cp:lastModifiedBy>Mike Avery</cp:lastModifiedBy>
  <cp:revision/>
  <cp:lastPrinted>2025-03-07T20:15:28Z</cp:lastPrinted>
  <dcterms:created xsi:type="dcterms:W3CDTF">2001-04-20T15:47:50Z</dcterms:created>
  <dcterms:modified xsi:type="dcterms:W3CDTF">2026-01-27T02:14:58Z</dcterms:modified>
  <cp:category/>
  <cp:contentStatus/>
</cp:coreProperties>
</file>